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398768715qq.com/GitHub/ITMO-PE/EconomicsSoftwareEngineering/"/>
    </mc:Choice>
  </mc:AlternateContent>
  <xr:revisionPtr revIDLastSave="0" documentId="13_ncr:1_{D7167C0B-B688-E944-A7B0-E3B6A9A08A50}" xr6:coauthVersionLast="47" xr6:coauthVersionMax="47" xr10:uidLastSave="{00000000-0000-0000-0000-000000000000}"/>
  <bookViews>
    <workbookView xWindow="0" yWindow="500" windowWidth="25600" windowHeight="28300" xr2:uid="{343BDCF8-93BA-48B2-B1E2-DDA5B2F75838}"/>
  </bookViews>
  <sheets>
    <sheet name="Simple Method" sheetId="1" r:id="rId1"/>
    <sheet name="PERT Metho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D20" i="1"/>
  <c r="E20" i="1"/>
  <c r="F20" i="1"/>
  <c r="D24" i="1"/>
  <c r="E24" i="1"/>
  <c r="F24" i="1"/>
  <c r="D2" i="1"/>
  <c r="E2" i="1"/>
  <c r="F2" i="1"/>
  <c r="D7" i="1"/>
  <c r="E7" i="1"/>
  <c r="F7" i="1"/>
  <c r="D15" i="1"/>
  <c r="E15" i="1"/>
  <c r="F15" i="1"/>
  <c r="I24" i="3"/>
  <c r="F24" i="3"/>
  <c r="G4" i="3"/>
  <c r="G5" i="3"/>
  <c r="H5" i="3" s="1"/>
  <c r="G6" i="3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G15" i="3"/>
  <c r="G16" i="3"/>
  <c r="G17" i="3"/>
  <c r="G18" i="3"/>
  <c r="G19" i="3"/>
  <c r="G20" i="3"/>
  <c r="G21" i="3"/>
  <c r="H21" i="3" s="1"/>
  <c r="G22" i="3"/>
  <c r="H22" i="3" s="1"/>
  <c r="G23" i="3"/>
  <c r="H23" i="3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3" i="3"/>
  <c r="G3" i="3"/>
  <c r="H3" i="3" s="1"/>
  <c r="H4" i="3"/>
  <c r="H6" i="3"/>
  <c r="H14" i="3"/>
  <c r="H15" i="3"/>
  <c r="H16" i="3"/>
  <c r="H17" i="3"/>
  <c r="H18" i="3"/>
  <c r="H19" i="3"/>
  <c r="H20" i="3"/>
  <c r="H1" i="1"/>
  <c r="I1" i="1"/>
  <c r="J1" i="1"/>
  <c r="K1" i="1"/>
  <c r="L1" i="1"/>
  <c r="M1" i="1"/>
  <c r="H2" i="1"/>
  <c r="I2" i="1"/>
  <c r="J2" i="1"/>
  <c r="K2" i="1"/>
  <c r="L2" i="1"/>
  <c r="M2" i="1"/>
  <c r="H3" i="1"/>
  <c r="I3" i="1"/>
  <c r="K3" i="1"/>
  <c r="L3" i="1"/>
  <c r="M3" i="1"/>
  <c r="H4" i="1"/>
  <c r="I4" i="1"/>
  <c r="K4" i="1"/>
  <c r="L4" i="1"/>
  <c r="M4" i="1"/>
  <c r="H5" i="1"/>
  <c r="I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K8" i="1"/>
  <c r="L8" i="1"/>
  <c r="M8" i="1"/>
  <c r="H9" i="1"/>
  <c r="I9" i="1"/>
  <c r="K9" i="1"/>
  <c r="L9" i="1"/>
  <c r="M9" i="1"/>
  <c r="H10" i="1"/>
  <c r="I10" i="1"/>
  <c r="K10" i="1"/>
  <c r="L10" i="1"/>
  <c r="M10" i="1"/>
  <c r="H11" i="1"/>
  <c r="I11" i="1"/>
  <c r="K11" i="1"/>
  <c r="L11" i="1"/>
  <c r="M11" i="1"/>
  <c r="H12" i="1"/>
  <c r="I12" i="1"/>
  <c r="K12" i="1"/>
  <c r="L12" i="1"/>
  <c r="M12" i="1"/>
  <c r="H13" i="1"/>
  <c r="I13" i="1"/>
  <c r="K13" i="1"/>
  <c r="L13" i="1"/>
  <c r="M13" i="1"/>
  <c r="H14" i="1"/>
  <c r="I14" i="1"/>
  <c r="K14" i="1"/>
  <c r="L14" i="1"/>
  <c r="M14" i="1"/>
  <c r="H15" i="1"/>
  <c r="I15" i="1"/>
  <c r="J15" i="1"/>
  <c r="K15" i="1"/>
  <c r="L15" i="1"/>
  <c r="M15" i="1"/>
  <c r="H16" i="1"/>
  <c r="I16" i="1"/>
  <c r="K16" i="1"/>
  <c r="L16" i="1"/>
  <c r="M16" i="1"/>
  <c r="H17" i="1"/>
  <c r="I17" i="1"/>
  <c r="K17" i="1"/>
  <c r="L17" i="1"/>
  <c r="M17" i="1"/>
  <c r="H18" i="1"/>
  <c r="I18" i="1"/>
  <c r="K18" i="1"/>
  <c r="L18" i="1"/>
  <c r="M18" i="1"/>
  <c r="H19" i="1"/>
  <c r="I19" i="1"/>
  <c r="K19" i="1"/>
  <c r="L19" i="1"/>
  <c r="M19" i="1"/>
  <c r="H20" i="1"/>
  <c r="I20" i="1"/>
  <c r="J20" i="1"/>
  <c r="K20" i="1"/>
  <c r="L20" i="1"/>
  <c r="M20" i="1"/>
  <c r="H21" i="1"/>
  <c r="I21" i="1"/>
  <c r="K21" i="1"/>
  <c r="L21" i="1"/>
  <c r="M21" i="1"/>
  <c r="H22" i="1"/>
  <c r="I22" i="1"/>
  <c r="K22" i="1"/>
  <c r="L22" i="1"/>
  <c r="M22" i="1"/>
  <c r="H23" i="1"/>
  <c r="I23" i="1"/>
  <c r="K23" i="1"/>
  <c r="L23" i="1"/>
  <c r="M23" i="1"/>
  <c r="H24" i="1"/>
  <c r="I24" i="1"/>
  <c r="J24" i="1"/>
  <c r="K24" i="1"/>
  <c r="L24" i="1"/>
  <c r="M24" i="1"/>
  <c r="H25" i="1"/>
  <c r="I25" i="1"/>
  <c r="K25" i="1"/>
  <c r="L25" i="1"/>
  <c r="M25" i="1"/>
  <c r="H26" i="1"/>
  <c r="I26" i="1"/>
  <c r="K26" i="1"/>
  <c r="L26" i="1"/>
  <c r="M26" i="1"/>
  <c r="H27" i="1"/>
  <c r="I27" i="1"/>
  <c r="K27" i="1"/>
  <c r="L27" i="1"/>
  <c r="M27" i="1"/>
  <c r="H28" i="1"/>
  <c r="I28" i="1"/>
  <c r="J28" i="1"/>
  <c r="K28" i="1"/>
  <c r="L28" i="1"/>
  <c r="M28" i="1"/>
  <c r="H24" i="3" l="1"/>
</calcChain>
</file>

<file path=xl/sharedStrings.xml><?xml version="1.0" encoding="utf-8"?>
<sst xmlns="http://schemas.openxmlformats.org/spreadsheetml/2006/main" count="101" uniqueCount="78">
  <si>
    <t>Название</t>
  </si>
  <si>
    <t>Прототип сайта</t>
  </si>
  <si>
    <t>Подготовка</t>
  </si>
  <si>
    <t>Описание</t>
  </si>
  <si>
    <t>Z</t>
  </si>
  <si>
    <t>Модульное тестирование</t>
  </si>
  <si>
    <t>Интеграционное тестирование</t>
  </si>
  <si>
    <t>Функциональное тестирование</t>
  </si>
  <si>
    <t>Главная страница</t>
  </si>
  <si>
    <t>Центр поддержки</t>
  </si>
  <si>
    <r>
      <rPr>
        <sz val="11"/>
        <color theme="1"/>
        <rFont val="SimSun"/>
        <family val="1"/>
        <charset val="134"/>
      </rPr>
      <t>确定技术栈：前端使用</t>
    </r>
    <r>
      <rPr>
        <sz val="11"/>
        <color theme="1"/>
        <rFont val="Times New Roman"/>
        <family val="1"/>
        <charset val="204"/>
      </rPr>
      <t>ReactJS</t>
    </r>
    <r>
      <rPr>
        <sz val="11"/>
        <color theme="1"/>
        <rFont val="SimSun"/>
        <family val="1"/>
        <charset val="134"/>
      </rPr>
      <t>以支持动态交互，后端使用</t>
    </r>
    <r>
      <rPr>
        <sz val="11"/>
        <color theme="1"/>
        <rFont val="Times New Roman"/>
        <family val="1"/>
        <charset val="204"/>
      </rPr>
      <t>Node.js</t>
    </r>
    <r>
      <rPr>
        <sz val="11"/>
        <color theme="1"/>
        <rFont val="SimSun"/>
        <family val="1"/>
        <charset val="134"/>
      </rPr>
      <t>和</t>
    </r>
    <r>
      <rPr>
        <sz val="11"/>
        <color theme="1"/>
        <rFont val="Times New Roman"/>
        <family val="1"/>
        <charset val="204"/>
      </rPr>
      <t>GraphQL</t>
    </r>
    <r>
      <rPr>
        <sz val="11"/>
        <color theme="1"/>
        <rFont val="SimSun"/>
        <family val="1"/>
        <charset val="134"/>
      </rPr>
      <t>实现快速数据处理，数据库选择</t>
    </r>
    <r>
      <rPr>
        <sz val="11"/>
        <color theme="1"/>
        <rFont val="Times New Roman"/>
        <family val="1"/>
        <charset val="204"/>
      </rPr>
      <t>PostgreSQL</t>
    </r>
    <r>
      <rPr>
        <sz val="11"/>
        <color theme="1"/>
        <rFont val="SimSun"/>
        <family val="1"/>
        <charset val="134"/>
      </rPr>
      <t>。</t>
    </r>
    <phoneticPr fontId="1" type="noConversion"/>
  </si>
  <si>
    <r>
      <rPr>
        <sz val="11"/>
        <color theme="1"/>
        <rFont val="SimSun"/>
        <family val="1"/>
        <charset val="134"/>
      </rPr>
      <t>展示产品详细信息页面，包含技术参数、价格计算等内容。</t>
    </r>
    <r>
      <rPr>
        <sz val="11"/>
        <color theme="1"/>
        <rFont val="Times New Roman"/>
        <family val="1"/>
        <charset val="204"/>
      </rPr>
      <t>"</t>
    </r>
    <phoneticPr fontId="1" type="noConversion"/>
  </si>
  <si>
    <r>
      <rPr>
        <sz val="11"/>
        <color theme="1"/>
        <rFont val="SimSun"/>
        <family val="1"/>
        <charset val="134"/>
      </rPr>
      <t>展示</t>
    </r>
    <r>
      <rPr>
        <sz val="11"/>
        <color theme="1"/>
        <rFont val="Times New Roman"/>
        <family val="1"/>
        <charset val="204"/>
      </rPr>
      <t>Selectel</t>
    </r>
    <r>
      <rPr>
        <sz val="11"/>
        <color theme="1"/>
        <rFont val="SimSun"/>
        <family val="1"/>
        <charset val="134"/>
      </rPr>
      <t>提供的各类云服务，支持动态筛选和详细信息展示。</t>
    </r>
    <phoneticPr fontId="1" type="noConversion"/>
  </si>
  <si>
    <r>
      <rPr>
        <sz val="11"/>
        <color theme="1"/>
        <rFont val="SimSun"/>
        <family val="1"/>
        <charset val="134"/>
      </rPr>
      <t>创建数据库结构，包括用户数据、订单、服务与设备状态等表格与索引优化。</t>
    </r>
    <r>
      <rPr>
        <sz val="11"/>
        <color theme="1"/>
        <rFont val="Times New Roman"/>
        <family val="1"/>
        <charset val="204"/>
      </rPr>
      <t>"</t>
    </r>
    <phoneticPr fontId="1" type="noConversion"/>
  </si>
  <si>
    <r>
      <rPr>
        <sz val="11"/>
        <color theme="1"/>
        <rFont val="SimSun"/>
        <family val="1"/>
        <charset val="134"/>
      </rPr>
      <t>设计并开发</t>
    </r>
    <r>
      <rPr>
        <sz val="11"/>
        <color theme="1"/>
        <rFont val="Times New Roman"/>
        <family val="1"/>
        <charset val="204"/>
      </rPr>
      <t>RESTful API</t>
    </r>
    <r>
      <rPr>
        <sz val="11"/>
        <color theme="1"/>
        <rFont val="SimSun"/>
        <family val="1"/>
        <charset val="134"/>
      </rPr>
      <t>，支持前端与后端的数据交互。</t>
    </r>
    <phoneticPr fontId="1" type="noConversion"/>
  </si>
  <si>
    <r>
      <rPr>
        <sz val="11"/>
        <color theme="1"/>
        <rFont val="SimSun"/>
        <family val="1"/>
        <charset val="134"/>
      </rPr>
      <t>实现数据加密存储和安全通信（如</t>
    </r>
    <r>
      <rPr>
        <sz val="11"/>
        <color theme="1"/>
        <rFont val="Times New Roman"/>
        <family val="1"/>
        <charset val="204"/>
      </rPr>
      <t>SSL/TLS</t>
    </r>
    <r>
      <rPr>
        <sz val="11"/>
        <color theme="1"/>
        <rFont val="SimSun"/>
        <family val="1"/>
        <charset val="134"/>
      </rPr>
      <t>）。</t>
    </r>
    <phoneticPr fontId="1" type="noConversion"/>
  </si>
  <si>
    <r>
      <rPr>
        <sz val="11"/>
        <color theme="1"/>
        <rFont val="SimSun"/>
        <family val="1"/>
        <charset val="134"/>
      </rPr>
      <t>安装并配置</t>
    </r>
    <r>
      <rPr>
        <sz val="11"/>
        <color theme="1"/>
        <rFont val="Times New Roman"/>
        <family val="1"/>
        <charset val="204"/>
      </rPr>
      <t>SSL</t>
    </r>
    <r>
      <rPr>
        <sz val="11"/>
        <color theme="1"/>
        <rFont val="SimSun"/>
        <family val="1"/>
        <charset val="134"/>
      </rPr>
      <t>证书，确保网站运行于</t>
    </r>
    <r>
      <rPr>
        <sz val="11"/>
        <color theme="1"/>
        <rFont val="Times New Roman"/>
        <family val="1"/>
        <charset val="204"/>
      </rPr>
      <t>HTTPS</t>
    </r>
    <r>
      <rPr>
        <sz val="11"/>
        <color theme="1"/>
        <rFont val="SimSun"/>
        <family val="1"/>
        <charset val="134"/>
      </rPr>
      <t>协议。</t>
    </r>
    <phoneticPr fontId="1" type="noConversion"/>
  </si>
  <si>
    <t>№</t>
  </si>
  <si>
    <t>Оптимистичное время (часы)</t>
  </si>
  <si>
    <t>Пессимистичное время (часы)</t>
  </si>
  <si>
    <t>Лучшее время (часы)</t>
  </si>
  <si>
    <t>Разработка начального прототипа сайта, проектирование пользовательского опыта и анимаций взаимодействия для главной страницы, страницы услуг, страницы продуктов и других разделов.</t>
  </si>
  <si>
    <t>Выбор технологий</t>
  </si>
  <si>
    <t>Разрешение на обработку данных</t>
  </si>
  <si>
    <t>Ввиду работы с регистрацией пользователей и хранением данных необходимо получить разрешение на обработку данных и обеспечить соблюдение законодательных норм.</t>
  </si>
  <si>
    <t>Настройка хостинга и домена</t>
  </si>
  <si>
    <t>Определение оптимального хостинга и конфигурации домена с учетом производительности и стоимости.</t>
  </si>
  <si>
    <t>Фронтенд</t>
  </si>
  <si>
    <t>Адаптивный дизайн, отображение основных услуг, динамическая загрузка контента, оптимизация анимаций, акцент на ключевой информации.</t>
  </si>
  <si>
    <t>Страница входа/регистрации</t>
  </si>
  <si>
    <t>Динамическая валидация форм, адаптивный макет, поддержка двухфакторной аутентификации (2FA).</t>
  </si>
  <si>
    <t>Страница услуг</t>
  </si>
  <si>
    <t>Отображение различных облачных услуг Selectel, поддержка динамической фильтрации и отображения подробной информации.</t>
  </si>
  <si>
    <t>Страница продуктов</t>
  </si>
  <si>
    <t>Представление подробной информации о продуктах, включая технические параметры и калькуляцию стоимости.</t>
  </si>
  <si>
    <t>Включает раздел часто задаваемых вопросов, форму отправки запросов и поддержку в реальном времени через чат.</t>
  </si>
  <si>
    <t>Страница документации</t>
  </si>
  <si>
    <t>Отображение технической документации с возможностью постраничного чтения и полнотекстового поиска.</t>
  </si>
  <si>
    <t>Панель управления пользователем</t>
  </si>
  <si>
    <t>Включает управление аккаунтом, историю заказов, мониторинг состояния услуг и устройств, поддержку пользовательской настройки.</t>
  </si>
  <si>
    <t>Бэкенд</t>
  </si>
  <si>
    <t>Проектирование и настройка базы данных</t>
  </si>
  <si>
    <t>Создание структуры базы данных, включающей данные пользователей, заказы, состояние услуг и устройств, оптимизация индексов.</t>
  </si>
  <si>
    <t>Аутентификация и управление правами доступа</t>
  </si>
  <si>
    <t>Реализация логики входа, регистрации и управления правами доступа, поддержка различных ролей (обычные пользователи, администраторы).</t>
  </si>
  <si>
    <t>Проектирование и разработка RESTful API для взаимодействия фронтенда и бэкенда.</t>
  </si>
  <si>
    <t>Реализация шифрования данных для хранения и обеспечение защищенной связи (например, через SSL/TLS).</t>
  </si>
  <si>
    <t>Тестирование</t>
  </si>
  <si>
    <t>Проверка надежности функциональности каждого модуля, обеспечение корректности логики фронтенда и бэкенда.</t>
  </si>
  <si>
    <t>Проверка корректности взаимодействия между фронтендом, бэкендом и внешними сервисами.</t>
  </si>
  <si>
    <t>Тестирование полных пользовательских сценариев, включая регистрацию, заказ услуг, просмотр документации и т. д.</t>
  </si>
  <si>
    <t>Проведение внутреннего тестирования и открытого тестирования основных функций, сбор обратной связи и оптимизация.</t>
  </si>
  <si>
    <t>Настройка SSL-сертификата</t>
  </si>
  <si>
    <t>Установка и настройка SSL-сертификата для работы сайта по протоколу HTTPS.</t>
  </si>
  <si>
    <t>Развертывание сервера</t>
  </si>
  <si>
    <t>Размещение кода на облачном сервере и выполнение необходимой конфигурации окружения.</t>
  </si>
  <si>
    <t>Итого</t>
  </si>
  <si>
    <t>Optimistic (h)</t>
    <phoneticPr fontId="1" type="noConversion"/>
  </si>
  <si>
    <t>Pessimistic (h)</t>
    <phoneticPr fontId="1" type="noConversion"/>
  </si>
  <si>
    <t>Optimal (h)</t>
    <phoneticPr fontId="1" type="noConversion"/>
  </si>
  <si>
    <t>Проектирование и разработка API</t>
    <phoneticPr fontId="1" type="noConversion"/>
  </si>
  <si>
    <t>Релиз</t>
    <phoneticPr fontId="1" type="noConversion"/>
  </si>
  <si>
    <r>
      <rPr>
        <sz val="11"/>
        <color theme="1"/>
        <rFont val="SimSun"/>
        <family val="1"/>
        <charset val="134"/>
      </rPr>
      <t>开发网站的初步原型，设计主页、服务页面、产品页面等的用户体验与交互动画。</t>
    </r>
    <phoneticPr fontId="1" type="noConversion"/>
  </si>
  <si>
    <t>Определение технологического стека: использование ReactJS для динамического взаимодействия на фронтенде, Spring для быстрого обработки данных на бэкенде, выбор PostgreSQL в качестве базы данных.</t>
    <phoneticPr fontId="1" type="noConversion"/>
  </si>
  <si>
    <r>
      <rPr>
        <sz val="11"/>
        <color theme="1"/>
        <rFont val="SimSun"/>
        <family val="1"/>
        <charset val="134"/>
      </rPr>
      <t>由于涉及用户注册与数据存储，必须获得数据处理许可，并确保符合相关法律要求。</t>
    </r>
    <phoneticPr fontId="1" type="noConversion"/>
  </si>
  <si>
    <r>
      <rPr>
        <sz val="11"/>
        <color theme="1"/>
        <rFont val="SimSun"/>
        <family val="1"/>
        <charset val="134"/>
      </rPr>
      <t>响应式设计，展示主要服务、动态内容加载、优化动画效果，突出主要内容。</t>
    </r>
    <phoneticPr fontId="1" type="noConversion"/>
  </si>
  <si>
    <r>
      <rPr>
        <sz val="11"/>
        <color theme="1"/>
        <rFont val="SimSun"/>
        <family val="1"/>
        <charset val="134"/>
      </rPr>
      <t>动态表单验证，响应式布局，提供</t>
    </r>
    <r>
      <rPr>
        <sz val="11"/>
        <color theme="1"/>
        <rFont val="Times New Roman"/>
        <family val="1"/>
        <charset val="204"/>
      </rPr>
      <t>2FA</t>
    </r>
    <r>
      <rPr>
        <sz val="11"/>
        <color theme="1"/>
        <rFont val="SimSun"/>
        <family val="1"/>
        <charset val="134"/>
      </rPr>
      <t>验证</t>
    </r>
    <phoneticPr fontId="1" type="noConversion"/>
  </si>
  <si>
    <r>
      <rPr>
        <sz val="11"/>
        <color theme="1"/>
        <rFont val="SimSun"/>
        <family val="1"/>
        <charset val="134"/>
      </rPr>
      <t>包括常见问题、提交工单表单、实时聊天支持功能。</t>
    </r>
    <phoneticPr fontId="1" type="noConversion"/>
  </si>
  <si>
    <r>
      <rPr>
        <sz val="11"/>
        <color theme="1"/>
        <rFont val="SimSun"/>
        <family val="1"/>
        <charset val="134"/>
      </rPr>
      <t>显示技术文档，支持分章节阅读和全文搜索功能。</t>
    </r>
    <phoneticPr fontId="1" type="noConversion"/>
  </si>
  <si>
    <r>
      <rPr>
        <sz val="11"/>
        <color theme="1"/>
        <rFont val="SimSun"/>
        <family val="1"/>
        <charset val="134"/>
      </rPr>
      <t>包括账户管理、订单历史、服务与设备状态监控，支持自定义配置功能。</t>
    </r>
    <phoneticPr fontId="1" type="noConversion"/>
  </si>
  <si>
    <r>
      <rPr>
        <sz val="11"/>
        <color theme="1"/>
        <rFont val="SimSun"/>
        <family val="1"/>
        <charset val="134"/>
      </rPr>
      <t>实现用户登录、注册、权限管理逻辑，支持多种角色（普通用户、管理员）。</t>
    </r>
    <phoneticPr fontId="1" type="noConversion"/>
  </si>
  <si>
    <r>
      <rPr>
        <sz val="11"/>
        <color theme="1"/>
        <rFont val="SimSun"/>
        <family val="1"/>
        <charset val="134"/>
      </rPr>
      <t>测试每个模块功能的可靠性，确保前后端逻辑正确无误。</t>
    </r>
    <phoneticPr fontId="1" type="noConversion"/>
  </si>
  <si>
    <r>
      <rPr>
        <sz val="11"/>
        <color theme="1"/>
        <rFont val="SimSun"/>
        <family val="1"/>
        <charset val="134"/>
      </rPr>
      <t>确保前后端及外部服务之间的交互工作正常。</t>
    </r>
    <phoneticPr fontId="1" type="noConversion"/>
  </si>
  <si>
    <r>
      <rPr>
        <sz val="11"/>
        <color theme="1"/>
        <rFont val="SimSun"/>
        <family val="1"/>
        <charset val="134"/>
      </rPr>
      <t>测试完整用户场景，包括注册、订购服务、查看文档等流程。</t>
    </r>
    <phoneticPr fontId="1" type="noConversion"/>
  </si>
  <si>
    <r>
      <rPr>
        <sz val="11"/>
        <color theme="1"/>
        <rFont val="SimSun"/>
        <family val="1"/>
        <charset val="134"/>
      </rPr>
      <t>对主要功能进行内部测试和公开测试，收集反馈并优化。</t>
    </r>
    <phoneticPr fontId="1" type="noConversion"/>
  </si>
  <si>
    <r>
      <rPr>
        <sz val="11"/>
        <color theme="1"/>
        <rFont val="SimSun"/>
        <family val="1"/>
        <charset val="134"/>
      </rPr>
      <t>将代码部署到云服务器，并完成必要的环境配置。</t>
    </r>
    <phoneticPr fontId="1" type="noConversion"/>
  </si>
  <si>
    <t>Безопасность и шифрование данных</t>
    <phoneticPr fontId="1" type="noConversion"/>
  </si>
  <si>
    <t>Alpha и Beta тестирование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</si>
</sst>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  <charset val="204"/>
    </font>
    <font>
      <sz val="11"/>
      <color theme="1"/>
      <name val="SimSun"/>
      <family val="1"/>
      <charset val="134"/>
    </font>
    <font>
      <sz val="11"/>
      <color rgb="FF000000"/>
      <name val="Times New Roman"/>
      <family val="1"/>
      <charset val="204"/>
    </font>
    <font>
      <sz val="10.5"/>
      <color rgb="FF000000"/>
      <name val="Times New Roman"/>
      <family val="1"/>
      <charset val="204"/>
    </font>
    <font>
      <b/>
      <sz val="10.5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9840-9214-4EC6-8269-5D4BE3F124DF}">
  <dimension ref="A1:M28"/>
  <sheetViews>
    <sheetView tabSelected="1" topLeftCell="A17" zoomScale="130" zoomScaleNormal="130" workbookViewId="0">
      <selection activeCell="F28" sqref="D28:F28"/>
    </sheetView>
  </sheetViews>
  <sheetFormatPr baseColWidth="10" defaultColWidth="9" defaultRowHeight="14"/>
  <cols>
    <col min="1" max="1" width="5.1640625" style="2" customWidth="1"/>
    <col min="2" max="2" width="15.33203125" style="1" customWidth="1"/>
    <col min="3" max="3" width="29.33203125" style="1" customWidth="1"/>
    <col min="4" max="4" width="9" style="1" customWidth="1"/>
    <col min="5" max="5" width="8.83203125" style="1" customWidth="1"/>
    <col min="6" max="6" width="6.5" style="1" customWidth="1"/>
    <col min="7" max="16384" width="9" style="1"/>
  </cols>
  <sheetData>
    <row r="1" spans="1:13" ht="31.5" customHeight="1" thickBot="1">
      <c r="A1" s="4" t="s">
        <v>17</v>
      </c>
      <c r="B1" s="5" t="s">
        <v>0</v>
      </c>
      <c r="C1" s="5" t="s">
        <v>3</v>
      </c>
      <c r="D1" s="5" t="s">
        <v>18</v>
      </c>
      <c r="E1" s="5" t="s">
        <v>19</v>
      </c>
      <c r="F1" s="5" t="s">
        <v>20</v>
      </c>
      <c r="H1" s="1" t="str">
        <f>"编号"</f>
        <v>编号</v>
      </c>
      <c r="I1" s="1" t="str">
        <f>"名称"</f>
        <v>名称</v>
      </c>
      <c r="J1" s="1" t="str">
        <f>"描述"</f>
        <v>描述</v>
      </c>
      <c r="K1" s="1" t="str">
        <f>"乐观时间 (小时)"</f>
        <v>乐观时间 (小时)</v>
      </c>
      <c r="L1" s="1" t="str">
        <f>"悲观时间 (小时)"</f>
        <v>悲观时间 (小时)</v>
      </c>
      <c r="M1" s="1" t="str">
        <f>"最佳时间 (小时)"</f>
        <v>最佳时间 (小时)</v>
      </c>
    </row>
    <row r="2" spans="1:13" ht="16" thickBot="1">
      <c r="A2" s="6">
        <v>1</v>
      </c>
      <c r="B2" s="7" t="s">
        <v>2</v>
      </c>
      <c r="C2" s="7"/>
      <c r="D2" s="8">
        <f t="shared" ref="D2:E2" si="0">SUM(D3:D6)</f>
        <v>200</v>
      </c>
      <c r="E2" s="8">
        <f t="shared" si="0"/>
        <v>450</v>
      </c>
      <c r="F2" s="8">
        <f>SUM(F3:F6)</f>
        <v>290</v>
      </c>
      <c r="H2" s="1" t="str">
        <f>"1"</f>
        <v>1</v>
      </c>
      <c r="I2" s="1" t="str">
        <f>"准备"</f>
        <v>准备</v>
      </c>
      <c r="J2" s="1" t="str">
        <f>""</f>
        <v/>
      </c>
      <c r="K2" s="1" t="str">
        <f>"200"</f>
        <v>200</v>
      </c>
      <c r="L2" s="1" t="str">
        <f>"450"</f>
        <v>450</v>
      </c>
      <c r="M2" s="1" t="str">
        <f>"300"</f>
        <v>300</v>
      </c>
    </row>
    <row r="3" spans="1:13" ht="136" thickBot="1">
      <c r="A3" s="6">
        <v>1.1000000000000001</v>
      </c>
      <c r="B3" s="8" t="s">
        <v>1</v>
      </c>
      <c r="C3" s="8" t="s">
        <v>21</v>
      </c>
      <c r="D3" s="8">
        <v>50</v>
      </c>
      <c r="E3" s="8">
        <v>100</v>
      </c>
      <c r="F3" s="8">
        <v>70</v>
      </c>
      <c r="H3" s="1" t="str">
        <f>"1.1"</f>
        <v>1.1</v>
      </c>
      <c r="I3" s="1" t="str">
        <f>"网站原型"</f>
        <v>网站原型</v>
      </c>
      <c r="J3" s="1" t="s">
        <v>62</v>
      </c>
      <c r="K3" s="1" t="str">
        <f>"50"</f>
        <v>50</v>
      </c>
      <c r="L3" s="1" t="str">
        <f>"100"</f>
        <v>100</v>
      </c>
      <c r="M3" s="1" t="str">
        <f>"70"</f>
        <v>70</v>
      </c>
    </row>
    <row r="4" spans="1:13" ht="226" thickBot="1">
      <c r="A4" s="6">
        <v>1.2</v>
      </c>
      <c r="B4" s="8" t="s">
        <v>22</v>
      </c>
      <c r="C4" s="8" t="s">
        <v>63</v>
      </c>
      <c r="D4" s="8">
        <v>10</v>
      </c>
      <c r="E4" s="8">
        <v>40</v>
      </c>
      <c r="F4" s="8">
        <v>20</v>
      </c>
      <c r="H4" s="1" t="str">
        <f>"1.2"</f>
        <v>1.2</v>
      </c>
      <c r="I4" s="1" t="str">
        <f>"技术选择"</f>
        <v>技术选择</v>
      </c>
      <c r="J4" s="1" t="s">
        <v>10</v>
      </c>
      <c r="K4" s="1" t="str">
        <f>"10"</f>
        <v>10</v>
      </c>
      <c r="L4" s="1" t="str">
        <f>"40"</f>
        <v>40</v>
      </c>
      <c r="M4" s="1" t="str">
        <f>"20"</f>
        <v>20</v>
      </c>
    </row>
    <row r="5" spans="1:13" ht="151" thickBot="1">
      <c r="A5" s="6">
        <v>1.3</v>
      </c>
      <c r="B5" s="8" t="s">
        <v>23</v>
      </c>
      <c r="C5" s="8" t="s">
        <v>24</v>
      </c>
      <c r="D5" s="8">
        <v>100</v>
      </c>
      <c r="E5" s="8">
        <v>250</v>
      </c>
      <c r="F5" s="8">
        <v>150</v>
      </c>
      <c r="H5" s="1" t="str">
        <f>"1.3"</f>
        <v>1.3</v>
      </c>
      <c r="I5" s="1" t="str">
        <f>"数据处理许可"</f>
        <v>数据处理许可</v>
      </c>
      <c r="J5" s="1" t="s">
        <v>64</v>
      </c>
      <c r="K5" s="1" t="str">
        <f>"100"</f>
        <v>100</v>
      </c>
      <c r="L5" s="1" t="str">
        <f>"250"</f>
        <v>250</v>
      </c>
      <c r="M5" s="1" t="str">
        <f>"150"</f>
        <v>150</v>
      </c>
    </row>
    <row r="6" spans="1:13" ht="91" thickBot="1">
      <c r="A6" s="6">
        <v>1.4</v>
      </c>
      <c r="B6" s="9" t="s">
        <v>25</v>
      </c>
      <c r="C6" s="8" t="s">
        <v>26</v>
      </c>
      <c r="D6" s="8">
        <v>40</v>
      </c>
      <c r="E6" s="8">
        <v>60</v>
      </c>
      <c r="F6" s="8">
        <v>50</v>
      </c>
      <c r="H6" s="1" t="str">
        <f>"1.4"</f>
        <v>1.4</v>
      </c>
      <c r="I6" s="1" t="str">
        <f>"主机与域名设置"</f>
        <v>主机与域名设置</v>
      </c>
      <c r="J6" s="1" t="str">
        <f>"确定最佳主机和域名设置方案，优化性能和成本。"</f>
        <v>确定最佳主机和域名设置方案，优化性能和成本。</v>
      </c>
      <c r="K6" s="1" t="str">
        <f>"40"</f>
        <v>40</v>
      </c>
      <c r="L6" s="1" t="str">
        <f>"60"</f>
        <v>60</v>
      </c>
      <c r="M6" s="1" t="str">
        <f>"50"</f>
        <v>50</v>
      </c>
    </row>
    <row r="7" spans="1:13" ht="16" thickBot="1">
      <c r="A7" s="6">
        <v>2</v>
      </c>
      <c r="B7" s="7" t="s">
        <v>27</v>
      </c>
      <c r="C7" s="7"/>
      <c r="D7" s="8">
        <f t="shared" ref="D7:E7" si="1">SUM(D8:D14)</f>
        <v>300</v>
      </c>
      <c r="E7" s="8">
        <f t="shared" si="1"/>
        <v>580</v>
      </c>
      <c r="F7" s="8">
        <f>SUM(F8:F14)</f>
        <v>440</v>
      </c>
      <c r="H7" s="1" t="str">
        <f>"2"</f>
        <v>2</v>
      </c>
      <c r="I7" s="1" t="str">
        <f>"前端"</f>
        <v>前端</v>
      </c>
      <c r="J7" s="1" t="str">
        <f>""</f>
        <v/>
      </c>
      <c r="K7" s="1" t="str">
        <f>"300"</f>
        <v>300</v>
      </c>
      <c r="L7" s="1" t="str">
        <f>"500"</f>
        <v>500</v>
      </c>
      <c r="M7" s="1" t="str">
        <f>"400"</f>
        <v>400</v>
      </c>
    </row>
    <row r="8" spans="1:13" ht="136" thickBot="1">
      <c r="A8" s="6">
        <v>2.1</v>
      </c>
      <c r="B8" s="7" t="s">
        <v>8</v>
      </c>
      <c r="C8" s="7" t="s">
        <v>28</v>
      </c>
      <c r="D8" s="8">
        <v>40</v>
      </c>
      <c r="E8" s="8">
        <v>80</v>
      </c>
      <c r="F8" s="8">
        <v>60</v>
      </c>
      <c r="H8" s="1" t="str">
        <f>"2.1"</f>
        <v>2.1</v>
      </c>
      <c r="I8" s="1" t="str">
        <f>"主页"</f>
        <v>主页</v>
      </c>
      <c r="J8" s="1" t="s">
        <v>65</v>
      </c>
      <c r="K8" s="1" t="str">
        <f>"40"</f>
        <v>40</v>
      </c>
      <c r="L8" s="1" t="str">
        <f>"80"</f>
        <v>80</v>
      </c>
      <c r="M8" s="1" t="str">
        <f>"60"</f>
        <v>60</v>
      </c>
    </row>
    <row r="9" spans="1:13" ht="76" thickBot="1">
      <c r="A9" s="6">
        <v>2.2000000000000002</v>
      </c>
      <c r="B9" s="8" t="s">
        <v>29</v>
      </c>
      <c r="C9" s="8" t="s">
        <v>30</v>
      </c>
      <c r="D9" s="8">
        <v>30</v>
      </c>
      <c r="E9" s="8">
        <v>50</v>
      </c>
      <c r="F9" s="8">
        <v>40</v>
      </c>
      <c r="H9" s="1" t="str">
        <f>"2.2"</f>
        <v>2.2</v>
      </c>
      <c r="I9" s="1" t="str">
        <f>"登录/注册"</f>
        <v>登录/注册</v>
      </c>
      <c r="J9" s="1" t="s">
        <v>66</v>
      </c>
      <c r="K9" s="1" t="str">
        <f>"30"</f>
        <v>30</v>
      </c>
      <c r="L9" s="1" t="str">
        <f>"50"</f>
        <v>50</v>
      </c>
      <c r="M9" s="1" t="str">
        <f>"40"</f>
        <v>40</v>
      </c>
    </row>
    <row r="10" spans="1:13" ht="121" thickBot="1">
      <c r="A10" s="6">
        <v>2.2999999999999998</v>
      </c>
      <c r="B10" s="8" t="s">
        <v>31</v>
      </c>
      <c r="C10" s="8" t="s">
        <v>32</v>
      </c>
      <c r="D10" s="8">
        <v>50</v>
      </c>
      <c r="E10" s="8">
        <v>90</v>
      </c>
      <c r="F10" s="8">
        <v>70</v>
      </c>
      <c r="H10" s="1" t="str">
        <f>"2.3"</f>
        <v>2.3</v>
      </c>
      <c r="I10" s="1" t="str">
        <f>"服务页面"</f>
        <v>服务页面</v>
      </c>
      <c r="J10" s="1" t="s">
        <v>12</v>
      </c>
      <c r="K10" s="1" t="str">
        <f>"50"</f>
        <v>50</v>
      </c>
      <c r="L10" s="1" t="str">
        <f>"90"</f>
        <v>90</v>
      </c>
      <c r="M10" s="1" t="str">
        <f>"70"</f>
        <v>70</v>
      </c>
    </row>
    <row r="11" spans="1:13" ht="106" thickBot="1">
      <c r="A11" s="6">
        <v>2.4</v>
      </c>
      <c r="B11" s="8" t="s">
        <v>33</v>
      </c>
      <c r="C11" s="8" t="s">
        <v>34</v>
      </c>
      <c r="D11" s="8">
        <v>50</v>
      </c>
      <c r="E11" s="8">
        <v>100</v>
      </c>
      <c r="F11" s="8">
        <v>75</v>
      </c>
      <c r="H11" s="1" t="str">
        <f>"2.4"</f>
        <v>2.4</v>
      </c>
      <c r="I11" s="1" t="str">
        <f>"产品页面"</f>
        <v>产品页面</v>
      </c>
      <c r="J11" s="1" t="s">
        <v>11</v>
      </c>
      <c r="K11" s="1" t="str">
        <f>"50"</f>
        <v>50</v>
      </c>
      <c r="L11" s="1" t="str">
        <f>"100"</f>
        <v>100</v>
      </c>
      <c r="M11" s="1" t="str">
        <f>"75"</f>
        <v>75</v>
      </c>
    </row>
    <row r="12" spans="1:13" ht="91" thickBot="1">
      <c r="A12" s="6">
        <v>2.5</v>
      </c>
      <c r="B12" s="8" t="s">
        <v>9</v>
      </c>
      <c r="C12" s="8" t="s">
        <v>35</v>
      </c>
      <c r="D12" s="8">
        <v>40</v>
      </c>
      <c r="E12" s="8">
        <v>80</v>
      </c>
      <c r="F12" s="8">
        <v>60</v>
      </c>
      <c r="H12" s="1" t="str">
        <f>"2.5"</f>
        <v>2.5</v>
      </c>
      <c r="I12" s="1" t="str">
        <f>"支持中心"</f>
        <v>支持中心</v>
      </c>
      <c r="J12" s="1" t="s">
        <v>67</v>
      </c>
      <c r="K12" s="1" t="str">
        <f>"40"</f>
        <v>40</v>
      </c>
      <c r="L12" s="1" t="str">
        <f>"80"</f>
        <v>80</v>
      </c>
      <c r="M12" s="1" t="str">
        <f>"60"</f>
        <v>60</v>
      </c>
    </row>
    <row r="13" spans="1:13" ht="91" thickBot="1">
      <c r="A13" s="6">
        <v>2.6</v>
      </c>
      <c r="B13" s="7" t="s">
        <v>36</v>
      </c>
      <c r="C13" s="7" t="s">
        <v>37</v>
      </c>
      <c r="D13" s="8">
        <v>30</v>
      </c>
      <c r="E13" s="8">
        <v>60</v>
      </c>
      <c r="F13" s="8">
        <v>45</v>
      </c>
      <c r="H13" s="1" t="str">
        <f>"2.6"</f>
        <v>2.6</v>
      </c>
      <c r="I13" s="1" t="str">
        <f>"文档页面"</f>
        <v>文档页面</v>
      </c>
      <c r="J13" s="1" t="s">
        <v>68</v>
      </c>
      <c r="K13" s="1" t="str">
        <f>"30"</f>
        <v>30</v>
      </c>
      <c r="L13" s="1" t="str">
        <f>"60"</f>
        <v>60</v>
      </c>
      <c r="M13" s="1" t="str">
        <f>"45"</f>
        <v>45</v>
      </c>
    </row>
    <row r="14" spans="1:13" ht="121" thickBot="1">
      <c r="A14" s="6">
        <v>2.7</v>
      </c>
      <c r="B14" s="8" t="s">
        <v>38</v>
      </c>
      <c r="C14" s="8" t="s">
        <v>39</v>
      </c>
      <c r="D14" s="8">
        <v>60</v>
      </c>
      <c r="E14" s="8">
        <v>120</v>
      </c>
      <c r="F14" s="8">
        <v>90</v>
      </c>
      <c r="H14" s="1" t="str">
        <f>"2.7"</f>
        <v>2.7</v>
      </c>
      <c r="I14" s="1" t="str">
        <f>"用户控制面板"</f>
        <v>用户控制面板</v>
      </c>
      <c r="J14" s="1" t="s">
        <v>69</v>
      </c>
      <c r="K14" s="1" t="str">
        <f>"60"</f>
        <v>60</v>
      </c>
      <c r="L14" s="1" t="str">
        <f>"120"</f>
        <v>120</v>
      </c>
      <c r="M14" s="1" t="str">
        <f>"90"</f>
        <v>90</v>
      </c>
    </row>
    <row r="15" spans="1:13" ht="16" thickBot="1">
      <c r="A15" s="6">
        <v>3</v>
      </c>
      <c r="B15" s="8" t="s">
        <v>40</v>
      </c>
      <c r="C15" s="8"/>
      <c r="D15" s="8">
        <f>SUM(D16:D19)</f>
        <v>300</v>
      </c>
      <c r="E15" s="8">
        <f>SUM(E16:E19)</f>
        <v>560</v>
      </c>
      <c r="F15" s="8">
        <f>SUM(F16:F19)</f>
        <v>410</v>
      </c>
      <c r="H15" s="1" t="str">
        <f>"3"</f>
        <v>3</v>
      </c>
      <c r="I15" s="1" t="str">
        <f>"后端"</f>
        <v>后端</v>
      </c>
      <c r="J15" s="1" t="str">
        <f>""</f>
        <v/>
      </c>
      <c r="K15" s="1" t="str">
        <f>"250"</f>
        <v>250</v>
      </c>
      <c r="L15" s="1" t="str">
        <f>"450"</f>
        <v>450</v>
      </c>
      <c r="M15" s="1" t="str">
        <f>"350"</f>
        <v>350</v>
      </c>
    </row>
    <row r="16" spans="1:13" ht="136" thickBot="1">
      <c r="A16" s="6">
        <v>3.1</v>
      </c>
      <c r="B16" s="8" t="s">
        <v>41</v>
      </c>
      <c r="C16" s="8" t="s">
        <v>42</v>
      </c>
      <c r="D16" s="8">
        <v>60</v>
      </c>
      <c r="E16" s="8">
        <v>120</v>
      </c>
      <c r="F16" s="8">
        <v>90</v>
      </c>
      <c r="H16" s="1" t="str">
        <f>"3.1"</f>
        <v>3.1</v>
      </c>
      <c r="I16" s="1" t="str">
        <f>"数据库设计与配置"</f>
        <v>数据库设计与配置</v>
      </c>
      <c r="J16" s="1" t="s">
        <v>13</v>
      </c>
      <c r="K16" s="1" t="str">
        <f>"60"</f>
        <v>60</v>
      </c>
      <c r="L16" s="1" t="str">
        <f>"120"</f>
        <v>120</v>
      </c>
      <c r="M16" s="1" t="str">
        <f>"90"</f>
        <v>90</v>
      </c>
    </row>
    <row r="17" spans="1:13" ht="136" thickBot="1">
      <c r="A17" s="6">
        <v>3.2</v>
      </c>
      <c r="B17" s="8" t="s">
        <v>43</v>
      </c>
      <c r="C17" s="8" t="s">
        <v>44</v>
      </c>
      <c r="D17" s="8">
        <v>40</v>
      </c>
      <c r="E17" s="8">
        <v>80</v>
      </c>
      <c r="F17" s="8">
        <v>60</v>
      </c>
      <c r="H17" s="1" t="str">
        <f>"3.2"</f>
        <v>3.2</v>
      </c>
      <c r="I17" s="1" t="str">
        <f>"用户认证与权限管理"</f>
        <v>用户认证与权限管理</v>
      </c>
      <c r="J17" s="1" t="s">
        <v>70</v>
      </c>
      <c r="K17" s="1" t="str">
        <f>"40"</f>
        <v>40</v>
      </c>
      <c r="L17" s="1" t="str">
        <f>"80"</f>
        <v>80</v>
      </c>
      <c r="M17" s="1" t="str">
        <f>"60"</f>
        <v>60</v>
      </c>
    </row>
    <row r="18" spans="1:13" ht="106" thickBot="1">
      <c r="A18" s="6">
        <v>3.3</v>
      </c>
      <c r="B18" s="7" t="s">
        <v>60</v>
      </c>
      <c r="C18" s="7" t="s">
        <v>45</v>
      </c>
      <c r="D18" s="8">
        <v>160</v>
      </c>
      <c r="E18" s="8">
        <v>280</v>
      </c>
      <c r="F18" s="8">
        <v>200</v>
      </c>
      <c r="H18" s="1" t="str">
        <f>"3.3"</f>
        <v>3.3</v>
      </c>
      <c r="I18" s="1" t="str">
        <f>"服务接口开发"</f>
        <v>服务接口开发</v>
      </c>
      <c r="J18" s="1" t="s">
        <v>14</v>
      </c>
      <c r="K18" s="1" t="str">
        <f>"80"</f>
        <v>80</v>
      </c>
      <c r="L18" s="1" t="str">
        <f>"150"</f>
        <v>150</v>
      </c>
      <c r="M18" s="1" t="str">
        <f>"100"</f>
        <v>100</v>
      </c>
    </row>
    <row r="19" spans="1:13" ht="91" thickBot="1">
      <c r="A19" s="6">
        <v>3.4</v>
      </c>
      <c r="B19" s="8" t="s">
        <v>76</v>
      </c>
      <c r="C19" s="8" t="s">
        <v>46</v>
      </c>
      <c r="D19" s="8">
        <v>40</v>
      </c>
      <c r="E19" s="8">
        <v>80</v>
      </c>
      <c r="F19" s="8">
        <v>60</v>
      </c>
      <c r="H19" s="1" t="str">
        <f>"3.4"</f>
        <v>3.4</v>
      </c>
      <c r="I19" s="1" t="str">
        <f>"数据安全与加密"</f>
        <v>数据安全与加密</v>
      </c>
      <c r="J19" s="1" t="s">
        <v>15</v>
      </c>
      <c r="K19" s="1" t="str">
        <f>"40"</f>
        <v>40</v>
      </c>
      <c r="L19" s="1" t="str">
        <f>"80"</f>
        <v>80</v>
      </c>
      <c r="M19" s="1" t="str">
        <f>"60"</f>
        <v>60</v>
      </c>
    </row>
    <row r="20" spans="1:13" ht="16" thickBot="1">
      <c r="A20" s="6">
        <v>4</v>
      </c>
      <c r="B20" s="7" t="s">
        <v>47</v>
      </c>
      <c r="C20" s="7"/>
      <c r="D20" s="8">
        <f t="shared" ref="D20:E20" si="2">SUM(D21:D23)</f>
        <v>145</v>
      </c>
      <c r="E20" s="8">
        <f t="shared" si="2"/>
        <v>308</v>
      </c>
      <c r="F20" s="8">
        <f>SUM(F21:F23)</f>
        <v>222</v>
      </c>
      <c r="H20" s="1" t="str">
        <f>"4"</f>
        <v>4</v>
      </c>
      <c r="I20" s="1" t="str">
        <f>"测试"</f>
        <v>测试</v>
      </c>
      <c r="J20" s="1" t="str">
        <f>""</f>
        <v/>
      </c>
      <c r="K20" s="1" t="str">
        <f>"150"</f>
        <v>150</v>
      </c>
      <c r="L20" s="1" t="str">
        <f>"300"</f>
        <v>300</v>
      </c>
      <c r="M20" s="1" t="str">
        <f>"200"</f>
        <v>200</v>
      </c>
    </row>
    <row r="21" spans="1:13" ht="106" thickBot="1">
      <c r="A21" s="6">
        <v>4.0999999999999996</v>
      </c>
      <c r="B21" s="8" t="s">
        <v>5</v>
      </c>
      <c r="C21" s="8" t="s">
        <v>48</v>
      </c>
      <c r="D21" s="8">
        <v>45</v>
      </c>
      <c r="E21" s="8">
        <v>108</v>
      </c>
      <c r="F21" s="8">
        <v>72</v>
      </c>
      <c r="H21" s="1" t="str">
        <f>"4.1"</f>
        <v>4.1</v>
      </c>
      <c r="I21" s="1" t="str">
        <f>"单元测试"</f>
        <v>单元测试</v>
      </c>
      <c r="J21" s="1" t="s">
        <v>71</v>
      </c>
      <c r="K21" s="1" t="str">
        <f>"50"</f>
        <v>50</v>
      </c>
      <c r="L21" s="1" t="str">
        <f>"100"</f>
        <v>100</v>
      </c>
      <c r="M21" s="1" t="str">
        <f>"75"</f>
        <v>75</v>
      </c>
    </row>
    <row r="22" spans="1:13" ht="76" thickBot="1">
      <c r="A22" s="6">
        <v>4.2</v>
      </c>
      <c r="B22" s="8" t="s">
        <v>6</v>
      </c>
      <c r="C22" s="8" t="s">
        <v>49</v>
      </c>
      <c r="D22" s="8">
        <v>40</v>
      </c>
      <c r="E22" s="8">
        <v>80</v>
      </c>
      <c r="F22" s="8">
        <v>60</v>
      </c>
      <c r="H22" s="1" t="str">
        <f>"4.2"</f>
        <v>4.2</v>
      </c>
      <c r="I22" s="1" t="str">
        <f>"集成测试"</f>
        <v>集成测试</v>
      </c>
      <c r="J22" s="1" t="s">
        <v>72</v>
      </c>
      <c r="K22" s="1" t="str">
        <f>"40"</f>
        <v>40</v>
      </c>
      <c r="L22" s="1" t="str">
        <f>"80"</f>
        <v>80</v>
      </c>
      <c r="M22" s="1" t="str">
        <f>"60"</f>
        <v>60</v>
      </c>
    </row>
    <row r="23" spans="1:13" ht="106" thickBot="1">
      <c r="A23" s="6">
        <v>4.3</v>
      </c>
      <c r="B23" s="8" t="s">
        <v>7</v>
      </c>
      <c r="C23" s="8" t="s">
        <v>50</v>
      </c>
      <c r="D23" s="8">
        <v>60</v>
      </c>
      <c r="E23" s="8">
        <v>120</v>
      </c>
      <c r="F23" s="8">
        <v>90</v>
      </c>
      <c r="H23" s="1" t="str">
        <f>"4.3"</f>
        <v>4.3</v>
      </c>
      <c r="I23" s="1" t="str">
        <f>"功能测试"</f>
        <v>功能测试</v>
      </c>
      <c r="J23" s="1" t="s">
        <v>73</v>
      </c>
      <c r="K23" s="1" t="str">
        <f>"60"</f>
        <v>60</v>
      </c>
      <c r="L23" s="1" t="str">
        <f>"120"</f>
        <v>120</v>
      </c>
      <c r="M23" s="1" t="str">
        <f>"90"</f>
        <v>90</v>
      </c>
    </row>
    <row r="24" spans="1:13" ht="16" thickBot="1">
      <c r="A24" s="6">
        <v>5</v>
      </c>
      <c r="B24" s="8" t="s">
        <v>61</v>
      </c>
      <c r="C24" s="8"/>
      <c r="D24" s="8">
        <f t="shared" ref="D24:E24" si="3">SUM(D25:D27)</f>
        <v>90</v>
      </c>
      <c r="E24" s="8">
        <f t="shared" si="3"/>
        <v>180</v>
      </c>
      <c r="F24" s="8">
        <f>SUM(F25:F27)</f>
        <v>135</v>
      </c>
      <c r="H24" s="1" t="str">
        <f>"5"</f>
        <v>5</v>
      </c>
      <c r="I24" s="1" t="str">
        <f>"发布"</f>
        <v>发布</v>
      </c>
      <c r="J24" s="1" t="str">
        <f>""</f>
        <v/>
      </c>
      <c r="K24" s="1" t="str">
        <f>"100"</f>
        <v>100</v>
      </c>
      <c r="L24" s="1" t="str">
        <f>"200"</f>
        <v>200</v>
      </c>
      <c r="M24" s="1" t="str">
        <f>"150"</f>
        <v>150</v>
      </c>
    </row>
    <row r="25" spans="1:13" ht="106" thickBot="1">
      <c r="A25" s="6">
        <v>5.0999999999999996</v>
      </c>
      <c r="B25" s="8" t="s">
        <v>77</v>
      </c>
      <c r="C25" s="8" t="s">
        <v>51</v>
      </c>
      <c r="D25" s="8">
        <v>50</v>
      </c>
      <c r="E25" s="8">
        <v>100</v>
      </c>
      <c r="F25" s="8">
        <v>75</v>
      </c>
      <c r="H25" s="1" t="str">
        <f>"5.1"</f>
        <v>5.1</v>
      </c>
      <c r="I25" s="1" t="str">
        <f>"Alpha和Beta测试"</f>
        <v>Alpha和Beta测试</v>
      </c>
      <c r="J25" s="1" t="s">
        <v>74</v>
      </c>
      <c r="K25" s="1" t="str">
        <f>"50"</f>
        <v>50</v>
      </c>
      <c r="L25" s="1" t="str">
        <f>"100"</f>
        <v>100</v>
      </c>
      <c r="M25" s="1" t="str">
        <f>"75"</f>
        <v>75</v>
      </c>
    </row>
    <row r="26" spans="1:13" ht="91" thickBot="1">
      <c r="A26" s="6">
        <v>5.2</v>
      </c>
      <c r="B26" s="8" t="s">
        <v>52</v>
      </c>
      <c r="C26" s="8" t="s">
        <v>53</v>
      </c>
      <c r="D26" s="8">
        <v>10</v>
      </c>
      <c r="E26" s="8">
        <v>20</v>
      </c>
      <c r="F26" s="8">
        <v>15</v>
      </c>
      <c r="H26" s="1" t="str">
        <f>"5.2"</f>
        <v>5.2</v>
      </c>
      <c r="I26" s="1" t="str">
        <f>"SSL证书配置"</f>
        <v>SSL证书配置</v>
      </c>
      <c r="J26" s="1" t="s">
        <v>16</v>
      </c>
      <c r="K26" s="1" t="str">
        <f>"10"</f>
        <v>10</v>
      </c>
      <c r="L26" s="1" t="str">
        <f>"20"</f>
        <v>20</v>
      </c>
      <c r="M26" s="1" t="str">
        <f>"15"</f>
        <v>15</v>
      </c>
    </row>
    <row r="27" spans="1:13" ht="91" thickBot="1">
      <c r="A27" s="6">
        <v>5.3</v>
      </c>
      <c r="B27" s="8" t="s">
        <v>54</v>
      </c>
      <c r="C27" s="8" t="s">
        <v>55</v>
      </c>
      <c r="D27" s="8">
        <v>30</v>
      </c>
      <c r="E27" s="8">
        <v>60</v>
      </c>
      <c r="F27" s="8">
        <v>45</v>
      </c>
      <c r="H27" s="1" t="str">
        <f>"5.3"</f>
        <v>5.3</v>
      </c>
      <c r="I27" s="1" t="str">
        <f>"服务器部署"</f>
        <v>服务器部署</v>
      </c>
      <c r="J27" s="1" t="s">
        <v>75</v>
      </c>
      <c r="K27" s="1" t="str">
        <f>"30"</f>
        <v>30</v>
      </c>
      <c r="L27" s="1" t="str">
        <f>"60"</f>
        <v>60</v>
      </c>
      <c r="M27" s="1" t="str">
        <f>"45"</f>
        <v>45</v>
      </c>
    </row>
    <row r="28" spans="1:13" ht="16" thickBot="1">
      <c r="A28" s="6" t="s">
        <v>4</v>
      </c>
      <c r="B28" s="8" t="s">
        <v>56</v>
      </c>
      <c r="C28" s="8"/>
      <c r="D28" s="8">
        <f t="shared" ref="D28:E28" si="4">SUM(D25:D27,D21:D23,D16:D19,D8:D14,D3:D6)</f>
        <v>1035</v>
      </c>
      <c r="E28" s="8">
        <f t="shared" si="4"/>
        <v>2078</v>
      </c>
      <c r="F28" s="8">
        <f>SUM(F25:F27,F21:F23,F16:F19,F8:F14,F3:F6)</f>
        <v>1497</v>
      </c>
      <c r="H28" s="1" t="str">
        <f>"Z"</f>
        <v>Z</v>
      </c>
      <c r="I28" s="1" t="str">
        <f>"总计"</f>
        <v>总计</v>
      </c>
      <c r="J28" s="1" t="str">
        <f>""</f>
        <v/>
      </c>
      <c r="K28" s="1" t="str">
        <f>"1000"</f>
        <v>1000</v>
      </c>
      <c r="L28" s="1" t="str">
        <f>"1950"</f>
        <v>1950</v>
      </c>
      <c r="M28" s="1" t="str">
        <f>"1400"</f>
        <v>1400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0DD2C-E896-F14F-9EB7-F7E140FCF726}">
  <dimension ref="A1:I24"/>
  <sheetViews>
    <sheetView zoomScale="125" zoomScaleNormal="85" workbookViewId="0">
      <selection activeCell="C55" sqref="C55"/>
    </sheetView>
  </sheetViews>
  <sheetFormatPr baseColWidth="10" defaultColWidth="10.83203125" defaultRowHeight="15"/>
  <cols>
    <col min="1" max="1" width="10.83203125" style="3"/>
    <col min="2" max="2" width="42.33203125" style="3" customWidth="1"/>
    <col min="3" max="5" width="10.83203125" style="3"/>
    <col min="6" max="6" width="14.5" style="3" bestFit="1" customWidth="1"/>
    <col min="7" max="7" width="13.33203125" style="3" bestFit="1" customWidth="1"/>
    <col min="8" max="9" width="12.1640625" style="3" bestFit="1" customWidth="1"/>
    <col min="10" max="16384" width="10.83203125" style="3"/>
  </cols>
  <sheetData>
    <row r="1" spans="1:8">
      <c r="A1" s="13" t="s">
        <v>17</v>
      </c>
      <c r="B1" s="14" t="s">
        <v>0</v>
      </c>
      <c r="C1" s="15" t="s">
        <v>57</v>
      </c>
      <c r="D1" s="15" t="s">
        <v>58</v>
      </c>
      <c r="E1" s="15" t="s">
        <v>59</v>
      </c>
      <c r="F1" s="17"/>
      <c r="G1" s="17"/>
    </row>
    <row r="2" spans="1:8">
      <c r="A2" s="13"/>
      <c r="B2" s="14"/>
      <c r="C2" s="16"/>
      <c r="D2" s="16"/>
      <c r="E2" s="16"/>
      <c r="F2" s="17"/>
      <c r="G2" s="17"/>
    </row>
    <row r="3" spans="1:8" ht="16" thickBot="1">
      <c r="A3" s="6">
        <v>1.1000000000000001</v>
      </c>
      <c r="B3" s="8" t="s">
        <v>1</v>
      </c>
      <c r="C3" s="8">
        <v>50</v>
      </c>
      <c r="D3" s="8">
        <v>100</v>
      </c>
      <c r="E3" s="8">
        <v>70</v>
      </c>
      <c r="F3" s="10">
        <f>(C3+D3+6*E3)/6</f>
        <v>95</v>
      </c>
      <c r="G3" s="10">
        <f>(D3-E3)/6</f>
        <v>5</v>
      </c>
      <c r="H3" s="12">
        <f>G3^2</f>
        <v>25</v>
      </c>
    </row>
    <row r="4" spans="1:8" ht="16" thickBot="1">
      <c r="A4" s="6">
        <v>1.2</v>
      </c>
      <c r="B4" s="8" t="s">
        <v>22</v>
      </c>
      <c r="C4" s="8">
        <v>10</v>
      </c>
      <c r="D4" s="8">
        <v>40</v>
      </c>
      <c r="E4" s="8">
        <v>20</v>
      </c>
      <c r="F4" s="10">
        <f t="shared" ref="F4:F23" si="0">(C4+D4+6*E4)/6</f>
        <v>28.333333333333332</v>
      </c>
      <c r="G4" s="10">
        <f t="shared" ref="G4:G23" si="1">(D4-E4)/6</f>
        <v>3.3333333333333335</v>
      </c>
      <c r="H4" s="12">
        <f t="shared" ref="H4:H23" si="2">G4^2</f>
        <v>11.111111111111112</v>
      </c>
    </row>
    <row r="5" spans="1:8" ht="16" thickBot="1">
      <c r="A5" s="6">
        <v>1.3</v>
      </c>
      <c r="B5" s="8" t="s">
        <v>23</v>
      </c>
      <c r="C5" s="8">
        <v>100</v>
      </c>
      <c r="D5" s="8">
        <v>250</v>
      </c>
      <c r="E5" s="8">
        <v>150</v>
      </c>
      <c r="F5" s="10">
        <f t="shared" si="0"/>
        <v>208.33333333333334</v>
      </c>
      <c r="G5" s="10">
        <f t="shared" si="1"/>
        <v>16.666666666666668</v>
      </c>
      <c r="H5" s="12">
        <f t="shared" si="2"/>
        <v>277.77777777777783</v>
      </c>
    </row>
    <row r="6" spans="1:8" ht="16" thickBot="1">
      <c r="A6" s="6">
        <v>1.4</v>
      </c>
      <c r="B6" s="9" t="s">
        <v>25</v>
      </c>
      <c r="C6" s="8">
        <v>40</v>
      </c>
      <c r="D6" s="8">
        <v>60</v>
      </c>
      <c r="E6" s="8">
        <v>50</v>
      </c>
      <c r="F6" s="10">
        <f t="shared" si="0"/>
        <v>66.666666666666671</v>
      </c>
      <c r="G6" s="10">
        <f t="shared" si="1"/>
        <v>1.6666666666666667</v>
      </c>
      <c r="H6" s="12">
        <f t="shared" si="2"/>
        <v>2.7777777777777781</v>
      </c>
    </row>
    <row r="7" spans="1:8" ht="16" thickBot="1">
      <c r="A7" s="6">
        <v>2.1</v>
      </c>
      <c r="B7" s="8" t="s">
        <v>8</v>
      </c>
      <c r="C7" s="8">
        <v>40</v>
      </c>
      <c r="D7" s="8">
        <v>80</v>
      </c>
      <c r="E7" s="8">
        <v>60</v>
      </c>
      <c r="F7" s="10">
        <f t="shared" si="0"/>
        <v>80</v>
      </c>
      <c r="G7" s="10">
        <f t="shared" si="1"/>
        <v>3.3333333333333335</v>
      </c>
      <c r="H7" s="12">
        <f t="shared" si="2"/>
        <v>11.111111111111112</v>
      </c>
    </row>
    <row r="8" spans="1:8" ht="16" thickBot="1">
      <c r="A8" s="6">
        <v>2.2000000000000002</v>
      </c>
      <c r="B8" s="8" t="s">
        <v>29</v>
      </c>
      <c r="C8" s="8">
        <v>30</v>
      </c>
      <c r="D8" s="8">
        <v>50</v>
      </c>
      <c r="E8" s="8">
        <v>40</v>
      </c>
      <c r="F8" s="10">
        <f t="shared" si="0"/>
        <v>53.333333333333336</v>
      </c>
      <c r="G8" s="10">
        <f t="shared" si="1"/>
        <v>1.6666666666666667</v>
      </c>
      <c r="H8" s="12">
        <f t="shared" si="2"/>
        <v>2.7777777777777781</v>
      </c>
    </row>
    <row r="9" spans="1:8" ht="16" thickBot="1">
      <c r="A9" s="6">
        <v>2.2999999999999998</v>
      </c>
      <c r="B9" s="8" t="s">
        <v>31</v>
      </c>
      <c r="C9" s="8">
        <v>50</v>
      </c>
      <c r="D9" s="8">
        <v>90</v>
      </c>
      <c r="E9" s="8">
        <v>70</v>
      </c>
      <c r="F9" s="10">
        <f t="shared" si="0"/>
        <v>93.333333333333329</v>
      </c>
      <c r="G9" s="10">
        <f t="shared" si="1"/>
        <v>3.3333333333333335</v>
      </c>
      <c r="H9" s="12">
        <f t="shared" si="2"/>
        <v>11.111111111111112</v>
      </c>
    </row>
    <row r="10" spans="1:8" ht="16" thickBot="1">
      <c r="A10" s="6">
        <v>2.4</v>
      </c>
      <c r="B10" s="8" t="s">
        <v>33</v>
      </c>
      <c r="C10" s="8">
        <v>50</v>
      </c>
      <c r="D10" s="8">
        <v>100</v>
      </c>
      <c r="E10" s="8">
        <v>75</v>
      </c>
      <c r="F10" s="10">
        <f t="shared" si="0"/>
        <v>100</v>
      </c>
      <c r="G10" s="10">
        <f t="shared" si="1"/>
        <v>4.166666666666667</v>
      </c>
      <c r="H10" s="12">
        <f t="shared" si="2"/>
        <v>17.361111111111114</v>
      </c>
    </row>
    <row r="11" spans="1:8" ht="16" thickBot="1">
      <c r="A11" s="6">
        <v>2.5</v>
      </c>
      <c r="B11" s="8" t="s">
        <v>9</v>
      </c>
      <c r="C11" s="8">
        <v>40</v>
      </c>
      <c r="D11" s="8">
        <v>80</v>
      </c>
      <c r="E11" s="8">
        <v>60</v>
      </c>
      <c r="F11" s="10">
        <f t="shared" si="0"/>
        <v>80</v>
      </c>
      <c r="G11" s="10">
        <f t="shared" si="1"/>
        <v>3.3333333333333335</v>
      </c>
      <c r="H11" s="12">
        <f t="shared" si="2"/>
        <v>11.111111111111112</v>
      </c>
    </row>
    <row r="12" spans="1:8" ht="16" thickBot="1">
      <c r="A12" s="6">
        <v>2.6</v>
      </c>
      <c r="B12" s="8" t="s">
        <v>36</v>
      </c>
      <c r="C12" s="8">
        <v>30</v>
      </c>
      <c r="D12" s="8">
        <v>60</v>
      </c>
      <c r="E12" s="8">
        <v>45</v>
      </c>
      <c r="F12" s="10">
        <f t="shared" si="0"/>
        <v>60</v>
      </c>
      <c r="G12" s="10">
        <f t="shared" si="1"/>
        <v>2.5</v>
      </c>
      <c r="H12" s="12">
        <f t="shared" si="2"/>
        <v>6.25</v>
      </c>
    </row>
    <row r="13" spans="1:8" ht="16" thickBot="1">
      <c r="A13" s="6">
        <v>2.7</v>
      </c>
      <c r="B13" s="8" t="s">
        <v>38</v>
      </c>
      <c r="C13" s="8">
        <v>60</v>
      </c>
      <c r="D13" s="8">
        <v>120</v>
      </c>
      <c r="E13" s="8">
        <v>90</v>
      </c>
      <c r="F13" s="10">
        <f t="shared" si="0"/>
        <v>120</v>
      </c>
      <c r="G13" s="10">
        <f t="shared" si="1"/>
        <v>5</v>
      </c>
      <c r="H13" s="12">
        <f t="shared" si="2"/>
        <v>25</v>
      </c>
    </row>
    <row r="14" spans="1:8" ht="16" thickBot="1">
      <c r="A14" s="6">
        <v>3.1</v>
      </c>
      <c r="B14" s="8" t="s">
        <v>41</v>
      </c>
      <c r="C14" s="8">
        <v>60</v>
      </c>
      <c r="D14" s="8">
        <v>120</v>
      </c>
      <c r="E14" s="8">
        <v>90</v>
      </c>
      <c r="F14" s="10">
        <f t="shared" si="0"/>
        <v>120</v>
      </c>
      <c r="G14" s="10">
        <f t="shared" si="1"/>
        <v>5</v>
      </c>
      <c r="H14" s="12">
        <f t="shared" si="2"/>
        <v>25</v>
      </c>
    </row>
    <row r="15" spans="1:8" ht="16" thickBot="1">
      <c r="A15" s="6">
        <v>3.2</v>
      </c>
      <c r="B15" s="8" t="s">
        <v>43</v>
      </c>
      <c r="C15" s="8">
        <v>40</v>
      </c>
      <c r="D15" s="8">
        <v>80</v>
      </c>
      <c r="E15" s="8">
        <v>60</v>
      </c>
      <c r="F15" s="10">
        <f t="shared" si="0"/>
        <v>80</v>
      </c>
      <c r="G15" s="10">
        <f t="shared" si="1"/>
        <v>3.3333333333333335</v>
      </c>
      <c r="H15" s="12">
        <f t="shared" si="2"/>
        <v>11.111111111111112</v>
      </c>
    </row>
    <row r="16" spans="1:8" ht="16" thickBot="1">
      <c r="A16" s="6">
        <v>3.3</v>
      </c>
      <c r="B16" s="8" t="s">
        <v>60</v>
      </c>
      <c r="C16" s="8">
        <v>160</v>
      </c>
      <c r="D16" s="8">
        <v>280</v>
      </c>
      <c r="E16" s="8">
        <v>200</v>
      </c>
      <c r="F16" s="10">
        <f t="shared" si="0"/>
        <v>273.33333333333331</v>
      </c>
      <c r="G16" s="10">
        <f t="shared" si="1"/>
        <v>13.333333333333334</v>
      </c>
      <c r="H16" s="12">
        <f t="shared" si="2"/>
        <v>177.7777777777778</v>
      </c>
    </row>
    <row r="17" spans="1:9" ht="16" thickBot="1">
      <c r="A17" s="6">
        <v>3.4</v>
      </c>
      <c r="B17" s="8" t="s">
        <v>76</v>
      </c>
      <c r="C17" s="8">
        <v>40</v>
      </c>
      <c r="D17" s="8">
        <v>80</v>
      </c>
      <c r="E17" s="8">
        <v>60</v>
      </c>
      <c r="F17" s="10">
        <f t="shared" si="0"/>
        <v>80</v>
      </c>
      <c r="G17" s="10">
        <f t="shared" si="1"/>
        <v>3.3333333333333335</v>
      </c>
      <c r="H17" s="12">
        <f t="shared" si="2"/>
        <v>11.111111111111112</v>
      </c>
    </row>
    <row r="18" spans="1:9" ht="16" thickBot="1">
      <c r="A18" s="6">
        <v>4.0999999999999996</v>
      </c>
      <c r="B18" s="8" t="s">
        <v>5</v>
      </c>
      <c r="C18" s="8">
        <v>45</v>
      </c>
      <c r="D18" s="8">
        <v>108</v>
      </c>
      <c r="E18" s="8">
        <v>72</v>
      </c>
      <c r="F18" s="10">
        <f t="shared" si="0"/>
        <v>97.5</v>
      </c>
      <c r="G18" s="10">
        <f t="shared" si="1"/>
        <v>6</v>
      </c>
      <c r="H18" s="12">
        <f t="shared" si="2"/>
        <v>36</v>
      </c>
    </row>
    <row r="19" spans="1:9" ht="16" thickBot="1">
      <c r="A19" s="6">
        <v>4.2</v>
      </c>
      <c r="B19" s="8" t="s">
        <v>6</v>
      </c>
      <c r="C19" s="8">
        <v>40</v>
      </c>
      <c r="D19" s="8">
        <v>80</v>
      </c>
      <c r="E19" s="8">
        <v>60</v>
      </c>
      <c r="F19" s="10">
        <f t="shared" si="0"/>
        <v>80</v>
      </c>
      <c r="G19" s="10">
        <f t="shared" si="1"/>
        <v>3.3333333333333335</v>
      </c>
      <c r="H19" s="12">
        <f t="shared" si="2"/>
        <v>11.111111111111112</v>
      </c>
    </row>
    <row r="20" spans="1:9" ht="16" thickBot="1">
      <c r="A20" s="6">
        <v>4.3</v>
      </c>
      <c r="B20" s="8" t="s">
        <v>7</v>
      </c>
      <c r="C20" s="8">
        <v>60</v>
      </c>
      <c r="D20" s="8">
        <v>120</v>
      </c>
      <c r="E20" s="8">
        <v>90</v>
      </c>
      <c r="F20" s="10">
        <f t="shared" si="0"/>
        <v>120</v>
      </c>
      <c r="G20" s="10">
        <f t="shared" si="1"/>
        <v>5</v>
      </c>
      <c r="H20" s="12">
        <f t="shared" si="2"/>
        <v>25</v>
      </c>
    </row>
    <row r="21" spans="1:9" ht="16" thickBot="1">
      <c r="A21" s="6">
        <v>5.0999999999999996</v>
      </c>
      <c r="B21" s="8" t="s">
        <v>77</v>
      </c>
      <c r="C21" s="8">
        <v>50</v>
      </c>
      <c r="D21" s="8">
        <v>100</v>
      </c>
      <c r="E21" s="8">
        <v>75</v>
      </c>
      <c r="F21" s="10">
        <f t="shared" si="0"/>
        <v>100</v>
      </c>
      <c r="G21" s="10">
        <f t="shared" si="1"/>
        <v>4.166666666666667</v>
      </c>
      <c r="H21" s="12">
        <f t="shared" si="2"/>
        <v>17.361111111111114</v>
      </c>
    </row>
    <row r="22" spans="1:9" ht="16" thickBot="1">
      <c r="A22" s="6">
        <v>5.2</v>
      </c>
      <c r="B22" s="8" t="s">
        <v>52</v>
      </c>
      <c r="C22" s="8">
        <v>10</v>
      </c>
      <c r="D22" s="8">
        <v>20</v>
      </c>
      <c r="E22" s="8">
        <v>15</v>
      </c>
      <c r="F22" s="10">
        <f t="shared" si="0"/>
        <v>20</v>
      </c>
      <c r="G22" s="10">
        <f t="shared" si="1"/>
        <v>0.83333333333333337</v>
      </c>
      <c r="H22" s="12">
        <f t="shared" si="2"/>
        <v>0.69444444444444453</v>
      </c>
    </row>
    <row r="23" spans="1:9" ht="16" thickBot="1">
      <c r="A23" s="6">
        <v>5.3</v>
      </c>
      <c r="B23" s="8" t="s">
        <v>54</v>
      </c>
      <c r="C23" s="8">
        <v>30</v>
      </c>
      <c r="D23" s="8">
        <v>60</v>
      </c>
      <c r="E23" s="8">
        <v>45</v>
      </c>
      <c r="F23" s="10">
        <f t="shared" si="0"/>
        <v>60</v>
      </c>
      <c r="G23" s="10">
        <f t="shared" si="1"/>
        <v>2.5</v>
      </c>
      <c r="H23" s="12">
        <f t="shared" si="2"/>
        <v>6.25</v>
      </c>
    </row>
    <row r="24" spans="1:9">
      <c r="F24" s="11">
        <f>SUM(F3:F23)</f>
        <v>2015.8333333333333</v>
      </c>
      <c r="G24" s="1"/>
      <c r="H24" s="3">
        <f>SQRT(SUM(H3:H23))</f>
        <v>26.88504334301054</v>
      </c>
      <c r="I24" s="3">
        <f>F24+2*H24</f>
        <v>2069.6034200193544</v>
      </c>
    </row>
  </sheetData>
  <mergeCells count="7">
    <mergeCell ref="A1:A2"/>
    <mergeCell ref="B1:B2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Simple Method</vt:lpstr>
      <vt:lpstr>PERT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宏祥 周</dc:creator>
  <cp:lastModifiedBy>Хунсян Чжоу</cp:lastModifiedBy>
  <dcterms:created xsi:type="dcterms:W3CDTF">2024-11-17T17:06:59Z</dcterms:created>
  <dcterms:modified xsi:type="dcterms:W3CDTF">2024-12-15T19:59:34Z</dcterms:modified>
</cp:coreProperties>
</file>