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398768715qq.com/GitHub/ITMO-PE/EconomicsSoftwareEngineering/"/>
    </mc:Choice>
  </mc:AlternateContent>
  <xr:revisionPtr revIDLastSave="0" documentId="13_ncr:1_{74290B9E-1D5F-F24F-9152-273D8D29BD81}" xr6:coauthVersionLast="47" xr6:coauthVersionMax="47" xr10:uidLastSave="{00000000-0000-0000-0000-000000000000}"/>
  <bookViews>
    <workbookView xWindow="22940" yWindow="1100" windowWidth="22940" windowHeight="28700" activeTab="1" xr2:uid="{343BDCF8-93BA-48B2-B1E2-DDA5B2F75838}"/>
  </bookViews>
  <sheets>
    <sheet name="Sheet1" sheetId="2" r:id="rId1"/>
    <sheet name="Simple Method" sheetId="1" r:id="rId2"/>
    <sheet name="PERT Meth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G3" i="3"/>
  <c r="F3" i="3"/>
  <c r="A3" i="3"/>
  <c r="B3" i="3"/>
  <c r="A4" i="3"/>
  <c r="B4" i="3"/>
  <c r="D4" i="3"/>
  <c r="E4" i="3"/>
  <c r="A5" i="3"/>
  <c r="B5" i="3"/>
  <c r="D5" i="3"/>
  <c r="E5" i="3"/>
  <c r="A6" i="3"/>
  <c r="B6" i="3"/>
  <c r="D6" i="3"/>
  <c r="E6" i="3"/>
  <c r="A7" i="3"/>
  <c r="B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E24" i="3"/>
  <c r="A1" i="1"/>
  <c r="B1" i="1"/>
  <c r="C1" i="1"/>
  <c r="D1" i="1"/>
  <c r="E1" i="1"/>
  <c r="F1" i="1"/>
  <c r="A2" i="1"/>
  <c r="B2" i="1"/>
  <c r="C2" i="1"/>
  <c r="D2" i="1"/>
  <c r="E2" i="1"/>
  <c r="F2" i="1"/>
  <c r="A3" i="1"/>
  <c r="B3" i="1"/>
  <c r="C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H1" i="1"/>
  <c r="I1" i="1"/>
  <c r="J1" i="1"/>
  <c r="K1" i="1"/>
  <c r="L1" i="1"/>
  <c r="M1" i="1"/>
  <c r="H2" i="1"/>
  <c r="I2" i="1"/>
  <c r="J2" i="1"/>
  <c r="K2" i="1"/>
  <c r="L2" i="1"/>
  <c r="M2" i="1"/>
  <c r="H3" i="1"/>
  <c r="I3" i="1"/>
  <c r="K3" i="1"/>
  <c r="L3" i="1"/>
  <c r="M3" i="1"/>
  <c r="H4" i="1"/>
  <c r="I4" i="1"/>
  <c r="K4" i="1"/>
  <c r="L4" i="1"/>
  <c r="M4" i="1"/>
  <c r="H5" i="1"/>
  <c r="I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K8" i="1"/>
  <c r="L8" i="1"/>
  <c r="M8" i="1"/>
  <c r="H9" i="1"/>
  <c r="I9" i="1"/>
  <c r="K9" i="1"/>
  <c r="L9" i="1"/>
  <c r="M9" i="1"/>
  <c r="H10" i="1"/>
  <c r="I10" i="1"/>
  <c r="K10" i="1"/>
  <c r="L10" i="1"/>
  <c r="M10" i="1"/>
  <c r="H11" i="1"/>
  <c r="I11" i="1"/>
  <c r="K11" i="1"/>
  <c r="L11" i="1"/>
  <c r="M11" i="1"/>
  <c r="H12" i="1"/>
  <c r="I12" i="1"/>
  <c r="K12" i="1"/>
  <c r="L12" i="1"/>
  <c r="M12" i="1"/>
  <c r="H13" i="1"/>
  <c r="I13" i="1"/>
  <c r="K13" i="1"/>
  <c r="L13" i="1"/>
  <c r="M13" i="1"/>
  <c r="H14" i="1"/>
  <c r="I14" i="1"/>
  <c r="K14" i="1"/>
  <c r="L14" i="1"/>
  <c r="M14" i="1"/>
  <c r="H15" i="1"/>
  <c r="I15" i="1"/>
  <c r="J15" i="1"/>
  <c r="K15" i="1"/>
  <c r="L15" i="1"/>
  <c r="M15" i="1"/>
  <c r="H16" i="1"/>
  <c r="I16" i="1"/>
  <c r="K16" i="1"/>
  <c r="L16" i="1"/>
  <c r="M16" i="1"/>
  <c r="H17" i="1"/>
  <c r="I17" i="1"/>
  <c r="K17" i="1"/>
  <c r="L17" i="1"/>
  <c r="M17" i="1"/>
  <c r="H18" i="1"/>
  <c r="I18" i="1"/>
  <c r="K18" i="1"/>
  <c r="L18" i="1"/>
  <c r="M18" i="1"/>
  <c r="H19" i="1"/>
  <c r="I19" i="1"/>
  <c r="K19" i="1"/>
  <c r="L19" i="1"/>
  <c r="M19" i="1"/>
  <c r="H20" i="1"/>
  <c r="I20" i="1"/>
  <c r="J20" i="1"/>
  <c r="K20" i="1"/>
  <c r="L20" i="1"/>
  <c r="M20" i="1"/>
  <c r="H21" i="1"/>
  <c r="I21" i="1"/>
  <c r="K21" i="1"/>
  <c r="L21" i="1"/>
  <c r="M21" i="1"/>
  <c r="H22" i="1"/>
  <c r="I22" i="1"/>
  <c r="K22" i="1"/>
  <c r="L22" i="1"/>
  <c r="M22" i="1"/>
  <c r="H23" i="1"/>
  <c r="I23" i="1"/>
  <c r="K23" i="1"/>
  <c r="L23" i="1"/>
  <c r="M23" i="1"/>
  <c r="H24" i="1"/>
  <c r="I24" i="1"/>
  <c r="J24" i="1"/>
  <c r="K24" i="1"/>
  <c r="L24" i="1"/>
  <c r="M24" i="1"/>
  <c r="H25" i="1"/>
  <c r="I25" i="1"/>
  <c r="K25" i="1"/>
  <c r="L25" i="1"/>
  <c r="M25" i="1"/>
  <c r="H26" i="1"/>
  <c r="I26" i="1"/>
  <c r="K26" i="1"/>
  <c r="L26" i="1"/>
  <c r="M26" i="1"/>
  <c r="H27" i="1"/>
  <c r="I27" i="1"/>
  <c r="K27" i="1"/>
  <c r="L27" i="1"/>
  <c r="M27" i="1"/>
  <c r="H28" i="1"/>
  <c r="I28" i="1"/>
  <c r="J28" i="1"/>
  <c r="K28" i="1"/>
  <c r="L28" i="1"/>
  <c r="M28" i="1"/>
</calcChain>
</file>

<file path=xl/sharedStrings.xml><?xml version="1.0" encoding="utf-8"?>
<sst xmlns="http://schemas.openxmlformats.org/spreadsheetml/2006/main" count="227" uniqueCount="172">
  <si>
    <t>Название</t>
  </si>
  <si>
    <t>Optimal (h-h)</t>
  </si>
  <si>
    <t>Прототип сайта</t>
  </si>
  <si>
    <t>Выбор технологий (фундамент)</t>
  </si>
  <si>
    <t>#</t>
  </si>
  <si>
    <t>1</t>
  </si>
  <si>
    <t>1.1</t>
  </si>
  <si>
    <t>Подготовка</t>
  </si>
  <si>
    <t>Описание</t>
  </si>
  <si>
    <t>Optimistic (h-h)</t>
  </si>
  <si>
    <t>234</t>
  </si>
  <si>
    <t>50</t>
  </si>
  <si>
    <t>Pessimistic (h-h)</t>
  </si>
  <si>
    <t>508</t>
  </si>
  <si>
    <t>100</t>
  </si>
  <si>
    <t>360</t>
  </si>
  <si>
    <t>70</t>
  </si>
  <si>
    <r>
      <t>Идет разработка сайт под заказ Северной футбольной лиги г. Санкт-Петербурга. Официальный бренд вместе с дизайном, лого и т.д. уже имеется. Требуется прописать функциональные пользовательские сценарии, прототип анимация и</t>
    </r>
    <r>
      <rPr>
        <sz val="11"/>
        <rFont val="Microsoft YaHei"/>
        <family val="2"/>
        <charset val="134"/>
      </rPr>
      <t xml:space="preserve"> </t>
    </r>
    <r>
      <rPr>
        <sz val="11"/>
        <rFont val="Microsoft YaHei"/>
        <family val="2"/>
        <charset val="204"/>
      </rPr>
      <t>интерфейса и т.д.</t>
    </r>
    <phoneticPr fontId="1" type="noConversion"/>
  </si>
  <si>
    <t>1.2</t>
  </si>
  <si>
    <t>1.3</t>
  </si>
  <si>
    <t>1.4</t>
  </si>
  <si>
    <t>2</t>
  </si>
  <si>
    <t>2.1</t>
  </si>
  <si>
    <t>2.2</t>
  </si>
  <si>
    <t>2.3</t>
  </si>
  <si>
    <t>Разрешение на обработку персональных данных</t>
  </si>
  <si>
    <t>Аренда хостинга</t>
  </si>
  <si>
    <t>Frontend</t>
  </si>
  <si>
    <t>Главная</t>
  </si>
  <si>
    <t>Новости</t>
  </si>
  <si>
    <t>Т.к. мы работаем с футбольными командами, а также многими спонсорами, такое соглашение нам необходимо для правомерной работы сайта.</t>
  </si>
  <si>
    <t>В интернете довольно много вариантов для столь простого сайта, поэтому нужно найти лучший по отношению цена/качество.</t>
  </si>
  <si>
    <t>Адаптивная верстка, плавные анимации, удобное отображение таблиц для четкого понимания турниров и будущих игр, подобрать фото в общей стилистике</t>
  </si>
  <si>
    <t>Адаптивная и корректная верстка новостной ленты, подгрузка новых постов и удобство использования</t>
  </si>
  <si>
    <t>Является самой трудоемкой задачей, т.к. они постоянно меняются и нужно заполнять данные для новых команд и турниров, понятное и ненагражденное отображение статистики, верстка таблиц, фото в общей стилистике, а также дополнительные внутренние вкладки с соотв таблицами и статистикой, по сути - профиль для каждого турнира, т.к. профиля пользователя нет. Внутренние таблицы, их верстка</t>
  </si>
  <si>
    <t>8</t>
  </si>
  <si>
    <t>168</t>
  </si>
  <si>
    <t>147</t>
  </si>
  <si>
    <t>16</t>
  </si>
  <si>
    <t>30</t>
  </si>
  <si>
    <t>32</t>
  </si>
  <si>
    <t>336</t>
  </si>
  <si>
    <t>40</t>
  </si>
  <si>
    <t>230</t>
  </si>
  <si>
    <t>28</t>
  </si>
  <si>
    <t>15</t>
  </si>
  <si>
    <t>250</t>
  </si>
  <si>
    <t>24</t>
  </si>
  <si>
    <t>199</t>
  </si>
  <si>
    <t>20</t>
  </si>
  <si>
    <t>12</t>
  </si>
  <si>
    <r>
      <t xml:space="preserve">Важно определиться с используемыми технологиями: </t>
    </r>
    <r>
      <rPr>
        <b/>
        <sz val="11"/>
        <rFont val="Arial"/>
        <family val="2"/>
        <charset val="204"/>
      </rPr>
      <t xml:space="preserve">Frontend </t>
    </r>
    <r>
      <rPr>
        <sz val="11"/>
        <rFont val="Arial"/>
        <family val="2"/>
        <charset val="204"/>
      </rPr>
      <t xml:space="preserve">- </t>
    </r>
    <r>
      <rPr>
        <sz val="11"/>
        <rFont val="Arial"/>
        <family val="2"/>
        <charset val="204"/>
      </rPr>
      <t xml:space="preserve">AngularJS </t>
    </r>
    <r>
      <rPr>
        <sz val="11"/>
        <rFont val="Arial"/>
        <family val="2"/>
        <charset val="204"/>
      </rPr>
      <t xml:space="preserve">подойдет нам лучше всего, потому что информационный сайт с красивыми анимациями можно очень быстро на нем написать. </t>
    </r>
    <r>
      <rPr>
        <b/>
        <sz val="11"/>
        <rFont val="Arial"/>
        <family val="2"/>
        <charset val="204"/>
      </rPr>
      <t xml:space="preserve">Backend </t>
    </r>
    <r>
      <rPr>
        <sz val="11"/>
        <rFont val="Arial"/>
        <family val="2"/>
        <charset val="204"/>
      </rPr>
      <t xml:space="preserve">- простой </t>
    </r>
    <r>
      <rPr>
        <sz val="11"/>
        <rFont val="Arial"/>
        <family val="2"/>
        <charset val="204"/>
      </rPr>
      <t xml:space="preserve">PHP </t>
    </r>
    <r>
      <rPr>
        <sz val="11"/>
        <rFont val="Arial"/>
        <family val="2"/>
        <charset val="204"/>
      </rPr>
      <t>сервер для аутентификации пользователей и запись на турниры. Создание собственных турниров не предусмотрено.</t>
    </r>
  </si>
  <si>
    <r>
      <t>Турниры/</t>
    </r>
    <r>
      <rPr>
        <i/>
        <sz val="11"/>
        <rFont val="Arial"/>
        <family val="2"/>
        <charset val="204"/>
      </rPr>
      <t>Профи ль команды</t>
    </r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</si>
  <si>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</si>
  <si>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</si>
  <si>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</si>
  <si>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</si>
  <si>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</si>
  <si>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</si>
  <si>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</si>
  <si>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</si>
  <si>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</si>
  <si>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Команды</t>
  </si>
  <si>
    <t>Игроки</t>
  </si>
  <si>
    <t>Видео</t>
  </si>
  <si>
    <t>Персонал</t>
  </si>
  <si>
    <t>Партнеры</t>
  </si>
  <si>
    <t>Заявиться в соревнования</t>
  </si>
  <si>
    <t>Форма для регистрации на турнир / О лиге</t>
  </si>
  <si>
    <t>Обратная связь</t>
  </si>
  <si>
    <t>Поиск</t>
  </si>
  <si>
    <t>Просто удобное отображение в таблице существующих команд, высокое качество логотипов и понятное отображение названий команд. Отступы, адаптивная верстка, шрифты</t>
  </si>
  <si>
    <t>Аналогично Командам, но только с игроками и футбольными клубами. Отступы, адаптивная верстка, шрифты</t>
  </si>
  <si>
    <t>Аналогично Новостям, только с видео вместо постов, соответственно корректная работа открывания поверх страницы видеоплейера и затемнение остальных элементов, корректная верстка плеера</t>
  </si>
  <si>
    <t>Аналогично Игрокам, только действующее руководство, сортировка по должности и текущему статусу</t>
  </si>
  <si>
    <t>Небольшая вкладка с основными спонсорами, компактные карточки с нужной информацией, их верстка</t>
  </si>
  <si>
    <t>Форма в хэдере для того, чтобы зарегистрированный пользователь мог поучаствовать в турнирах, просмотр турниров, отображение основной информации</t>
  </si>
  <si>
    <t>Аналогична Турниру, только с основной информацией о нем, основная информация об участниках, их сортировка по подтверждениям, верстка таблицы и подбор шрифтов</t>
  </si>
  <si>
    <t>5</t>
  </si>
  <si>
    <t>10</t>
  </si>
  <si>
    <t>3</t>
  </si>
  <si>
    <t>25</t>
  </si>
  <si>
    <t>7</t>
  </si>
  <si>
    <t>23</t>
  </si>
  <si>
    <t>19</t>
  </si>
  <si>
    <r>
      <t xml:space="preserve">Небольшая форма для обратной связи от футбольной лиги, выползает наверх, затемнение фона, текст с </t>
    </r>
    <r>
      <rPr>
        <sz val="11"/>
        <rFont val="Arial"/>
        <family val="2"/>
        <charset val="204"/>
      </rPr>
      <t xml:space="preserve">email </t>
    </r>
    <r>
      <rPr>
        <sz val="11"/>
        <rFont val="Arial"/>
        <family val="2"/>
        <charset val="204"/>
      </rPr>
      <t>и отправка сообщение, возвращение к исходной странице по завершению</t>
    </r>
  </si>
  <si>
    <r>
      <t xml:space="preserve">Поиск по командам, турнирам и спортсменам. Ищет поля с предыдущих вкладов, поиск по разным именам/названиям. Верстка результатов во внутренних вкладках, переход на </t>
    </r>
    <r>
      <rPr>
        <i/>
        <sz val="11"/>
        <rFont val="Arial"/>
        <family val="2"/>
        <charset val="204"/>
      </rPr>
      <t>Профили команд</t>
    </r>
  </si>
  <si>
    <t>2.13</t>
  </si>
  <si>
    <t>3.1</t>
  </si>
  <si>
    <t>3.2</t>
  </si>
  <si>
    <t>3.3</t>
  </si>
  <si>
    <t>4</t>
  </si>
  <si>
    <t>4.1</t>
  </si>
  <si>
    <t>4.2</t>
  </si>
  <si>
    <t>4.3</t>
  </si>
  <si>
    <t>5.1</t>
  </si>
  <si>
    <t>5.2</t>
  </si>
  <si>
    <t>5.3</t>
  </si>
  <si>
    <t>5.4</t>
  </si>
  <si>
    <t>Z</t>
  </si>
  <si>
    <t>Войти</t>
  </si>
  <si>
    <t>Backend</t>
  </si>
  <si>
    <t>Настройка и подключение БД</t>
  </si>
  <si>
    <t>Авторизация пользователей</t>
  </si>
  <si>
    <t>Обработка запросов</t>
  </si>
  <si>
    <t>Testing</t>
  </si>
  <si>
    <t>Модульное тестирование</t>
  </si>
  <si>
    <t>Интеграционное тестирование</t>
  </si>
  <si>
    <t>Функциональное тестирование</t>
  </si>
  <si>
    <t>Релиз</t>
  </si>
  <si>
    <t>SSL certificate</t>
  </si>
  <si>
    <t>Выбор окружения</t>
  </si>
  <si>
    <t>Настройка</t>
  </si>
  <si>
    <t>Выбор и создание БД, создание таблиц и настройка триггеров, нужна для хранения пользователей, турниров, команд и тд</t>
  </si>
  <si>
    <t>Отправка всех таблиц из БД, поиск нужных таблиц по БД</t>
  </si>
  <si>
    <t>Тестирование общения фронта и бэка, корректная обработка форм и тд</t>
  </si>
  <si>
    <t>Тестирование полных пользовательских сценариев</t>
  </si>
  <si>
    <t>Проверка основного функционала и корректного отображения сайта и его таблиц в различных верстках</t>
  </si>
  <si>
    <t>Настройка хоста под наши нужды, проверка общения клиента и сервера</t>
  </si>
  <si>
    <t>160</t>
  </si>
  <si>
    <t>64</t>
  </si>
  <si>
    <t>72</t>
  </si>
  <si>
    <t>108</t>
  </si>
  <si>
    <t>48</t>
  </si>
  <si>
    <t>719</t>
  </si>
  <si>
    <t>314</t>
  </si>
  <si>
    <t>110</t>
  </si>
  <si>
    <t>60</t>
  </si>
  <si>
    <t>144</t>
  </si>
  <si>
    <t>216</t>
  </si>
  <si>
    <t>96</t>
  </si>
  <si>
    <t>9</t>
  </si>
  <si>
    <t>1442</t>
  </si>
  <si>
    <t>258</t>
  </si>
  <si>
    <t>90</t>
  </si>
  <si>
    <t>120</t>
  </si>
  <si>
    <t>164</t>
  </si>
  <si>
    <t>18</t>
  </si>
  <si>
    <t>1089</t>
  </si>
  <si>
    <r>
      <t xml:space="preserve">Простая логинка и соотв страница регистрации, просто ввод </t>
    </r>
    <r>
      <rPr>
        <sz val="11"/>
        <rFont val="Arial"/>
        <family val="2"/>
        <charset val="204"/>
      </rPr>
      <t xml:space="preserve">email </t>
    </r>
    <r>
      <rPr>
        <sz val="11"/>
        <rFont val="Arial"/>
        <family val="2"/>
        <charset val="204"/>
      </rPr>
      <t>и пароля, затемнение других окон, войти с помощью ВК и внутреннего профиля</t>
    </r>
  </si>
  <si>
    <r>
      <t xml:space="preserve">Простейший </t>
    </r>
    <r>
      <rPr>
        <sz val="11"/>
        <rFont val="Arial"/>
        <family val="2"/>
        <charset val="204"/>
      </rPr>
      <t xml:space="preserve">PHP </t>
    </r>
    <r>
      <rPr>
        <sz val="11"/>
        <rFont val="Arial"/>
        <family val="2"/>
        <charset val="204"/>
      </rPr>
      <t>сервер для отправки запросов на логинку и регистрацию к БД</t>
    </r>
  </si>
  <si>
    <r>
      <t xml:space="preserve">Проверка бэка на надежность, на наличие </t>
    </r>
    <r>
      <rPr>
        <sz val="11"/>
        <rFont val="Arial"/>
        <family val="2"/>
        <charset val="204"/>
      </rPr>
      <t xml:space="preserve">SQL </t>
    </r>
    <r>
      <rPr>
        <sz val="11"/>
        <rFont val="Arial"/>
        <family val="2"/>
        <charset val="204"/>
      </rPr>
      <t>инъекций и корректную работу запросов к БД. Никакой более сложной логики не предусмотрено, как и других модулей, соотв требуется проверить основной функционал</t>
    </r>
  </si>
  <si>
    <r>
      <t xml:space="preserve">Тестирование </t>
    </r>
    <r>
      <rPr>
        <sz val="11"/>
        <rFont val="Arial"/>
        <family val="2"/>
        <charset val="204"/>
      </rPr>
      <t xml:space="preserve">(alpha </t>
    </r>
    <r>
      <rPr>
        <sz val="11"/>
        <rFont val="Arial"/>
        <family val="2"/>
        <charset val="204"/>
      </rPr>
      <t xml:space="preserve">+ </t>
    </r>
    <r>
      <rPr>
        <sz val="11"/>
        <rFont val="Arial"/>
        <family val="2"/>
        <charset val="204"/>
      </rPr>
      <t>beta)</t>
    </r>
  </si>
  <si>
    <r>
      <t xml:space="preserve">Self-Signed </t>
    </r>
    <r>
      <rPr>
        <sz val="11"/>
        <rFont val="Arial"/>
        <family val="2"/>
        <charset val="204"/>
      </rPr>
      <t xml:space="preserve">или отсутствие не подойдет, настройка </t>
    </r>
    <r>
      <rPr>
        <sz val="11"/>
        <rFont val="Arial"/>
        <family val="2"/>
        <charset val="204"/>
      </rPr>
      <t xml:space="preserve">https </t>
    </r>
    <r>
      <rPr>
        <sz val="11"/>
        <rFont val="Arial"/>
        <family val="2"/>
        <charset val="204"/>
      </rPr>
      <t>соединения</t>
    </r>
  </si>
  <si>
    <r>
      <t xml:space="preserve">На выбранный хост скинуть скомпилированный </t>
    </r>
    <r>
      <rPr>
        <sz val="11"/>
        <rFont val="Arial"/>
        <family val="2"/>
        <charset val="204"/>
      </rPr>
      <t xml:space="preserve">html </t>
    </r>
    <r>
      <rPr>
        <sz val="11"/>
        <rFont val="Arial"/>
        <family val="2"/>
        <charset val="204"/>
      </rPr>
      <t xml:space="preserve">страничку с ангуляром, добавить </t>
    </r>
    <r>
      <rPr>
        <sz val="11"/>
        <rFont val="Arial"/>
        <family val="2"/>
        <charset val="204"/>
      </rPr>
      <t xml:space="preserve">php </t>
    </r>
    <r>
      <rPr>
        <sz val="11"/>
        <rFont val="Arial"/>
        <family val="2"/>
        <charset val="204"/>
      </rPr>
      <t>сервер</t>
    </r>
  </si>
  <si>
    <t>开发网站的初步原型，设计主页、服务页面、产品页面等的用户体验与交互动画。</t>
    <phoneticPr fontId="1" type="noConversion"/>
  </si>
  <si>
    <r>
      <rPr>
        <sz val="11"/>
        <color theme="1"/>
        <rFont val="SimSun"/>
        <family val="1"/>
        <charset val="134"/>
      </rPr>
      <t>确定技术栈：前端使用</t>
    </r>
    <r>
      <rPr>
        <sz val="11"/>
        <color theme="1"/>
        <rFont val="Times New Roman"/>
        <family val="1"/>
        <charset val="204"/>
      </rPr>
      <t>ReactJS</t>
    </r>
    <r>
      <rPr>
        <sz val="11"/>
        <color theme="1"/>
        <rFont val="SimSun"/>
        <family val="1"/>
        <charset val="134"/>
      </rPr>
      <t>以支持动态交互，后端使用</t>
    </r>
    <r>
      <rPr>
        <sz val="11"/>
        <color theme="1"/>
        <rFont val="Times New Roman"/>
        <family val="1"/>
        <charset val="204"/>
      </rPr>
      <t>Node.js</t>
    </r>
    <r>
      <rPr>
        <sz val="11"/>
        <color theme="1"/>
        <rFont val="SimSun"/>
        <family val="1"/>
        <charset val="134"/>
      </rPr>
      <t>和</t>
    </r>
    <r>
      <rPr>
        <sz val="11"/>
        <color theme="1"/>
        <rFont val="Times New Roman"/>
        <family val="1"/>
        <charset val="204"/>
      </rPr>
      <t>GraphQL</t>
    </r>
    <r>
      <rPr>
        <sz val="11"/>
        <color theme="1"/>
        <rFont val="SimSun"/>
        <family val="1"/>
        <charset val="134"/>
      </rPr>
      <t>实现快速数据处理，数据库选择</t>
    </r>
    <r>
      <rPr>
        <sz val="11"/>
        <color theme="1"/>
        <rFont val="Times New Roman"/>
        <family val="1"/>
        <charset val="204"/>
      </rPr>
      <t>PostgreSQL</t>
    </r>
    <r>
      <rPr>
        <sz val="11"/>
        <color theme="1"/>
        <rFont val="SimSun"/>
        <family val="1"/>
        <charset val="134"/>
      </rPr>
      <t>。</t>
    </r>
    <phoneticPr fontId="1" type="noConversion"/>
  </si>
  <si>
    <t>由于涉及用户注册与数据存储，必须获得数据处理许可，并确保符合相关法律要求。</t>
    <phoneticPr fontId="1" type="noConversion"/>
  </si>
  <si>
    <t>响应式设计，展示主要服务、动态内容加载、优化动画效果，突出主要内容。</t>
    <phoneticPr fontId="1" type="noConversion"/>
  </si>
  <si>
    <t>动态表单验证，响应式布局，提供2FA验证</t>
    <phoneticPr fontId="1" type="noConversion"/>
  </si>
  <si>
    <r>
      <rPr>
        <sz val="11"/>
        <color theme="1"/>
        <rFont val="SimSun"/>
        <family val="1"/>
        <charset val="134"/>
      </rPr>
      <t>展示产品详细信息页面，包含技术参数、价格计算等内容。</t>
    </r>
    <r>
      <rPr>
        <sz val="11"/>
        <color theme="1"/>
        <rFont val="Times New Roman"/>
        <family val="1"/>
        <charset val="204"/>
      </rPr>
      <t>"</t>
    </r>
    <phoneticPr fontId="1" type="noConversion"/>
  </si>
  <si>
    <t>包括常见问题、提交工单表单、实时聊天支持功能。</t>
    <phoneticPr fontId="1" type="noConversion"/>
  </si>
  <si>
    <r>
      <rPr>
        <sz val="11"/>
        <color theme="1"/>
        <rFont val="SimSun"/>
        <family val="1"/>
        <charset val="134"/>
      </rPr>
      <t>展示</t>
    </r>
    <r>
      <rPr>
        <sz val="11"/>
        <color theme="1"/>
        <rFont val="Times New Roman"/>
        <family val="1"/>
        <charset val="204"/>
      </rPr>
      <t>Selectel</t>
    </r>
    <r>
      <rPr>
        <sz val="11"/>
        <color theme="1"/>
        <rFont val="SimSun"/>
        <family val="1"/>
        <charset val="134"/>
      </rPr>
      <t>提供的各类云服务，支持动态筛选和详细信息展示。</t>
    </r>
    <phoneticPr fontId="1" type="noConversion"/>
  </si>
  <si>
    <t>显示技术文档，支持分章节阅读和全文搜索功能。</t>
    <phoneticPr fontId="1" type="noConversion"/>
  </si>
  <si>
    <t>包括账户管理、订单历史、服务与设备状态监控，支持自定义配置功能。</t>
    <phoneticPr fontId="1" type="noConversion"/>
  </si>
  <si>
    <r>
      <rPr>
        <sz val="11"/>
        <color theme="1"/>
        <rFont val="SimSun"/>
        <family val="1"/>
        <charset val="134"/>
      </rPr>
      <t>创建数据库结构，包括用户数据、订单、服务与设备状态等表格与索引优化。</t>
    </r>
    <r>
      <rPr>
        <sz val="11"/>
        <color theme="1"/>
        <rFont val="Times New Roman"/>
        <family val="1"/>
        <charset val="204"/>
      </rPr>
      <t>"</t>
    </r>
    <phoneticPr fontId="1" type="noConversion"/>
  </si>
  <si>
    <t>实现用户登录、注册、权限管理逻辑，支持多种角色（普通用户、管理员）。</t>
    <phoneticPr fontId="1" type="noConversion"/>
  </si>
  <si>
    <r>
      <rPr>
        <sz val="11"/>
        <color theme="1"/>
        <rFont val="SimSun"/>
        <family val="1"/>
        <charset val="134"/>
      </rPr>
      <t>设计并开发</t>
    </r>
    <r>
      <rPr>
        <sz val="11"/>
        <color theme="1"/>
        <rFont val="Times New Roman"/>
        <family val="1"/>
        <charset val="204"/>
      </rPr>
      <t>RESTful API</t>
    </r>
    <r>
      <rPr>
        <sz val="11"/>
        <color theme="1"/>
        <rFont val="SimSun"/>
        <family val="1"/>
        <charset val="134"/>
      </rPr>
      <t>，支持前端与后端的数据交互。</t>
    </r>
    <phoneticPr fontId="1" type="noConversion"/>
  </si>
  <si>
    <r>
      <rPr>
        <sz val="11"/>
        <color theme="1"/>
        <rFont val="SimSun"/>
        <family val="1"/>
        <charset val="134"/>
      </rPr>
      <t>实现数据加密存储和安全通信（如</t>
    </r>
    <r>
      <rPr>
        <sz val="11"/>
        <color theme="1"/>
        <rFont val="Times New Roman"/>
        <family val="1"/>
        <charset val="204"/>
      </rPr>
      <t>SSL/TLS</t>
    </r>
    <r>
      <rPr>
        <sz val="11"/>
        <color theme="1"/>
        <rFont val="SimSun"/>
        <family val="1"/>
        <charset val="134"/>
      </rPr>
      <t>）。</t>
    </r>
    <phoneticPr fontId="1" type="noConversion"/>
  </si>
  <si>
    <t>测试每个模块功能的可靠性，确保前后端逻辑正确无误。</t>
    <phoneticPr fontId="1" type="noConversion"/>
  </si>
  <si>
    <t>确保前后端及外部服务之间的交互工作正常。</t>
    <phoneticPr fontId="1" type="noConversion"/>
  </si>
  <si>
    <t>测试完整用户场景，包括注册、订购服务、查看文档等流程。</t>
    <phoneticPr fontId="1" type="noConversion"/>
  </si>
  <si>
    <t>对主要功能进行内部测试和公开测试，收集反馈并优化。</t>
    <phoneticPr fontId="1" type="noConversion"/>
  </si>
  <si>
    <r>
      <rPr>
        <sz val="11"/>
        <color theme="1"/>
        <rFont val="SimSun"/>
        <family val="1"/>
        <charset val="134"/>
      </rPr>
      <t>安装并配置</t>
    </r>
    <r>
      <rPr>
        <sz val="11"/>
        <color theme="1"/>
        <rFont val="Times New Roman"/>
        <family val="1"/>
        <charset val="204"/>
      </rPr>
      <t>SSL</t>
    </r>
    <r>
      <rPr>
        <sz val="11"/>
        <color theme="1"/>
        <rFont val="SimSun"/>
        <family val="1"/>
        <charset val="134"/>
      </rPr>
      <t>证书，确保网站运行于</t>
    </r>
    <r>
      <rPr>
        <sz val="11"/>
        <color theme="1"/>
        <rFont val="Times New Roman"/>
        <family val="1"/>
        <charset val="204"/>
      </rPr>
      <t>HTTPS</t>
    </r>
    <r>
      <rPr>
        <sz val="11"/>
        <color theme="1"/>
        <rFont val="SimSun"/>
        <family val="1"/>
        <charset val="134"/>
      </rPr>
      <t>协议。</t>
    </r>
    <phoneticPr fontId="1" type="noConversion"/>
  </si>
  <si>
    <t>将代码部署到云服务器，并完成必要的环境配置。</t>
    <phoneticPr fontId="1" type="noConversion"/>
  </si>
  <si>
    <t>№</t>
  </si>
  <si>
    <t>Optimistic</t>
  </si>
  <si>
    <t>Pessimistic</t>
  </si>
  <si>
    <t>Optimal</t>
  </si>
  <si>
    <t>(h)</t>
  </si>
  <si>
    <t>Ei=(P_i+O_i+4M_i)/6</t>
    <phoneticPr fontId="1" type="noConversion"/>
  </si>
  <si>
    <t>СКО_i=(P_i-O_i)/6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</si>
</sst>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Microsoft YaHei"/>
      <family val="2"/>
      <charset val="134"/>
    </font>
    <font>
      <sz val="11"/>
      <name val="Microsoft YaHei"/>
      <family val="2"/>
      <charset val="204"/>
    </font>
    <font>
      <i/>
      <sz val="11"/>
      <name val="Arial"/>
      <family val="2"/>
      <charset val="204"/>
    </font>
    <font>
      <sz val="10.5"/>
      <color rgb="FF000000"/>
      <name val="Times New Roman"/>
      <family val="1"/>
    </font>
    <font>
      <sz val="11"/>
      <color theme="1"/>
      <name val="SimSun"/>
      <family val="1"/>
      <charset val="134"/>
    </font>
    <font>
      <sz val="11"/>
      <color theme="1"/>
      <name val="Times New Roman"/>
      <family val="1"/>
      <charset val="134"/>
    </font>
    <font>
      <b/>
      <sz val="10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1E4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ont="0" applyFill="0" applyBorder="0" applyAlignment="0" applyProtection="0">
      <alignment vertical="top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wrapText="1"/>
    </xf>
    <xf numFmtId="0" fontId="5" fillId="0" borderId="1" xfId="1" applyNumberFormat="1" applyFont="1" applyFill="1" applyBorder="1" applyAlignment="1" applyProtection="1">
      <alignment horizontal="center" vertical="top"/>
    </xf>
    <xf numFmtId="0" fontId="5" fillId="0" borderId="1" xfId="1" applyNumberFormat="1" applyFont="1" applyFill="1" applyBorder="1" applyAlignment="1" applyProtection="1">
      <alignment horizontal="left" vertical="top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left" vertical="top" indent="1"/>
    </xf>
    <xf numFmtId="0" fontId="5" fillId="0" borderId="1" xfId="1" applyNumberFormat="1" applyFont="1" applyFill="1" applyBorder="1" applyAlignment="1" applyProtection="1">
      <alignment horizontal="left" vertical="top" wrapText="1"/>
    </xf>
    <xf numFmtId="0" fontId="5" fillId="0" borderId="1" xfId="1" applyNumberFormat="1" applyFont="1" applyFill="1" applyBorder="1" applyAlignment="1" applyProtection="1">
      <alignment horizontal="left" wrapText="1"/>
    </xf>
    <xf numFmtId="0" fontId="5" fillId="0" borderId="1" xfId="1" applyNumberFormat="1" applyFont="1" applyFill="1" applyBorder="1" applyAlignment="1" applyProtection="1">
      <alignment horizontal="left" vertical="center" indent="2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1" applyNumberFormat="1" applyFont="1" applyFill="1" applyBorder="1" applyAlignment="1" applyProtection="1">
      <alignment horizontal="left" vertical="center"/>
    </xf>
    <xf numFmtId="0" fontId="5" fillId="0" borderId="1" xfId="1" applyNumberFormat="1" applyFont="1" applyFill="1" applyBorder="1" applyAlignment="1" applyProtection="1">
      <alignment horizontal="left" vertical="center" indent="3"/>
    </xf>
    <xf numFmtId="0" fontId="4" fillId="0" borderId="1" xfId="1" applyNumberFormat="1" applyFont="1" applyFill="1" applyBorder="1" applyAlignment="1" applyProtection="1">
      <alignment horizontal="left" vertical="center" indent="1"/>
    </xf>
    <xf numFmtId="0" fontId="4" fillId="0" borderId="1" xfId="1" applyNumberFormat="1" applyFont="1" applyFill="1" applyBorder="1" applyAlignment="1" applyProtection="1">
      <alignment horizontal="left" vertical="center" indent="2"/>
    </xf>
    <xf numFmtId="0" fontId="5" fillId="0" borderId="1" xfId="1" applyNumberFormat="1" applyFont="1" applyFill="1" applyBorder="1" applyAlignment="1" applyProtection="1">
      <alignment horizontal="left" vertical="center" indent="1"/>
    </xf>
    <xf numFmtId="0" fontId="4" fillId="0" borderId="2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  <xf numFmtId="0" fontId="4" fillId="0" borderId="2" xfId="1" applyNumberFormat="1" applyFont="1" applyFill="1" applyBorder="1" applyAlignment="1" applyProtection="1">
      <alignment horizontal="right" vertical="center"/>
    </xf>
    <xf numFmtId="0" fontId="4" fillId="0" borderId="4" xfId="1" applyNumberFormat="1" applyFont="1" applyFill="1" applyBorder="1" applyAlignment="1" applyProtection="1">
      <alignment horizontal="right" vertical="center"/>
    </xf>
    <xf numFmtId="0" fontId="4" fillId="0" borderId="3" xfId="1" applyNumberFormat="1" applyFont="1" applyFill="1" applyBorder="1" applyAlignment="1" applyProtection="1">
      <alignment horizontal="right"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8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2">
    <cellStyle name="常规" xfId="0" builtinId="0"/>
    <cellStyle name="常规_Sheet1" xfId="1" xr:uid="{D5FC512D-11FB-400B-BFDE-6B089FC21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74D2-656B-41C3-B20B-91E5589DE908}">
  <dimension ref="A1:F34"/>
  <sheetViews>
    <sheetView workbookViewId="0">
      <selection activeCell="B5" sqref="B5"/>
    </sheetView>
  </sheetViews>
  <sheetFormatPr baseColWidth="10" defaultColWidth="8.83203125" defaultRowHeight="15"/>
  <cols>
    <col min="2" max="2" width="13.33203125" style="14" customWidth="1"/>
    <col min="3" max="3" width="29.5" style="14" customWidth="1"/>
  </cols>
  <sheetData>
    <row r="1" spans="1:6" ht="30">
      <c r="A1" s="3" t="s">
        <v>4</v>
      </c>
      <c r="B1" s="13" t="s">
        <v>0</v>
      </c>
      <c r="C1" s="13" t="s">
        <v>8</v>
      </c>
      <c r="D1" s="4" t="s">
        <v>9</v>
      </c>
      <c r="E1" s="4" t="s">
        <v>12</v>
      </c>
      <c r="F1" s="4" t="s">
        <v>1</v>
      </c>
    </row>
    <row r="2" spans="1:6">
      <c r="A2" s="3" t="s">
        <v>5</v>
      </c>
      <c r="B2" s="20" t="s">
        <v>7</v>
      </c>
      <c r="C2" s="21"/>
      <c r="D2" s="3" t="s">
        <v>10</v>
      </c>
      <c r="E2" s="3" t="s">
        <v>13</v>
      </c>
      <c r="F2" s="3" t="s">
        <v>15</v>
      </c>
    </row>
    <row r="3" spans="1:6" ht="123">
      <c r="A3" s="5" t="s">
        <v>6</v>
      </c>
      <c r="B3" s="10" t="s">
        <v>2</v>
      </c>
      <c r="C3" s="7" t="s">
        <v>17</v>
      </c>
      <c r="D3" s="8" t="s">
        <v>11</v>
      </c>
      <c r="E3" s="8" t="s">
        <v>14</v>
      </c>
      <c r="F3" s="8" t="s">
        <v>16</v>
      </c>
    </row>
    <row r="4" spans="1:6" ht="165">
      <c r="A4" s="9" t="s">
        <v>18</v>
      </c>
      <c r="B4" s="10" t="s">
        <v>3</v>
      </c>
      <c r="C4" s="11" t="s">
        <v>51</v>
      </c>
      <c r="D4" s="8" t="s">
        <v>35</v>
      </c>
      <c r="E4" s="8" t="s">
        <v>40</v>
      </c>
      <c r="F4" s="12" t="s">
        <v>38</v>
      </c>
    </row>
    <row r="5" spans="1:6" ht="75">
      <c r="A5" s="9" t="s">
        <v>19</v>
      </c>
      <c r="B5" s="7" t="s">
        <v>25</v>
      </c>
      <c r="C5" s="7" t="s">
        <v>30</v>
      </c>
      <c r="D5" s="8" t="s">
        <v>36</v>
      </c>
      <c r="E5" s="8" t="s">
        <v>41</v>
      </c>
      <c r="F5" s="8" t="s">
        <v>46</v>
      </c>
    </row>
    <row r="6" spans="1:6" ht="60">
      <c r="A6" s="9" t="s">
        <v>20</v>
      </c>
      <c r="B6" s="10" t="s">
        <v>26</v>
      </c>
      <c r="C6" s="7" t="s">
        <v>31</v>
      </c>
      <c r="D6" s="8" t="s">
        <v>35</v>
      </c>
      <c r="E6" s="8" t="s">
        <v>42</v>
      </c>
      <c r="F6" s="12" t="s">
        <v>47</v>
      </c>
    </row>
    <row r="7" spans="1:6">
      <c r="A7" s="3" t="s">
        <v>21</v>
      </c>
      <c r="B7" s="20" t="s">
        <v>27</v>
      </c>
      <c r="C7" s="21"/>
      <c r="D7" s="3" t="s">
        <v>37</v>
      </c>
      <c r="E7" s="3" t="s">
        <v>43</v>
      </c>
      <c r="F7" s="3" t="s">
        <v>48</v>
      </c>
    </row>
    <row r="8" spans="1:6" ht="75">
      <c r="A8" s="9" t="s">
        <v>22</v>
      </c>
      <c r="B8" s="10" t="s">
        <v>28</v>
      </c>
      <c r="C8" s="11" t="s">
        <v>32</v>
      </c>
      <c r="D8" s="8" t="s">
        <v>38</v>
      </c>
      <c r="E8" s="8" t="s">
        <v>44</v>
      </c>
      <c r="F8" s="12" t="s">
        <v>49</v>
      </c>
    </row>
    <row r="9" spans="1:6" ht="60">
      <c r="A9" s="9" t="s">
        <v>23</v>
      </c>
      <c r="B9" s="10" t="s">
        <v>29</v>
      </c>
      <c r="C9" s="11" t="s">
        <v>33</v>
      </c>
      <c r="D9" s="8" t="s">
        <v>35</v>
      </c>
      <c r="E9" s="8" t="s">
        <v>45</v>
      </c>
      <c r="F9" s="12" t="s">
        <v>50</v>
      </c>
    </row>
    <row r="10" spans="1:6" ht="195">
      <c r="A10" s="9" t="s">
        <v>24</v>
      </c>
      <c r="B10" s="10" t="s">
        <v>52</v>
      </c>
      <c r="C10" s="11" t="s">
        <v>34</v>
      </c>
      <c r="D10" s="8" t="s">
        <v>39</v>
      </c>
      <c r="E10" s="8" t="s">
        <v>11</v>
      </c>
      <c r="F10" s="12" t="s">
        <v>42</v>
      </c>
    </row>
    <row r="11" spans="1:6" ht="90">
      <c r="A11" s="9" t="s">
        <v>53</v>
      </c>
      <c r="B11" s="6" t="s">
        <v>62</v>
      </c>
      <c r="C11" s="7" t="s">
        <v>71</v>
      </c>
      <c r="D11" s="8" t="s">
        <v>78</v>
      </c>
      <c r="E11" s="8" t="s">
        <v>79</v>
      </c>
      <c r="F11" s="16" t="s">
        <v>35</v>
      </c>
    </row>
    <row r="12" spans="1:6" ht="60">
      <c r="A12" s="9" t="s">
        <v>54</v>
      </c>
      <c r="B12" s="6" t="s">
        <v>63</v>
      </c>
      <c r="C12" s="11" t="s">
        <v>72</v>
      </c>
      <c r="D12" s="8" t="s">
        <v>79</v>
      </c>
      <c r="E12" s="8" t="s">
        <v>45</v>
      </c>
      <c r="F12" s="16" t="s">
        <v>50</v>
      </c>
    </row>
    <row r="13" spans="1:6" ht="90">
      <c r="A13" s="9" t="s">
        <v>55</v>
      </c>
      <c r="B13" s="6" t="s">
        <v>64</v>
      </c>
      <c r="C13" s="11" t="s">
        <v>73</v>
      </c>
      <c r="D13" s="8" t="s">
        <v>45</v>
      </c>
      <c r="E13" s="8" t="s">
        <v>39</v>
      </c>
      <c r="F13" s="16" t="s">
        <v>83</v>
      </c>
    </row>
    <row r="14" spans="1:6" ht="60">
      <c r="A14" s="9" t="s">
        <v>56</v>
      </c>
      <c r="B14" s="6" t="s">
        <v>65</v>
      </c>
      <c r="C14" s="11" t="s">
        <v>74</v>
      </c>
      <c r="D14" s="8" t="s">
        <v>78</v>
      </c>
      <c r="E14" s="8" t="s">
        <v>79</v>
      </c>
      <c r="F14" s="16" t="s">
        <v>82</v>
      </c>
    </row>
    <row r="15" spans="1:6" ht="60">
      <c r="A15" s="9" t="s">
        <v>57</v>
      </c>
      <c r="B15" s="6" t="s">
        <v>66</v>
      </c>
      <c r="C15" s="11" t="s">
        <v>75</v>
      </c>
      <c r="D15" s="8" t="s">
        <v>78</v>
      </c>
      <c r="E15" s="8" t="s">
        <v>79</v>
      </c>
      <c r="F15" s="16" t="s">
        <v>82</v>
      </c>
    </row>
    <row r="16" spans="1:6" ht="75">
      <c r="A16" s="9" t="s">
        <v>58</v>
      </c>
      <c r="B16" s="10" t="s">
        <v>67</v>
      </c>
      <c r="C16" s="11" t="s">
        <v>76</v>
      </c>
      <c r="D16" s="8" t="s">
        <v>79</v>
      </c>
      <c r="E16" s="8" t="s">
        <v>45</v>
      </c>
      <c r="F16" s="16" t="s">
        <v>50</v>
      </c>
    </row>
    <row r="17" spans="1:6" ht="90">
      <c r="A17" s="9" t="s">
        <v>59</v>
      </c>
      <c r="B17" s="10" t="s">
        <v>68</v>
      </c>
      <c r="C17" s="11" t="s">
        <v>77</v>
      </c>
      <c r="D17" s="8" t="s">
        <v>45</v>
      </c>
      <c r="E17" s="8" t="s">
        <v>81</v>
      </c>
      <c r="F17" s="16" t="s">
        <v>84</v>
      </c>
    </row>
    <row r="18" spans="1:6" ht="90">
      <c r="A18" s="9" t="s">
        <v>60</v>
      </c>
      <c r="B18" s="6" t="s">
        <v>69</v>
      </c>
      <c r="C18" s="11" t="s">
        <v>85</v>
      </c>
      <c r="D18" s="8" t="s">
        <v>80</v>
      </c>
      <c r="E18" s="8" t="s">
        <v>82</v>
      </c>
      <c r="F18" s="16" t="s">
        <v>78</v>
      </c>
    </row>
    <row r="19" spans="1:6" ht="90">
      <c r="A19" s="9" t="s">
        <v>61</v>
      </c>
      <c r="B19" s="6" t="s">
        <v>70</v>
      </c>
      <c r="C19" s="7" t="s">
        <v>86</v>
      </c>
      <c r="D19" s="8" t="s">
        <v>45</v>
      </c>
      <c r="E19" s="8" t="s">
        <v>81</v>
      </c>
      <c r="F19" s="16" t="s">
        <v>84</v>
      </c>
    </row>
    <row r="20" spans="1:6" ht="75">
      <c r="A20" s="5" t="s">
        <v>87</v>
      </c>
      <c r="B20" s="6" t="s">
        <v>100</v>
      </c>
      <c r="C20" s="11" t="s">
        <v>139</v>
      </c>
      <c r="D20" s="8" t="s">
        <v>79</v>
      </c>
      <c r="E20" s="8" t="s">
        <v>49</v>
      </c>
      <c r="F20" s="8" t="s">
        <v>45</v>
      </c>
    </row>
    <row r="21" spans="1:6">
      <c r="A21" s="17" t="s">
        <v>80</v>
      </c>
      <c r="B21" s="20" t="s">
        <v>101</v>
      </c>
      <c r="C21" s="21"/>
      <c r="D21" s="3" t="s">
        <v>119</v>
      </c>
      <c r="E21" s="3" t="s">
        <v>125</v>
      </c>
      <c r="F21" s="18" t="s">
        <v>133</v>
      </c>
    </row>
    <row r="22" spans="1:6" ht="60">
      <c r="A22" s="9" t="s">
        <v>88</v>
      </c>
      <c r="B22" s="10" t="s">
        <v>102</v>
      </c>
      <c r="C22" s="7" t="s">
        <v>113</v>
      </c>
      <c r="D22" s="8" t="s">
        <v>120</v>
      </c>
      <c r="E22" s="8" t="s">
        <v>126</v>
      </c>
      <c r="F22" s="8" t="s">
        <v>134</v>
      </c>
    </row>
    <row r="23" spans="1:6" ht="45">
      <c r="A23" s="9" t="s">
        <v>89</v>
      </c>
      <c r="B23" s="7" t="s">
        <v>103</v>
      </c>
      <c r="C23" s="11" t="s">
        <v>140</v>
      </c>
      <c r="D23" s="8" t="s">
        <v>47</v>
      </c>
      <c r="E23" s="8" t="s">
        <v>127</v>
      </c>
      <c r="F23" s="8" t="s">
        <v>123</v>
      </c>
    </row>
    <row r="24" spans="1:6" ht="30">
      <c r="A24" s="9" t="s">
        <v>90</v>
      </c>
      <c r="B24" s="11" t="s">
        <v>104</v>
      </c>
      <c r="C24" s="11" t="s">
        <v>114</v>
      </c>
      <c r="D24" s="8" t="s">
        <v>121</v>
      </c>
      <c r="E24" s="8" t="s">
        <v>128</v>
      </c>
      <c r="F24" s="12" t="s">
        <v>135</v>
      </c>
    </row>
    <row r="25" spans="1:6">
      <c r="A25" s="17" t="s">
        <v>91</v>
      </c>
      <c r="B25" s="20" t="s">
        <v>105</v>
      </c>
      <c r="C25" s="21"/>
      <c r="D25" s="3" t="s">
        <v>122</v>
      </c>
      <c r="E25" s="3" t="s">
        <v>129</v>
      </c>
      <c r="F25" s="18" t="s">
        <v>136</v>
      </c>
    </row>
    <row r="26" spans="1:6" ht="105">
      <c r="A26" s="9" t="s">
        <v>92</v>
      </c>
      <c r="B26" s="10" t="s">
        <v>106</v>
      </c>
      <c r="C26" s="11" t="s">
        <v>141</v>
      </c>
      <c r="D26" s="8" t="s">
        <v>123</v>
      </c>
      <c r="E26" s="8" t="s">
        <v>130</v>
      </c>
      <c r="F26" s="8" t="s">
        <v>121</v>
      </c>
    </row>
    <row r="27" spans="1:6" ht="45">
      <c r="A27" s="19" t="s">
        <v>93</v>
      </c>
      <c r="B27" s="11" t="s">
        <v>107</v>
      </c>
      <c r="C27" s="11" t="s">
        <v>115</v>
      </c>
      <c r="D27" s="8" t="s">
        <v>50</v>
      </c>
      <c r="E27" s="8" t="s">
        <v>47</v>
      </c>
      <c r="F27" s="8" t="s">
        <v>49</v>
      </c>
    </row>
    <row r="28" spans="1:6" ht="45">
      <c r="A28" s="19" t="s">
        <v>94</v>
      </c>
      <c r="B28" s="11" t="s">
        <v>108</v>
      </c>
      <c r="C28" s="11" t="s">
        <v>116</v>
      </c>
      <c r="D28" s="8" t="s">
        <v>123</v>
      </c>
      <c r="E28" s="8" t="s">
        <v>130</v>
      </c>
      <c r="F28" s="8" t="s">
        <v>121</v>
      </c>
    </row>
    <row r="29" spans="1:6">
      <c r="A29" s="17" t="s">
        <v>78</v>
      </c>
      <c r="B29" s="20" t="s">
        <v>109</v>
      </c>
      <c r="C29" s="21"/>
      <c r="D29" s="3" t="s">
        <v>16</v>
      </c>
      <c r="E29" s="3" t="s">
        <v>128</v>
      </c>
      <c r="F29" s="18" t="s">
        <v>122</v>
      </c>
    </row>
    <row r="30" spans="1:6" ht="60">
      <c r="A30" s="9" t="s">
        <v>95</v>
      </c>
      <c r="B30" s="7" t="s">
        <v>142</v>
      </c>
      <c r="C30" s="11" t="s">
        <v>117</v>
      </c>
      <c r="D30" s="8" t="s">
        <v>123</v>
      </c>
      <c r="E30" s="8" t="s">
        <v>130</v>
      </c>
      <c r="F30" s="8" t="s">
        <v>121</v>
      </c>
    </row>
    <row r="31" spans="1:6" ht="45">
      <c r="A31" s="9" t="s">
        <v>96</v>
      </c>
      <c r="B31" s="6" t="s">
        <v>110</v>
      </c>
      <c r="C31" s="11" t="s">
        <v>143</v>
      </c>
      <c r="D31" s="8" t="s">
        <v>78</v>
      </c>
      <c r="E31" s="8" t="s">
        <v>131</v>
      </c>
      <c r="F31" s="8" t="s">
        <v>35</v>
      </c>
    </row>
    <row r="32" spans="1:6" ht="45">
      <c r="A32" s="9" t="s">
        <v>97</v>
      </c>
      <c r="B32" s="7" t="s">
        <v>111</v>
      </c>
      <c r="C32" s="11" t="s">
        <v>144</v>
      </c>
      <c r="D32" s="8" t="s">
        <v>50</v>
      </c>
      <c r="E32" s="8" t="s">
        <v>47</v>
      </c>
      <c r="F32" s="8" t="s">
        <v>137</v>
      </c>
    </row>
    <row r="33" spans="1:6" ht="45">
      <c r="A33" s="19" t="s">
        <v>98</v>
      </c>
      <c r="B33" s="15" t="s">
        <v>112</v>
      </c>
      <c r="C33" s="11" t="s">
        <v>118</v>
      </c>
      <c r="D33" s="8" t="s">
        <v>78</v>
      </c>
      <c r="E33" s="8" t="s">
        <v>45</v>
      </c>
      <c r="F33" s="8" t="s">
        <v>79</v>
      </c>
    </row>
    <row r="34" spans="1:6">
      <c r="A34" s="22" t="s">
        <v>99</v>
      </c>
      <c r="B34" s="23"/>
      <c r="C34" s="24"/>
      <c r="D34" s="3" t="s">
        <v>124</v>
      </c>
      <c r="E34" s="3" t="s">
        <v>132</v>
      </c>
      <c r="F34" s="3" t="s">
        <v>138</v>
      </c>
    </row>
  </sheetData>
  <mergeCells count="6">
    <mergeCell ref="A34:C34"/>
    <mergeCell ref="B2:C2"/>
    <mergeCell ref="B7:C7"/>
    <mergeCell ref="B21:C21"/>
    <mergeCell ref="B25:C25"/>
    <mergeCell ref="B29:C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9840-9214-4EC6-8269-5D4BE3F124DF}">
  <dimension ref="A1:M28"/>
  <sheetViews>
    <sheetView tabSelected="1" zoomScale="130" zoomScaleNormal="130" workbookViewId="0">
      <selection activeCell="D3" sqref="D3"/>
    </sheetView>
  </sheetViews>
  <sheetFormatPr baseColWidth="10" defaultColWidth="9" defaultRowHeight="14"/>
  <cols>
    <col min="1" max="1" width="5.1640625" style="2" customWidth="1"/>
    <col min="2" max="2" width="15.33203125" style="1" customWidth="1"/>
    <col min="3" max="3" width="29.33203125" style="1" customWidth="1"/>
    <col min="4" max="4" width="9" style="1" customWidth="1"/>
    <col min="5" max="5" width="8.83203125" style="1" customWidth="1"/>
    <col min="6" max="6" width="6.5" style="1" customWidth="1"/>
    <col min="7" max="16384" width="9" style="1"/>
  </cols>
  <sheetData>
    <row r="1" spans="1:13" ht="31.5" customHeight="1">
      <c r="A1" s="27" t="str">
        <f>"№"</f>
        <v>№</v>
      </c>
      <c r="B1" s="27" t="str">
        <f>"Название"</f>
        <v>Название</v>
      </c>
      <c r="C1" s="27" t="str">
        <f>"Описание"</f>
        <v>Описание</v>
      </c>
      <c r="D1" s="27" t="str">
        <f>"Оптимистичное время (часы)"</f>
        <v>Оптимистичное время (часы)</v>
      </c>
      <c r="E1" s="27" t="str">
        <f>"Пессимистичное время (часы)"</f>
        <v>Пессимистичное время (часы)</v>
      </c>
      <c r="F1" s="27" t="str">
        <f>"Лучшее время (часы)"</f>
        <v>Лучшее время (часы)</v>
      </c>
      <c r="H1" s="1" t="str">
        <f>"编号"</f>
        <v>编号</v>
      </c>
      <c r="I1" s="1" t="str">
        <f>"名称"</f>
        <v>名称</v>
      </c>
      <c r="J1" s="1" t="str">
        <f>"描述"</f>
        <v>描述</v>
      </c>
      <c r="K1" s="1" t="str">
        <f>"乐观时间 (小时)"</f>
        <v>乐观时间 (小时)</v>
      </c>
      <c r="L1" s="1" t="str">
        <f>"悲观时间 (小时)"</f>
        <v>悲观时间 (小时)</v>
      </c>
      <c r="M1" s="1" t="str">
        <f>"最佳时间 (小时)"</f>
        <v>最佳时间 (小时)</v>
      </c>
    </row>
    <row r="2" spans="1:13" ht="15">
      <c r="A2" s="27" t="str">
        <f>"1"</f>
        <v>1</v>
      </c>
      <c r="B2" s="27" t="str">
        <f>"Подготовка"</f>
        <v>Подготовка</v>
      </c>
      <c r="C2" s="27" t="str">
        <f>""</f>
        <v/>
      </c>
      <c r="D2" s="28" t="str">
        <f>"200"</f>
        <v>200</v>
      </c>
      <c r="E2" s="28" t="str">
        <f>"450"</f>
        <v>450</v>
      </c>
      <c r="F2" s="28" t="str">
        <f>"300"</f>
        <v>300</v>
      </c>
      <c r="H2" s="1" t="str">
        <f>"1"</f>
        <v>1</v>
      </c>
      <c r="I2" s="1" t="str">
        <f>"准备"</f>
        <v>准备</v>
      </c>
      <c r="J2" s="1" t="str">
        <f>""</f>
        <v/>
      </c>
      <c r="K2" s="1" t="str">
        <f>"200"</f>
        <v>200</v>
      </c>
      <c r="L2" s="1" t="str">
        <f>"450"</f>
        <v>450</v>
      </c>
      <c r="M2" s="1" t="str">
        <f>"300"</f>
        <v>300</v>
      </c>
    </row>
    <row r="3" spans="1:13" ht="135">
      <c r="A3" s="27" t="str">
        <f>"1.1"</f>
        <v>1.1</v>
      </c>
      <c r="B3" s="28" t="str">
        <f>"Прототип сайта"</f>
        <v>Прототип сайта</v>
      </c>
      <c r="C3" s="28" t="str">
        <f>"Разработка начального прототипа сайта, проектирование пользовательского опыта и анимаций взаимодействия для главной страницы, страницы услуг, страницы продуктов и других разделов."</f>
        <v>Разработка начального прототипа сайта, проектирование пользовательского опыта и анимаций взаимодействия для главной страницы, страницы услуг, страницы продуктов и других разделов.</v>
      </c>
      <c r="D3" s="28">
        <v>50</v>
      </c>
      <c r="E3" s="28" t="str">
        <f>"100"</f>
        <v>100</v>
      </c>
      <c r="F3" s="28" t="str">
        <f>"70"</f>
        <v>70</v>
      </c>
      <c r="H3" s="1" t="str">
        <f>"1.1"</f>
        <v>1.1</v>
      </c>
      <c r="I3" s="1" t="str">
        <f>"网站原型"</f>
        <v>网站原型</v>
      </c>
      <c r="J3" s="26" t="s">
        <v>145</v>
      </c>
      <c r="K3" s="1" t="str">
        <f>"50"</f>
        <v>50</v>
      </c>
      <c r="L3" s="1" t="str">
        <f>"100"</f>
        <v>100</v>
      </c>
      <c r="M3" s="1" t="str">
        <f>"70"</f>
        <v>70</v>
      </c>
    </row>
    <row r="4" spans="1:13" ht="225">
      <c r="A4" s="27" t="str">
        <f>"1.2"</f>
        <v>1.2</v>
      </c>
      <c r="B4" s="28" t="str">
        <f>"Выбор технологий"</f>
        <v>Выбор технологий</v>
      </c>
      <c r="C4" s="28" t="str">
        <f>"Определение технологического стека: использование ReactJS для динамического взаимодействия на фронтенде, Node.js и GraphQL для быстрого обработки данных на бэкенде, выбор PostgreSQL в качестве базы данных."</f>
        <v>Определение технологического стека: использование ReactJS для динамического взаимодействия на фронтенде, Node.js и GraphQL для быстрого обработки данных на бэкенде, выбор PostgreSQL в качестве базы данных.</v>
      </c>
      <c r="D4" s="28" t="str">
        <f>"10"</f>
        <v>10</v>
      </c>
      <c r="E4" s="28" t="str">
        <f>"40"</f>
        <v>40</v>
      </c>
      <c r="F4" s="28" t="str">
        <f>"20"</f>
        <v>20</v>
      </c>
      <c r="H4" s="1" t="str">
        <f>"1.2"</f>
        <v>1.2</v>
      </c>
      <c r="I4" s="1" t="str">
        <f>"技术选择"</f>
        <v>技术选择</v>
      </c>
      <c r="J4" s="25" t="s">
        <v>146</v>
      </c>
      <c r="K4" s="1" t="str">
        <f>"10"</f>
        <v>10</v>
      </c>
      <c r="L4" s="1" t="str">
        <f>"40"</f>
        <v>40</v>
      </c>
      <c r="M4" s="1" t="str">
        <f>"20"</f>
        <v>20</v>
      </c>
    </row>
    <row r="5" spans="1:13" ht="150">
      <c r="A5" s="27" t="str">
        <f>"1.3"</f>
        <v>1.3</v>
      </c>
      <c r="B5" s="28" t="str">
        <f>"Разрешение на обработку данных"</f>
        <v>Разрешение на обработку данных</v>
      </c>
      <c r="C5" s="28" t="str">
        <f>"Ввиду работы с регистрацией пользователей и хранением данных необходимо получить разрешение на обработку данных и обеспечить соблюдение законодательных норм."</f>
        <v>Ввиду работы с регистрацией пользователей и хранением данных необходимо получить разрешение на обработку данных и обеспечить соблюдение законодательных норм.</v>
      </c>
      <c r="D5" s="28" t="str">
        <f>"100"</f>
        <v>100</v>
      </c>
      <c r="E5" s="28" t="str">
        <f>"250"</f>
        <v>250</v>
      </c>
      <c r="F5" s="28" t="str">
        <f>"150"</f>
        <v>150</v>
      </c>
      <c r="H5" s="1" t="str">
        <f>"1.3"</f>
        <v>1.3</v>
      </c>
      <c r="I5" s="1" t="str">
        <f>"数据处理许可"</f>
        <v>数据处理许可</v>
      </c>
      <c r="J5" s="26" t="s">
        <v>147</v>
      </c>
      <c r="K5" s="1" t="str">
        <f>"100"</f>
        <v>100</v>
      </c>
      <c r="L5" s="1" t="str">
        <f>"250"</f>
        <v>250</v>
      </c>
      <c r="M5" s="1" t="str">
        <f>"150"</f>
        <v>150</v>
      </c>
    </row>
    <row r="6" spans="1:13" ht="90">
      <c r="A6" s="27" t="str">
        <f>"1.4"</f>
        <v>1.4</v>
      </c>
      <c r="B6" s="29" t="str">
        <f>"Настройка хостинга и домена"</f>
        <v>Настройка хостинга и домена</v>
      </c>
      <c r="C6" s="28" t="str">
        <f>"Определение оптимального хостинга и конфигурации домена с учетом производительности и стоимости."</f>
        <v>Определение оптимального хостинга и конфигурации домена с учетом производительности и стоимости.</v>
      </c>
      <c r="D6" s="28" t="str">
        <f>"40"</f>
        <v>40</v>
      </c>
      <c r="E6" s="28" t="str">
        <f>"60"</f>
        <v>60</v>
      </c>
      <c r="F6" s="28" t="str">
        <f>"50"</f>
        <v>50</v>
      </c>
      <c r="H6" s="1" t="str">
        <f>"1.4"</f>
        <v>1.4</v>
      </c>
      <c r="I6" s="1" t="str">
        <f>"主机与域名设置"</f>
        <v>主机与域名设置</v>
      </c>
      <c r="J6" s="1" t="str">
        <f>"确定最佳主机和域名设置方案，优化性能和成本。"</f>
        <v>确定最佳主机和域名设置方案，优化性能和成本。</v>
      </c>
      <c r="K6" s="1" t="str">
        <f>"40"</f>
        <v>40</v>
      </c>
      <c r="L6" s="1" t="str">
        <f>"60"</f>
        <v>60</v>
      </c>
      <c r="M6" s="1" t="str">
        <f>"50"</f>
        <v>50</v>
      </c>
    </row>
    <row r="7" spans="1:13" ht="15">
      <c r="A7" s="27" t="str">
        <f>"2"</f>
        <v>2</v>
      </c>
      <c r="B7" s="27" t="str">
        <f>"Фронтенд"</f>
        <v>Фронтенд</v>
      </c>
      <c r="C7" s="27" t="str">
        <f>""</f>
        <v/>
      </c>
      <c r="D7" s="28" t="str">
        <f>"300"</f>
        <v>300</v>
      </c>
      <c r="E7" s="28" t="str">
        <f>"500"</f>
        <v>500</v>
      </c>
      <c r="F7" s="28" t="str">
        <f>"400"</f>
        <v>400</v>
      </c>
      <c r="H7" s="1" t="str">
        <f>"2"</f>
        <v>2</v>
      </c>
      <c r="I7" s="1" t="str">
        <f>"前端"</f>
        <v>前端</v>
      </c>
      <c r="J7" s="1" t="str">
        <f>""</f>
        <v/>
      </c>
      <c r="K7" s="1" t="str">
        <f>"300"</f>
        <v>300</v>
      </c>
      <c r="L7" s="1" t="str">
        <f>"500"</f>
        <v>500</v>
      </c>
      <c r="M7" s="1" t="str">
        <f>"400"</f>
        <v>400</v>
      </c>
    </row>
    <row r="8" spans="1:13" ht="135">
      <c r="A8" s="27" t="str">
        <f>"2.1"</f>
        <v>2.1</v>
      </c>
      <c r="B8" s="27" t="str">
        <f>"Главная страница"</f>
        <v>Главная страница</v>
      </c>
      <c r="C8" s="27" t="str">
        <f>"Адаптивный дизайн, отображение основных услуг, динамическая загрузка контента, оптимизация анимаций, акцент на ключевой информации."</f>
        <v>Адаптивный дизайн, отображение основных услуг, динамическая загрузка контента, оптимизация анимаций, акцент на ключевой информации.</v>
      </c>
      <c r="D8" s="28" t="str">
        <f>"40"</f>
        <v>40</v>
      </c>
      <c r="E8" s="28" t="str">
        <f>"80"</f>
        <v>80</v>
      </c>
      <c r="F8" s="28" t="str">
        <f>"60"</f>
        <v>60</v>
      </c>
      <c r="H8" s="1" t="str">
        <f>"2.1"</f>
        <v>2.1</v>
      </c>
      <c r="I8" s="1" t="str">
        <f>"主页"</f>
        <v>主页</v>
      </c>
      <c r="J8" s="26" t="s">
        <v>148</v>
      </c>
      <c r="K8" s="1" t="str">
        <f>"40"</f>
        <v>40</v>
      </c>
      <c r="L8" s="1" t="str">
        <f>"80"</f>
        <v>80</v>
      </c>
      <c r="M8" s="1" t="str">
        <f>"60"</f>
        <v>60</v>
      </c>
    </row>
    <row r="9" spans="1:13" ht="75">
      <c r="A9" s="27" t="str">
        <f>"2.2"</f>
        <v>2.2</v>
      </c>
      <c r="B9" s="28" t="str">
        <f>"Страница входа/регистрации"</f>
        <v>Страница входа/регистрации</v>
      </c>
      <c r="C9" s="28" t="str">
        <f>"Динамическая валидация форм, адаптивный макет, поддержка двухфакторной аутентификации (2FA)."</f>
        <v>Динамическая валидация форм, адаптивный макет, поддержка двухфакторной аутентификации (2FA).</v>
      </c>
      <c r="D9" s="28" t="str">
        <f>"30"</f>
        <v>30</v>
      </c>
      <c r="E9" s="28" t="str">
        <f>"50"</f>
        <v>50</v>
      </c>
      <c r="F9" s="28" t="str">
        <f>"40"</f>
        <v>40</v>
      </c>
      <c r="H9" s="1" t="str">
        <f>"2.2"</f>
        <v>2.2</v>
      </c>
      <c r="I9" s="1" t="str">
        <f>"登录/注册"</f>
        <v>登录/注册</v>
      </c>
      <c r="J9" s="26" t="s">
        <v>149</v>
      </c>
      <c r="K9" s="1" t="str">
        <f>"30"</f>
        <v>30</v>
      </c>
      <c r="L9" s="1" t="str">
        <f>"50"</f>
        <v>50</v>
      </c>
      <c r="M9" s="1" t="str">
        <f>"40"</f>
        <v>40</v>
      </c>
    </row>
    <row r="10" spans="1:13" ht="120">
      <c r="A10" s="27" t="str">
        <f>"2.3"</f>
        <v>2.3</v>
      </c>
      <c r="B10" s="28" t="str">
        <f>"Страница услуг"</f>
        <v>Страница услуг</v>
      </c>
      <c r="C10" s="28" t="str">
        <f>"Отображение различных облачных услуг Selectel, поддержка динамической фильтрации и отображения подробной информации."</f>
        <v>Отображение различных облачных услуг Selectel, поддержка динамической фильтрации и отображения подробной информации.</v>
      </c>
      <c r="D10" s="28" t="str">
        <f>"50"</f>
        <v>50</v>
      </c>
      <c r="E10" s="28" t="str">
        <f>"90"</f>
        <v>90</v>
      </c>
      <c r="F10" s="28" t="str">
        <f>"70"</f>
        <v>70</v>
      </c>
      <c r="H10" s="1" t="str">
        <f>"2.3"</f>
        <v>2.3</v>
      </c>
      <c r="I10" s="1" t="str">
        <f>"服务页面"</f>
        <v>服务页面</v>
      </c>
      <c r="J10" s="25" t="s">
        <v>152</v>
      </c>
      <c r="K10" s="1" t="str">
        <f>"50"</f>
        <v>50</v>
      </c>
      <c r="L10" s="1" t="str">
        <f>"90"</f>
        <v>90</v>
      </c>
      <c r="M10" s="1" t="str">
        <f>"70"</f>
        <v>70</v>
      </c>
    </row>
    <row r="11" spans="1:13" ht="105">
      <c r="A11" s="27" t="str">
        <f>"2.4"</f>
        <v>2.4</v>
      </c>
      <c r="B11" s="28" t="str">
        <f>"Страница продуктов"</f>
        <v>Страница продуктов</v>
      </c>
      <c r="C11" s="28" t="str">
        <f>"Представление подробной информации о продуктах, включая технические параметры и калькуляцию стоимости."</f>
        <v>Представление подробной информации о продуктах, включая технические параметры и калькуляцию стоимости.</v>
      </c>
      <c r="D11" s="28" t="str">
        <f>"50"</f>
        <v>50</v>
      </c>
      <c r="E11" s="28" t="str">
        <f>"100"</f>
        <v>100</v>
      </c>
      <c r="F11" s="28" t="str">
        <f>"75"</f>
        <v>75</v>
      </c>
      <c r="H11" s="1" t="str">
        <f>"2.4"</f>
        <v>2.4</v>
      </c>
      <c r="I11" s="1" t="str">
        <f>"产品页面"</f>
        <v>产品页面</v>
      </c>
      <c r="J11" s="25" t="s">
        <v>150</v>
      </c>
      <c r="K11" s="1" t="str">
        <f>"50"</f>
        <v>50</v>
      </c>
      <c r="L11" s="1" t="str">
        <f>"100"</f>
        <v>100</v>
      </c>
      <c r="M11" s="1" t="str">
        <f>"75"</f>
        <v>75</v>
      </c>
    </row>
    <row r="12" spans="1:13" ht="90">
      <c r="A12" s="27" t="str">
        <f>"2.5"</f>
        <v>2.5</v>
      </c>
      <c r="B12" s="28" t="str">
        <f>"Центр поддержки"</f>
        <v>Центр поддержки</v>
      </c>
      <c r="C12" s="28" t="str">
        <f>"Включает раздел часто задаваемых вопросов, форму отправки запросов и поддержку в реальном времени через чат."</f>
        <v>Включает раздел часто задаваемых вопросов, форму отправки запросов и поддержку в реальном времени через чат.</v>
      </c>
      <c r="D12" s="28" t="str">
        <f>"40"</f>
        <v>40</v>
      </c>
      <c r="E12" s="28" t="str">
        <f>"80"</f>
        <v>80</v>
      </c>
      <c r="F12" s="28" t="str">
        <f>"60"</f>
        <v>60</v>
      </c>
      <c r="H12" s="1" t="str">
        <f>"2.5"</f>
        <v>2.5</v>
      </c>
      <c r="I12" s="1" t="str">
        <f>"支持中心"</f>
        <v>支持中心</v>
      </c>
      <c r="J12" s="26" t="s">
        <v>151</v>
      </c>
      <c r="K12" s="1" t="str">
        <f>"40"</f>
        <v>40</v>
      </c>
      <c r="L12" s="1" t="str">
        <f>"80"</f>
        <v>80</v>
      </c>
      <c r="M12" s="1" t="str">
        <f>"60"</f>
        <v>60</v>
      </c>
    </row>
    <row r="13" spans="1:13" ht="90">
      <c r="A13" s="27" t="str">
        <f>"2.6"</f>
        <v>2.6</v>
      </c>
      <c r="B13" s="27" t="str">
        <f>"Страница документации"</f>
        <v>Страница документации</v>
      </c>
      <c r="C13" s="27" t="str">
        <f>"Отображение технической документации с возможностью постраничного чтения и полнотекстового поиска."</f>
        <v>Отображение технической документации с возможностью постраничного чтения и полнотекстового поиска.</v>
      </c>
      <c r="D13" s="28" t="str">
        <f>"30"</f>
        <v>30</v>
      </c>
      <c r="E13" s="28" t="str">
        <f>"60"</f>
        <v>60</v>
      </c>
      <c r="F13" s="28" t="str">
        <f>"45"</f>
        <v>45</v>
      </c>
      <c r="H13" s="1" t="str">
        <f>"2.6"</f>
        <v>2.6</v>
      </c>
      <c r="I13" s="1" t="str">
        <f>"文档页面"</f>
        <v>文档页面</v>
      </c>
      <c r="J13" s="26" t="s">
        <v>153</v>
      </c>
      <c r="K13" s="1" t="str">
        <f>"30"</f>
        <v>30</v>
      </c>
      <c r="L13" s="1" t="str">
        <f>"60"</f>
        <v>60</v>
      </c>
      <c r="M13" s="1" t="str">
        <f>"45"</f>
        <v>45</v>
      </c>
    </row>
    <row r="14" spans="1:13" ht="120">
      <c r="A14" s="27" t="str">
        <f>"2.7"</f>
        <v>2.7</v>
      </c>
      <c r="B14" s="28" t="str">
        <f>"Панель управления пользователем"</f>
        <v>Панель управления пользователем</v>
      </c>
      <c r="C14" s="28" t="str">
        <f>"Включает управление аккаунтом, историю заказов, мониторинг состояния услуг и устройств, поддержку пользовательской настройки."</f>
        <v>Включает управление аккаунтом, историю заказов, мониторинг состояния услуг и устройств, поддержку пользовательской настройки.</v>
      </c>
      <c r="D14" s="28" t="str">
        <f>"60"</f>
        <v>60</v>
      </c>
      <c r="E14" s="28" t="str">
        <f>"120"</f>
        <v>120</v>
      </c>
      <c r="F14" s="28" t="str">
        <f>"90"</f>
        <v>90</v>
      </c>
      <c r="H14" s="1" t="str">
        <f>"2.7"</f>
        <v>2.7</v>
      </c>
      <c r="I14" s="1" t="str">
        <f>"用户控制面板"</f>
        <v>用户控制面板</v>
      </c>
      <c r="J14" s="26" t="s">
        <v>154</v>
      </c>
      <c r="K14" s="1" t="str">
        <f>"60"</f>
        <v>60</v>
      </c>
      <c r="L14" s="1" t="str">
        <f>"120"</f>
        <v>120</v>
      </c>
      <c r="M14" s="1" t="str">
        <f>"90"</f>
        <v>90</v>
      </c>
    </row>
    <row r="15" spans="1:13" ht="15">
      <c r="A15" s="27" t="str">
        <f>"3"</f>
        <v>3</v>
      </c>
      <c r="B15" s="28" t="str">
        <f>"Бэкенд"</f>
        <v>Бэкенд</v>
      </c>
      <c r="C15" s="28" t="str">
        <f>""</f>
        <v/>
      </c>
      <c r="D15" s="28" t="str">
        <f>"250"</f>
        <v>250</v>
      </c>
      <c r="E15" s="28" t="str">
        <f>"450"</f>
        <v>450</v>
      </c>
      <c r="F15" s="28" t="str">
        <f>"350"</f>
        <v>350</v>
      </c>
      <c r="H15" s="1" t="str">
        <f>"3"</f>
        <v>3</v>
      </c>
      <c r="I15" s="1" t="str">
        <f>"后端"</f>
        <v>后端</v>
      </c>
      <c r="J15" s="1" t="str">
        <f>""</f>
        <v/>
      </c>
      <c r="K15" s="1" t="str">
        <f>"250"</f>
        <v>250</v>
      </c>
      <c r="L15" s="1" t="str">
        <f>"450"</f>
        <v>450</v>
      </c>
      <c r="M15" s="1" t="str">
        <f>"350"</f>
        <v>350</v>
      </c>
    </row>
    <row r="16" spans="1:13" ht="135">
      <c r="A16" s="27" t="str">
        <f>"3.1"</f>
        <v>3.1</v>
      </c>
      <c r="B16" s="28" t="str">
        <f>"Проектирование и настройка базы данных"</f>
        <v>Проектирование и настройка базы данных</v>
      </c>
      <c r="C16" s="28" t="str">
        <f>"Создание структуры базы данных, включающей данные пользователей, заказы, состояние услуг и устройств, оптимизация индексов."</f>
        <v>Создание структуры базы данных, включающей данные пользователей, заказы, состояние услуг и устройств, оптимизация индексов.</v>
      </c>
      <c r="D16" s="28" t="str">
        <f>"60"</f>
        <v>60</v>
      </c>
      <c r="E16" s="28" t="str">
        <f>"120"</f>
        <v>120</v>
      </c>
      <c r="F16" s="28" t="str">
        <f>"90"</f>
        <v>90</v>
      </c>
      <c r="H16" s="1" t="str">
        <f>"3.1"</f>
        <v>3.1</v>
      </c>
      <c r="I16" s="1" t="str">
        <f>"数据库设计与配置"</f>
        <v>数据库设计与配置</v>
      </c>
      <c r="J16" s="25" t="s">
        <v>155</v>
      </c>
      <c r="K16" s="1" t="str">
        <f>"60"</f>
        <v>60</v>
      </c>
      <c r="L16" s="1" t="str">
        <f>"120"</f>
        <v>120</v>
      </c>
      <c r="M16" s="1" t="str">
        <f>"90"</f>
        <v>90</v>
      </c>
    </row>
    <row r="17" spans="1:13" ht="135">
      <c r="A17" s="27" t="str">
        <f>"3.2"</f>
        <v>3.2</v>
      </c>
      <c r="B17" s="28" t="str">
        <f>"Аутентификация и управление правами доступа"</f>
        <v>Аутентификация и управление правами доступа</v>
      </c>
      <c r="C17" s="28" t="str">
        <f>"Реализация логики входа, регистрации и управления правами доступа, поддержка различных ролей (обычные пользователи, администраторы)."</f>
        <v>Реализация логики входа, регистрации и управления правами доступа, поддержка различных ролей (обычные пользователи, администраторы).</v>
      </c>
      <c r="D17" s="28" t="str">
        <f>"40"</f>
        <v>40</v>
      </c>
      <c r="E17" s="28" t="str">
        <f>"80"</f>
        <v>80</v>
      </c>
      <c r="F17" s="28" t="str">
        <f>"60"</f>
        <v>60</v>
      </c>
      <c r="H17" s="1" t="str">
        <f>"3.2"</f>
        <v>3.2</v>
      </c>
      <c r="I17" s="1" t="str">
        <f>"用户认证与权限管理"</f>
        <v>用户认证与权限管理</v>
      </c>
      <c r="J17" s="26" t="s">
        <v>156</v>
      </c>
      <c r="K17" s="1" t="str">
        <f>"40"</f>
        <v>40</v>
      </c>
      <c r="L17" s="1" t="str">
        <f>"80"</f>
        <v>80</v>
      </c>
      <c r="M17" s="1" t="str">
        <f>"60"</f>
        <v>60</v>
      </c>
    </row>
    <row r="18" spans="1:13" ht="105">
      <c r="A18" s="27" t="str">
        <f>"3.3"</f>
        <v>3.3</v>
      </c>
      <c r="B18" s="27" t="str">
        <f>"Разработка API"</f>
        <v>Разработка API</v>
      </c>
      <c r="C18" s="27" t="str">
        <f>"Проектирование и разработка RESTful API для взаимодействия фронтенда и бэкенда."</f>
        <v>Проектирование и разработка RESTful API для взаимодействия фронтенда и бэкенда.</v>
      </c>
      <c r="D18" s="28" t="str">
        <f>"80"</f>
        <v>80</v>
      </c>
      <c r="E18" s="28" t="str">
        <f>"150"</f>
        <v>150</v>
      </c>
      <c r="F18" s="28" t="str">
        <f>"100"</f>
        <v>100</v>
      </c>
      <c r="H18" s="1" t="str">
        <f>"3.3"</f>
        <v>3.3</v>
      </c>
      <c r="I18" s="1" t="str">
        <f>"服务接口开发"</f>
        <v>服务接口开发</v>
      </c>
      <c r="J18" s="25" t="s">
        <v>157</v>
      </c>
      <c r="K18" s="1" t="str">
        <f>"80"</f>
        <v>80</v>
      </c>
      <c r="L18" s="1" t="str">
        <f>"150"</f>
        <v>150</v>
      </c>
      <c r="M18" s="1" t="str">
        <f>"100"</f>
        <v>100</v>
      </c>
    </row>
    <row r="19" spans="1:13" ht="90">
      <c r="A19" s="27" t="str">
        <f>"3.4"</f>
        <v>3.4</v>
      </c>
      <c r="B19" s="28" t="str">
        <f>"Безопасность и шифрование данных"</f>
        <v>Безопасность и шифрование данных</v>
      </c>
      <c r="C19" s="28" t="str">
        <f>"Реализация шифрования данных для хранения и обеспечение защищенной связи (например, через SSL/TLS)."</f>
        <v>Реализация шифрования данных для хранения и обеспечение защищенной связи (например, через SSL/TLS).</v>
      </c>
      <c r="D19" s="28" t="str">
        <f>"40"</f>
        <v>40</v>
      </c>
      <c r="E19" s="28" t="str">
        <f>"80"</f>
        <v>80</v>
      </c>
      <c r="F19" s="28" t="str">
        <f>"60"</f>
        <v>60</v>
      </c>
      <c r="H19" s="1" t="str">
        <f>"3.4"</f>
        <v>3.4</v>
      </c>
      <c r="I19" s="1" t="str">
        <f>"数据安全与加密"</f>
        <v>数据安全与加密</v>
      </c>
      <c r="J19" s="25" t="s">
        <v>158</v>
      </c>
      <c r="K19" s="1" t="str">
        <f>"40"</f>
        <v>40</v>
      </c>
      <c r="L19" s="1" t="str">
        <f>"80"</f>
        <v>80</v>
      </c>
      <c r="M19" s="1" t="str">
        <f>"60"</f>
        <v>60</v>
      </c>
    </row>
    <row r="20" spans="1:13" ht="15">
      <c r="A20" s="27" t="str">
        <f>"4"</f>
        <v>4</v>
      </c>
      <c r="B20" s="27" t="str">
        <f>"Тестирование"</f>
        <v>Тестирование</v>
      </c>
      <c r="C20" s="27" t="str">
        <f>""</f>
        <v/>
      </c>
      <c r="D20" s="28" t="str">
        <f>"150"</f>
        <v>150</v>
      </c>
      <c r="E20" s="28" t="str">
        <f>"300"</f>
        <v>300</v>
      </c>
      <c r="F20" s="28" t="str">
        <f>"200"</f>
        <v>200</v>
      </c>
      <c r="H20" s="1" t="str">
        <f>"4"</f>
        <v>4</v>
      </c>
      <c r="I20" s="1" t="str">
        <f>"测试"</f>
        <v>测试</v>
      </c>
      <c r="J20" s="1" t="str">
        <f>""</f>
        <v/>
      </c>
      <c r="K20" s="1" t="str">
        <f>"150"</f>
        <v>150</v>
      </c>
      <c r="L20" s="1" t="str">
        <f>"300"</f>
        <v>300</v>
      </c>
      <c r="M20" s="1" t="str">
        <f>"200"</f>
        <v>200</v>
      </c>
    </row>
    <row r="21" spans="1:13" ht="105">
      <c r="A21" s="27" t="str">
        <f>"4.1"</f>
        <v>4.1</v>
      </c>
      <c r="B21" s="28" t="str">
        <f>"Модульное тестирование"</f>
        <v>Модульное тестирование</v>
      </c>
      <c r="C21" s="28" t="str">
        <f>"Проверка надежности функциональности каждого модуля, обеспечение корректности логики фронтенда и бэкенда."</f>
        <v>Проверка надежности функциональности каждого модуля, обеспечение корректности логики фронтенда и бэкенда.</v>
      </c>
      <c r="D21" s="28" t="str">
        <f>"50"</f>
        <v>50</v>
      </c>
      <c r="E21" s="28" t="str">
        <f>"100"</f>
        <v>100</v>
      </c>
      <c r="F21" s="28" t="str">
        <f>"75"</f>
        <v>75</v>
      </c>
      <c r="H21" s="1" t="str">
        <f>"4.1"</f>
        <v>4.1</v>
      </c>
      <c r="I21" s="1" t="str">
        <f>"单元测试"</f>
        <v>单元测试</v>
      </c>
      <c r="J21" s="26" t="s">
        <v>159</v>
      </c>
      <c r="K21" s="1" t="str">
        <f>"50"</f>
        <v>50</v>
      </c>
      <c r="L21" s="1" t="str">
        <f>"100"</f>
        <v>100</v>
      </c>
      <c r="M21" s="1" t="str">
        <f>"75"</f>
        <v>75</v>
      </c>
    </row>
    <row r="22" spans="1:13" ht="75">
      <c r="A22" s="27" t="str">
        <f>"4.2"</f>
        <v>4.2</v>
      </c>
      <c r="B22" s="28" t="str">
        <f>"Интеграционное тестирование"</f>
        <v>Интеграционное тестирование</v>
      </c>
      <c r="C22" s="28" t="str">
        <f>"Проверка корректности взаимодействия между фронтендом, бэкендом и внешними сервисами."</f>
        <v>Проверка корректности взаимодействия между фронтендом, бэкендом и внешними сервисами.</v>
      </c>
      <c r="D22" s="28" t="str">
        <f>"40"</f>
        <v>40</v>
      </c>
      <c r="E22" s="28" t="str">
        <f>"80"</f>
        <v>80</v>
      </c>
      <c r="F22" s="28" t="str">
        <f>"60"</f>
        <v>60</v>
      </c>
      <c r="H22" s="1" t="str">
        <f>"4.2"</f>
        <v>4.2</v>
      </c>
      <c r="I22" s="1" t="str">
        <f>"集成测试"</f>
        <v>集成测试</v>
      </c>
      <c r="J22" s="26" t="s">
        <v>160</v>
      </c>
      <c r="K22" s="1" t="str">
        <f>"40"</f>
        <v>40</v>
      </c>
      <c r="L22" s="1" t="str">
        <f>"80"</f>
        <v>80</v>
      </c>
      <c r="M22" s="1" t="str">
        <f>"60"</f>
        <v>60</v>
      </c>
    </row>
    <row r="23" spans="1:13" ht="105">
      <c r="A23" s="27" t="str">
        <f>"4.3"</f>
        <v>4.3</v>
      </c>
      <c r="B23" s="28" t="str">
        <f>"Функциональное тестирование"</f>
        <v>Функциональное тестирование</v>
      </c>
      <c r="C23" s="28" t="str">
        <f>"Тестирование полных пользовательских сценариев, включая регистрацию, заказ услуг, просмотр документации и т. д."</f>
        <v>Тестирование полных пользовательских сценариев, включая регистрацию, заказ услуг, просмотр документации и т. д.</v>
      </c>
      <c r="D23" s="28" t="str">
        <f>"60"</f>
        <v>60</v>
      </c>
      <c r="E23" s="28" t="str">
        <f>"120"</f>
        <v>120</v>
      </c>
      <c r="F23" s="28" t="str">
        <f>"90"</f>
        <v>90</v>
      </c>
      <c r="H23" s="1" t="str">
        <f>"4.3"</f>
        <v>4.3</v>
      </c>
      <c r="I23" s="1" t="str">
        <f>"功能测试"</f>
        <v>功能测试</v>
      </c>
      <c r="J23" s="26" t="s">
        <v>161</v>
      </c>
      <c r="K23" s="1" t="str">
        <f>"60"</f>
        <v>60</v>
      </c>
      <c r="L23" s="1" t="str">
        <f>"120"</f>
        <v>120</v>
      </c>
      <c r="M23" s="1" t="str">
        <f>"90"</f>
        <v>90</v>
      </c>
    </row>
    <row r="24" spans="1:13" ht="15">
      <c r="A24" s="27" t="str">
        <f>"5"</f>
        <v>5</v>
      </c>
      <c r="B24" s="28" t="str">
        <f>"Развертывание"</f>
        <v>Развертывание</v>
      </c>
      <c r="C24" s="28" t="str">
        <f>""</f>
        <v/>
      </c>
      <c r="D24" s="28" t="str">
        <f>"100"</f>
        <v>100</v>
      </c>
      <c r="E24" s="28" t="str">
        <f>"200"</f>
        <v>200</v>
      </c>
      <c r="F24" s="28" t="str">
        <f>"150"</f>
        <v>150</v>
      </c>
      <c r="H24" s="1" t="str">
        <f>"5"</f>
        <v>5</v>
      </c>
      <c r="I24" s="1" t="str">
        <f>"发布"</f>
        <v>发布</v>
      </c>
      <c r="J24" s="1" t="str">
        <f>""</f>
        <v/>
      </c>
      <c r="K24" s="1" t="str">
        <f>"100"</f>
        <v>100</v>
      </c>
      <c r="L24" s="1" t="str">
        <f>"200"</f>
        <v>200</v>
      </c>
      <c r="M24" s="1" t="str">
        <f>"150"</f>
        <v>150</v>
      </c>
    </row>
    <row r="25" spans="1:13" ht="105">
      <c r="A25" s="27" t="str">
        <f>"5.1"</f>
        <v>5.1</v>
      </c>
      <c r="B25" s="28" t="str">
        <f>"Alpha и Beta тестирование"</f>
        <v>Alpha и Beta тестирование</v>
      </c>
      <c r="C25" s="28" t="str">
        <f>"Проведение внутреннего тестирования и открытого тестирования основных функций, сбор обратной связи и оптимизация."</f>
        <v>Проведение внутреннего тестирования и открытого тестирования основных функций, сбор обратной связи и оптимизация.</v>
      </c>
      <c r="D25" s="28" t="str">
        <f>"50"</f>
        <v>50</v>
      </c>
      <c r="E25" s="28" t="str">
        <f>"100"</f>
        <v>100</v>
      </c>
      <c r="F25" s="28" t="str">
        <f>"75"</f>
        <v>75</v>
      </c>
      <c r="H25" s="1" t="str">
        <f>"5.1"</f>
        <v>5.1</v>
      </c>
      <c r="I25" s="1" t="str">
        <f>"Alpha和Beta测试"</f>
        <v>Alpha和Beta测试</v>
      </c>
      <c r="J25" s="26" t="s">
        <v>162</v>
      </c>
      <c r="K25" s="1" t="str">
        <f>"50"</f>
        <v>50</v>
      </c>
      <c r="L25" s="1" t="str">
        <f>"100"</f>
        <v>100</v>
      </c>
      <c r="M25" s="1" t="str">
        <f>"75"</f>
        <v>75</v>
      </c>
    </row>
    <row r="26" spans="1:13" ht="90">
      <c r="A26" s="27" t="str">
        <f>"5.2"</f>
        <v>5.2</v>
      </c>
      <c r="B26" s="28" t="str">
        <f>"Настройка SSL-сертификата"</f>
        <v>Настройка SSL-сертификата</v>
      </c>
      <c r="C26" s="28" t="str">
        <f>"Установка и настройка SSL-сертификата для работы сайта по протоколу HTTPS."</f>
        <v>Установка и настройка SSL-сертификата для работы сайта по протоколу HTTPS.</v>
      </c>
      <c r="D26" s="28" t="str">
        <f>"10"</f>
        <v>10</v>
      </c>
      <c r="E26" s="28" t="str">
        <f>"20"</f>
        <v>20</v>
      </c>
      <c r="F26" s="28" t="str">
        <f>"15"</f>
        <v>15</v>
      </c>
      <c r="H26" s="1" t="str">
        <f>"5.2"</f>
        <v>5.2</v>
      </c>
      <c r="I26" s="1" t="str">
        <f>"SSL证书配置"</f>
        <v>SSL证书配置</v>
      </c>
      <c r="J26" s="25" t="s">
        <v>163</v>
      </c>
      <c r="K26" s="1" t="str">
        <f>"10"</f>
        <v>10</v>
      </c>
      <c r="L26" s="1" t="str">
        <f>"20"</f>
        <v>20</v>
      </c>
      <c r="M26" s="1" t="str">
        <f>"15"</f>
        <v>15</v>
      </c>
    </row>
    <row r="27" spans="1:13" ht="90">
      <c r="A27" s="27" t="str">
        <f>"5.3"</f>
        <v>5.3</v>
      </c>
      <c r="B27" s="28" t="str">
        <f>"Развертывание сервера"</f>
        <v>Развертывание сервера</v>
      </c>
      <c r="C27" s="28" t="str">
        <f>"Размещение кода на облачном сервере и выполнение необходимой конфигурации окружения."</f>
        <v>Размещение кода на облачном сервере и выполнение необходимой конфигурации окружения.</v>
      </c>
      <c r="D27" s="28" t="str">
        <f>"30"</f>
        <v>30</v>
      </c>
      <c r="E27" s="28" t="str">
        <f>"60"</f>
        <v>60</v>
      </c>
      <c r="F27" s="28" t="str">
        <f>"45"</f>
        <v>45</v>
      </c>
      <c r="H27" s="1" t="str">
        <f>"5.3"</f>
        <v>5.3</v>
      </c>
      <c r="I27" s="1" t="str">
        <f>"服务器部署"</f>
        <v>服务器部署</v>
      </c>
      <c r="J27" s="26" t="s">
        <v>164</v>
      </c>
      <c r="K27" s="1" t="str">
        <f>"30"</f>
        <v>30</v>
      </c>
      <c r="L27" s="1" t="str">
        <f>"60"</f>
        <v>60</v>
      </c>
      <c r="M27" s="1" t="str">
        <f>"45"</f>
        <v>45</v>
      </c>
    </row>
    <row r="28" spans="1:13" ht="15">
      <c r="A28" s="27" t="str">
        <f>"Z"</f>
        <v>Z</v>
      </c>
      <c r="B28" s="28" t="str">
        <f>"Итого"</f>
        <v>Итого</v>
      </c>
      <c r="C28" s="28" t="str">
        <f>""</f>
        <v/>
      </c>
      <c r="D28" s="28" t="str">
        <f>"1000"</f>
        <v>1000</v>
      </c>
      <c r="E28" s="28" t="str">
        <f>"1950"</f>
        <v>1950</v>
      </c>
      <c r="F28" s="28" t="str">
        <f>"1400"</f>
        <v>1400</v>
      </c>
      <c r="H28" s="1" t="str">
        <f>"Z"</f>
        <v>Z</v>
      </c>
      <c r="I28" s="1" t="str">
        <f>"总计"</f>
        <v>总计</v>
      </c>
      <c r="J28" s="1" t="str">
        <f>""</f>
        <v/>
      </c>
      <c r="K28" s="1" t="str">
        <f>"1000"</f>
        <v>1000</v>
      </c>
      <c r="L28" s="1" t="str">
        <f>"1950"</f>
        <v>1950</v>
      </c>
      <c r="M28" s="1" t="str">
        <f>"1400"</f>
        <v>1400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DD2C-E896-F14F-9EB7-F7E140FCF726}">
  <dimension ref="A1:G24"/>
  <sheetViews>
    <sheetView workbookViewId="0">
      <selection activeCell="C8" sqref="C8"/>
    </sheetView>
  </sheetViews>
  <sheetFormatPr baseColWidth="10" defaultRowHeight="15"/>
  <cols>
    <col min="1" max="1" width="10.83203125" style="14"/>
    <col min="2" max="2" width="42.33203125" style="14" customWidth="1"/>
    <col min="3" max="5" width="10.83203125" style="14"/>
    <col min="6" max="6" width="14.5" style="14" bestFit="1" customWidth="1"/>
    <col min="7" max="7" width="13.33203125" style="14" bestFit="1" customWidth="1"/>
    <col min="8" max="16384" width="10.83203125" style="14"/>
  </cols>
  <sheetData>
    <row r="1" spans="1:7">
      <c r="A1" s="30" t="s">
        <v>165</v>
      </c>
      <c r="B1" s="30" t="s">
        <v>0</v>
      </c>
      <c r="C1" s="33" t="s">
        <v>166</v>
      </c>
      <c r="D1" s="33" t="s">
        <v>167</v>
      </c>
      <c r="E1" s="33" t="s">
        <v>168</v>
      </c>
      <c r="F1" s="34" t="s">
        <v>170</v>
      </c>
      <c r="G1" s="34" t="s">
        <v>171</v>
      </c>
    </row>
    <row r="2" spans="1:7" ht="16" thickBot="1">
      <c r="A2" s="31"/>
      <c r="B2" s="31"/>
      <c r="C2" s="32" t="s">
        <v>169</v>
      </c>
      <c r="D2" s="32" t="s">
        <v>169</v>
      </c>
      <c r="E2" s="32" t="s">
        <v>169</v>
      </c>
      <c r="F2" s="35"/>
      <c r="G2" s="35"/>
    </row>
    <row r="3" spans="1:7" ht="16">
      <c r="A3" s="14" t="str">
        <f>"1.1"</f>
        <v>1.1</v>
      </c>
      <c r="B3" s="14" t="str">
        <f>"Прототип сайта"</f>
        <v>Прототип сайта</v>
      </c>
      <c r="C3" s="37">
        <v>50</v>
      </c>
      <c r="D3" s="36">
        <v>100</v>
      </c>
      <c r="E3" s="37">
        <v>70</v>
      </c>
      <c r="F3" s="38">
        <f>(C3+D3+4*E3)/6</f>
        <v>71.666666666666671</v>
      </c>
      <c r="G3" s="38">
        <f>(C3+D3)/6</f>
        <v>25</v>
      </c>
    </row>
    <row r="4" spans="1:7" ht="16">
      <c r="A4" s="14" t="str">
        <f>"1.2"</f>
        <v>1.2</v>
      </c>
      <c r="B4" s="14" t="str">
        <f>"Выбор технологий"</f>
        <v>Выбор технологий</v>
      </c>
      <c r="C4" s="37">
        <v>10</v>
      </c>
      <c r="D4" s="36" t="str">
        <f>"40"</f>
        <v>40</v>
      </c>
      <c r="E4" s="37" t="str">
        <f>"20"</f>
        <v>20</v>
      </c>
      <c r="F4" s="38">
        <f t="shared" ref="F4:F23" si="0">(C4+D4+4*E4)/6</f>
        <v>21.666666666666668</v>
      </c>
      <c r="G4" s="38">
        <f t="shared" ref="G4:G23" si="1">(C4+D4)/6</f>
        <v>8.3333333333333339</v>
      </c>
    </row>
    <row r="5" spans="1:7" ht="16">
      <c r="A5" s="14" t="str">
        <f>"1.3"</f>
        <v>1.3</v>
      </c>
      <c r="B5" s="14" t="str">
        <f>"Разрешение на обработку данных"</f>
        <v>Разрешение на обработку данных</v>
      </c>
      <c r="C5" s="37">
        <v>100</v>
      </c>
      <c r="D5" s="36" t="str">
        <f>"250"</f>
        <v>250</v>
      </c>
      <c r="E5" s="37" t="str">
        <f>"150"</f>
        <v>150</v>
      </c>
      <c r="F5" s="38">
        <f t="shared" si="0"/>
        <v>158.33333333333334</v>
      </c>
      <c r="G5" s="38">
        <f t="shared" si="1"/>
        <v>58.333333333333336</v>
      </c>
    </row>
    <row r="6" spans="1:7" ht="16">
      <c r="A6" s="14" t="str">
        <f>"1.4"</f>
        <v>1.4</v>
      </c>
      <c r="B6" s="14" t="str">
        <f>"Настройка хостинга и домена"</f>
        <v>Настройка хостинга и домена</v>
      </c>
      <c r="C6" s="37">
        <v>40</v>
      </c>
      <c r="D6" s="36" t="str">
        <f>"60"</f>
        <v>60</v>
      </c>
      <c r="E6" s="37" t="str">
        <f>"50"</f>
        <v>50</v>
      </c>
      <c r="F6" s="38">
        <f t="shared" si="0"/>
        <v>50</v>
      </c>
      <c r="G6" s="38">
        <f t="shared" si="1"/>
        <v>16.666666666666668</v>
      </c>
    </row>
    <row r="7" spans="1:7" ht="16">
      <c r="A7" s="14" t="str">
        <f>"2.1"</f>
        <v>2.1</v>
      </c>
      <c r="B7" s="14" t="str">
        <f>"Главная страница"</f>
        <v>Главная страница</v>
      </c>
      <c r="C7" s="37">
        <v>40</v>
      </c>
      <c r="D7" s="36" t="str">
        <f>"80"</f>
        <v>80</v>
      </c>
      <c r="E7" s="37" t="str">
        <f>"60"</f>
        <v>60</v>
      </c>
      <c r="F7" s="38">
        <f t="shared" si="0"/>
        <v>60</v>
      </c>
      <c r="G7" s="38">
        <f t="shared" si="1"/>
        <v>20</v>
      </c>
    </row>
    <row r="8" spans="1:7" ht="16">
      <c r="A8" s="14" t="str">
        <f>"2.2"</f>
        <v>2.2</v>
      </c>
      <c r="B8" s="14" t="str">
        <f>"Страница входа/регистрации"</f>
        <v>Страница входа/регистрации</v>
      </c>
      <c r="C8" s="37" t="str">
        <f>"30"</f>
        <v>30</v>
      </c>
      <c r="D8" s="36" t="str">
        <f>"50"</f>
        <v>50</v>
      </c>
      <c r="E8" s="37" t="str">
        <f>"40"</f>
        <v>40</v>
      </c>
      <c r="F8" s="38">
        <f t="shared" si="0"/>
        <v>40</v>
      </c>
      <c r="G8" s="38">
        <f t="shared" si="1"/>
        <v>13.333333333333334</v>
      </c>
    </row>
    <row r="9" spans="1:7" ht="16">
      <c r="A9" s="14" t="str">
        <f>"2.3"</f>
        <v>2.3</v>
      </c>
      <c r="B9" s="14" t="str">
        <f>"Страница услуг"</f>
        <v>Страница услуг</v>
      </c>
      <c r="C9" s="37" t="str">
        <f>"50"</f>
        <v>50</v>
      </c>
      <c r="D9" s="36" t="str">
        <f>"90"</f>
        <v>90</v>
      </c>
      <c r="E9" s="37" t="str">
        <f>"70"</f>
        <v>70</v>
      </c>
      <c r="F9" s="38">
        <f t="shared" si="0"/>
        <v>70</v>
      </c>
      <c r="G9" s="38">
        <f t="shared" si="1"/>
        <v>23.333333333333332</v>
      </c>
    </row>
    <row r="10" spans="1:7" ht="16">
      <c r="A10" s="14" t="str">
        <f>"2.4"</f>
        <v>2.4</v>
      </c>
      <c r="B10" s="14" t="str">
        <f>"Страница продуктов"</f>
        <v>Страница продуктов</v>
      </c>
      <c r="C10" s="37" t="str">
        <f>"50"</f>
        <v>50</v>
      </c>
      <c r="D10" s="36" t="str">
        <f>"100"</f>
        <v>100</v>
      </c>
      <c r="E10" s="37" t="str">
        <f>"75"</f>
        <v>75</v>
      </c>
      <c r="F10" s="38">
        <f t="shared" si="0"/>
        <v>75</v>
      </c>
      <c r="G10" s="38">
        <f t="shared" si="1"/>
        <v>25</v>
      </c>
    </row>
    <row r="11" spans="1:7" ht="16">
      <c r="A11" s="14" t="str">
        <f>"2.5"</f>
        <v>2.5</v>
      </c>
      <c r="B11" s="14" t="str">
        <f>"Центр поддержки"</f>
        <v>Центр поддержки</v>
      </c>
      <c r="C11" s="37" t="str">
        <f>"40"</f>
        <v>40</v>
      </c>
      <c r="D11" s="36" t="str">
        <f>"80"</f>
        <v>80</v>
      </c>
      <c r="E11" s="37" t="str">
        <f>"60"</f>
        <v>60</v>
      </c>
      <c r="F11" s="38">
        <f t="shared" si="0"/>
        <v>60</v>
      </c>
      <c r="G11" s="38">
        <f t="shared" si="1"/>
        <v>20</v>
      </c>
    </row>
    <row r="12" spans="1:7" ht="16">
      <c r="A12" s="14" t="str">
        <f>"2.6"</f>
        <v>2.6</v>
      </c>
      <c r="B12" s="14" t="str">
        <f>"Страница документации"</f>
        <v>Страница документации</v>
      </c>
      <c r="C12" s="37" t="str">
        <f>"30"</f>
        <v>30</v>
      </c>
      <c r="D12" s="36" t="str">
        <f>"60"</f>
        <v>60</v>
      </c>
      <c r="E12" s="37" t="str">
        <f>"45"</f>
        <v>45</v>
      </c>
      <c r="F12" s="38">
        <f t="shared" si="0"/>
        <v>45</v>
      </c>
      <c r="G12" s="38">
        <f t="shared" si="1"/>
        <v>15</v>
      </c>
    </row>
    <row r="13" spans="1:7" ht="16">
      <c r="A13" s="14" t="str">
        <f>"2.7"</f>
        <v>2.7</v>
      </c>
      <c r="B13" s="14" t="str">
        <f>"Панель управления пользователем"</f>
        <v>Панель управления пользователем</v>
      </c>
      <c r="C13" s="37" t="str">
        <f>"60"</f>
        <v>60</v>
      </c>
      <c r="D13" s="36" t="str">
        <f>"120"</f>
        <v>120</v>
      </c>
      <c r="E13" s="37" t="str">
        <f>"90"</f>
        <v>90</v>
      </c>
      <c r="F13" s="38">
        <f t="shared" si="0"/>
        <v>90</v>
      </c>
      <c r="G13" s="38">
        <f t="shared" si="1"/>
        <v>30</v>
      </c>
    </row>
    <row r="14" spans="1:7" ht="16">
      <c r="A14" s="14" t="str">
        <f>"3.1"</f>
        <v>3.1</v>
      </c>
      <c r="B14" s="14" t="str">
        <f>"Проектирование и настройка базы данных"</f>
        <v>Проектирование и настройка базы данных</v>
      </c>
      <c r="C14" s="37" t="str">
        <f>"60"</f>
        <v>60</v>
      </c>
      <c r="D14" s="36" t="str">
        <f>"120"</f>
        <v>120</v>
      </c>
      <c r="E14" s="37" t="str">
        <f>"90"</f>
        <v>90</v>
      </c>
      <c r="F14" s="38">
        <f t="shared" si="0"/>
        <v>90</v>
      </c>
      <c r="G14" s="38">
        <f t="shared" si="1"/>
        <v>30</v>
      </c>
    </row>
    <row r="15" spans="1:7" ht="16">
      <c r="A15" s="14" t="str">
        <f>"3.2"</f>
        <v>3.2</v>
      </c>
      <c r="B15" s="14" t="str">
        <f>"Аутентификация и управление правами доступа"</f>
        <v>Аутентификация и управление правами доступа</v>
      </c>
      <c r="C15" s="37" t="str">
        <f>"40"</f>
        <v>40</v>
      </c>
      <c r="D15" s="36" t="str">
        <f>"80"</f>
        <v>80</v>
      </c>
      <c r="E15" s="37" t="str">
        <f>"60"</f>
        <v>60</v>
      </c>
      <c r="F15" s="38">
        <f t="shared" si="0"/>
        <v>60</v>
      </c>
      <c r="G15" s="38">
        <f t="shared" si="1"/>
        <v>20</v>
      </c>
    </row>
    <row r="16" spans="1:7" ht="16">
      <c r="A16" s="14" t="str">
        <f>"3.3"</f>
        <v>3.3</v>
      </c>
      <c r="B16" s="14" t="str">
        <f>"Разработка API"</f>
        <v>Разработка API</v>
      </c>
      <c r="C16" s="37" t="str">
        <f>"80"</f>
        <v>80</v>
      </c>
      <c r="D16" s="36" t="str">
        <f>"150"</f>
        <v>150</v>
      </c>
      <c r="E16" s="37" t="str">
        <f>"100"</f>
        <v>100</v>
      </c>
      <c r="F16" s="38">
        <f t="shared" si="0"/>
        <v>105</v>
      </c>
      <c r="G16" s="38">
        <f t="shared" si="1"/>
        <v>38.333333333333336</v>
      </c>
    </row>
    <row r="17" spans="1:7" ht="16">
      <c r="A17" s="14" t="str">
        <f>"3.4"</f>
        <v>3.4</v>
      </c>
      <c r="B17" s="14" t="str">
        <f>"Безопасность и шифрование данных"</f>
        <v>Безопасность и шифрование данных</v>
      </c>
      <c r="C17" s="37" t="str">
        <f>"40"</f>
        <v>40</v>
      </c>
      <c r="D17" s="36" t="str">
        <f>"80"</f>
        <v>80</v>
      </c>
      <c r="E17" s="37" t="str">
        <f>"60"</f>
        <v>60</v>
      </c>
      <c r="F17" s="38">
        <f t="shared" si="0"/>
        <v>60</v>
      </c>
      <c r="G17" s="38">
        <f t="shared" si="1"/>
        <v>20</v>
      </c>
    </row>
    <row r="18" spans="1:7" ht="16">
      <c r="A18" s="14" t="str">
        <f>"4.1"</f>
        <v>4.1</v>
      </c>
      <c r="B18" s="14" t="str">
        <f>"Модульное тестирование"</f>
        <v>Модульное тестирование</v>
      </c>
      <c r="C18" s="37" t="str">
        <f>"50"</f>
        <v>50</v>
      </c>
      <c r="D18" s="36" t="str">
        <f>"100"</f>
        <v>100</v>
      </c>
      <c r="E18" s="37" t="str">
        <f>"75"</f>
        <v>75</v>
      </c>
      <c r="F18" s="38">
        <f t="shared" si="0"/>
        <v>75</v>
      </c>
      <c r="G18" s="38">
        <f t="shared" si="1"/>
        <v>25</v>
      </c>
    </row>
    <row r="19" spans="1:7" ht="16">
      <c r="A19" s="14" t="str">
        <f>"4.2"</f>
        <v>4.2</v>
      </c>
      <c r="B19" s="14" t="str">
        <f>"Интеграционное тестирование"</f>
        <v>Интеграционное тестирование</v>
      </c>
      <c r="C19" s="37" t="str">
        <f>"40"</f>
        <v>40</v>
      </c>
      <c r="D19" s="36" t="str">
        <f>"80"</f>
        <v>80</v>
      </c>
      <c r="E19" s="37" t="str">
        <f>"60"</f>
        <v>60</v>
      </c>
      <c r="F19" s="38">
        <f t="shared" si="0"/>
        <v>60</v>
      </c>
      <c r="G19" s="38">
        <f t="shared" si="1"/>
        <v>20</v>
      </c>
    </row>
    <row r="20" spans="1:7" ht="16">
      <c r="A20" s="14" t="str">
        <f>"4.3"</f>
        <v>4.3</v>
      </c>
      <c r="B20" s="14" t="str">
        <f>"Функциональное тестирование"</f>
        <v>Функциональное тестирование</v>
      </c>
      <c r="C20" s="37" t="str">
        <f>"60"</f>
        <v>60</v>
      </c>
      <c r="D20" s="36" t="str">
        <f>"120"</f>
        <v>120</v>
      </c>
      <c r="E20" s="37" t="str">
        <f>"90"</f>
        <v>90</v>
      </c>
      <c r="F20" s="38">
        <f t="shared" si="0"/>
        <v>90</v>
      </c>
      <c r="G20" s="38">
        <f t="shared" si="1"/>
        <v>30</v>
      </c>
    </row>
    <row r="21" spans="1:7" ht="16">
      <c r="A21" s="14" t="str">
        <f>"5.1"</f>
        <v>5.1</v>
      </c>
      <c r="B21" s="14" t="str">
        <f>"Alpha и Beta тестирование"</f>
        <v>Alpha и Beta тестирование</v>
      </c>
      <c r="C21" s="37" t="str">
        <f>"50"</f>
        <v>50</v>
      </c>
      <c r="D21" s="36" t="str">
        <f>"100"</f>
        <v>100</v>
      </c>
      <c r="E21" s="37" t="str">
        <f>"75"</f>
        <v>75</v>
      </c>
      <c r="F21" s="38">
        <f t="shared" si="0"/>
        <v>75</v>
      </c>
      <c r="G21" s="38">
        <f t="shared" si="1"/>
        <v>25</v>
      </c>
    </row>
    <row r="22" spans="1:7" ht="16">
      <c r="A22" s="14" t="str">
        <f>"5.2"</f>
        <v>5.2</v>
      </c>
      <c r="B22" s="14" t="str">
        <f>"Настройка SSL-сертификата"</f>
        <v>Настройка SSL-сертификата</v>
      </c>
      <c r="C22" s="37" t="str">
        <f>"10"</f>
        <v>10</v>
      </c>
      <c r="D22" s="36" t="str">
        <f>"20"</f>
        <v>20</v>
      </c>
      <c r="E22" s="37" t="str">
        <f>"15"</f>
        <v>15</v>
      </c>
      <c r="F22" s="38">
        <f t="shared" si="0"/>
        <v>15</v>
      </c>
      <c r="G22" s="38">
        <f t="shared" si="1"/>
        <v>5</v>
      </c>
    </row>
    <row r="23" spans="1:7" ht="16">
      <c r="A23" s="14" t="str">
        <f>"5.3"</f>
        <v>5.3</v>
      </c>
      <c r="B23" s="14" t="str">
        <f>"Развертывание сервера"</f>
        <v>Развертывание сервера</v>
      </c>
      <c r="C23" s="37" t="str">
        <f>"30"</f>
        <v>30</v>
      </c>
      <c r="D23" s="36" t="str">
        <f>"60"</f>
        <v>60</v>
      </c>
      <c r="E23" s="37" t="str">
        <f>"45"</f>
        <v>45</v>
      </c>
      <c r="F23" s="38">
        <f t="shared" si="0"/>
        <v>45</v>
      </c>
      <c r="G23" s="38">
        <f t="shared" si="1"/>
        <v>15</v>
      </c>
    </row>
    <row r="24" spans="1:7" ht="16">
      <c r="A24" s="14" t="str">
        <f>"Z"</f>
        <v>Z</v>
      </c>
      <c r="B24" s="14" t="str">
        <f>"Итого"</f>
        <v>Итого</v>
      </c>
      <c r="C24" s="37" t="str">
        <f>"1000"</f>
        <v>1000</v>
      </c>
      <c r="D24" s="36">
        <f>SUM(D3:D23)</f>
        <v>100</v>
      </c>
      <c r="E24" s="37" t="str">
        <f>"1400"</f>
        <v>1400</v>
      </c>
    </row>
  </sheetData>
  <mergeCells count="4">
    <mergeCell ref="B1:B2"/>
    <mergeCell ref="A1:A2"/>
    <mergeCell ref="F1:F2"/>
    <mergeCell ref="G1:G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Simple Method</vt:lpstr>
      <vt:lpstr>PERT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宏祥 周</dc:creator>
  <cp:lastModifiedBy>Хунсян Чжоу</cp:lastModifiedBy>
  <dcterms:created xsi:type="dcterms:W3CDTF">2024-11-17T17:06:59Z</dcterms:created>
  <dcterms:modified xsi:type="dcterms:W3CDTF">2024-12-02T04:19:02Z</dcterms:modified>
</cp:coreProperties>
</file>