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398768715qq.com/GitHub/ITMO-PE/EconomicsSoftwareEngineering/"/>
    </mc:Choice>
  </mc:AlternateContent>
  <xr:revisionPtr revIDLastSave="0" documentId="13_ncr:1_{17E2CAFE-CA08-674D-A876-CEA46B0A1649}" xr6:coauthVersionLast="47" xr6:coauthVersionMax="47" xr10:uidLastSave="{00000000-0000-0000-0000-000000000000}"/>
  <bookViews>
    <workbookView xWindow="16980" yWindow="7380" windowWidth="25600" windowHeight="18400" activeTab="1" xr2:uid="{343BDCF8-93BA-48B2-B1E2-DDA5B2F75838}"/>
  </bookViews>
  <sheets>
    <sheet name="Simple Method" sheetId="1" r:id="rId1"/>
    <sheet name="Sheet1" sheetId="4" r:id="rId2"/>
    <sheet name="PERT Meth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5" i="4" l="1"/>
  <c r="E126" i="4"/>
  <c r="E114" i="4"/>
  <c r="A75" i="4"/>
  <c r="B75" i="4"/>
  <c r="C75" i="4"/>
  <c r="D75" i="4"/>
  <c r="A76" i="4"/>
  <c r="B76" i="4"/>
  <c r="C76" i="4"/>
  <c r="D76" i="4"/>
  <c r="A77" i="4"/>
  <c r="B77" i="4"/>
  <c r="C77" i="4"/>
  <c r="D77" i="4"/>
  <c r="A78" i="4"/>
  <c r="B78" i="4"/>
  <c r="C78" i="4"/>
  <c r="D78" i="4"/>
  <c r="A79" i="4"/>
  <c r="B79" i="4"/>
  <c r="C79" i="4"/>
  <c r="D79" i="4"/>
  <c r="A80" i="4"/>
  <c r="B80" i="4"/>
  <c r="C80" i="4"/>
  <c r="D80" i="4"/>
  <c r="A81" i="4"/>
  <c r="B81" i="4"/>
  <c r="C81" i="4"/>
  <c r="D81" i="4"/>
  <c r="A82" i="4"/>
  <c r="B82" i="4"/>
  <c r="C82" i="4"/>
  <c r="D82" i="4"/>
  <c r="A83" i="4"/>
  <c r="B83" i="4"/>
  <c r="C83" i="4"/>
  <c r="D83" i="4"/>
  <c r="A84" i="4"/>
  <c r="B84" i="4"/>
  <c r="C84" i="4"/>
  <c r="D84" i="4"/>
  <c r="A85" i="4"/>
  <c r="B85" i="4"/>
  <c r="C85" i="4"/>
  <c r="D85" i="4"/>
  <c r="A86" i="4"/>
  <c r="B86" i="4"/>
  <c r="C86" i="4"/>
  <c r="D86" i="4"/>
  <c r="A87" i="4"/>
  <c r="B87" i="4"/>
  <c r="C87" i="4"/>
  <c r="D87" i="4"/>
  <c r="A88" i="4"/>
  <c r="B88" i="4"/>
  <c r="C88" i="4"/>
  <c r="D88" i="4"/>
  <c r="A89" i="4"/>
  <c r="B89" i="4"/>
  <c r="C89" i="4"/>
  <c r="D89" i="4"/>
  <c r="A61" i="4"/>
  <c r="B61" i="4"/>
  <c r="C61" i="4"/>
  <c r="D61" i="4"/>
  <c r="E61" i="4"/>
  <c r="F61" i="4"/>
  <c r="G61" i="4"/>
  <c r="A62" i="4"/>
  <c r="B62" i="4"/>
  <c r="C62" i="4"/>
  <c r="D62" i="4"/>
  <c r="E62" i="4"/>
  <c r="F62" i="4"/>
  <c r="G62" i="4"/>
  <c r="A63" i="4"/>
  <c r="B63" i="4"/>
  <c r="C63" i="4"/>
  <c r="D63" i="4"/>
  <c r="E63" i="4"/>
  <c r="F63" i="4"/>
  <c r="G63" i="4"/>
  <c r="A64" i="4"/>
  <c r="B64" i="4"/>
  <c r="C64" i="4"/>
  <c r="D64" i="4"/>
  <c r="E64" i="4"/>
  <c r="F64" i="4"/>
  <c r="G64" i="4"/>
  <c r="A65" i="4"/>
  <c r="B65" i="4"/>
  <c r="C65" i="4"/>
  <c r="D65" i="4"/>
  <c r="E65" i="4"/>
  <c r="F65" i="4"/>
  <c r="G65" i="4"/>
  <c r="A66" i="4"/>
  <c r="B66" i="4"/>
  <c r="C66" i="4"/>
  <c r="D66" i="4"/>
  <c r="E66" i="4"/>
  <c r="F66" i="4"/>
  <c r="G66" i="4"/>
  <c r="A67" i="4"/>
  <c r="B67" i="4"/>
  <c r="C67" i="4"/>
  <c r="D67" i="4"/>
  <c r="E67" i="4"/>
  <c r="F67" i="4"/>
  <c r="G67" i="4"/>
  <c r="A68" i="4"/>
  <c r="B68" i="4"/>
  <c r="C68" i="4"/>
  <c r="D68" i="4"/>
  <c r="E68" i="4"/>
  <c r="F68" i="4"/>
  <c r="G68" i="4"/>
  <c r="A69" i="4"/>
  <c r="B69" i="4"/>
  <c r="C69" i="4"/>
  <c r="D69" i="4"/>
  <c r="E69" i="4"/>
  <c r="F69" i="4"/>
  <c r="G69" i="4"/>
  <c r="A70" i="4"/>
  <c r="B70" i="4"/>
  <c r="C70" i="4"/>
  <c r="D70" i="4"/>
  <c r="E70" i="4"/>
  <c r="F70" i="4"/>
  <c r="G70" i="4"/>
  <c r="A71" i="4"/>
  <c r="B71" i="4"/>
  <c r="C71" i="4"/>
  <c r="D71" i="4"/>
  <c r="E71" i="4"/>
  <c r="F71" i="4"/>
  <c r="G71" i="4"/>
  <c r="A42" i="4"/>
  <c r="B42" i="4"/>
  <c r="C42" i="4"/>
  <c r="D42" i="4"/>
  <c r="E42" i="4"/>
  <c r="F42" i="4"/>
  <c r="A43" i="4"/>
  <c r="B43" i="4"/>
  <c r="C43" i="4"/>
  <c r="D43" i="4"/>
  <c r="E43" i="4"/>
  <c r="F43" i="4"/>
  <c r="A44" i="4"/>
  <c r="B44" i="4"/>
  <c r="C44" i="4"/>
  <c r="D44" i="4"/>
  <c r="E44" i="4"/>
  <c r="F44" i="4"/>
  <c r="A45" i="4"/>
  <c r="B45" i="4"/>
  <c r="C45" i="4"/>
  <c r="D45" i="4"/>
  <c r="E45" i="4"/>
  <c r="F45" i="4"/>
  <c r="A46" i="4"/>
  <c r="B46" i="4"/>
  <c r="C46" i="4"/>
  <c r="D46" i="4"/>
  <c r="E46" i="4"/>
  <c r="F46" i="4"/>
  <c r="A47" i="4"/>
  <c r="B47" i="4"/>
  <c r="C47" i="4"/>
  <c r="D47" i="4"/>
  <c r="E47" i="4"/>
  <c r="F47" i="4"/>
  <c r="A48" i="4"/>
  <c r="B48" i="4"/>
  <c r="C48" i="4"/>
  <c r="D48" i="4"/>
  <c r="E48" i="4"/>
  <c r="F48" i="4"/>
  <c r="A49" i="4"/>
  <c r="B49" i="4"/>
  <c r="C49" i="4"/>
  <c r="D49" i="4"/>
  <c r="E49" i="4"/>
  <c r="F49" i="4"/>
  <c r="A50" i="4"/>
  <c r="B50" i="4"/>
  <c r="C50" i="4"/>
  <c r="D50" i="4"/>
  <c r="E50" i="4"/>
  <c r="F50" i="4"/>
  <c r="A51" i="4"/>
  <c r="B51" i="4"/>
  <c r="C51" i="4"/>
  <c r="D51" i="4"/>
  <c r="E51" i="4"/>
  <c r="F51" i="4"/>
  <c r="A52" i="4"/>
  <c r="B52" i="4"/>
  <c r="C52" i="4"/>
  <c r="D52" i="4"/>
  <c r="E52" i="4"/>
  <c r="F52" i="4"/>
  <c r="A8" i="4"/>
  <c r="B8" i="4"/>
  <c r="C8" i="4"/>
  <c r="D8" i="4"/>
  <c r="A9" i="4"/>
  <c r="B9" i="4"/>
  <c r="C9" i="4"/>
  <c r="D9" i="4"/>
  <c r="A10" i="4"/>
  <c r="B10" i="4"/>
  <c r="C10" i="4"/>
  <c r="D10" i="4"/>
  <c r="A11" i="4"/>
  <c r="B11" i="4"/>
  <c r="C11" i="4"/>
  <c r="D11" i="4"/>
  <c r="A12" i="4"/>
  <c r="B12" i="4"/>
  <c r="C12" i="4"/>
  <c r="D12" i="4"/>
  <c r="A13" i="4"/>
  <c r="B13" i="4"/>
  <c r="C13" i="4"/>
  <c r="D13" i="4"/>
  <c r="A14" i="4"/>
  <c r="B14" i="4"/>
  <c r="C14" i="4"/>
  <c r="D14" i="4"/>
  <c r="A15" i="4"/>
  <c r="B15" i="4"/>
  <c r="C15" i="4"/>
  <c r="D15" i="4"/>
  <c r="A16" i="4"/>
  <c r="B16" i="4"/>
  <c r="C16" i="4"/>
  <c r="D16" i="4"/>
  <c r="A17" i="4"/>
  <c r="B17" i="4"/>
  <c r="C17" i="4"/>
  <c r="D17" i="4"/>
  <c r="A18" i="4"/>
  <c r="B18" i="4"/>
  <c r="C18" i="4"/>
  <c r="D18" i="4"/>
  <c r="A19" i="4"/>
  <c r="B19" i="4"/>
  <c r="C19" i="4"/>
  <c r="D19" i="4"/>
  <c r="A20" i="4"/>
  <c r="B20" i="4"/>
  <c r="C20" i="4"/>
  <c r="D20" i="4"/>
  <c r="A21" i="4"/>
  <c r="B21" i="4"/>
  <c r="C21" i="4"/>
  <c r="D21" i="4"/>
  <c r="A22" i="4"/>
  <c r="B22" i="4"/>
  <c r="C22" i="4"/>
  <c r="D22" i="4"/>
  <c r="D28" i="1"/>
  <c r="E28" i="1"/>
  <c r="F28" i="1"/>
  <c r="D20" i="1"/>
  <c r="E20" i="1"/>
  <c r="F20" i="1"/>
  <c r="D24" i="1"/>
  <c r="E24" i="1"/>
  <c r="F24" i="1"/>
  <c r="D2" i="1"/>
  <c r="E2" i="1"/>
  <c r="F2" i="1"/>
  <c r="D7" i="1"/>
  <c r="E7" i="1"/>
  <c r="F7" i="1"/>
  <c r="D15" i="1"/>
  <c r="E15" i="1"/>
  <c r="F15" i="1"/>
  <c r="I24" i="3"/>
  <c r="F24" i="3"/>
  <c r="G4" i="3"/>
  <c r="G5" i="3"/>
  <c r="H5" i="3" s="1"/>
  <c r="G6" i="3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G15" i="3"/>
  <c r="G16" i="3"/>
  <c r="G17" i="3"/>
  <c r="G18" i="3"/>
  <c r="G19" i="3"/>
  <c r="G20" i="3"/>
  <c r="G21" i="3"/>
  <c r="H21" i="3" s="1"/>
  <c r="G22" i="3"/>
  <c r="H22" i="3" s="1"/>
  <c r="G23" i="3"/>
  <c r="H23" i="3" s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3" i="3"/>
  <c r="G3" i="3"/>
  <c r="H3" i="3" s="1"/>
  <c r="H4" i="3"/>
  <c r="H6" i="3"/>
  <c r="H14" i="3"/>
  <c r="H15" i="3"/>
  <c r="H16" i="3"/>
  <c r="H17" i="3"/>
  <c r="H18" i="3"/>
  <c r="H19" i="3"/>
  <c r="H20" i="3"/>
  <c r="H1" i="1"/>
  <c r="I1" i="1"/>
  <c r="J1" i="1"/>
  <c r="K1" i="1"/>
  <c r="L1" i="1"/>
  <c r="M1" i="1"/>
  <c r="H2" i="1"/>
  <c r="I2" i="1"/>
  <c r="J2" i="1"/>
  <c r="K2" i="1"/>
  <c r="L2" i="1"/>
  <c r="M2" i="1"/>
  <c r="H3" i="1"/>
  <c r="I3" i="1"/>
  <c r="K3" i="1"/>
  <c r="L3" i="1"/>
  <c r="M3" i="1"/>
  <c r="H4" i="1"/>
  <c r="I4" i="1"/>
  <c r="K4" i="1"/>
  <c r="L4" i="1"/>
  <c r="M4" i="1"/>
  <c r="H5" i="1"/>
  <c r="I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K8" i="1"/>
  <c r="L8" i="1"/>
  <c r="M8" i="1"/>
  <c r="H9" i="1"/>
  <c r="I9" i="1"/>
  <c r="K9" i="1"/>
  <c r="L9" i="1"/>
  <c r="M9" i="1"/>
  <c r="H10" i="1"/>
  <c r="I10" i="1"/>
  <c r="K10" i="1"/>
  <c r="L10" i="1"/>
  <c r="M10" i="1"/>
  <c r="H11" i="1"/>
  <c r="I11" i="1"/>
  <c r="K11" i="1"/>
  <c r="L11" i="1"/>
  <c r="M11" i="1"/>
  <c r="H12" i="1"/>
  <c r="I12" i="1"/>
  <c r="K12" i="1"/>
  <c r="L12" i="1"/>
  <c r="M12" i="1"/>
  <c r="H13" i="1"/>
  <c r="I13" i="1"/>
  <c r="K13" i="1"/>
  <c r="L13" i="1"/>
  <c r="M13" i="1"/>
  <c r="H14" i="1"/>
  <c r="I14" i="1"/>
  <c r="K14" i="1"/>
  <c r="L14" i="1"/>
  <c r="M14" i="1"/>
  <c r="H15" i="1"/>
  <c r="I15" i="1"/>
  <c r="J15" i="1"/>
  <c r="K15" i="1"/>
  <c r="L15" i="1"/>
  <c r="M15" i="1"/>
  <c r="H16" i="1"/>
  <c r="I16" i="1"/>
  <c r="K16" i="1"/>
  <c r="L16" i="1"/>
  <c r="M16" i="1"/>
  <c r="H17" i="1"/>
  <c r="I17" i="1"/>
  <c r="K17" i="1"/>
  <c r="L17" i="1"/>
  <c r="M17" i="1"/>
  <c r="H18" i="1"/>
  <c r="I18" i="1"/>
  <c r="K18" i="1"/>
  <c r="L18" i="1"/>
  <c r="M18" i="1"/>
  <c r="H19" i="1"/>
  <c r="I19" i="1"/>
  <c r="K19" i="1"/>
  <c r="L19" i="1"/>
  <c r="M19" i="1"/>
  <c r="H20" i="1"/>
  <c r="I20" i="1"/>
  <c r="J20" i="1"/>
  <c r="K20" i="1"/>
  <c r="L20" i="1"/>
  <c r="M20" i="1"/>
  <c r="H21" i="1"/>
  <c r="I21" i="1"/>
  <c r="K21" i="1"/>
  <c r="L21" i="1"/>
  <c r="M21" i="1"/>
  <c r="H22" i="1"/>
  <c r="I22" i="1"/>
  <c r="K22" i="1"/>
  <c r="L22" i="1"/>
  <c r="M22" i="1"/>
  <c r="H23" i="1"/>
  <c r="I23" i="1"/>
  <c r="K23" i="1"/>
  <c r="L23" i="1"/>
  <c r="M23" i="1"/>
  <c r="H24" i="1"/>
  <c r="I24" i="1"/>
  <c r="J24" i="1"/>
  <c r="K24" i="1"/>
  <c r="L24" i="1"/>
  <c r="M24" i="1"/>
  <c r="H25" i="1"/>
  <c r="I25" i="1"/>
  <c r="K25" i="1"/>
  <c r="L25" i="1"/>
  <c r="M25" i="1"/>
  <c r="H26" i="1"/>
  <c r="I26" i="1"/>
  <c r="K26" i="1"/>
  <c r="L26" i="1"/>
  <c r="M26" i="1"/>
  <c r="H27" i="1"/>
  <c r="I27" i="1"/>
  <c r="K27" i="1"/>
  <c r="L27" i="1"/>
  <c r="M27" i="1"/>
  <c r="H28" i="1"/>
  <c r="I28" i="1"/>
  <c r="J28" i="1"/>
  <c r="K28" i="1"/>
  <c r="L28" i="1"/>
  <c r="M28" i="1"/>
  <c r="H24" i="3" l="1"/>
</calcChain>
</file>

<file path=xl/sharedStrings.xml><?xml version="1.0" encoding="utf-8"?>
<sst xmlns="http://schemas.openxmlformats.org/spreadsheetml/2006/main" count="250" uniqueCount="169">
  <si>
    <t>Название</t>
  </si>
  <si>
    <t>Прототип сайта</t>
  </si>
  <si>
    <t>Подготовка</t>
  </si>
  <si>
    <t>Описание</t>
  </si>
  <si>
    <t>Z</t>
  </si>
  <si>
    <t>Модульное тестирование</t>
  </si>
  <si>
    <t>Интеграционное тестирование</t>
  </si>
  <si>
    <t>Функциональное тестирование</t>
  </si>
  <si>
    <t>Главная страница</t>
  </si>
  <si>
    <t>Центр поддержки</t>
  </si>
  <si>
    <r>
      <rPr>
        <sz val="11"/>
        <color theme="1"/>
        <rFont val="SimSun"/>
        <family val="1"/>
        <charset val="134"/>
      </rPr>
      <t>确定技术栈：前端使用</t>
    </r>
    <r>
      <rPr>
        <sz val="11"/>
        <color theme="1"/>
        <rFont val="Times New Roman"/>
        <family val="1"/>
        <charset val="204"/>
      </rPr>
      <t>ReactJS</t>
    </r>
    <r>
      <rPr>
        <sz val="11"/>
        <color theme="1"/>
        <rFont val="SimSun"/>
        <family val="1"/>
        <charset val="134"/>
      </rPr>
      <t>以支持动态交互，后端使用</t>
    </r>
    <r>
      <rPr>
        <sz val="11"/>
        <color theme="1"/>
        <rFont val="Times New Roman"/>
        <family val="1"/>
        <charset val="204"/>
      </rPr>
      <t>Node.js</t>
    </r>
    <r>
      <rPr>
        <sz val="11"/>
        <color theme="1"/>
        <rFont val="SimSun"/>
        <family val="1"/>
        <charset val="134"/>
      </rPr>
      <t>和</t>
    </r>
    <r>
      <rPr>
        <sz val="11"/>
        <color theme="1"/>
        <rFont val="Times New Roman"/>
        <family val="1"/>
        <charset val="204"/>
      </rPr>
      <t>GraphQL</t>
    </r>
    <r>
      <rPr>
        <sz val="11"/>
        <color theme="1"/>
        <rFont val="SimSun"/>
        <family val="1"/>
        <charset val="134"/>
      </rPr>
      <t>实现快速数据处理，数据库选择</t>
    </r>
    <r>
      <rPr>
        <sz val="11"/>
        <color theme="1"/>
        <rFont val="Times New Roman"/>
        <family val="1"/>
        <charset val="204"/>
      </rPr>
      <t>PostgreSQL</t>
    </r>
    <r>
      <rPr>
        <sz val="11"/>
        <color theme="1"/>
        <rFont val="SimSun"/>
        <family val="1"/>
        <charset val="134"/>
      </rPr>
      <t>。</t>
    </r>
    <phoneticPr fontId="1" type="noConversion"/>
  </si>
  <si>
    <r>
      <rPr>
        <sz val="11"/>
        <color theme="1"/>
        <rFont val="SimSun"/>
        <family val="1"/>
        <charset val="134"/>
      </rPr>
      <t>展示产品详细信息页面，包含技术参数、价格计算等内容。</t>
    </r>
    <r>
      <rPr>
        <sz val="11"/>
        <color theme="1"/>
        <rFont val="Times New Roman"/>
        <family val="1"/>
        <charset val="204"/>
      </rPr>
      <t>"</t>
    </r>
    <phoneticPr fontId="1" type="noConversion"/>
  </si>
  <si>
    <r>
      <rPr>
        <sz val="11"/>
        <color theme="1"/>
        <rFont val="SimSun"/>
        <family val="1"/>
        <charset val="134"/>
      </rPr>
      <t>展示</t>
    </r>
    <r>
      <rPr>
        <sz val="11"/>
        <color theme="1"/>
        <rFont val="Times New Roman"/>
        <family val="1"/>
        <charset val="204"/>
      </rPr>
      <t>Selectel</t>
    </r>
    <r>
      <rPr>
        <sz val="11"/>
        <color theme="1"/>
        <rFont val="SimSun"/>
        <family val="1"/>
        <charset val="134"/>
      </rPr>
      <t>提供的各类云服务，支持动态筛选和详细信息展示。</t>
    </r>
    <phoneticPr fontId="1" type="noConversion"/>
  </si>
  <si>
    <r>
      <rPr>
        <sz val="11"/>
        <color theme="1"/>
        <rFont val="SimSun"/>
        <family val="1"/>
        <charset val="134"/>
      </rPr>
      <t>创建数据库结构，包括用户数据、订单、服务与设备状态等表格与索引优化。</t>
    </r>
    <r>
      <rPr>
        <sz val="11"/>
        <color theme="1"/>
        <rFont val="Times New Roman"/>
        <family val="1"/>
        <charset val="204"/>
      </rPr>
      <t>"</t>
    </r>
    <phoneticPr fontId="1" type="noConversion"/>
  </si>
  <si>
    <r>
      <rPr>
        <sz val="11"/>
        <color theme="1"/>
        <rFont val="SimSun"/>
        <family val="1"/>
        <charset val="134"/>
      </rPr>
      <t>设计并开发</t>
    </r>
    <r>
      <rPr>
        <sz val="11"/>
        <color theme="1"/>
        <rFont val="Times New Roman"/>
        <family val="1"/>
        <charset val="204"/>
      </rPr>
      <t>RESTful API</t>
    </r>
    <r>
      <rPr>
        <sz val="11"/>
        <color theme="1"/>
        <rFont val="SimSun"/>
        <family val="1"/>
        <charset val="134"/>
      </rPr>
      <t>，支持前端与后端的数据交互。</t>
    </r>
    <phoneticPr fontId="1" type="noConversion"/>
  </si>
  <si>
    <r>
      <rPr>
        <sz val="11"/>
        <color theme="1"/>
        <rFont val="SimSun"/>
        <family val="1"/>
        <charset val="134"/>
      </rPr>
      <t>实现数据加密存储和安全通信（如</t>
    </r>
    <r>
      <rPr>
        <sz val="11"/>
        <color theme="1"/>
        <rFont val="Times New Roman"/>
        <family val="1"/>
        <charset val="204"/>
      </rPr>
      <t>SSL/TLS</t>
    </r>
    <r>
      <rPr>
        <sz val="11"/>
        <color theme="1"/>
        <rFont val="SimSun"/>
        <family val="1"/>
        <charset val="134"/>
      </rPr>
      <t>）。</t>
    </r>
    <phoneticPr fontId="1" type="noConversion"/>
  </si>
  <si>
    <r>
      <rPr>
        <sz val="11"/>
        <color theme="1"/>
        <rFont val="SimSun"/>
        <family val="1"/>
        <charset val="134"/>
      </rPr>
      <t>安装并配置</t>
    </r>
    <r>
      <rPr>
        <sz val="11"/>
        <color theme="1"/>
        <rFont val="Times New Roman"/>
        <family val="1"/>
        <charset val="204"/>
      </rPr>
      <t>SSL</t>
    </r>
    <r>
      <rPr>
        <sz val="11"/>
        <color theme="1"/>
        <rFont val="SimSun"/>
        <family val="1"/>
        <charset val="134"/>
      </rPr>
      <t>证书，确保网站运行于</t>
    </r>
    <r>
      <rPr>
        <sz val="11"/>
        <color theme="1"/>
        <rFont val="Times New Roman"/>
        <family val="1"/>
        <charset val="204"/>
      </rPr>
      <t>HTTPS</t>
    </r>
    <r>
      <rPr>
        <sz val="11"/>
        <color theme="1"/>
        <rFont val="SimSun"/>
        <family val="1"/>
        <charset val="134"/>
      </rPr>
      <t>协议。</t>
    </r>
    <phoneticPr fontId="1" type="noConversion"/>
  </si>
  <si>
    <t>№</t>
  </si>
  <si>
    <t>Оптимистичное время (часы)</t>
  </si>
  <si>
    <t>Пессимистичное время (часы)</t>
  </si>
  <si>
    <t>Лучшее время (часы)</t>
  </si>
  <si>
    <t>Разработка начального прототипа сайта, проектирование пользовательского опыта и анимаций взаимодействия для главной страницы, страницы услуг, страницы продуктов и других разделов.</t>
  </si>
  <si>
    <t>Выбор технологий</t>
  </si>
  <si>
    <t>Разрешение на обработку данных</t>
  </si>
  <si>
    <t>Ввиду работы с регистрацией пользователей и хранением данных необходимо получить разрешение на обработку данных и обеспечить соблюдение законодательных норм.</t>
  </si>
  <si>
    <t>Настройка хостинга и домена</t>
  </si>
  <si>
    <t>Определение оптимального хостинга и конфигурации домена с учетом производительности и стоимости.</t>
  </si>
  <si>
    <t>Фронтенд</t>
  </si>
  <si>
    <t>Адаптивный дизайн, отображение основных услуг, динамическая загрузка контента, оптимизация анимаций, акцент на ключевой информации.</t>
  </si>
  <si>
    <t>Страница входа/регистрации</t>
  </si>
  <si>
    <t>Динамическая валидация форм, адаптивный макет, поддержка двухфакторной аутентификации (2FA).</t>
  </si>
  <si>
    <t>Страница услуг</t>
  </si>
  <si>
    <t>Отображение различных облачных услуг Selectel, поддержка динамической фильтрации и отображения подробной информации.</t>
  </si>
  <si>
    <t>Страница продуктов</t>
  </si>
  <si>
    <t>Представление подробной информации о продуктах, включая технические параметры и калькуляцию стоимости.</t>
  </si>
  <si>
    <t>Включает раздел часто задаваемых вопросов, форму отправки запросов и поддержку в реальном времени через чат.</t>
  </si>
  <si>
    <t>Страница документации</t>
  </si>
  <si>
    <t>Отображение технической документации с возможностью постраничного чтения и полнотекстового поиска.</t>
  </si>
  <si>
    <t>Панель управления пользователем</t>
  </si>
  <si>
    <t>Включает управление аккаунтом, историю заказов, мониторинг состояния услуг и устройств, поддержку пользовательской настройки.</t>
  </si>
  <si>
    <t>Бэкенд</t>
  </si>
  <si>
    <t>Проектирование и настройка базы данных</t>
  </si>
  <si>
    <t>Создание структуры базы данных, включающей данные пользователей, заказы, состояние услуг и устройств, оптимизация индексов.</t>
  </si>
  <si>
    <t>Аутентификация и управление правами доступа</t>
  </si>
  <si>
    <t>Реализация логики входа, регистрации и управления правами доступа, поддержка различных ролей (обычные пользователи, администраторы).</t>
  </si>
  <si>
    <t>Проектирование и разработка RESTful API для взаимодействия фронтенда и бэкенда.</t>
  </si>
  <si>
    <t>Реализация шифрования данных для хранения и обеспечение защищенной связи (например, через SSL/TLS).</t>
  </si>
  <si>
    <t>Тестирование</t>
  </si>
  <si>
    <t>Проверка надежности функциональности каждого модуля, обеспечение корректности логики фронтенда и бэкенда.</t>
  </si>
  <si>
    <t>Проверка корректности взаимодействия между фронтендом, бэкендом и внешними сервисами.</t>
  </si>
  <si>
    <t>Тестирование полных пользовательских сценариев, включая регистрацию, заказ услуг, просмотр документации и т. д.</t>
  </si>
  <si>
    <t>Проведение внутреннего тестирования и открытого тестирования основных функций, сбор обратной связи и оптимизация.</t>
  </si>
  <si>
    <t>Настройка SSL-сертификата</t>
  </si>
  <si>
    <t>Установка и настройка SSL-сертификата для работы сайта по протоколу HTTPS.</t>
  </si>
  <si>
    <t>Развертывание сервера</t>
  </si>
  <si>
    <t>Размещение кода на облачном сервере и выполнение необходимой конфигурации окружения.</t>
  </si>
  <si>
    <t>Итого</t>
  </si>
  <si>
    <t>Optimistic (h)</t>
    <phoneticPr fontId="1" type="noConversion"/>
  </si>
  <si>
    <t>Pessimistic (h)</t>
    <phoneticPr fontId="1" type="noConversion"/>
  </si>
  <si>
    <t>Optimal (h)</t>
    <phoneticPr fontId="1" type="noConversion"/>
  </si>
  <si>
    <t>Проектирование и разработка API</t>
    <phoneticPr fontId="1" type="noConversion"/>
  </si>
  <si>
    <t>Релиз</t>
    <phoneticPr fontId="1" type="noConversion"/>
  </si>
  <si>
    <r>
      <rPr>
        <sz val="11"/>
        <color theme="1"/>
        <rFont val="SimSun"/>
        <family val="1"/>
        <charset val="134"/>
      </rPr>
      <t>开发网站的初步原型，设计主页、服务页面、产品页面等的用户体验与交互动画。</t>
    </r>
    <phoneticPr fontId="1" type="noConversion"/>
  </si>
  <si>
    <t>Определение технологического стека: использование ReactJS для динамического взаимодействия на фронтенде, Spring для быстрого обработки данных на бэкенде, выбор PostgreSQL в качестве базы данных.</t>
    <phoneticPr fontId="1" type="noConversion"/>
  </si>
  <si>
    <r>
      <rPr>
        <sz val="11"/>
        <color theme="1"/>
        <rFont val="SimSun"/>
        <family val="1"/>
        <charset val="134"/>
      </rPr>
      <t>由于涉及用户注册与数据存储，必须获得数据处理许可，并确保符合相关法律要求。</t>
    </r>
    <phoneticPr fontId="1" type="noConversion"/>
  </si>
  <si>
    <r>
      <rPr>
        <sz val="11"/>
        <color theme="1"/>
        <rFont val="SimSun"/>
        <family val="1"/>
        <charset val="134"/>
      </rPr>
      <t>响应式设计，展示主要服务、动态内容加载、优化动画效果，突出主要内容。</t>
    </r>
    <phoneticPr fontId="1" type="noConversion"/>
  </si>
  <si>
    <r>
      <rPr>
        <sz val="11"/>
        <color theme="1"/>
        <rFont val="SimSun"/>
        <family val="1"/>
        <charset val="134"/>
      </rPr>
      <t>动态表单验证，响应式布局，提供</t>
    </r>
    <r>
      <rPr>
        <sz val="11"/>
        <color theme="1"/>
        <rFont val="Times New Roman"/>
        <family val="1"/>
        <charset val="204"/>
      </rPr>
      <t>2FA</t>
    </r>
    <r>
      <rPr>
        <sz val="11"/>
        <color theme="1"/>
        <rFont val="SimSun"/>
        <family val="1"/>
        <charset val="134"/>
      </rPr>
      <t>验证</t>
    </r>
    <phoneticPr fontId="1" type="noConversion"/>
  </si>
  <si>
    <r>
      <rPr>
        <sz val="11"/>
        <color theme="1"/>
        <rFont val="SimSun"/>
        <family val="1"/>
        <charset val="134"/>
      </rPr>
      <t>包括常见问题、提交工单表单、实时聊天支持功能。</t>
    </r>
    <phoneticPr fontId="1" type="noConversion"/>
  </si>
  <si>
    <r>
      <rPr>
        <sz val="11"/>
        <color theme="1"/>
        <rFont val="SimSun"/>
        <family val="1"/>
        <charset val="134"/>
      </rPr>
      <t>显示技术文档，支持分章节阅读和全文搜索功能。</t>
    </r>
    <phoneticPr fontId="1" type="noConversion"/>
  </si>
  <si>
    <r>
      <rPr>
        <sz val="11"/>
        <color theme="1"/>
        <rFont val="SimSun"/>
        <family val="1"/>
        <charset val="134"/>
      </rPr>
      <t>包括账户管理、订单历史、服务与设备状态监控，支持自定义配置功能。</t>
    </r>
    <phoneticPr fontId="1" type="noConversion"/>
  </si>
  <si>
    <r>
      <rPr>
        <sz val="11"/>
        <color theme="1"/>
        <rFont val="SimSun"/>
        <family val="1"/>
        <charset val="134"/>
      </rPr>
      <t>实现用户登录、注册、权限管理逻辑，支持多种角色（普通用户、管理员）。</t>
    </r>
    <phoneticPr fontId="1" type="noConversion"/>
  </si>
  <si>
    <r>
      <rPr>
        <sz val="11"/>
        <color theme="1"/>
        <rFont val="SimSun"/>
        <family val="1"/>
        <charset val="134"/>
      </rPr>
      <t>测试每个模块功能的可靠性，确保前后端逻辑正确无误。</t>
    </r>
    <phoneticPr fontId="1" type="noConversion"/>
  </si>
  <si>
    <r>
      <rPr>
        <sz val="11"/>
        <color theme="1"/>
        <rFont val="SimSun"/>
        <family val="1"/>
        <charset val="134"/>
      </rPr>
      <t>确保前后端及外部服务之间的交互工作正常。</t>
    </r>
    <phoneticPr fontId="1" type="noConversion"/>
  </si>
  <si>
    <r>
      <rPr>
        <sz val="11"/>
        <color theme="1"/>
        <rFont val="SimSun"/>
        <family val="1"/>
        <charset val="134"/>
      </rPr>
      <t>测试完整用户场景，包括注册、订购服务、查看文档等流程。</t>
    </r>
    <phoneticPr fontId="1" type="noConversion"/>
  </si>
  <si>
    <r>
      <rPr>
        <sz val="11"/>
        <color theme="1"/>
        <rFont val="SimSun"/>
        <family val="1"/>
        <charset val="134"/>
      </rPr>
      <t>对主要功能进行内部测试和公开测试，收集反馈并优化。</t>
    </r>
    <phoneticPr fontId="1" type="noConversion"/>
  </si>
  <si>
    <r>
      <rPr>
        <sz val="11"/>
        <color theme="1"/>
        <rFont val="SimSun"/>
        <family val="1"/>
        <charset val="134"/>
      </rPr>
      <t>将代码部署到云服务器，并完成必要的环境配置。</t>
    </r>
    <phoneticPr fontId="1" type="noConversion"/>
  </si>
  <si>
    <t>Безопасность и шифрование данных</t>
    <phoneticPr fontId="1" type="noConversion"/>
  </si>
  <si>
    <t>Alpha и Beta тестирование</t>
    <phoneticPr fontId="1" type="noConversion"/>
  </si>
  <si>
    <t>Функция</t>
  </si>
  <si>
    <t>Тип транзакции</t>
  </si>
  <si>
    <t>EI</t>
  </si>
  <si>
    <t>EO</t>
  </si>
  <si>
    <t>EQ</t>
  </si>
  <si>
    <t>Изменяет поведение системы</t>
  </si>
  <si>
    <t>О</t>
  </si>
  <si>
    <t>Д</t>
  </si>
  <si>
    <t>NA</t>
  </si>
  <si>
    <t>Поддержка одного или более ILF</t>
  </si>
  <si>
    <t>Представление информации пользователю</t>
  </si>
  <si>
    <t>Сложность данных</t>
  </si>
  <si>
    <t>Количество UFP (ILF)</t>
  </si>
  <si>
    <t>Количество UFP (EIF)</t>
  </si>
  <si>
    <t>Low</t>
  </si>
  <si>
    <t>Average</t>
  </si>
  <si>
    <t>High</t>
  </si>
  <si>
    <t>1-10 DET</t>
  </si>
  <si>
    <t>11-20 DET</t>
  </si>
  <si>
    <t>20+ DET</t>
  </si>
  <si>
    <t>1 RET</t>
  </si>
  <si>
    <t>2-5 RET</t>
  </si>
  <si>
    <t>6+ RET</t>
  </si>
  <si>
    <t>/</t>
    <phoneticPr fontId="1" type="noConversion"/>
  </si>
  <si>
    <t>RET</t>
  </si>
  <si>
    <t>DET</t>
  </si>
  <si>
    <t>Сложность</t>
  </si>
  <si>
    <t>UFP</t>
  </si>
  <si>
    <t>Форма регистрации</t>
  </si>
  <si>
    <t>Данные входа, личная информация (2)</t>
  </si>
  <si>
    <t>Email, пароль, имя, фамилия, пол, дата рождения, город, телефон (9)</t>
  </si>
  <si>
    <t>Сложность транзакций</t>
  </si>
  <si>
    <t>Количество UFP (EI &amp; EQ)</t>
  </si>
  <si>
    <t>Количество UFP (EO)</t>
  </si>
  <si>
    <t>Название фактора</t>
  </si>
  <si>
    <t>Уровень фактора</t>
  </si>
  <si>
    <t>Значение уровня</t>
  </si>
  <si>
    <t>PREC</t>
  </si>
  <si>
    <t>FLEX</t>
  </si>
  <si>
    <t>High</t>
    <phoneticPr fontId="1" type="noConversion"/>
  </si>
  <si>
    <t>RESL</t>
  </si>
  <si>
    <t>TEAM</t>
    <phoneticPr fontId="1" type="noConversion"/>
  </si>
  <si>
    <t>PMAT</t>
  </si>
  <si>
    <t>Very Low</t>
  </si>
  <si>
    <t>Технический фактор</t>
  </si>
  <si>
    <t>Масса</t>
  </si>
  <si>
    <t>Воспринимаемая сложность</t>
  </si>
  <si>
    <t>Рассчитанный фактор</t>
  </si>
  <si>
    <t>T1</t>
  </si>
  <si>
    <t>Распределенная система</t>
  </si>
  <si>
    <t>T2</t>
  </si>
  <si>
    <t>Производительность</t>
  </si>
  <si>
    <t>T3</t>
  </si>
  <si>
    <t>Эффективность для конечного пользователя</t>
  </si>
  <si>
    <t>T4</t>
  </si>
  <si>
    <t>Сложная внутренняя обработка</t>
  </si>
  <si>
    <t>T5</t>
  </si>
  <si>
    <t>Возможность повторного использования</t>
  </si>
  <si>
    <t>T6</t>
  </si>
  <si>
    <t>Легко установить</t>
  </si>
  <si>
    <t>T7</t>
  </si>
  <si>
    <t>Легко использовать</t>
  </si>
  <si>
    <t>T8</t>
  </si>
  <si>
    <t>Портативный</t>
  </si>
  <si>
    <t>T9</t>
  </si>
  <si>
    <t>Легко изменить</t>
  </si>
  <si>
    <t>T10</t>
  </si>
  <si>
    <t>Параллельный</t>
  </si>
  <si>
    <t>T11</t>
  </si>
  <si>
    <t>Специальные функции безопасности</t>
  </si>
  <si>
    <t>T12</t>
  </si>
  <si>
    <t>Предоставляет прямой доступ третьим лицам</t>
  </si>
  <si>
    <t>Фактор</t>
  </si>
  <si>
    <t>E1</t>
  </si>
  <si>
    <t>Знакомство с UML</t>
  </si>
  <si>
    <t>E2</t>
  </si>
  <si>
    <t>Опыт применения</t>
  </si>
  <si>
    <t>E3</t>
  </si>
  <si>
    <t>Объектно-ориентированный опыт</t>
  </si>
  <si>
    <t>E4</t>
  </si>
  <si>
    <t>Возможности ведущего аналитика</t>
  </si>
  <si>
    <t>E5</t>
  </si>
  <si>
    <t>Мотивация</t>
  </si>
  <si>
    <t>E6</t>
  </si>
  <si>
    <t>Требования к стабильности</t>
  </si>
  <si>
    <t>E7</t>
  </si>
  <si>
    <t>Неполный рабочий день</t>
  </si>
  <si>
    <t>E8</t>
  </si>
  <si>
    <t>Сложный язык программирования</t>
  </si>
  <si>
    <t>T13</t>
  </si>
  <si>
    <t>Требуются специальные условия для обучения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</si>
</sst>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  <charset val="204"/>
    </font>
    <font>
      <sz val="11"/>
      <color theme="1"/>
      <name val="SimSun"/>
      <family val="1"/>
      <charset val="134"/>
    </font>
    <font>
      <sz val="11"/>
      <color rgb="FF000000"/>
      <name val="Times New Roman"/>
      <family val="1"/>
      <charset val="204"/>
    </font>
    <font>
      <sz val="10.5"/>
      <color rgb="FF000000"/>
      <name val="Times New Roman"/>
      <family val="1"/>
      <charset val="204"/>
    </font>
    <font>
      <b/>
      <sz val="10.5"/>
      <color rgb="FF000000"/>
      <name val="Times New Roman"/>
      <family val="1"/>
      <charset val="20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.5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9840-9214-4EC6-8269-5D4BE3F124DF}">
  <dimension ref="A1:M28"/>
  <sheetViews>
    <sheetView zoomScale="130" zoomScaleNormal="130" workbookViewId="0">
      <selection activeCell="C23" sqref="C23"/>
    </sheetView>
  </sheetViews>
  <sheetFormatPr baseColWidth="10" defaultColWidth="9" defaultRowHeight="14"/>
  <cols>
    <col min="1" max="1" width="5.1640625" style="2" customWidth="1"/>
    <col min="2" max="2" width="15.33203125" style="1" customWidth="1"/>
    <col min="3" max="3" width="29.33203125" style="1" customWidth="1"/>
    <col min="4" max="4" width="9" style="1" customWidth="1"/>
    <col min="5" max="5" width="8.83203125" style="1" customWidth="1"/>
    <col min="6" max="6" width="6.5" style="1" customWidth="1"/>
    <col min="7" max="16384" width="9" style="1"/>
  </cols>
  <sheetData>
    <row r="1" spans="1:13" ht="31.5" customHeight="1" thickBot="1">
      <c r="A1" s="4" t="s">
        <v>17</v>
      </c>
      <c r="B1" s="5" t="s">
        <v>0</v>
      </c>
      <c r="C1" s="5" t="s">
        <v>3</v>
      </c>
      <c r="D1" s="5" t="s">
        <v>18</v>
      </c>
      <c r="E1" s="5" t="s">
        <v>19</v>
      </c>
      <c r="F1" s="5" t="s">
        <v>20</v>
      </c>
      <c r="H1" s="1" t="str">
        <f>"编号"</f>
        <v>编号</v>
      </c>
      <c r="I1" s="1" t="str">
        <f>"名称"</f>
        <v>名称</v>
      </c>
      <c r="J1" s="1" t="str">
        <f>"描述"</f>
        <v>描述</v>
      </c>
      <c r="K1" s="1" t="str">
        <f>"乐观时间 (小时)"</f>
        <v>乐观时间 (小时)</v>
      </c>
      <c r="L1" s="1" t="str">
        <f>"悲观时间 (小时)"</f>
        <v>悲观时间 (小时)</v>
      </c>
      <c r="M1" s="1" t="str">
        <f>"最佳时间 (小时)"</f>
        <v>最佳时间 (小时)</v>
      </c>
    </row>
    <row r="2" spans="1:13" ht="16" thickBot="1">
      <c r="A2" s="6">
        <v>1</v>
      </c>
      <c r="B2" s="7" t="s">
        <v>2</v>
      </c>
      <c r="C2" s="7"/>
      <c r="D2" s="8">
        <f t="shared" ref="D2:E2" si="0">SUM(D3:D6)</f>
        <v>200</v>
      </c>
      <c r="E2" s="8">
        <f t="shared" si="0"/>
        <v>450</v>
      </c>
      <c r="F2" s="8">
        <f>SUM(F3:F6)</f>
        <v>290</v>
      </c>
      <c r="H2" s="1" t="str">
        <f>"1"</f>
        <v>1</v>
      </c>
      <c r="I2" s="1" t="str">
        <f>"准备"</f>
        <v>准备</v>
      </c>
      <c r="J2" s="1" t="str">
        <f>""</f>
        <v/>
      </c>
      <c r="K2" s="1" t="str">
        <f>"200"</f>
        <v>200</v>
      </c>
      <c r="L2" s="1" t="str">
        <f>"450"</f>
        <v>450</v>
      </c>
      <c r="M2" s="1" t="str">
        <f>"300"</f>
        <v>300</v>
      </c>
    </row>
    <row r="3" spans="1:13" ht="136" thickBot="1">
      <c r="A3" s="6">
        <v>1.1000000000000001</v>
      </c>
      <c r="B3" s="8" t="s">
        <v>1</v>
      </c>
      <c r="C3" s="8" t="s">
        <v>21</v>
      </c>
      <c r="D3" s="8">
        <v>50</v>
      </c>
      <c r="E3" s="8">
        <v>100</v>
      </c>
      <c r="F3" s="8">
        <v>70</v>
      </c>
      <c r="H3" s="1" t="str">
        <f>"1.1"</f>
        <v>1.1</v>
      </c>
      <c r="I3" s="1" t="str">
        <f>"网站原型"</f>
        <v>网站原型</v>
      </c>
      <c r="J3" s="1" t="s">
        <v>62</v>
      </c>
      <c r="K3" s="1" t="str">
        <f>"50"</f>
        <v>50</v>
      </c>
      <c r="L3" s="1" t="str">
        <f>"100"</f>
        <v>100</v>
      </c>
      <c r="M3" s="1" t="str">
        <f>"70"</f>
        <v>70</v>
      </c>
    </row>
    <row r="4" spans="1:13" ht="226" thickBot="1">
      <c r="A4" s="6">
        <v>1.2</v>
      </c>
      <c r="B4" s="8" t="s">
        <v>22</v>
      </c>
      <c r="C4" s="8" t="s">
        <v>63</v>
      </c>
      <c r="D4" s="8">
        <v>10</v>
      </c>
      <c r="E4" s="8">
        <v>40</v>
      </c>
      <c r="F4" s="8">
        <v>20</v>
      </c>
      <c r="H4" s="1" t="str">
        <f>"1.2"</f>
        <v>1.2</v>
      </c>
      <c r="I4" s="1" t="str">
        <f>"技术选择"</f>
        <v>技术选择</v>
      </c>
      <c r="J4" s="1" t="s">
        <v>10</v>
      </c>
      <c r="K4" s="1" t="str">
        <f>"10"</f>
        <v>10</v>
      </c>
      <c r="L4" s="1" t="str">
        <f>"40"</f>
        <v>40</v>
      </c>
      <c r="M4" s="1" t="str">
        <f>"20"</f>
        <v>20</v>
      </c>
    </row>
    <row r="5" spans="1:13" ht="151" thickBot="1">
      <c r="A5" s="6">
        <v>1.3</v>
      </c>
      <c r="B5" s="8" t="s">
        <v>23</v>
      </c>
      <c r="C5" s="8" t="s">
        <v>24</v>
      </c>
      <c r="D5" s="8">
        <v>100</v>
      </c>
      <c r="E5" s="8">
        <v>250</v>
      </c>
      <c r="F5" s="8">
        <v>150</v>
      </c>
      <c r="H5" s="1" t="str">
        <f>"1.3"</f>
        <v>1.3</v>
      </c>
      <c r="I5" s="1" t="str">
        <f>"数据处理许可"</f>
        <v>数据处理许可</v>
      </c>
      <c r="J5" s="1" t="s">
        <v>64</v>
      </c>
      <c r="K5" s="1" t="str">
        <f>"100"</f>
        <v>100</v>
      </c>
      <c r="L5" s="1" t="str">
        <f>"250"</f>
        <v>250</v>
      </c>
      <c r="M5" s="1" t="str">
        <f>"150"</f>
        <v>150</v>
      </c>
    </row>
    <row r="6" spans="1:13" ht="91" thickBot="1">
      <c r="A6" s="6">
        <v>1.4</v>
      </c>
      <c r="B6" s="9" t="s">
        <v>25</v>
      </c>
      <c r="C6" s="8" t="s">
        <v>26</v>
      </c>
      <c r="D6" s="8">
        <v>40</v>
      </c>
      <c r="E6" s="8">
        <v>60</v>
      </c>
      <c r="F6" s="8">
        <v>50</v>
      </c>
      <c r="H6" s="1" t="str">
        <f>"1.4"</f>
        <v>1.4</v>
      </c>
      <c r="I6" s="1" t="str">
        <f>"主机与域名设置"</f>
        <v>主机与域名设置</v>
      </c>
      <c r="J6" s="1" t="str">
        <f>"确定最佳主机和域名设置方案，优化性能和成本。"</f>
        <v>确定最佳主机和域名设置方案，优化性能和成本。</v>
      </c>
      <c r="K6" s="1" t="str">
        <f>"40"</f>
        <v>40</v>
      </c>
      <c r="L6" s="1" t="str">
        <f>"60"</f>
        <v>60</v>
      </c>
      <c r="M6" s="1" t="str">
        <f>"50"</f>
        <v>50</v>
      </c>
    </row>
    <row r="7" spans="1:13" ht="16" thickBot="1">
      <c r="A7" s="6">
        <v>2</v>
      </c>
      <c r="B7" s="7" t="s">
        <v>27</v>
      </c>
      <c r="C7" s="7"/>
      <c r="D7" s="8">
        <f t="shared" ref="D7:E7" si="1">SUM(D8:D14)</f>
        <v>300</v>
      </c>
      <c r="E7" s="8">
        <f t="shared" si="1"/>
        <v>580</v>
      </c>
      <c r="F7" s="8">
        <f>SUM(F8:F14)</f>
        <v>440</v>
      </c>
      <c r="H7" s="1" t="str">
        <f>"2"</f>
        <v>2</v>
      </c>
      <c r="I7" s="1" t="str">
        <f>"前端"</f>
        <v>前端</v>
      </c>
      <c r="J7" s="1" t="str">
        <f>""</f>
        <v/>
      </c>
      <c r="K7" s="1" t="str">
        <f>"300"</f>
        <v>300</v>
      </c>
      <c r="L7" s="1" t="str">
        <f>"500"</f>
        <v>500</v>
      </c>
      <c r="M7" s="1" t="str">
        <f>"400"</f>
        <v>400</v>
      </c>
    </row>
    <row r="8" spans="1:13" ht="136" thickBot="1">
      <c r="A8" s="6">
        <v>2.1</v>
      </c>
      <c r="B8" s="7" t="s">
        <v>8</v>
      </c>
      <c r="C8" s="7" t="s">
        <v>28</v>
      </c>
      <c r="D8" s="8">
        <v>40</v>
      </c>
      <c r="E8" s="8">
        <v>80</v>
      </c>
      <c r="F8" s="8">
        <v>60</v>
      </c>
      <c r="H8" s="1" t="str">
        <f>"2.1"</f>
        <v>2.1</v>
      </c>
      <c r="I8" s="1" t="str">
        <f>"主页"</f>
        <v>主页</v>
      </c>
      <c r="J8" s="1" t="s">
        <v>65</v>
      </c>
      <c r="K8" s="1" t="str">
        <f>"40"</f>
        <v>40</v>
      </c>
      <c r="L8" s="1" t="str">
        <f>"80"</f>
        <v>80</v>
      </c>
      <c r="M8" s="1" t="str">
        <f>"60"</f>
        <v>60</v>
      </c>
    </row>
    <row r="9" spans="1:13" ht="76" thickBot="1">
      <c r="A9" s="6">
        <v>2.2000000000000002</v>
      </c>
      <c r="B9" s="8" t="s">
        <v>29</v>
      </c>
      <c r="C9" s="8" t="s">
        <v>30</v>
      </c>
      <c r="D9" s="8">
        <v>30</v>
      </c>
      <c r="E9" s="8">
        <v>50</v>
      </c>
      <c r="F9" s="8">
        <v>40</v>
      </c>
      <c r="H9" s="1" t="str">
        <f>"2.2"</f>
        <v>2.2</v>
      </c>
      <c r="I9" s="1" t="str">
        <f>"登录/注册"</f>
        <v>登录/注册</v>
      </c>
      <c r="J9" s="1" t="s">
        <v>66</v>
      </c>
      <c r="K9" s="1" t="str">
        <f>"30"</f>
        <v>30</v>
      </c>
      <c r="L9" s="1" t="str">
        <f>"50"</f>
        <v>50</v>
      </c>
      <c r="M9" s="1" t="str">
        <f>"40"</f>
        <v>40</v>
      </c>
    </row>
    <row r="10" spans="1:13" ht="121" thickBot="1">
      <c r="A10" s="6">
        <v>2.2999999999999998</v>
      </c>
      <c r="B10" s="8" t="s">
        <v>31</v>
      </c>
      <c r="C10" s="8" t="s">
        <v>32</v>
      </c>
      <c r="D10" s="8">
        <v>50</v>
      </c>
      <c r="E10" s="8">
        <v>90</v>
      </c>
      <c r="F10" s="8">
        <v>70</v>
      </c>
      <c r="H10" s="1" t="str">
        <f>"2.3"</f>
        <v>2.3</v>
      </c>
      <c r="I10" s="1" t="str">
        <f>"服务页面"</f>
        <v>服务页面</v>
      </c>
      <c r="J10" s="1" t="s">
        <v>12</v>
      </c>
      <c r="K10" s="1" t="str">
        <f>"50"</f>
        <v>50</v>
      </c>
      <c r="L10" s="1" t="str">
        <f>"90"</f>
        <v>90</v>
      </c>
      <c r="M10" s="1" t="str">
        <f>"70"</f>
        <v>70</v>
      </c>
    </row>
    <row r="11" spans="1:13" ht="106" thickBot="1">
      <c r="A11" s="6">
        <v>2.4</v>
      </c>
      <c r="B11" s="8" t="s">
        <v>33</v>
      </c>
      <c r="C11" s="8" t="s">
        <v>34</v>
      </c>
      <c r="D11" s="8">
        <v>50</v>
      </c>
      <c r="E11" s="8">
        <v>100</v>
      </c>
      <c r="F11" s="8">
        <v>75</v>
      </c>
      <c r="H11" s="1" t="str">
        <f>"2.4"</f>
        <v>2.4</v>
      </c>
      <c r="I11" s="1" t="str">
        <f>"产品页面"</f>
        <v>产品页面</v>
      </c>
      <c r="J11" s="1" t="s">
        <v>11</v>
      </c>
      <c r="K11" s="1" t="str">
        <f>"50"</f>
        <v>50</v>
      </c>
      <c r="L11" s="1" t="str">
        <f>"100"</f>
        <v>100</v>
      </c>
      <c r="M11" s="1" t="str">
        <f>"75"</f>
        <v>75</v>
      </c>
    </row>
    <row r="12" spans="1:13" ht="91" thickBot="1">
      <c r="A12" s="6">
        <v>2.5</v>
      </c>
      <c r="B12" s="8" t="s">
        <v>9</v>
      </c>
      <c r="C12" s="8" t="s">
        <v>35</v>
      </c>
      <c r="D12" s="8">
        <v>40</v>
      </c>
      <c r="E12" s="8">
        <v>80</v>
      </c>
      <c r="F12" s="8">
        <v>60</v>
      </c>
      <c r="H12" s="1" t="str">
        <f>"2.5"</f>
        <v>2.5</v>
      </c>
      <c r="I12" s="1" t="str">
        <f>"支持中心"</f>
        <v>支持中心</v>
      </c>
      <c r="J12" s="1" t="s">
        <v>67</v>
      </c>
      <c r="K12" s="1" t="str">
        <f>"40"</f>
        <v>40</v>
      </c>
      <c r="L12" s="1" t="str">
        <f>"80"</f>
        <v>80</v>
      </c>
      <c r="M12" s="1" t="str">
        <f>"60"</f>
        <v>60</v>
      </c>
    </row>
    <row r="13" spans="1:13" ht="91" thickBot="1">
      <c r="A13" s="6">
        <v>2.6</v>
      </c>
      <c r="B13" s="7" t="s">
        <v>36</v>
      </c>
      <c r="C13" s="7" t="s">
        <v>37</v>
      </c>
      <c r="D13" s="8">
        <v>30</v>
      </c>
      <c r="E13" s="8">
        <v>60</v>
      </c>
      <c r="F13" s="8">
        <v>45</v>
      </c>
      <c r="H13" s="1" t="str">
        <f>"2.6"</f>
        <v>2.6</v>
      </c>
      <c r="I13" s="1" t="str">
        <f>"文档页面"</f>
        <v>文档页面</v>
      </c>
      <c r="J13" s="1" t="s">
        <v>68</v>
      </c>
      <c r="K13" s="1" t="str">
        <f>"30"</f>
        <v>30</v>
      </c>
      <c r="L13" s="1" t="str">
        <f>"60"</f>
        <v>60</v>
      </c>
      <c r="M13" s="1" t="str">
        <f>"45"</f>
        <v>45</v>
      </c>
    </row>
    <row r="14" spans="1:13" ht="121" thickBot="1">
      <c r="A14" s="6">
        <v>2.7</v>
      </c>
      <c r="B14" s="8" t="s">
        <v>38</v>
      </c>
      <c r="C14" s="8" t="s">
        <v>39</v>
      </c>
      <c r="D14" s="8">
        <v>60</v>
      </c>
      <c r="E14" s="8">
        <v>120</v>
      </c>
      <c r="F14" s="8">
        <v>90</v>
      </c>
      <c r="H14" s="1" t="str">
        <f>"2.7"</f>
        <v>2.7</v>
      </c>
      <c r="I14" s="1" t="str">
        <f>"用户控制面板"</f>
        <v>用户控制面板</v>
      </c>
      <c r="J14" s="1" t="s">
        <v>69</v>
      </c>
      <c r="K14" s="1" t="str">
        <f>"60"</f>
        <v>60</v>
      </c>
      <c r="L14" s="1" t="str">
        <f>"120"</f>
        <v>120</v>
      </c>
      <c r="M14" s="1" t="str">
        <f>"90"</f>
        <v>90</v>
      </c>
    </row>
    <row r="15" spans="1:13" ht="16" thickBot="1">
      <c r="A15" s="6">
        <v>3</v>
      </c>
      <c r="B15" s="8" t="s">
        <v>40</v>
      </c>
      <c r="C15" s="8"/>
      <c r="D15" s="8">
        <f>SUM(D16:D19)</f>
        <v>300</v>
      </c>
      <c r="E15" s="8">
        <f>SUM(E16:E19)</f>
        <v>560</v>
      </c>
      <c r="F15" s="8">
        <f>SUM(F16:F19)</f>
        <v>410</v>
      </c>
      <c r="H15" s="1" t="str">
        <f>"3"</f>
        <v>3</v>
      </c>
      <c r="I15" s="1" t="str">
        <f>"后端"</f>
        <v>后端</v>
      </c>
      <c r="J15" s="1" t="str">
        <f>""</f>
        <v/>
      </c>
      <c r="K15" s="1" t="str">
        <f>"250"</f>
        <v>250</v>
      </c>
      <c r="L15" s="1" t="str">
        <f>"450"</f>
        <v>450</v>
      </c>
      <c r="M15" s="1" t="str">
        <f>"350"</f>
        <v>350</v>
      </c>
    </row>
    <row r="16" spans="1:13" ht="136" thickBot="1">
      <c r="A16" s="6">
        <v>3.1</v>
      </c>
      <c r="B16" s="8" t="s">
        <v>41</v>
      </c>
      <c r="C16" s="8" t="s">
        <v>42</v>
      </c>
      <c r="D16" s="8">
        <v>60</v>
      </c>
      <c r="E16" s="8">
        <v>120</v>
      </c>
      <c r="F16" s="8">
        <v>90</v>
      </c>
      <c r="H16" s="1" t="str">
        <f>"3.1"</f>
        <v>3.1</v>
      </c>
      <c r="I16" s="1" t="str">
        <f>"数据库设计与配置"</f>
        <v>数据库设计与配置</v>
      </c>
      <c r="J16" s="1" t="s">
        <v>13</v>
      </c>
      <c r="K16" s="1" t="str">
        <f>"60"</f>
        <v>60</v>
      </c>
      <c r="L16" s="1" t="str">
        <f>"120"</f>
        <v>120</v>
      </c>
      <c r="M16" s="1" t="str">
        <f>"90"</f>
        <v>90</v>
      </c>
    </row>
    <row r="17" spans="1:13" ht="136" thickBot="1">
      <c r="A17" s="6">
        <v>3.2</v>
      </c>
      <c r="B17" s="8" t="s">
        <v>43</v>
      </c>
      <c r="C17" s="8" t="s">
        <v>44</v>
      </c>
      <c r="D17" s="8">
        <v>40</v>
      </c>
      <c r="E17" s="8">
        <v>80</v>
      </c>
      <c r="F17" s="8">
        <v>60</v>
      </c>
      <c r="H17" s="1" t="str">
        <f>"3.2"</f>
        <v>3.2</v>
      </c>
      <c r="I17" s="1" t="str">
        <f>"用户认证与权限管理"</f>
        <v>用户认证与权限管理</v>
      </c>
      <c r="J17" s="1" t="s">
        <v>70</v>
      </c>
      <c r="K17" s="1" t="str">
        <f>"40"</f>
        <v>40</v>
      </c>
      <c r="L17" s="1" t="str">
        <f>"80"</f>
        <v>80</v>
      </c>
      <c r="M17" s="1" t="str">
        <f>"60"</f>
        <v>60</v>
      </c>
    </row>
    <row r="18" spans="1:13" ht="106" thickBot="1">
      <c r="A18" s="6">
        <v>3.3</v>
      </c>
      <c r="B18" s="7" t="s">
        <v>60</v>
      </c>
      <c r="C18" s="7" t="s">
        <v>45</v>
      </c>
      <c r="D18" s="8">
        <v>160</v>
      </c>
      <c r="E18" s="8">
        <v>280</v>
      </c>
      <c r="F18" s="8">
        <v>200</v>
      </c>
      <c r="H18" s="1" t="str">
        <f>"3.3"</f>
        <v>3.3</v>
      </c>
      <c r="I18" s="1" t="str">
        <f>"服务接口开发"</f>
        <v>服务接口开发</v>
      </c>
      <c r="J18" s="1" t="s">
        <v>14</v>
      </c>
      <c r="K18" s="1" t="str">
        <f>"80"</f>
        <v>80</v>
      </c>
      <c r="L18" s="1" t="str">
        <f>"150"</f>
        <v>150</v>
      </c>
      <c r="M18" s="1" t="str">
        <f>"100"</f>
        <v>100</v>
      </c>
    </row>
    <row r="19" spans="1:13" ht="91" thickBot="1">
      <c r="A19" s="6">
        <v>3.4</v>
      </c>
      <c r="B19" s="8" t="s">
        <v>76</v>
      </c>
      <c r="C19" s="8" t="s">
        <v>46</v>
      </c>
      <c r="D19" s="8">
        <v>40</v>
      </c>
      <c r="E19" s="8">
        <v>80</v>
      </c>
      <c r="F19" s="8">
        <v>60</v>
      </c>
      <c r="H19" s="1" t="str">
        <f>"3.4"</f>
        <v>3.4</v>
      </c>
      <c r="I19" s="1" t="str">
        <f>"数据安全与加密"</f>
        <v>数据安全与加密</v>
      </c>
      <c r="J19" s="1" t="s">
        <v>15</v>
      </c>
      <c r="K19" s="1" t="str">
        <f>"40"</f>
        <v>40</v>
      </c>
      <c r="L19" s="1" t="str">
        <f>"80"</f>
        <v>80</v>
      </c>
      <c r="M19" s="1" t="str">
        <f>"60"</f>
        <v>60</v>
      </c>
    </row>
    <row r="20" spans="1:13" ht="16" thickBot="1">
      <c r="A20" s="6">
        <v>4</v>
      </c>
      <c r="B20" s="7" t="s">
        <v>47</v>
      </c>
      <c r="C20" s="7"/>
      <c r="D20" s="8">
        <f t="shared" ref="D20:E20" si="2">SUM(D21:D23)</f>
        <v>145</v>
      </c>
      <c r="E20" s="8">
        <f t="shared" si="2"/>
        <v>308</v>
      </c>
      <c r="F20" s="8">
        <f>SUM(F21:F23)</f>
        <v>222</v>
      </c>
      <c r="H20" s="1" t="str">
        <f>"4"</f>
        <v>4</v>
      </c>
      <c r="I20" s="1" t="str">
        <f>"测试"</f>
        <v>测试</v>
      </c>
      <c r="J20" s="1" t="str">
        <f>""</f>
        <v/>
      </c>
      <c r="K20" s="1" t="str">
        <f>"150"</f>
        <v>150</v>
      </c>
      <c r="L20" s="1" t="str">
        <f>"300"</f>
        <v>300</v>
      </c>
      <c r="M20" s="1" t="str">
        <f>"200"</f>
        <v>200</v>
      </c>
    </row>
    <row r="21" spans="1:13" ht="106" thickBot="1">
      <c r="A21" s="6">
        <v>4.0999999999999996</v>
      </c>
      <c r="B21" s="8" t="s">
        <v>5</v>
      </c>
      <c r="C21" s="8" t="s">
        <v>48</v>
      </c>
      <c r="D21" s="8">
        <v>45</v>
      </c>
      <c r="E21" s="8">
        <v>108</v>
      </c>
      <c r="F21" s="8">
        <v>72</v>
      </c>
      <c r="H21" s="1" t="str">
        <f>"4.1"</f>
        <v>4.1</v>
      </c>
      <c r="I21" s="1" t="str">
        <f>"单元测试"</f>
        <v>单元测试</v>
      </c>
      <c r="J21" s="1" t="s">
        <v>71</v>
      </c>
      <c r="K21" s="1" t="str">
        <f>"50"</f>
        <v>50</v>
      </c>
      <c r="L21" s="1" t="str">
        <f>"100"</f>
        <v>100</v>
      </c>
      <c r="M21" s="1" t="str">
        <f>"75"</f>
        <v>75</v>
      </c>
    </row>
    <row r="22" spans="1:13" ht="76" thickBot="1">
      <c r="A22" s="6">
        <v>4.2</v>
      </c>
      <c r="B22" s="8" t="s">
        <v>6</v>
      </c>
      <c r="C22" s="8" t="s">
        <v>49</v>
      </c>
      <c r="D22" s="8">
        <v>40</v>
      </c>
      <c r="E22" s="8">
        <v>80</v>
      </c>
      <c r="F22" s="8">
        <v>60</v>
      </c>
      <c r="H22" s="1" t="str">
        <f>"4.2"</f>
        <v>4.2</v>
      </c>
      <c r="I22" s="1" t="str">
        <f>"集成测试"</f>
        <v>集成测试</v>
      </c>
      <c r="J22" s="1" t="s">
        <v>72</v>
      </c>
      <c r="K22" s="1" t="str">
        <f>"40"</f>
        <v>40</v>
      </c>
      <c r="L22" s="1" t="str">
        <f>"80"</f>
        <v>80</v>
      </c>
      <c r="M22" s="1" t="str">
        <f>"60"</f>
        <v>60</v>
      </c>
    </row>
    <row r="23" spans="1:13" ht="106" thickBot="1">
      <c r="A23" s="6">
        <v>4.3</v>
      </c>
      <c r="B23" s="8" t="s">
        <v>7</v>
      </c>
      <c r="C23" s="8" t="s">
        <v>50</v>
      </c>
      <c r="D23" s="8">
        <v>60</v>
      </c>
      <c r="E23" s="8">
        <v>120</v>
      </c>
      <c r="F23" s="8">
        <v>90</v>
      </c>
      <c r="H23" s="1" t="str">
        <f>"4.3"</f>
        <v>4.3</v>
      </c>
      <c r="I23" s="1" t="str">
        <f>"功能测试"</f>
        <v>功能测试</v>
      </c>
      <c r="J23" s="1" t="s">
        <v>73</v>
      </c>
      <c r="K23" s="1" t="str">
        <f>"60"</f>
        <v>60</v>
      </c>
      <c r="L23" s="1" t="str">
        <f>"120"</f>
        <v>120</v>
      </c>
      <c r="M23" s="1" t="str">
        <f>"90"</f>
        <v>90</v>
      </c>
    </row>
    <row r="24" spans="1:13" ht="16" thickBot="1">
      <c r="A24" s="6">
        <v>5</v>
      </c>
      <c r="B24" s="8" t="s">
        <v>61</v>
      </c>
      <c r="C24" s="8"/>
      <c r="D24" s="8">
        <f t="shared" ref="D24:E24" si="3">SUM(D25:D27)</f>
        <v>90</v>
      </c>
      <c r="E24" s="8">
        <f t="shared" si="3"/>
        <v>180</v>
      </c>
      <c r="F24" s="8">
        <f>SUM(F25:F27)</f>
        <v>135</v>
      </c>
      <c r="H24" s="1" t="str">
        <f>"5"</f>
        <v>5</v>
      </c>
      <c r="I24" s="1" t="str">
        <f>"发布"</f>
        <v>发布</v>
      </c>
      <c r="J24" s="1" t="str">
        <f>""</f>
        <v/>
      </c>
      <c r="K24" s="1" t="str">
        <f>"100"</f>
        <v>100</v>
      </c>
      <c r="L24" s="1" t="str">
        <f>"200"</f>
        <v>200</v>
      </c>
      <c r="M24" s="1" t="str">
        <f>"150"</f>
        <v>150</v>
      </c>
    </row>
    <row r="25" spans="1:13" ht="106" thickBot="1">
      <c r="A25" s="6">
        <v>5.0999999999999996</v>
      </c>
      <c r="B25" s="8" t="s">
        <v>77</v>
      </c>
      <c r="C25" s="8" t="s">
        <v>51</v>
      </c>
      <c r="D25" s="8">
        <v>50</v>
      </c>
      <c r="E25" s="8">
        <v>100</v>
      </c>
      <c r="F25" s="8">
        <v>75</v>
      </c>
      <c r="H25" s="1" t="str">
        <f>"5.1"</f>
        <v>5.1</v>
      </c>
      <c r="I25" s="1" t="str">
        <f>"Alpha和Beta测试"</f>
        <v>Alpha和Beta测试</v>
      </c>
      <c r="J25" s="1" t="s">
        <v>74</v>
      </c>
      <c r="K25" s="1" t="str">
        <f>"50"</f>
        <v>50</v>
      </c>
      <c r="L25" s="1" t="str">
        <f>"100"</f>
        <v>100</v>
      </c>
      <c r="M25" s="1" t="str">
        <f>"75"</f>
        <v>75</v>
      </c>
    </row>
    <row r="26" spans="1:13" ht="91" thickBot="1">
      <c r="A26" s="6">
        <v>5.2</v>
      </c>
      <c r="B26" s="8" t="s">
        <v>52</v>
      </c>
      <c r="C26" s="8" t="s">
        <v>53</v>
      </c>
      <c r="D26" s="8">
        <v>10</v>
      </c>
      <c r="E26" s="8">
        <v>20</v>
      </c>
      <c r="F26" s="8">
        <v>15</v>
      </c>
      <c r="H26" s="1" t="str">
        <f>"5.2"</f>
        <v>5.2</v>
      </c>
      <c r="I26" s="1" t="str">
        <f>"SSL证书配置"</f>
        <v>SSL证书配置</v>
      </c>
      <c r="J26" s="1" t="s">
        <v>16</v>
      </c>
      <c r="K26" s="1" t="str">
        <f>"10"</f>
        <v>10</v>
      </c>
      <c r="L26" s="1" t="str">
        <f>"20"</f>
        <v>20</v>
      </c>
      <c r="M26" s="1" t="str">
        <f>"15"</f>
        <v>15</v>
      </c>
    </row>
    <row r="27" spans="1:13" ht="91" thickBot="1">
      <c r="A27" s="6">
        <v>5.3</v>
      </c>
      <c r="B27" s="8" t="s">
        <v>54</v>
      </c>
      <c r="C27" s="8" t="s">
        <v>55</v>
      </c>
      <c r="D27" s="8">
        <v>30</v>
      </c>
      <c r="E27" s="8">
        <v>60</v>
      </c>
      <c r="F27" s="8">
        <v>45</v>
      </c>
      <c r="H27" s="1" t="str">
        <f>"5.3"</f>
        <v>5.3</v>
      </c>
      <c r="I27" s="1" t="str">
        <f>"服务器部署"</f>
        <v>服务器部署</v>
      </c>
      <c r="J27" s="1" t="s">
        <v>75</v>
      </c>
      <c r="K27" s="1" t="str">
        <f>"30"</f>
        <v>30</v>
      </c>
      <c r="L27" s="1" t="str">
        <f>"60"</f>
        <v>60</v>
      </c>
      <c r="M27" s="1" t="str">
        <f>"45"</f>
        <v>45</v>
      </c>
    </row>
    <row r="28" spans="1:13" ht="16" thickBot="1">
      <c r="A28" s="6" t="s">
        <v>4</v>
      </c>
      <c r="B28" s="8" t="s">
        <v>56</v>
      </c>
      <c r="C28" s="8"/>
      <c r="D28" s="8">
        <f t="shared" ref="D28:E28" si="4">SUM(D25:D27,D21:D23,D16:D19,D8:D14,D3:D6)</f>
        <v>1035</v>
      </c>
      <c r="E28" s="8">
        <f t="shared" si="4"/>
        <v>2078</v>
      </c>
      <c r="F28" s="8">
        <f>SUM(F25:F27,F21:F23,F16:F19,F8:F14,F3:F6)</f>
        <v>1497</v>
      </c>
      <c r="H28" s="1" t="str">
        <f>"Z"</f>
        <v>Z</v>
      </c>
      <c r="I28" s="1" t="str">
        <f>"总计"</f>
        <v>总计</v>
      </c>
      <c r="J28" s="1" t="str">
        <f>""</f>
        <v/>
      </c>
      <c r="K28" s="1" t="str">
        <f>"1000"</f>
        <v>1000</v>
      </c>
      <c r="L28" s="1" t="str">
        <f>"1950"</f>
        <v>1950</v>
      </c>
      <c r="M28" s="1" t="str">
        <f>"1400"</f>
        <v>1400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5DC3-5A6D-2D43-B744-93D514722791}">
  <dimension ref="A1:G168"/>
  <sheetViews>
    <sheetView tabSelected="1" topLeftCell="A146" workbookViewId="0">
      <selection activeCell="A155" sqref="A155:A168"/>
    </sheetView>
  </sheetViews>
  <sheetFormatPr baseColWidth="10" defaultRowHeight="15"/>
  <sheetData>
    <row r="1" spans="1:4">
      <c r="A1" s="19" t="s">
        <v>78</v>
      </c>
      <c r="B1" s="19" t="s">
        <v>79</v>
      </c>
      <c r="C1" s="19"/>
      <c r="D1" s="19"/>
    </row>
    <row r="2" spans="1:4">
      <c r="A2" s="19"/>
      <c r="B2" s="13" t="s">
        <v>80</v>
      </c>
      <c r="C2" s="13" t="s">
        <v>81</v>
      </c>
      <c r="D2" s="13" t="s">
        <v>82</v>
      </c>
    </row>
    <row r="3" spans="1:4">
      <c r="A3" s="14" t="s">
        <v>83</v>
      </c>
      <c r="B3" s="14" t="s">
        <v>84</v>
      </c>
      <c r="C3" s="14" t="s">
        <v>85</v>
      </c>
      <c r="D3" s="14" t="s">
        <v>86</v>
      </c>
    </row>
    <row r="4" spans="1:4">
      <c r="A4" s="14" t="s">
        <v>87</v>
      </c>
      <c r="B4" s="14" t="s">
        <v>84</v>
      </c>
      <c r="C4" s="14" t="s">
        <v>85</v>
      </c>
      <c r="D4" s="14" t="s">
        <v>86</v>
      </c>
    </row>
    <row r="5" spans="1:4">
      <c r="A5" s="14" t="s">
        <v>88</v>
      </c>
      <c r="B5" s="14" t="s">
        <v>85</v>
      </c>
      <c r="C5" s="14" t="s">
        <v>84</v>
      </c>
      <c r="D5" s="14" t="s">
        <v>84</v>
      </c>
    </row>
    <row r="8" spans="1:4">
      <c r="A8" t="str">
        <f>"№"</f>
        <v>№</v>
      </c>
      <c r="B8" t="str">
        <f>"Параметр"</f>
        <v>Параметр</v>
      </c>
      <c r="C8" t="str">
        <f>"Вес (DI)"</f>
        <v>Вес (DI)</v>
      </c>
      <c r="D8" t="str">
        <f t="shared" ref="D8:D22" si="0">"|"</f>
        <v>|</v>
      </c>
    </row>
    <row r="9" spans="1:4">
      <c r="A9" t="str">
        <f>"1"</f>
        <v>1</v>
      </c>
      <c r="B9" t="str">
        <f>"Обмен данными"</f>
        <v>Обмен данными</v>
      </c>
      <c r="C9" t="str">
        <f>"2"</f>
        <v>2</v>
      </c>
      <c r="D9" t="str">
        <f t="shared" si="0"/>
        <v>|</v>
      </c>
    </row>
    <row r="10" spans="1:4">
      <c r="A10" t="str">
        <f>"2"</f>
        <v>2</v>
      </c>
      <c r="B10" t="str">
        <f>"Распределенная обработка данных"</f>
        <v>Распределенная обработка данных</v>
      </c>
      <c r="C10" t="str">
        <f>"0"</f>
        <v>0</v>
      </c>
      <c r="D10" t="str">
        <f t="shared" si="0"/>
        <v>|</v>
      </c>
    </row>
    <row r="11" spans="1:4">
      <c r="A11" t="str">
        <f>"3"</f>
        <v>3</v>
      </c>
      <c r="B11" t="str">
        <f>"Производительность"</f>
        <v>Производительность</v>
      </c>
      <c r="C11" t="str">
        <f>"0"</f>
        <v>0</v>
      </c>
      <c r="D11" t="str">
        <f t="shared" si="0"/>
        <v>|</v>
      </c>
    </row>
    <row r="12" spans="1:4">
      <c r="A12" t="str">
        <f>"4"</f>
        <v>4</v>
      </c>
      <c r="B12" t="str">
        <f>"Ограничения по аппаратным ресурсам"</f>
        <v>Ограничения по аппаратным ресурсам</v>
      </c>
      <c r="C12" t="str">
        <f>"0"</f>
        <v>0</v>
      </c>
      <c r="D12" t="str">
        <f t="shared" si="0"/>
        <v>|</v>
      </c>
    </row>
    <row r="13" spans="1:4">
      <c r="A13" t="str">
        <f>"5"</f>
        <v>5</v>
      </c>
      <c r="B13" t="str">
        <f>"Транзакционная нагрузка"</f>
        <v>Транзакционная нагрузка</v>
      </c>
      <c r="C13" t="str">
        <f>"0"</f>
        <v>0</v>
      </c>
      <c r="D13" t="str">
        <f t="shared" si="0"/>
        <v>|</v>
      </c>
    </row>
    <row r="14" spans="1:4">
      <c r="A14" t="str">
        <f>"6"</f>
        <v>6</v>
      </c>
      <c r="B14" t="str">
        <f>"Интенсивность взаимодействия с пользователем"</f>
        <v>Интенсивность взаимодействия с пользователем</v>
      </c>
      <c r="C14" t="str">
        <f>"2"</f>
        <v>2</v>
      </c>
      <c r="D14" t="str">
        <f t="shared" si="0"/>
        <v>|</v>
      </c>
    </row>
    <row r="15" spans="1:4">
      <c r="A15" t="str">
        <f>"7"</f>
        <v>7</v>
      </c>
      <c r="B15" t="str">
        <f>"Эргономика"</f>
        <v>Эргономика</v>
      </c>
      <c r="C15" t="str">
        <f>"3"</f>
        <v>3</v>
      </c>
      <c r="D15" t="str">
        <f t="shared" si="0"/>
        <v>|</v>
      </c>
    </row>
    <row r="16" spans="1:4">
      <c r="A16" t="str">
        <f>"8"</f>
        <v>8</v>
      </c>
      <c r="B16" t="str">
        <f>"Интенсивность изменения данных"</f>
        <v>Интенсивность изменения данных</v>
      </c>
      <c r="C16" t="str">
        <f>"1"</f>
        <v>1</v>
      </c>
      <c r="D16" t="str">
        <f t="shared" si="0"/>
        <v>|</v>
      </c>
    </row>
    <row r="17" spans="1:4">
      <c r="A17" t="str">
        <f>"9"</f>
        <v>9</v>
      </c>
      <c r="B17" t="str">
        <f>"Сложность обработки"</f>
        <v>Сложность обработки</v>
      </c>
      <c r="C17" t="str">
        <f>"0"</f>
        <v>0</v>
      </c>
      <c r="D17" t="str">
        <f t="shared" si="0"/>
        <v>|</v>
      </c>
    </row>
    <row r="18" spans="1:4">
      <c r="A18" t="str">
        <f>"10"</f>
        <v>10</v>
      </c>
      <c r="B18" t="str">
        <f>"Повторное использование"</f>
        <v>Повторное использование</v>
      </c>
      <c r="C18" t="str">
        <f>"1"</f>
        <v>1</v>
      </c>
      <c r="D18" t="str">
        <f t="shared" si="0"/>
        <v>|</v>
      </c>
    </row>
    <row r="19" spans="1:4">
      <c r="A19" t="str">
        <f>"11"</f>
        <v>11</v>
      </c>
      <c r="B19" t="str">
        <f>"Удобство инсталляции"</f>
        <v>Удобство инсталляции</v>
      </c>
      <c r="C19" t="str">
        <f>"0"</f>
        <v>0</v>
      </c>
      <c r="D19" t="str">
        <f t="shared" si="0"/>
        <v>|</v>
      </c>
    </row>
    <row r="20" spans="1:4">
      <c r="A20" t="str">
        <f>"12"</f>
        <v>12</v>
      </c>
      <c r="B20" t="str">
        <f>"Удобство администрирования"</f>
        <v>Удобство администрирования</v>
      </c>
      <c r="C20" t="str">
        <f>"2"</f>
        <v>2</v>
      </c>
      <c r="D20" t="str">
        <f t="shared" si="0"/>
        <v>|</v>
      </c>
    </row>
    <row r="21" spans="1:4">
      <c r="A21" t="str">
        <f>"13"</f>
        <v>13</v>
      </c>
      <c r="B21" t="str">
        <f>"Портируемость"</f>
        <v>Портируемость</v>
      </c>
      <c r="C21" t="str">
        <f>"1"</f>
        <v>1</v>
      </c>
      <c r="D21" t="str">
        <f t="shared" si="0"/>
        <v>|</v>
      </c>
    </row>
    <row r="22" spans="1:4">
      <c r="A22" t="str">
        <f>"14"</f>
        <v>14</v>
      </c>
      <c r="B22" t="str">
        <f>"Гибкость"</f>
        <v>Гибкость</v>
      </c>
      <c r="C22" t="str">
        <f>"0"</f>
        <v>0</v>
      </c>
      <c r="D22" t="str">
        <f t="shared" si="0"/>
        <v>|</v>
      </c>
    </row>
    <row r="25" spans="1:4">
      <c r="A25" s="13" t="s">
        <v>89</v>
      </c>
      <c r="B25" s="13" t="s">
        <v>90</v>
      </c>
      <c r="C25" s="13" t="s">
        <v>91</v>
      </c>
    </row>
    <row r="26" spans="1:4">
      <c r="A26" s="14" t="s">
        <v>92</v>
      </c>
      <c r="B26" s="14">
        <v>7</v>
      </c>
      <c r="C26" s="14">
        <v>5</v>
      </c>
    </row>
    <row r="27" spans="1:4">
      <c r="A27" s="14" t="s">
        <v>93</v>
      </c>
      <c r="B27" s="14">
        <v>10</v>
      </c>
      <c r="C27" s="14">
        <v>7</v>
      </c>
    </row>
    <row r="28" spans="1:4">
      <c r="A28" s="14" t="s">
        <v>94</v>
      </c>
      <c r="B28" s="14">
        <v>15</v>
      </c>
      <c r="C28" s="14">
        <v>10</v>
      </c>
    </row>
    <row r="30" spans="1:4" ht="16" thickBot="1"/>
    <row r="31" spans="1:4" ht="16" thickBot="1">
      <c r="A31" s="15" t="s">
        <v>101</v>
      </c>
      <c r="B31" s="16" t="s">
        <v>95</v>
      </c>
      <c r="C31" s="16" t="s">
        <v>96</v>
      </c>
      <c r="D31" s="16" t="s">
        <v>97</v>
      </c>
    </row>
    <row r="32" spans="1:4" ht="16" thickBot="1">
      <c r="A32" s="17" t="s">
        <v>98</v>
      </c>
      <c r="B32" s="18" t="s">
        <v>92</v>
      </c>
      <c r="C32" s="18" t="s">
        <v>92</v>
      </c>
      <c r="D32" s="18" t="s">
        <v>93</v>
      </c>
    </row>
    <row r="33" spans="1:6" ht="16" thickBot="1">
      <c r="A33" s="17" t="s">
        <v>99</v>
      </c>
      <c r="B33" s="18" t="s">
        <v>92</v>
      </c>
      <c r="C33" s="18" t="s">
        <v>93</v>
      </c>
      <c r="D33" s="18" t="s">
        <v>94</v>
      </c>
    </row>
    <row r="34" spans="1:6" ht="16" thickBot="1">
      <c r="A34" s="17" t="s">
        <v>100</v>
      </c>
      <c r="B34" s="18" t="s">
        <v>93</v>
      </c>
      <c r="C34" s="18" t="s">
        <v>94</v>
      </c>
      <c r="D34" s="18" t="s">
        <v>94</v>
      </c>
    </row>
    <row r="36" spans="1:6" ht="16" thickBot="1"/>
    <row r="37" spans="1:6" ht="16" thickBot="1">
      <c r="A37" s="15" t="s">
        <v>17</v>
      </c>
      <c r="B37" s="16" t="s">
        <v>0</v>
      </c>
      <c r="C37" s="16" t="s">
        <v>102</v>
      </c>
      <c r="D37" s="16" t="s">
        <v>103</v>
      </c>
      <c r="E37" s="16" t="s">
        <v>104</v>
      </c>
      <c r="F37" s="16" t="s">
        <v>105</v>
      </c>
    </row>
    <row r="38" spans="1:6" ht="91" thickBot="1">
      <c r="A38" s="17">
        <v>1</v>
      </c>
      <c r="B38" s="18" t="s">
        <v>106</v>
      </c>
      <c r="C38" s="18" t="s">
        <v>107</v>
      </c>
      <c r="D38" s="18" t="s">
        <v>108</v>
      </c>
      <c r="E38" s="18" t="s">
        <v>92</v>
      </c>
      <c r="F38" s="18">
        <v>7</v>
      </c>
    </row>
    <row r="39" spans="1:6" ht="16" thickBot="1">
      <c r="A39" s="17"/>
      <c r="B39" s="18"/>
      <c r="C39" s="18"/>
      <c r="D39" s="18"/>
      <c r="E39" s="18"/>
      <c r="F39" s="18"/>
    </row>
    <row r="42" spans="1:6">
      <c r="A42" t="str">
        <f>"№"</f>
        <v>№</v>
      </c>
      <c r="B42" t="str">
        <f>"Название"</f>
        <v>Название</v>
      </c>
      <c r="C42" t="str">
        <f>"RET"</f>
        <v>RET</v>
      </c>
      <c r="D42" t="str">
        <f>"DET"</f>
        <v>DET</v>
      </c>
      <c r="E42" t="str">
        <f>"Сложность"</f>
        <v>Сложность</v>
      </c>
      <c r="F42" t="str">
        <f>"UFP"</f>
        <v>UFP</v>
      </c>
    </row>
    <row r="43" spans="1:6">
      <c r="A43" t="str">
        <f>"1"</f>
        <v>1</v>
      </c>
      <c r="B43" t="str">
        <f>"Форма регистрации"</f>
        <v>Форма регистрации</v>
      </c>
      <c r="C43" t="str">
        <f>"Данные входа, личная информация (2)"</f>
        <v>Данные входа, личная информация (2)</v>
      </c>
      <c r="D43" t="str">
        <f>"Email, пароль, имя, фамилия, пол, дата рождения, город, телефон (9)"</f>
        <v>Email, пароль, имя, фамилия, пол, дата рождения, город, телефон (9)</v>
      </c>
      <c r="E43" t="str">
        <f>"Low"</f>
        <v>Low</v>
      </c>
      <c r="F43" t="str">
        <f>"7"</f>
        <v>7</v>
      </c>
    </row>
    <row r="44" spans="1:6">
      <c r="A44" t="str">
        <f>"2"</f>
        <v>2</v>
      </c>
      <c r="B44" t="str">
        <f>"Авторизация (логин)"</f>
        <v>Авторизация (логин)</v>
      </c>
      <c r="C44" t="str">
        <f>"Данные входа (1)"</f>
        <v>Данные входа (1)</v>
      </c>
      <c r="D44" t="str">
        <f>"Email, пароль (2)"</f>
        <v>Email, пароль (2)</v>
      </c>
      <c r="E44" t="str">
        <f>"Low"</f>
        <v>Low</v>
      </c>
      <c r="F44" t="str">
        <f>"7"</f>
        <v>7</v>
      </c>
    </row>
    <row r="45" spans="1:6">
      <c r="A45" t="str">
        <f>"3"</f>
        <v>3</v>
      </c>
      <c r="B45" t="str">
        <f>"Система оплаты"</f>
        <v>Система оплаты</v>
      </c>
      <c r="C45" t="str">
        <f>"Заказ, информация о платеже (2)"</f>
        <v>Заказ, информация о платеже (2)</v>
      </c>
      <c r="D45" t="str">
        <f>"Сумма, дата, метод оплаты (4)"</f>
        <v>Сумма, дата, метод оплаты (4)</v>
      </c>
      <c r="E45" t="str">
        <f>"Average"</f>
        <v>Average</v>
      </c>
      <c r="F45" t="str">
        <f>"10"</f>
        <v>10</v>
      </c>
    </row>
    <row r="46" spans="1:6">
      <c r="A46" t="str">
        <f>"4"</f>
        <v>4</v>
      </c>
      <c r="B46" t="str">
        <f>"Просмотр услуг"</f>
        <v>Просмотр услуг</v>
      </c>
      <c r="C46" t="str">
        <f>"Каталог услуг (1)"</f>
        <v>Каталог услуг (1)</v>
      </c>
      <c r="D46" t="str">
        <f>"Название услуги, описание, цена, тип, доступность (5)"</f>
        <v>Название услуги, описание, цена, тип, доступность (5)</v>
      </c>
      <c r="E46" t="str">
        <f>"Low"</f>
        <v>Low</v>
      </c>
      <c r="F46" t="str">
        <f>"7"</f>
        <v>7</v>
      </c>
    </row>
    <row r="47" spans="1:6">
      <c r="A47" t="str">
        <f>"5"</f>
        <v>5</v>
      </c>
      <c r="B47" t="str">
        <f>"Заказ услуги"</f>
        <v>Заказ услуги</v>
      </c>
      <c r="C47" t="str">
        <f>"Заказ, информация о платеже (2)"</f>
        <v>Заказ, информация о платеже (2)</v>
      </c>
      <c r="D47" t="str">
        <f>"Услуга, дата заказа, сумма, метод оплаты, контактные данные (6)"</f>
        <v>Услуга, дата заказа, сумма, метод оплаты, контактные данные (6)</v>
      </c>
      <c r="E47" t="str">
        <f>"Average"</f>
        <v>Average</v>
      </c>
      <c r="F47" t="str">
        <f>"10"</f>
        <v>10</v>
      </c>
    </row>
    <row r="48" spans="1:6">
      <c r="A48" t="str">
        <f>"6"</f>
        <v>6</v>
      </c>
      <c r="B48" t="str">
        <f>"Личный кабинет"</f>
        <v>Личный кабинет</v>
      </c>
      <c r="C48" t="str">
        <f>"Данные пользователя (3)"</f>
        <v>Данные пользователя (3)</v>
      </c>
      <c r="D48" t="str">
        <f>"Имя, фамилия, email, телефон, адрес, история заказов, предпочтения (8)"</f>
        <v>Имя, фамилия, email, телефон, адрес, история заказов, предпочтения (8)</v>
      </c>
      <c r="E48" t="str">
        <f>"High"</f>
        <v>High</v>
      </c>
      <c r="F48" t="str">
        <f>"15"</f>
        <v>15</v>
      </c>
    </row>
    <row r="49" spans="1:7">
      <c r="A49" t="str">
        <f>"7"</f>
        <v>7</v>
      </c>
      <c r="B49" t="str">
        <f>"Контакт с поддержкой"</f>
        <v>Контакт с поддержкой</v>
      </c>
      <c r="C49" t="str">
        <f>"Обращение пользователя (1)"</f>
        <v>Обращение пользователя (1)</v>
      </c>
      <c r="D49" t="str">
        <f>"Тема запроса, описание, дата, статус, приоритет (5)"</f>
        <v>Тема запроса, описание, дата, статус, приоритет (5)</v>
      </c>
      <c r="E49" t="str">
        <f>"Average"</f>
        <v>Average</v>
      </c>
      <c r="F49" t="str">
        <f>"10"</f>
        <v>10</v>
      </c>
    </row>
    <row r="50" spans="1:7">
      <c r="A50" t="str">
        <f>"8"</f>
        <v>8</v>
      </c>
      <c r="B50" t="str">
        <f>"Отчеты по заказам"</f>
        <v>Отчеты по заказам</v>
      </c>
      <c r="C50" t="str">
        <f>"История заказов (1)"</f>
        <v>История заказов (1)</v>
      </c>
      <c r="D50" t="str">
        <f>"Заказ, дата, статус, сумма, услуги (5)"</f>
        <v>Заказ, дата, статус, сумма, услуги (5)</v>
      </c>
      <c r="E50" t="str">
        <f>"Average"</f>
        <v>Average</v>
      </c>
      <c r="F50" t="str">
        <f>"10"</f>
        <v>10</v>
      </c>
    </row>
    <row r="51" spans="1:7">
      <c r="A51" t="str">
        <f>"9"</f>
        <v>9</v>
      </c>
      <c r="B51" t="str">
        <f>"Регистрация оплаты"</f>
        <v>Регистрация оплаты</v>
      </c>
      <c r="C51" t="str">
        <f>"Данные о платеже (2)"</f>
        <v>Данные о платеже (2)</v>
      </c>
      <c r="D51" t="str">
        <f>"Сумма, дата, метод оплаты, статус (4)"</f>
        <v>Сумма, дата, метод оплаты, статус (4)</v>
      </c>
      <c r="E51" t="str">
        <f>"Average"</f>
        <v>Average</v>
      </c>
      <c r="F51" t="str">
        <f>"10"</f>
        <v>10</v>
      </c>
    </row>
    <row r="52" spans="1:7">
      <c r="A52" t="str">
        <f>"10"</f>
        <v>10</v>
      </c>
      <c r="B52" t="str">
        <f>"Продуктовый каталог"</f>
        <v>Продуктовый каталог</v>
      </c>
      <c r="C52" t="str">
        <f>"Данные товаров/услуг (1)"</f>
        <v>Данные товаров/услуг (1)</v>
      </c>
      <c r="D52" t="str">
        <f>"Название, описание, категория, цена, доступность, дата обновления (6)"</f>
        <v>Название, описание, категория, цена, доступность, дата обновления (6)</v>
      </c>
      <c r="E52" t="str">
        <f>"High"</f>
        <v>High</v>
      </c>
      <c r="F52" t="str">
        <f>"15"</f>
        <v>15</v>
      </c>
    </row>
    <row r="55" spans="1:7">
      <c r="A55" s="13" t="s">
        <v>109</v>
      </c>
      <c r="B55" s="13" t="s">
        <v>110</v>
      </c>
      <c r="C55" s="13" t="s">
        <v>111</v>
      </c>
    </row>
    <row r="56" spans="1:7">
      <c r="A56" s="14" t="s">
        <v>92</v>
      </c>
      <c r="B56" s="14">
        <v>3</v>
      </c>
      <c r="C56" s="14">
        <v>4</v>
      </c>
    </row>
    <row r="57" spans="1:7">
      <c r="A57" s="14" t="s">
        <v>93</v>
      </c>
      <c r="B57" s="14">
        <v>4</v>
      </c>
      <c r="C57" s="14">
        <v>5</v>
      </c>
    </row>
    <row r="58" spans="1:7">
      <c r="A58" s="14" t="s">
        <v>94</v>
      </c>
      <c r="B58" s="14">
        <v>6</v>
      </c>
      <c r="C58" s="14">
        <v>7</v>
      </c>
    </row>
    <row r="61" spans="1:7">
      <c r="A61" t="str">
        <f>"№"</f>
        <v>№</v>
      </c>
      <c r="B61" t="str">
        <f>"Название"</f>
        <v>Название</v>
      </c>
      <c r="C61" t="str">
        <f>"Тип"</f>
        <v>Тип</v>
      </c>
      <c r="D61" t="str">
        <f>"FTR"</f>
        <v>FTR</v>
      </c>
      <c r="E61" t="str">
        <f>"DET"</f>
        <v>DET</v>
      </c>
      <c r="F61" t="str">
        <f>"Сложность"</f>
        <v>Сложность</v>
      </c>
      <c r="G61" t="str">
        <f>"UFP"</f>
        <v>UFP</v>
      </c>
    </row>
    <row r="62" spans="1:7">
      <c r="A62" t="str">
        <f>"1"</f>
        <v>1</v>
      </c>
      <c r="B62" t="str">
        <f>"Форма регистрации"</f>
        <v>Форма регистрации</v>
      </c>
      <c r="C62" t="str">
        <f>"EI"</f>
        <v>EI</v>
      </c>
      <c r="D62" t="str">
        <f>"1"</f>
        <v>1</v>
      </c>
      <c r="E62" t="str">
        <f>"10 (Email, пароль, имя, фамилия, пол, дата рождения, город, телефон, и т.д.)"</f>
        <v>10 (Email, пароль, имя, фамилия, пол, дата рождения, город, телефон, и т.д.)</v>
      </c>
      <c r="F62" t="str">
        <f>"Low"</f>
        <v>Low</v>
      </c>
      <c r="G62" t="str">
        <f>"3"</f>
        <v>3</v>
      </c>
    </row>
    <row r="63" spans="1:7">
      <c r="A63" t="str">
        <f>"2"</f>
        <v>2</v>
      </c>
      <c r="B63" t="str">
        <f>"Авторизация (логин)"</f>
        <v>Авторизация (логин)</v>
      </c>
      <c r="C63" t="str">
        <f>"EI"</f>
        <v>EI</v>
      </c>
      <c r="D63" t="str">
        <f>"1"</f>
        <v>1</v>
      </c>
      <c r="E63" t="str">
        <f>"2 (Email, пароль)"</f>
        <v>2 (Email, пароль)</v>
      </c>
      <c r="F63" t="str">
        <f>"Low"</f>
        <v>Low</v>
      </c>
      <c r="G63" t="str">
        <f>"3"</f>
        <v>3</v>
      </c>
    </row>
    <row r="64" spans="1:7">
      <c r="A64" t="str">
        <f>"3"</f>
        <v>3</v>
      </c>
      <c r="B64" t="str">
        <f>"Просмотр услуг"</f>
        <v>Просмотр услуг</v>
      </c>
      <c r="C64" t="str">
        <f>"EO"</f>
        <v>EO</v>
      </c>
      <c r="D64" t="str">
        <f>"2"</f>
        <v>2</v>
      </c>
      <c r="E64" t="str">
        <f>"5 (Название услуги, описание, цена, доступность, тип)"</f>
        <v>5 (Название услуги, описание, цена, доступность, тип)</v>
      </c>
      <c r="F64" t="str">
        <f>"Low"</f>
        <v>Low</v>
      </c>
      <c r="G64" t="str">
        <f>"4"</f>
        <v>4</v>
      </c>
    </row>
    <row r="65" spans="1:7">
      <c r="A65" t="str">
        <f>"4"</f>
        <v>4</v>
      </c>
      <c r="B65" t="str">
        <f>"Заказ услуги"</f>
        <v>Заказ услуги</v>
      </c>
      <c r="C65" t="str">
        <f>"EI"</f>
        <v>EI</v>
      </c>
      <c r="D65" t="str">
        <f>"2"</f>
        <v>2</v>
      </c>
      <c r="E65" t="str">
        <f>"6 (Услуга, дата заказа, сумма, метод оплаты, контактные данные)"</f>
        <v>6 (Услуга, дата заказа, сумма, метод оплаты, контактные данные)</v>
      </c>
      <c r="F65" t="str">
        <f>"Average"</f>
        <v>Average</v>
      </c>
      <c r="G65" t="str">
        <f>"4"</f>
        <v>4</v>
      </c>
    </row>
    <row r="66" spans="1:7">
      <c r="A66" t="str">
        <f>"5"</f>
        <v>5</v>
      </c>
      <c r="B66" t="str">
        <f>"Личный кабинет"</f>
        <v>Личный кабинет</v>
      </c>
      <c r="C66" t="str">
        <f>"EO"</f>
        <v>EO</v>
      </c>
      <c r="D66" t="str">
        <f>"3"</f>
        <v>3</v>
      </c>
      <c r="E66" t="str">
        <f>"8 (Имя, фамилия, email, телефон, история заказов, предпочтения, и т.д.)"</f>
        <v>8 (Имя, фамилия, email, телефон, история заказов, предпочтения, и т.д.)</v>
      </c>
      <c r="F66" t="str">
        <f>"High"</f>
        <v>High</v>
      </c>
      <c r="G66" t="str">
        <f>"7"</f>
        <v>7</v>
      </c>
    </row>
    <row r="67" spans="1:7">
      <c r="A67" t="str">
        <f>"6"</f>
        <v>6</v>
      </c>
      <c r="B67" t="str">
        <f>"Система оплаты"</f>
        <v>Система оплаты</v>
      </c>
      <c r="C67" t="str">
        <f>"EI"</f>
        <v>EI</v>
      </c>
      <c r="D67" t="str">
        <f>"2"</f>
        <v>2</v>
      </c>
      <c r="E67" t="str">
        <f>"4 (Сумма, дата, метод оплаты)"</f>
        <v>4 (Сумма, дата, метод оплаты)</v>
      </c>
      <c r="F67" t="str">
        <f>"Average"</f>
        <v>Average</v>
      </c>
      <c r="G67" t="str">
        <f>"4"</f>
        <v>4</v>
      </c>
    </row>
    <row r="68" spans="1:7">
      <c r="A68" t="str">
        <f>"7"</f>
        <v>7</v>
      </c>
      <c r="B68" t="str">
        <f>"Контакт с поддержкой"</f>
        <v>Контакт с поддержкой</v>
      </c>
      <c r="C68" t="str">
        <f>"EO"</f>
        <v>EO</v>
      </c>
      <c r="D68" t="str">
        <f>"2"</f>
        <v>2</v>
      </c>
      <c r="E68" t="str">
        <f>"5 (Тема запроса, описание, дата, приоритет, статус)"</f>
        <v>5 (Тема запроса, описание, дата, приоритет, статус)</v>
      </c>
      <c r="F68" t="str">
        <f>"Average"</f>
        <v>Average</v>
      </c>
      <c r="G68" t="str">
        <f>"5"</f>
        <v>5</v>
      </c>
    </row>
    <row r="69" spans="1:7">
      <c r="A69" t="str">
        <f>"8"</f>
        <v>8</v>
      </c>
      <c r="B69" t="str">
        <f>"Отчеты по заказам"</f>
        <v>Отчеты по заказам</v>
      </c>
      <c r="C69" t="str">
        <f>"EQ"</f>
        <v>EQ</v>
      </c>
      <c r="D69" t="str">
        <f>"2"</f>
        <v>2</v>
      </c>
      <c r="E69" t="str">
        <f>"6 (Заказ, дата, статус, сумма, услуги)"</f>
        <v>6 (Заказ, дата, статус, сумма, услуги)</v>
      </c>
      <c r="F69" t="str">
        <f>"Average"</f>
        <v>Average</v>
      </c>
      <c r="G69" t="str">
        <f>"5"</f>
        <v>5</v>
      </c>
    </row>
    <row r="70" spans="1:7">
      <c r="A70" t="str">
        <f>"9"</f>
        <v>9</v>
      </c>
      <c r="B70" t="str">
        <f>"Регистрация оплаты"</f>
        <v>Регистрация оплаты</v>
      </c>
      <c r="C70" t="str">
        <f>"EI"</f>
        <v>EI</v>
      </c>
      <c r="D70" t="str">
        <f>"2"</f>
        <v>2</v>
      </c>
      <c r="E70" t="str">
        <f>"4 (Сумма, дата, метод оплаты, статус)"</f>
        <v>4 (Сумма, дата, метод оплаты, статус)</v>
      </c>
      <c r="F70" t="str">
        <f>"Average"</f>
        <v>Average</v>
      </c>
      <c r="G70" t="str">
        <f>"4"</f>
        <v>4</v>
      </c>
    </row>
    <row r="71" spans="1:7">
      <c r="A71" t="str">
        <f>"10"</f>
        <v>10</v>
      </c>
      <c r="B71" t="str">
        <f>"Продуктовый каталог"</f>
        <v>Продуктовый каталог</v>
      </c>
      <c r="C71" t="str">
        <f>"EO"</f>
        <v>EO</v>
      </c>
      <c r="D71" t="str">
        <f>"3"</f>
        <v>3</v>
      </c>
      <c r="E71" t="str">
        <f>"6 (Название, описание, категория, цена, доступность, дата обновления)"</f>
        <v>6 (Название, описание, категория, цена, доступность, дата обновления)</v>
      </c>
      <c r="F71" t="str">
        <f>"High"</f>
        <v>High</v>
      </c>
      <c r="G71" t="str">
        <f>"7"</f>
        <v>7</v>
      </c>
    </row>
    <row r="75" spans="1:7">
      <c r="A75" t="str">
        <f>"№"</f>
        <v>№</v>
      </c>
      <c r="B75" t="str">
        <f>"Параметр"</f>
        <v>Параметр</v>
      </c>
      <c r="C75" t="str">
        <f>"Описание"</f>
        <v>Описание</v>
      </c>
      <c r="D75" t="str">
        <f>"DI"</f>
        <v>DI</v>
      </c>
    </row>
    <row r="76" spans="1:7">
      <c r="A76" t="str">
        <f>"1"</f>
        <v>1</v>
      </c>
      <c r="B76" t="str">
        <f>"Обмен данными"</f>
        <v>Обмен данными</v>
      </c>
      <c r="C76" t="str">
        <f>"Selectel.ru осуществляет обмен данными по протоколам (например, HTTP/HTTPS, API)."</f>
        <v>Selectel.ru осуществляет обмен данными по протоколам (например, HTTP/HTTPS, API).</v>
      </c>
      <c r="D76" t="str">
        <f>"4"</f>
        <v>4</v>
      </c>
    </row>
    <row r="77" spans="1:7">
      <c r="A77" t="str">
        <f>"2"</f>
        <v>2</v>
      </c>
      <c r="B77" t="str">
        <f>"Распределенная обработка данных"</f>
        <v>Распределенная обработка данных</v>
      </c>
      <c r="C77" t="str">
        <f>"Для масштабируемости используется несколько серверов и облачные сервисы."</f>
        <v>Для масштабируемости используется несколько серверов и облачные сервисы.</v>
      </c>
      <c r="D77" t="str">
        <f>"4"</f>
        <v>4</v>
      </c>
    </row>
    <row r="78" spans="1:7">
      <c r="A78" t="str">
        <f>"3"</f>
        <v>3</v>
      </c>
      <c r="B78" t="str">
        <f>"Производительность"</f>
        <v>Производительность</v>
      </c>
      <c r="C78" t="str">
        <f>"Требования к производительности важны, особенно для обработки запросов от множества пользователей."</f>
        <v>Требования к производительности важны, особенно для обработки запросов от множества пользователей.</v>
      </c>
      <c r="D78" t="str">
        <f>"4"</f>
        <v>4</v>
      </c>
    </row>
    <row r="79" spans="1:7">
      <c r="A79" t="str">
        <f>"4"</f>
        <v>4</v>
      </c>
      <c r="B79" t="str">
        <f>"Ограничения по аппаратным ресурсам"</f>
        <v>Ограничения по аппаратным ресурсам</v>
      </c>
      <c r="C79" t="str">
        <f>"Продукт работает на облачных ресурсах, не ограничен одним процессором или машиной."</f>
        <v>Продукт работает на облачных ресурсах, не ограничен одним процессором или машиной.</v>
      </c>
      <c r="D79" t="str">
        <f>"2"</f>
        <v>2</v>
      </c>
    </row>
    <row r="80" spans="1:7">
      <c r="A80" t="str">
        <f>"5"</f>
        <v>5</v>
      </c>
      <c r="B80" t="str">
        <f>"Транзакционная нагрузка"</f>
        <v>Транзакционная нагрузка</v>
      </c>
      <c r="C80" t="str">
        <f>"Система обрабатывает множество транзакций с переменной нагрузкой, но не критично."</f>
        <v>Система обрабатывает множество транзакций с переменной нагрузкой, но не критично.</v>
      </c>
      <c r="D80" t="str">
        <f>"3"</f>
        <v>3</v>
      </c>
    </row>
    <row r="81" spans="1:4">
      <c r="A81" t="str">
        <f>"6"</f>
        <v>6</v>
      </c>
      <c r="B81" t="str">
        <f>"Интенсивность взаимодействия с пользователем"</f>
        <v>Интенсивность взаимодействия с пользователем</v>
      </c>
      <c r="C81" t="str">
        <f>"Система использует интерфейсы для пользователей, большинство транзакций интерактивные."</f>
        <v>Система использует интерфейсы для пользователей, большинство транзакций интерактивные.</v>
      </c>
      <c r="D81" t="str">
        <f>"4"</f>
        <v>4</v>
      </c>
    </row>
    <row r="82" spans="1:4">
      <c r="A82" t="str">
        <f>"7"</f>
        <v>7</v>
      </c>
      <c r="B82" t="str">
        <f>"Эргономика"</f>
        <v>Эргономика</v>
      </c>
      <c r="C82" t="str">
        <f>"Система требует удобных интерфейсов для пользователей, чтобы уменьшить время на выполнение задач."</f>
        <v>Система требует удобных интерфейсов для пользователей, чтобы уменьшить время на выполнение задач.</v>
      </c>
      <c r="D82" t="str">
        <f>"3"</f>
        <v>3</v>
      </c>
    </row>
    <row r="83" spans="1:4">
      <c r="A83" t="str">
        <f>"8"</f>
        <v>8</v>
      </c>
      <c r="B83" t="str">
        <f>"Интенсивность изменения данных (ILF)"</f>
        <v>Интенсивность изменения данных (ILF)</v>
      </c>
      <c r="C83" t="str">
        <f>"Частые изменения данных, например, обновления данных пользователей и счетов."</f>
        <v>Частые изменения данных, например, обновления данных пользователей и счетов.</v>
      </c>
      <c r="D83" t="str">
        <f>"3"</f>
        <v>3</v>
      </c>
    </row>
    <row r="84" spans="1:4">
      <c r="A84" t="str">
        <f>"9"</f>
        <v>9</v>
      </c>
      <c r="B84" t="str">
        <f>"Сложность обработки"</f>
        <v>Сложность обработки</v>
      </c>
      <c r="C84" t="str">
        <f>"Требования к безопасности и обработке данных на сервере, но без особых сложных математических операций."</f>
        <v>Требования к безопасности и обработке данных на сервере, но без особых сложных математических операций.</v>
      </c>
      <c r="D84" t="str">
        <f>"3"</f>
        <v>3</v>
      </c>
    </row>
    <row r="85" spans="1:4">
      <c r="A85" t="str">
        <f>"10"</f>
        <v>10</v>
      </c>
      <c r="B85" t="str">
        <f>"Повторное использование"</f>
        <v>Повторное использование</v>
      </c>
      <c r="C85" t="str">
        <f>"Продукт разрабатывается как стандартный компонент, который можно интегрировать в другие системы."</f>
        <v>Продукт разрабатывается как стандартный компонент, который можно интегрировать в другие системы.</v>
      </c>
      <c r="D85" t="str">
        <f>"2"</f>
        <v>2</v>
      </c>
    </row>
    <row r="86" spans="1:4">
      <c r="A86" t="str">
        <f>"11"</f>
        <v>11</v>
      </c>
      <c r="B86" t="str">
        <f>"Удобство инсталляции"</f>
        <v>Удобство инсталляции</v>
      </c>
      <c r="C86" t="str">
        <f>"Продукт имеет требование для легкости установки и обновления, но автоматизация установки ограничена."</f>
        <v>Продукт имеет требование для легкости установки и обновления, но автоматизация установки ограничена.</v>
      </c>
      <c r="D86" t="str">
        <f>"3"</f>
        <v>3</v>
      </c>
    </row>
    <row r="87" spans="1:4">
      <c r="A87" t="str">
        <f>"12"</f>
        <v>12</v>
      </c>
      <c r="B87" t="str">
        <f>"Удобство администрирования"</f>
        <v>Удобство администрирования</v>
      </c>
      <c r="C87" t="str">
        <f>"Система требует администрирования, но восстановление и самообслуживание не критичны."</f>
        <v>Система требует администрирования, но восстановление и самообслуживание не критичны.</v>
      </c>
      <c r="D87" t="str">
        <f>"3"</f>
        <v>3</v>
      </c>
    </row>
    <row r="88" spans="1:4">
      <c r="A88" t="str">
        <f>"13"</f>
        <v>13</v>
      </c>
      <c r="B88" t="str">
        <f>"Портируемость"</f>
        <v>Портируемость</v>
      </c>
      <c r="C88" t="str">
        <f>"Работает на разных облачных и физических системах, но не требует поддержки разных ОС."</f>
        <v>Работает на разных облачных и физических системах, но не требует поддержки разных ОС.</v>
      </c>
      <c r="D88" t="str">
        <f>"4"</f>
        <v>4</v>
      </c>
    </row>
    <row r="89" spans="1:4">
      <c r="A89" t="str">
        <f>"14"</f>
        <v>14</v>
      </c>
      <c r="B89" t="str">
        <f>"Гибкость"</f>
        <v>Гибкость</v>
      </c>
      <c r="C89" t="str">
        <f>"Система поддерживает гибкие запросы, но не требует изменений модели данных в интерактивном режиме."</f>
        <v>Система поддерживает гибкие запросы, но не требует изменений модели данных в интерактивном режиме.</v>
      </c>
      <c r="D89" t="str">
        <f>"3"</f>
        <v>3</v>
      </c>
    </row>
    <row r="93" spans="1:4">
      <c r="A93" t="s">
        <v>112</v>
      </c>
      <c r="B93" t="s">
        <v>113</v>
      </c>
      <c r="C93" t="s">
        <v>114</v>
      </c>
    </row>
    <row r="94" spans="1:4">
      <c r="A94" t="s">
        <v>115</v>
      </c>
      <c r="B94" t="s">
        <v>94</v>
      </c>
      <c r="C94">
        <v>2.48</v>
      </c>
    </row>
    <row r="95" spans="1:4">
      <c r="A95" t="s">
        <v>116</v>
      </c>
      <c r="B95" t="s">
        <v>117</v>
      </c>
      <c r="C95">
        <v>2.0299999999999998</v>
      </c>
    </row>
    <row r="96" spans="1:4">
      <c r="A96" t="s">
        <v>118</v>
      </c>
      <c r="B96" t="s">
        <v>92</v>
      </c>
      <c r="C96">
        <v>5.65</v>
      </c>
    </row>
    <row r="97" spans="1:5">
      <c r="A97" t="s">
        <v>119</v>
      </c>
      <c r="B97" t="s">
        <v>117</v>
      </c>
      <c r="C97">
        <v>2.19</v>
      </c>
    </row>
    <row r="98" spans="1:5">
      <c r="A98" t="s">
        <v>120</v>
      </c>
      <c r="B98" t="s">
        <v>121</v>
      </c>
      <c r="C98">
        <v>7.8</v>
      </c>
    </row>
    <row r="100" spans="1:5" ht="16" thickBot="1"/>
    <row r="101" spans="1:5" ht="46" thickBot="1">
      <c r="A101" s="15" t="s">
        <v>122</v>
      </c>
      <c r="B101" s="16" t="s">
        <v>3</v>
      </c>
      <c r="C101" s="16" t="s">
        <v>123</v>
      </c>
      <c r="D101" s="16" t="s">
        <v>124</v>
      </c>
      <c r="E101" s="16" t="s">
        <v>125</v>
      </c>
    </row>
    <row r="102" spans="1:5" ht="52" thickBot="1">
      <c r="A102" s="25" t="s">
        <v>126</v>
      </c>
      <c r="B102" s="26" t="s">
        <v>127</v>
      </c>
      <c r="C102" s="26">
        <v>2</v>
      </c>
      <c r="D102" s="26">
        <v>5</v>
      </c>
      <c r="E102" s="26">
        <v>10</v>
      </c>
    </row>
    <row r="103" spans="1:5" ht="35" thickBot="1">
      <c r="A103" s="25" t="s">
        <v>128</v>
      </c>
      <c r="B103" s="26" t="s">
        <v>129</v>
      </c>
      <c r="C103" s="26">
        <v>1</v>
      </c>
      <c r="D103" s="26">
        <v>4</v>
      </c>
      <c r="E103" s="26">
        <v>4</v>
      </c>
    </row>
    <row r="104" spans="1:5" ht="69" thickBot="1">
      <c r="A104" s="25" t="s">
        <v>130</v>
      </c>
      <c r="B104" s="26" t="s">
        <v>131</v>
      </c>
      <c r="C104" s="26">
        <v>1</v>
      </c>
      <c r="D104" s="26">
        <v>3</v>
      </c>
      <c r="E104" s="26">
        <v>3</v>
      </c>
    </row>
    <row r="105" spans="1:5" ht="52" thickBot="1">
      <c r="A105" s="25" t="s">
        <v>132</v>
      </c>
      <c r="B105" s="26" t="s">
        <v>133</v>
      </c>
      <c r="C105" s="26">
        <v>1</v>
      </c>
      <c r="D105" s="26">
        <v>5</v>
      </c>
      <c r="E105" s="26">
        <v>5</v>
      </c>
    </row>
    <row r="106" spans="1:5" ht="69" thickBot="1">
      <c r="A106" s="25" t="s">
        <v>134</v>
      </c>
      <c r="B106" s="26" t="s">
        <v>135</v>
      </c>
      <c r="C106" s="26">
        <v>1</v>
      </c>
      <c r="D106" s="26">
        <v>3</v>
      </c>
      <c r="E106" s="26">
        <v>3</v>
      </c>
    </row>
    <row r="107" spans="1:5" ht="35" thickBot="1">
      <c r="A107" s="25" t="s">
        <v>136</v>
      </c>
      <c r="B107" s="26" t="s">
        <v>137</v>
      </c>
      <c r="C107" s="26">
        <v>0.5</v>
      </c>
      <c r="D107" s="26">
        <v>5</v>
      </c>
      <c r="E107" s="26">
        <v>2.5</v>
      </c>
    </row>
    <row r="108" spans="1:5" ht="35" thickBot="1">
      <c r="A108" s="25" t="s">
        <v>138</v>
      </c>
      <c r="B108" s="26" t="s">
        <v>139</v>
      </c>
      <c r="C108" s="26">
        <v>0.5</v>
      </c>
      <c r="D108" s="26">
        <v>5</v>
      </c>
      <c r="E108" s="26">
        <v>2.5</v>
      </c>
    </row>
    <row r="109" spans="1:5" ht="35" thickBot="1">
      <c r="A109" s="25" t="s">
        <v>140</v>
      </c>
      <c r="B109" s="26" t="s">
        <v>141</v>
      </c>
      <c r="C109" s="26">
        <v>2</v>
      </c>
      <c r="D109" s="26">
        <v>4</v>
      </c>
      <c r="E109" s="26">
        <v>8</v>
      </c>
    </row>
    <row r="110" spans="1:5" ht="35" thickBot="1">
      <c r="A110" s="25" t="s">
        <v>142</v>
      </c>
      <c r="B110" s="26" t="s">
        <v>143</v>
      </c>
      <c r="C110" s="26">
        <v>1</v>
      </c>
      <c r="D110" s="26">
        <v>2</v>
      </c>
      <c r="E110" s="26">
        <v>2</v>
      </c>
    </row>
    <row r="111" spans="1:5" ht="35" thickBot="1">
      <c r="A111" s="25" t="s">
        <v>144</v>
      </c>
      <c r="B111" s="26" t="s">
        <v>145</v>
      </c>
      <c r="C111" s="26">
        <v>1</v>
      </c>
      <c r="D111" s="26">
        <v>3</v>
      </c>
      <c r="E111" s="26">
        <v>3</v>
      </c>
    </row>
    <row r="112" spans="1:5" ht="69" thickBot="1">
      <c r="A112" s="25" t="s">
        <v>146</v>
      </c>
      <c r="B112" s="26" t="s">
        <v>147</v>
      </c>
      <c r="C112" s="26">
        <v>1</v>
      </c>
      <c r="D112" s="26">
        <v>3</v>
      </c>
      <c r="E112" s="26">
        <v>3</v>
      </c>
    </row>
    <row r="113" spans="1:5" ht="69" thickBot="1">
      <c r="A113" s="25" t="s">
        <v>148</v>
      </c>
      <c r="B113" s="26" t="s">
        <v>149</v>
      </c>
      <c r="C113" s="26">
        <v>1</v>
      </c>
      <c r="D113" s="26">
        <v>4</v>
      </c>
      <c r="E113" s="26">
        <v>4</v>
      </c>
    </row>
    <row r="114" spans="1:5">
      <c r="E114">
        <f>SUM(E101:E113)</f>
        <v>50</v>
      </c>
    </row>
    <row r="117" spans="1:5">
      <c r="A117" t="s">
        <v>150</v>
      </c>
      <c r="B117" t="s">
        <v>3</v>
      </c>
      <c r="C117" t="s">
        <v>123</v>
      </c>
      <c r="D117" t="s">
        <v>124</v>
      </c>
      <c r="E117" t="s">
        <v>125</v>
      </c>
    </row>
    <row r="118" spans="1:5">
      <c r="A118" t="s">
        <v>151</v>
      </c>
      <c r="B118" t="s">
        <v>152</v>
      </c>
      <c r="C118">
        <v>1</v>
      </c>
      <c r="D118">
        <v>4</v>
      </c>
      <c r="E118">
        <v>4</v>
      </c>
    </row>
    <row r="119" spans="1:5">
      <c r="A119" t="s">
        <v>153</v>
      </c>
      <c r="B119" t="s">
        <v>154</v>
      </c>
      <c r="C119">
        <v>1</v>
      </c>
      <c r="D119">
        <v>3</v>
      </c>
      <c r="E119">
        <v>3</v>
      </c>
    </row>
    <row r="120" spans="1:5">
      <c r="A120" t="s">
        <v>155</v>
      </c>
      <c r="B120" t="s">
        <v>156</v>
      </c>
      <c r="C120">
        <v>1</v>
      </c>
      <c r="D120">
        <v>4</v>
      </c>
      <c r="E120">
        <v>4</v>
      </c>
    </row>
    <row r="121" spans="1:5">
      <c r="A121" t="s">
        <v>157</v>
      </c>
      <c r="B121" t="s">
        <v>158</v>
      </c>
      <c r="C121">
        <v>1</v>
      </c>
      <c r="D121">
        <v>5</v>
      </c>
      <c r="E121">
        <v>5</v>
      </c>
    </row>
    <row r="122" spans="1:5">
      <c r="A122" t="s">
        <v>159</v>
      </c>
      <c r="B122" t="s">
        <v>160</v>
      </c>
      <c r="C122">
        <v>0.5</v>
      </c>
      <c r="D122">
        <v>3</v>
      </c>
      <c r="E122">
        <v>1.5</v>
      </c>
    </row>
    <row r="123" spans="1:5">
      <c r="A123" t="s">
        <v>161</v>
      </c>
      <c r="B123" t="s">
        <v>162</v>
      </c>
      <c r="C123">
        <v>1</v>
      </c>
      <c r="D123">
        <v>5</v>
      </c>
      <c r="E123">
        <v>5</v>
      </c>
    </row>
    <row r="124" spans="1:5">
      <c r="A124" t="s">
        <v>163</v>
      </c>
      <c r="B124" t="s">
        <v>164</v>
      </c>
      <c r="C124">
        <v>0.5</v>
      </c>
      <c r="D124">
        <v>2</v>
      </c>
      <c r="E124">
        <v>1</v>
      </c>
    </row>
    <row r="125" spans="1:5">
      <c r="A125" t="s">
        <v>165</v>
      </c>
      <c r="B125" t="s">
        <v>166</v>
      </c>
      <c r="C125">
        <v>1</v>
      </c>
      <c r="D125">
        <v>3</v>
      </c>
      <c r="E125">
        <v>3</v>
      </c>
    </row>
    <row r="126" spans="1:5">
      <c r="E126">
        <f>SUM(E118:E125)</f>
        <v>26.5</v>
      </c>
    </row>
    <row r="130" spans="1:5" ht="16" thickBot="1"/>
    <row r="131" spans="1:5" ht="46" thickBot="1">
      <c r="A131" s="15" t="s">
        <v>122</v>
      </c>
      <c r="B131" s="16" t="s">
        <v>3</v>
      </c>
      <c r="C131" s="16" t="s">
        <v>123</v>
      </c>
      <c r="D131" s="16" t="s">
        <v>124</v>
      </c>
      <c r="E131" s="16" t="s">
        <v>125</v>
      </c>
    </row>
    <row r="132" spans="1:5" ht="52" thickBot="1">
      <c r="A132" s="27" t="s">
        <v>126</v>
      </c>
      <c r="B132" s="28" t="s">
        <v>127</v>
      </c>
      <c r="C132" s="28">
        <v>2</v>
      </c>
      <c r="D132" s="28">
        <v>3</v>
      </c>
      <c r="E132" s="28">
        <v>6</v>
      </c>
    </row>
    <row r="133" spans="1:5" ht="35" thickBot="1">
      <c r="A133" s="25" t="s">
        <v>128</v>
      </c>
      <c r="B133" s="26" t="s">
        <v>129</v>
      </c>
      <c r="C133" s="26">
        <v>1</v>
      </c>
      <c r="D133" s="26">
        <v>4</v>
      </c>
      <c r="E133" s="26">
        <v>4</v>
      </c>
    </row>
    <row r="134" spans="1:5" ht="69" thickBot="1">
      <c r="A134" s="25" t="s">
        <v>130</v>
      </c>
      <c r="B134" s="26" t="s">
        <v>131</v>
      </c>
      <c r="C134" s="26">
        <v>1</v>
      </c>
      <c r="D134" s="26">
        <v>3</v>
      </c>
      <c r="E134" s="26">
        <v>3</v>
      </c>
    </row>
    <row r="135" spans="1:5" ht="52" thickBot="1">
      <c r="A135" s="25" t="s">
        <v>132</v>
      </c>
      <c r="B135" s="26" t="s">
        <v>133</v>
      </c>
      <c r="C135" s="26">
        <v>1</v>
      </c>
      <c r="D135" s="26">
        <v>4</v>
      </c>
      <c r="E135" s="26">
        <v>4</v>
      </c>
    </row>
    <row r="136" spans="1:5" ht="69" thickBot="1">
      <c r="A136" s="25" t="s">
        <v>134</v>
      </c>
      <c r="B136" s="26" t="s">
        <v>135</v>
      </c>
      <c r="C136" s="26">
        <v>2</v>
      </c>
      <c r="D136" s="26">
        <v>1</v>
      </c>
      <c r="E136" s="26">
        <v>2</v>
      </c>
    </row>
    <row r="137" spans="1:5" ht="35" thickBot="1">
      <c r="A137" s="25" t="s">
        <v>136</v>
      </c>
      <c r="B137" s="26" t="s">
        <v>137</v>
      </c>
      <c r="C137" s="26">
        <v>0.5</v>
      </c>
      <c r="D137" s="26">
        <v>4</v>
      </c>
      <c r="E137" s="26">
        <v>2</v>
      </c>
    </row>
    <row r="138" spans="1:5" ht="35" thickBot="1">
      <c r="A138" s="25" t="s">
        <v>138</v>
      </c>
      <c r="B138" s="26" t="s">
        <v>139</v>
      </c>
      <c r="C138" s="26">
        <v>0.5</v>
      </c>
      <c r="D138" s="26">
        <v>4</v>
      </c>
      <c r="E138" s="26">
        <v>2</v>
      </c>
    </row>
    <row r="139" spans="1:5" ht="35" thickBot="1">
      <c r="A139" s="25" t="s">
        <v>140</v>
      </c>
      <c r="B139" s="26" t="s">
        <v>141</v>
      </c>
      <c r="C139" s="26">
        <v>2</v>
      </c>
      <c r="D139" s="26">
        <v>3</v>
      </c>
      <c r="E139" s="26">
        <v>6</v>
      </c>
    </row>
    <row r="140" spans="1:5" ht="35" thickBot="1">
      <c r="A140" s="25" t="s">
        <v>142</v>
      </c>
      <c r="B140" s="26" t="s">
        <v>143</v>
      </c>
      <c r="C140" s="26">
        <v>1</v>
      </c>
      <c r="D140" s="26">
        <v>2</v>
      </c>
      <c r="E140" s="26">
        <v>2</v>
      </c>
    </row>
    <row r="141" spans="1:5" ht="35" thickBot="1">
      <c r="A141" s="25" t="s">
        <v>144</v>
      </c>
      <c r="B141" s="26" t="s">
        <v>145</v>
      </c>
      <c r="C141" s="26">
        <v>1</v>
      </c>
      <c r="D141" s="26">
        <v>3</v>
      </c>
      <c r="E141" s="26">
        <v>3</v>
      </c>
    </row>
    <row r="142" spans="1:5" ht="69" thickBot="1">
      <c r="A142" s="25" t="s">
        <v>146</v>
      </c>
      <c r="B142" s="26" t="s">
        <v>147</v>
      </c>
      <c r="C142" s="26">
        <v>1</v>
      </c>
      <c r="D142" s="26">
        <v>3</v>
      </c>
      <c r="E142" s="26">
        <v>3</v>
      </c>
    </row>
    <row r="143" spans="1:5" ht="69" thickBot="1">
      <c r="A143" s="25" t="s">
        <v>148</v>
      </c>
      <c r="B143" s="26" t="s">
        <v>149</v>
      </c>
      <c r="C143" s="26">
        <v>1</v>
      </c>
      <c r="D143" s="26">
        <v>4</v>
      </c>
      <c r="E143" s="26">
        <v>4</v>
      </c>
    </row>
    <row r="144" spans="1:5" ht="103" thickBot="1">
      <c r="A144" s="25" t="s">
        <v>167</v>
      </c>
      <c r="B144" s="26" t="s">
        <v>168</v>
      </c>
      <c r="C144" s="26">
        <v>1</v>
      </c>
      <c r="D144" s="26">
        <v>1</v>
      </c>
      <c r="E144" s="26">
        <v>1</v>
      </c>
    </row>
    <row r="145" spans="1:5">
      <c r="E145">
        <f>SUM(E132:E144)</f>
        <v>42</v>
      </c>
    </row>
    <row r="154" spans="1:5" ht="16" thickBot="1"/>
    <row r="155" spans="1:5" ht="16" thickBot="1">
      <c r="A155" s="29">
        <v>3</v>
      </c>
    </row>
    <row r="156" spans="1:5" ht="16" thickBot="1">
      <c r="A156" s="30">
        <v>2</v>
      </c>
    </row>
    <row r="157" spans="1:5" ht="16" thickBot="1">
      <c r="A157" s="30">
        <v>1</v>
      </c>
    </row>
    <row r="158" spans="1:5" ht="16" thickBot="1">
      <c r="A158" s="30">
        <v>2</v>
      </c>
    </row>
    <row r="159" spans="1:5" ht="16" thickBot="1">
      <c r="A159" s="30">
        <v>2</v>
      </c>
    </row>
    <row r="160" spans="1:5" ht="16" thickBot="1">
      <c r="A160" s="30">
        <v>2</v>
      </c>
    </row>
    <row r="161" spans="1:1" ht="16" thickBot="1">
      <c r="A161" s="30">
        <v>2</v>
      </c>
    </row>
    <row r="162" spans="1:1" ht="16" thickBot="1">
      <c r="A162" s="30">
        <v>1</v>
      </c>
    </row>
    <row r="163" spans="1:1" ht="16" thickBot="1">
      <c r="A163" s="30">
        <v>2</v>
      </c>
    </row>
    <row r="164" spans="1:1" ht="16" thickBot="1">
      <c r="A164" s="30">
        <v>2</v>
      </c>
    </row>
    <row r="165" spans="1:1" ht="16" thickBot="1">
      <c r="A165" s="30">
        <v>2</v>
      </c>
    </row>
    <row r="166" spans="1:1" ht="16" thickBot="1">
      <c r="A166" s="30">
        <v>1</v>
      </c>
    </row>
    <row r="167" spans="1:1" ht="16" thickBot="1">
      <c r="A167" s="30">
        <v>3</v>
      </c>
    </row>
    <row r="168" spans="1:1" ht="16" thickBot="1">
      <c r="A168" s="30">
        <v>2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DD2C-E896-F14F-9EB7-F7E140FCF726}">
  <dimension ref="A1:I24"/>
  <sheetViews>
    <sheetView zoomScale="125" zoomScaleNormal="85" workbookViewId="0">
      <selection activeCell="C55" sqref="C55"/>
    </sheetView>
  </sheetViews>
  <sheetFormatPr baseColWidth="10" defaultColWidth="10.83203125" defaultRowHeight="15"/>
  <cols>
    <col min="1" max="1" width="10.83203125" style="3"/>
    <col min="2" max="2" width="42.33203125" style="3" customWidth="1"/>
    <col min="3" max="5" width="10.83203125" style="3"/>
    <col min="6" max="6" width="14.5" style="3" bestFit="1" customWidth="1"/>
    <col min="7" max="7" width="13.33203125" style="3" bestFit="1" customWidth="1"/>
    <col min="8" max="9" width="12.1640625" style="3" bestFit="1" customWidth="1"/>
    <col min="10" max="16384" width="10.83203125" style="3"/>
  </cols>
  <sheetData>
    <row r="1" spans="1:8">
      <c r="A1" s="21" t="s">
        <v>17</v>
      </c>
      <c r="B1" s="22" t="s">
        <v>0</v>
      </c>
      <c r="C1" s="23" t="s">
        <v>57</v>
      </c>
      <c r="D1" s="23" t="s">
        <v>58</v>
      </c>
      <c r="E1" s="23" t="s">
        <v>59</v>
      </c>
      <c r="F1" s="20"/>
      <c r="G1" s="20"/>
    </row>
    <row r="2" spans="1:8">
      <c r="A2" s="21"/>
      <c r="B2" s="22"/>
      <c r="C2" s="24"/>
      <c r="D2" s="24"/>
      <c r="E2" s="24"/>
      <c r="F2" s="20"/>
      <c r="G2" s="20"/>
    </row>
    <row r="3" spans="1:8" ht="16" thickBot="1">
      <c r="A3" s="6">
        <v>1.1000000000000001</v>
      </c>
      <c r="B3" s="8" t="s">
        <v>1</v>
      </c>
      <c r="C3" s="8">
        <v>50</v>
      </c>
      <c r="D3" s="8">
        <v>100</v>
      </c>
      <c r="E3" s="8">
        <v>70</v>
      </c>
      <c r="F3" s="10">
        <f>(C3+D3+6*E3)/6</f>
        <v>95</v>
      </c>
      <c r="G3" s="10">
        <f>(D3-E3)/6</f>
        <v>5</v>
      </c>
      <c r="H3" s="12">
        <f>G3^2</f>
        <v>25</v>
      </c>
    </row>
    <row r="4" spans="1:8" ht="16" thickBot="1">
      <c r="A4" s="6">
        <v>1.2</v>
      </c>
      <c r="B4" s="8" t="s">
        <v>22</v>
      </c>
      <c r="C4" s="8">
        <v>10</v>
      </c>
      <c r="D4" s="8">
        <v>40</v>
      </c>
      <c r="E4" s="8">
        <v>20</v>
      </c>
      <c r="F4" s="10">
        <f t="shared" ref="F4:F23" si="0">(C4+D4+6*E4)/6</f>
        <v>28.333333333333332</v>
      </c>
      <c r="G4" s="10">
        <f t="shared" ref="G4:G23" si="1">(D4-E4)/6</f>
        <v>3.3333333333333335</v>
      </c>
      <c r="H4" s="12">
        <f t="shared" ref="H4:H23" si="2">G4^2</f>
        <v>11.111111111111112</v>
      </c>
    </row>
    <row r="5" spans="1:8" ht="16" thickBot="1">
      <c r="A5" s="6">
        <v>1.3</v>
      </c>
      <c r="B5" s="8" t="s">
        <v>23</v>
      </c>
      <c r="C5" s="8">
        <v>100</v>
      </c>
      <c r="D5" s="8">
        <v>250</v>
      </c>
      <c r="E5" s="8">
        <v>150</v>
      </c>
      <c r="F5" s="10">
        <f t="shared" si="0"/>
        <v>208.33333333333334</v>
      </c>
      <c r="G5" s="10">
        <f t="shared" si="1"/>
        <v>16.666666666666668</v>
      </c>
      <c r="H5" s="12">
        <f t="shared" si="2"/>
        <v>277.77777777777783</v>
      </c>
    </row>
    <row r="6" spans="1:8" ht="16" thickBot="1">
      <c r="A6" s="6">
        <v>1.4</v>
      </c>
      <c r="B6" s="9" t="s">
        <v>25</v>
      </c>
      <c r="C6" s="8">
        <v>40</v>
      </c>
      <c r="D6" s="8">
        <v>60</v>
      </c>
      <c r="E6" s="8">
        <v>50</v>
      </c>
      <c r="F6" s="10">
        <f t="shared" si="0"/>
        <v>66.666666666666671</v>
      </c>
      <c r="G6" s="10">
        <f t="shared" si="1"/>
        <v>1.6666666666666667</v>
      </c>
      <c r="H6" s="12">
        <f t="shared" si="2"/>
        <v>2.7777777777777781</v>
      </c>
    </row>
    <row r="7" spans="1:8" ht="16" thickBot="1">
      <c r="A7" s="6">
        <v>2.1</v>
      </c>
      <c r="B7" s="8" t="s">
        <v>8</v>
      </c>
      <c r="C7" s="8">
        <v>40</v>
      </c>
      <c r="D7" s="8">
        <v>80</v>
      </c>
      <c r="E7" s="8">
        <v>60</v>
      </c>
      <c r="F7" s="10">
        <f t="shared" si="0"/>
        <v>80</v>
      </c>
      <c r="G7" s="10">
        <f t="shared" si="1"/>
        <v>3.3333333333333335</v>
      </c>
      <c r="H7" s="12">
        <f t="shared" si="2"/>
        <v>11.111111111111112</v>
      </c>
    </row>
    <row r="8" spans="1:8" ht="16" thickBot="1">
      <c r="A8" s="6">
        <v>2.2000000000000002</v>
      </c>
      <c r="B8" s="8" t="s">
        <v>29</v>
      </c>
      <c r="C8" s="8">
        <v>30</v>
      </c>
      <c r="D8" s="8">
        <v>50</v>
      </c>
      <c r="E8" s="8">
        <v>40</v>
      </c>
      <c r="F8" s="10">
        <f t="shared" si="0"/>
        <v>53.333333333333336</v>
      </c>
      <c r="G8" s="10">
        <f t="shared" si="1"/>
        <v>1.6666666666666667</v>
      </c>
      <c r="H8" s="12">
        <f t="shared" si="2"/>
        <v>2.7777777777777781</v>
      </c>
    </row>
    <row r="9" spans="1:8" ht="16" thickBot="1">
      <c r="A9" s="6">
        <v>2.2999999999999998</v>
      </c>
      <c r="B9" s="8" t="s">
        <v>31</v>
      </c>
      <c r="C9" s="8">
        <v>50</v>
      </c>
      <c r="D9" s="8">
        <v>90</v>
      </c>
      <c r="E9" s="8">
        <v>70</v>
      </c>
      <c r="F9" s="10">
        <f t="shared" si="0"/>
        <v>93.333333333333329</v>
      </c>
      <c r="G9" s="10">
        <f t="shared" si="1"/>
        <v>3.3333333333333335</v>
      </c>
      <c r="H9" s="12">
        <f t="shared" si="2"/>
        <v>11.111111111111112</v>
      </c>
    </row>
    <row r="10" spans="1:8" ht="16" thickBot="1">
      <c r="A10" s="6">
        <v>2.4</v>
      </c>
      <c r="B10" s="8" t="s">
        <v>33</v>
      </c>
      <c r="C10" s="8">
        <v>50</v>
      </c>
      <c r="D10" s="8">
        <v>100</v>
      </c>
      <c r="E10" s="8">
        <v>75</v>
      </c>
      <c r="F10" s="10">
        <f t="shared" si="0"/>
        <v>100</v>
      </c>
      <c r="G10" s="10">
        <f t="shared" si="1"/>
        <v>4.166666666666667</v>
      </c>
      <c r="H10" s="12">
        <f t="shared" si="2"/>
        <v>17.361111111111114</v>
      </c>
    </row>
    <row r="11" spans="1:8" ht="16" thickBot="1">
      <c r="A11" s="6">
        <v>2.5</v>
      </c>
      <c r="B11" s="8" t="s">
        <v>9</v>
      </c>
      <c r="C11" s="8">
        <v>40</v>
      </c>
      <c r="D11" s="8">
        <v>80</v>
      </c>
      <c r="E11" s="8">
        <v>60</v>
      </c>
      <c r="F11" s="10">
        <f t="shared" si="0"/>
        <v>80</v>
      </c>
      <c r="G11" s="10">
        <f t="shared" si="1"/>
        <v>3.3333333333333335</v>
      </c>
      <c r="H11" s="12">
        <f t="shared" si="2"/>
        <v>11.111111111111112</v>
      </c>
    </row>
    <row r="12" spans="1:8" ht="16" thickBot="1">
      <c r="A12" s="6">
        <v>2.6</v>
      </c>
      <c r="B12" s="8" t="s">
        <v>36</v>
      </c>
      <c r="C12" s="8">
        <v>30</v>
      </c>
      <c r="D12" s="8">
        <v>60</v>
      </c>
      <c r="E12" s="8">
        <v>45</v>
      </c>
      <c r="F12" s="10">
        <f t="shared" si="0"/>
        <v>60</v>
      </c>
      <c r="G12" s="10">
        <f t="shared" si="1"/>
        <v>2.5</v>
      </c>
      <c r="H12" s="12">
        <f t="shared" si="2"/>
        <v>6.25</v>
      </c>
    </row>
    <row r="13" spans="1:8" ht="16" thickBot="1">
      <c r="A13" s="6">
        <v>2.7</v>
      </c>
      <c r="B13" s="8" t="s">
        <v>38</v>
      </c>
      <c r="C13" s="8">
        <v>60</v>
      </c>
      <c r="D13" s="8">
        <v>120</v>
      </c>
      <c r="E13" s="8">
        <v>90</v>
      </c>
      <c r="F13" s="10">
        <f t="shared" si="0"/>
        <v>120</v>
      </c>
      <c r="G13" s="10">
        <f t="shared" si="1"/>
        <v>5</v>
      </c>
      <c r="H13" s="12">
        <f t="shared" si="2"/>
        <v>25</v>
      </c>
    </row>
    <row r="14" spans="1:8" ht="16" thickBot="1">
      <c r="A14" s="6">
        <v>3.1</v>
      </c>
      <c r="B14" s="8" t="s">
        <v>41</v>
      </c>
      <c r="C14" s="8">
        <v>60</v>
      </c>
      <c r="D14" s="8">
        <v>120</v>
      </c>
      <c r="E14" s="8">
        <v>90</v>
      </c>
      <c r="F14" s="10">
        <f t="shared" si="0"/>
        <v>120</v>
      </c>
      <c r="G14" s="10">
        <f t="shared" si="1"/>
        <v>5</v>
      </c>
      <c r="H14" s="12">
        <f t="shared" si="2"/>
        <v>25</v>
      </c>
    </row>
    <row r="15" spans="1:8" ht="16" thickBot="1">
      <c r="A15" s="6">
        <v>3.2</v>
      </c>
      <c r="B15" s="8" t="s">
        <v>43</v>
      </c>
      <c r="C15" s="8">
        <v>40</v>
      </c>
      <c r="D15" s="8">
        <v>80</v>
      </c>
      <c r="E15" s="8">
        <v>60</v>
      </c>
      <c r="F15" s="10">
        <f t="shared" si="0"/>
        <v>80</v>
      </c>
      <c r="G15" s="10">
        <f t="shared" si="1"/>
        <v>3.3333333333333335</v>
      </c>
      <c r="H15" s="12">
        <f t="shared" si="2"/>
        <v>11.111111111111112</v>
      </c>
    </row>
    <row r="16" spans="1:8" ht="16" thickBot="1">
      <c r="A16" s="6">
        <v>3.3</v>
      </c>
      <c r="B16" s="8" t="s">
        <v>60</v>
      </c>
      <c r="C16" s="8">
        <v>160</v>
      </c>
      <c r="D16" s="8">
        <v>280</v>
      </c>
      <c r="E16" s="8">
        <v>200</v>
      </c>
      <c r="F16" s="10">
        <f t="shared" si="0"/>
        <v>273.33333333333331</v>
      </c>
      <c r="G16" s="10">
        <f t="shared" si="1"/>
        <v>13.333333333333334</v>
      </c>
      <c r="H16" s="12">
        <f t="shared" si="2"/>
        <v>177.7777777777778</v>
      </c>
    </row>
    <row r="17" spans="1:9" ht="16" thickBot="1">
      <c r="A17" s="6">
        <v>3.4</v>
      </c>
      <c r="B17" s="8" t="s">
        <v>76</v>
      </c>
      <c r="C17" s="8">
        <v>40</v>
      </c>
      <c r="D17" s="8">
        <v>80</v>
      </c>
      <c r="E17" s="8">
        <v>60</v>
      </c>
      <c r="F17" s="10">
        <f t="shared" si="0"/>
        <v>80</v>
      </c>
      <c r="G17" s="10">
        <f t="shared" si="1"/>
        <v>3.3333333333333335</v>
      </c>
      <c r="H17" s="12">
        <f t="shared" si="2"/>
        <v>11.111111111111112</v>
      </c>
    </row>
    <row r="18" spans="1:9" ht="16" thickBot="1">
      <c r="A18" s="6">
        <v>4.0999999999999996</v>
      </c>
      <c r="B18" s="8" t="s">
        <v>5</v>
      </c>
      <c r="C18" s="8">
        <v>45</v>
      </c>
      <c r="D18" s="8">
        <v>108</v>
      </c>
      <c r="E18" s="8">
        <v>72</v>
      </c>
      <c r="F18" s="10">
        <f t="shared" si="0"/>
        <v>97.5</v>
      </c>
      <c r="G18" s="10">
        <f t="shared" si="1"/>
        <v>6</v>
      </c>
      <c r="H18" s="12">
        <f t="shared" si="2"/>
        <v>36</v>
      </c>
    </row>
    <row r="19" spans="1:9" ht="16" thickBot="1">
      <c r="A19" s="6">
        <v>4.2</v>
      </c>
      <c r="B19" s="8" t="s">
        <v>6</v>
      </c>
      <c r="C19" s="8">
        <v>40</v>
      </c>
      <c r="D19" s="8">
        <v>80</v>
      </c>
      <c r="E19" s="8">
        <v>60</v>
      </c>
      <c r="F19" s="10">
        <f t="shared" si="0"/>
        <v>80</v>
      </c>
      <c r="G19" s="10">
        <f t="shared" si="1"/>
        <v>3.3333333333333335</v>
      </c>
      <c r="H19" s="12">
        <f t="shared" si="2"/>
        <v>11.111111111111112</v>
      </c>
    </row>
    <row r="20" spans="1:9" ht="16" thickBot="1">
      <c r="A20" s="6">
        <v>4.3</v>
      </c>
      <c r="B20" s="8" t="s">
        <v>7</v>
      </c>
      <c r="C20" s="8">
        <v>60</v>
      </c>
      <c r="D20" s="8">
        <v>120</v>
      </c>
      <c r="E20" s="8">
        <v>90</v>
      </c>
      <c r="F20" s="10">
        <f t="shared" si="0"/>
        <v>120</v>
      </c>
      <c r="G20" s="10">
        <f t="shared" si="1"/>
        <v>5</v>
      </c>
      <c r="H20" s="12">
        <f t="shared" si="2"/>
        <v>25</v>
      </c>
    </row>
    <row r="21" spans="1:9" ht="16" thickBot="1">
      <c r="A21" s="6">
        <v>5.0999999999999996</v>
      </c>
      <c r="B21" s="8" t="s">
        <v>77</v>
      </c>
      <c r="C21" s="8">
        <v>50</v>
      </c>
      <c r="D21" s="8">
        <v>100</v>
      </c>
      <c r="E21" s="8">
        <v>75</v>
      </c>
      <c r="F21" s="10">
        <f t="shared" si="0"/>
        <v>100</v>
      </c>
      <c r="G21" s="10">
        <f t="shared" si="1"/>
        <v>4.166666666666667</v>
      </c>
      <c r="H21" s="12">
        <f t="shared" si="2"/>
        <v>17.361111111111114</v>
      </c>
    </row>
    <row r="22" spans="1:9" ht="16" thickBot="1">
      <c r="A22" s="6">
        <v>5.2</v>
      </c>
      <c r="B22" s="8" t="s">
        <v>52</v>
      </c>
      <c r="C22" s="8">
        <v>10</v>
      </c>
      <c r="D22" s="8">
        <v>20</v>
      </c>
      <c r="E22" s="8">
        <v>15</v>
      </c>
      <c r="F22" s="10">
        <f t="shared" si="0"/>
        <v>20</v>
      </c>
      <c r="G22" s="10">
        <f t="shared" si="1"/>
        <v>0.83333333333333337</v>
      </c>
      <c r="H22" s="12">
        <f t="shared" si="2"/>
        <v>0.69444444444444453</v>
      </c>
    </row>
    <row r="23" spans="1:9" ht="16" thickBot="1">
      <c r="A23" s="6">
        <v>5.3</v>
      </c>
      <c r="B23" s="8" t="s">
        <v>54</v>
      </c>
      <c r="C23" s="8">
        <v>30</v>
      </c>
      <c r="D23" s="8">
        <v>60</v>
      </c>
      <c r="E23" s="8">
        <v>45</v>
      </c>
      <c r="F23" s="10">
        <f t="shared" si="0"/>
        <v>60</v>
      </c>
      <c r="G23" s="10">
        <f t="shared" si="1"/>
        <v>2.5</v>
      </c>
      <c r="H23" s="12">
        <f t="shared" si="2"/>
        <v>6.25</v>
      </c>
    </row>
    <row r="24" spans="1:9">
      <c r="F24" s="11">
        <f>SUM(F3:F23)</f>
        <v>2015.8333333333333</v>
      </c>
      <c r="G24" s="1"/>
      <c r="H24" s="3">
        <f>SQRT(SUM(H3:H23))</f>
        <v>26.88504334301054</v>
      </c>
      <c r="I24" s="3">
        <f>F24+2*H24</f>
        <v>2069.6034200193544</v>
      </c>
    </row>
  </sheetData>
  <mergeCells count="7">
    <mergeCell ref="F1:F2"/>
    <mergeCell ref="G1:G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Simple Method</vt:lpstr>
      <vt:lpstr>Sheet1</vt:lpstr>
      <vt:lpstr>PERT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宏祥 周</dc:creator>
  <cp:lastModifiedBy>Хунсян Чжоу</cp:lastModifiedBy>
  <dcterms:created xsi:type="dcterms:W3CDTF">2024-11-17T17:06:59Z</dcterms:created>
  <dcterms:modified xsi:type="dcterms:W3CDTF">2025-02-18T14:56:54Z</dcterms:modified>
</cp:coreProperties>
</file>