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и C#\Okken_v2.0\Material\"/>
    </mc:Choice>
  </mc:AlternateContent>
  <xr:revisionPtr revIDLastSave="0" documentId="13_ncr:1_{46317E02-EFEA-45FA-9C06-04A34237E987}" xr6:coauthVersionLast="41" xr6:coauthVersionMax="41" xr10:uidLastSave="{00000000-0000-0000-0000-000000000000}"/>
  <bookViews>
    <workbookView xWindow="-120" yWindow="-120" windowWidth="29040" windowHeight="15840" xr2:uid="{B3DA1D27-5CD2-49C3-BAA4-4684C4DBE081}"/>
  </bookViews>
  <sheets>
    <sheet name="MDB" sheetId="1" r:id="rId1"/>
  </sheets>
  <externalReferences>
    <externalReference r:id="rId2"/>
  </externalReferences>
  <definedNames>
    <definedName name="_Order1" hidden="1">255</definedName>
    <definedName name="_Order2" hidden="1">255</definedName>
    <definedName name="AC" localSheetId="0">MDB!$AC:$AC</definedName>
    <definedName name="AD" localSheetId="0">MDB!$AC:$AC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1" l="1"/>
  <c r="D40" i="1"/>
  <c r="C40" i="1"/>
  <c r="A40" i="1"/>
  <c r="AC38" i="1"/>
  <c r="AB38" i="1"/>
  <c r="AC37" i="1"/>
  <c r="AB37" i="1"/>
  <c r="AC36" i="1"/>
  <c r="AB36" i="1"/>
  <c r="AC35" i="1"/>
  <c r="AB35" i="1"/>
  <c r="Z35" i="1" a="1"/>
  <c r="Z35" i="1" s="1"/>
  <c r="Y35" i="1" a="1"/>
  <c r="Y35" i="1" s="1"/>
  <c r="AC34" i="1"/>
  <c r="AB34" i="1"/>
  <c r="Z34" i="1" a="1"/>
  <c r="Z34" i="1" s="1"/>
  <c r="Z31" i="1" s="1"/>
  <c r="Y34" i="1" a="1"/>
  <c r="Y34" i="1" s="1"/>
  <c r="Y31" i="1" s="1"/>
  <c r="AC33" i="1"/>
  <c r="AB33" i="1"/>
  <c r="Z33" i="1" a="1"/>
  <c r="Z33" i="1" s="1"/>
  <c r="Y33" i="1" a="1"/>
  <c r="Y33" i="1" s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Z25" i="1"/>
  <c r="AC24" i="1"/>
  <c r="AB24" i="1"/>
  <c r="Y24" i="1"/>
  <c r="E3" i="1" s="1"/>
  <c r="AC23" i="1"/>
  <c r="AB23" i="1"/>
  <c r="AC22" i="1"/>
  <c r="AB22" i="1"/>
  <c r="AC21" i="1"/>
  <c r="AB21" i="1"/>
  <c r="AC20" i="1"/>
  <c r="AB20" i="1"/>
  <c r="AC19" i="1"/>
  <c r="AB19" i="1"/>
  <c r="B9" i="1"/>
  <c r="B6" i="1"/>
  <c r="B5" i="1"/>
  <c r="B40" i="1" s="1"/>
  <c r="AC12" i="1"/>
  <c r="AB1" i="1"/>
  <c r="Y4" i="1"/>
  <c r="AB7" i="1"/>
  <c r="AC11" i="1"/>
  <c r="AC8" i="1"/>
  <c r="AC10" i="1"/>
  <c r="Y2" i="1"/>
  <c r="AC4" i="1"/>
  <c r="AA24" i="1" l="1"/>
  <c r="Y30" i="1"/>
  <c r="Y29" i="1"/>
  <c r="Y27" i="1"/>
  <c r="Z30" i="1"/>
  <c r="Z29" i="1"/>
  <c r="Z27" i="1"/>
  <c r="AB13" i="1"/>
  <c r="AC13" i="1"/>
  <c r="AB12" i="1"/>
  <c r="AB6" i="1"/>
  <c r="AB8" i="1"/>
  <c r="AC3" i="1"/>
  <c r="Y1" i="1"/>
  <c r="Y5" i="1"/>
  <c r="AB3" i="1"/>
  <c r="Y3" i="1"/>
  <c r="AC9" i="1"/>
  <c r="AB11" i="1"/>
  <c r="AC5" i="1"/>
  <c r="AB4" i="1"/>
  <c r="AB9" i="1"/>
  <c r="AB5" i="1"/>
  <c r="AC7" i="1"/>
  <c r="AB10" i="1"/>
  <c r="AC2" i="1"/>
  <c r="AC6" i="1"/>
  <c r="AB2" i="1"/>
  <c r="AC1" i="1"/>
  <c r="Z32" i="1" l="1"/>
  <c r="Z28" i="1" s="1"/>
  <c r="Y32" i="1"/>
  <c r="Y28" i="1" s="1"/>
  <c r="Y26" i="1" s="1"/>
  <c r="Z26" i="1"/>
  <c r="Y25" i="1" l="1"/>
  <c r="E4" i="1" s="1"/>
  <c r="E5" i="1"/>
  <c r="AA26" i="1" s="1"/>
  <c r="AA27" i="1"/>
  <c r="AA25" i="1"/>
  <c r="E8" i="1" l="1"/>
  <c r="E10" i="1" s="1"/>
  <c r="E11" i="1" s="1"/>
  <c r="E9" i="1" s="1"/>
  <c r="D6" i="1"/>
  <c r="E13" i="1" l="1"/>
</calcChain>
</file>

<file path=xl/sharedStrings.xml><?xml version="1.0" encoding="utf-8"?>
<sst xmlns="http://schemas.openxmlformats.org/spreadsheetml/2006/main" count="237" uniqueCount="161">
  <si>
    <t>MDB</t>
  </si>
  <si>
    <t>Masterpact</t>
  </si>
  <si>
    <t>NSX10</t>
  </si>
  <si>
    <t>NSX16</t>
  </si>
  <si>
    <t>NSX25</t>
  </si>
  <si>
    <t>NSX40</t>
  </si>
  <si>
    <t>NSX63</t>
  </si>
  <si>
    <t>Mic.5</t>
  </si>
  <si>
    <t>L</t>
  </si>
  <si>
    <t>L1</t>
  </si>
  <si>
    <t>NW40</t>
  </si>
  <si>
    <t>4000/5A</t>
  </si>
  <si>
    <t>NSX630</t>
  </si>
  <si>
    <t>600/5A</t>
  </si>
  <si>
    <t>Параметры сети</t>
  </si>
  <si>
    <t>Колонны</t>
  </si>
  <si>
    <t>Mic.2.0E</t>
  </si>
  <si>
    <t>Mic.2.2</t>
  </si>
  <si>
    <t>Mic.2.3</t>
  </si>
  <si>
    <t>PM5110</t>
  </si>
  <si>
    <t>S</t>
  </si>
  <si>
    <t>H2</t>
  </si>
  <si>
    <t>NW32</t>
  </si>
  <si>
    <t>3000/5A</t>
  </si>
  <si>
    <t>NSX400</t>
  </si>
  <si>
    <t>400/5A</t>
  </si>
  <si>
    <t>Тип щита</t>
  </si>
  <si>
    <t>Prisma Plus P</t>
  </si>
  <si>
    <t>400мм</t>
  </si>
  <si>
    <t>Mic.5.0E</t>
  </si>
  <si>
    <t>Mic.5.2A</t>
  </si>
  <si>
    <t>Mic.5.3A</t>
  </si>
  <si>
    <t>PM5560</t>
  </si>
  <si>
    <t>H</t>
  </si>
  <si>
    <t>NW25</t>
  </si>
  <si>
    <t>2500/5A</t>
  </si>
  <si>
    <t>NSX250</t>
  </si>
  <si>
    <t>250/5A</t>
  </si>
  <si>
    <t>Мощность трансформатора</t>
  </si>
  <si>
    <t>650мм</t>
  </si>
  <si>
    <t>Mic.5.0P</t>
  </si>
  <si>
    <t>Mic.5.2E</t>
  </si>
  <si>
    <t>Mic.5.3E</t>
  </si>
  <si>
    <t xml:space="preserve"> </t>
  </si>
  <si>
    <t>FDM121</t>
  </si>
  <si>
    <t>H1</t>
  </si>
  <si>
    <t>NW20</t>
  </si>
  <si>
    <t>2000/5A</t>
  </si>
  <si>
    <t>NSX160</t>
  </si>
  <si>
    <t>150/5A</t>
  </si>
  <si>
    <t>Номинальный ток</t>
  </si>
  <si>
    <t>800мм</t>
  </si>
  <si>
    <t>Mic.6.0E</t>
  </si>
  <si>
    <t>TM16D</t>
  </si>
  <si>
    <t>TM80D</t>
  </si>
  <si>
    <t>TM125D</t>
  </si>
  <si>
    <t>N</t>
  </si>
  <si>
    <t>NW16</t>
  </si>
  <si>
    <t>1500/5A</t>
  </si>
  <si>
    <t>NSX100</t>
  </si>
  <si>
    <t>100/5A</t>
  </si>
  <si>
    <t>Ток КЗ, kA</t>
  </si>
  <si>
    <t>Mic.6.0P</t>
  </si>
  <si>
    <t>TM25D</t>
  </si>
  <si>
    <t>TM100D</t>
  </si>
  <si>
    <t>TM160D</t>
  </si>
  <si>
    <t>NW12</t>
  </si>
  <si>
    <t>1250/5A</t>
  </si>
  <si>
    <t>Система заземления</t>
  </si>
  <si>
    <t>TN-S</t>
  </si>
  <si>
    <t>TM32D</t>
  </si>
  <si>
    <t>TM200D</t>
  </si>
  <si>
    <t>F</t>
  </si>
  <si>
    <t>NW10</t>
  </si>
  <si>
    <t>1000/5A</t>
  </si>
  <si>
    <t>Степень защиты</t>
  </si>
  <si>
    <t>IP31</t>
  </si>
  <si>
    <t>Design</t>
  </si>
  <si>
    <t>h</t>
  </si>
  <si>
    <t>Mic.2.0X</t>
  </si>
  <si>
    <t>TM40D</t>
  </si>
  <si>
    <t>TM250D</t>
  </si>
  <si>
    <t>B</t>
  </si>
  <si>
    <t>NW08</t>
  </si>
  <si>
    <t>800/5A</t>
  </si>
  <si>
    <t>Доступ к подключению</t>
  </si>
  <si>
    <t>Preparation</t>
  </si>
  <si>
    <t>Mic.5.0X</t>
  </si>
  <si>
    <t>TM63D</t>
  </si>
  <si>
    <t>NT16</t>
  </si>
  <si>
    <t>Глубина щита</t>
  </si>
  <si>
    <t>Workshop</t>
  </si>
  <si>
    <t>Mic.6.0X</t>
  </si>
  <si>
    <t>NT12</t>
  </si>
  <si>
    <t>Подвод питания</t>
  </si>
  <si>
    <t>Шинопровод</t>
  </si>
  <si>
    <t>Quality</t>
  </si>
  <si>
    <t>NT10</t>
  </si>
  <si>
    <t>Выкатной</t>
  </si>
  <si>
    <t>Purchasing</t>
  </si>
  <si>
    <t>NT08</t>
  </si>
  <si>
    <t>Compact</t>
  </si>
  <si>
    <t>Втычной</t>
  </si>
  <si>
    <t>Packing</t>
  </si>
  <si>
    <t>€</t>
  </si>
  <si>
    <t>ячейки для ввода данных</t>
  </si>
  <si>
    <t>NT06</t>
  </si>
  <si>
    <t>Расположение вводов</t>
  </si>
  <si>
    <t>По краям</t>
  </si>
  <si>
    <t>Cost, €</t>
  </si>
  <si>
    <t xml:space="preserve">ячейки выбора </t>
  </si>
  <si>
    <t>Трансформатор тока в PEN</t>
  </si>
  <si>
    <t>Нет</t>
  </si>
  <si>
    <t>некорректное значение</t>
  </si>
  <si>
    <t>Выключатель</t>
  </si>
  <si>
    <t>Micrologic</t>
  </si>
  <si>
    <t>MCH, PF,
MX, XF</t>
  </si>
  <si>
    <t>Modbus</t>
  </si>
  <si>
    <t>Тр-ры тока</t>
  </si>
  <si>
    <t>Метрология</t>
  </si>
  <si>
    <t>AMP</t>
  </si>
  <si>
    <t>Датчик тока утечки</t>
  </si>
  <si>
    <t>2-й MX</t>
  </si>
  <si>
    <t>Количество</t>
  </si>
  <si>
    <t>Секция 1</t>
  </si>
  <si>
    <t>Секция 2</t>
  </si>
  <si>
    <t>Дерейтинг</t>
  </si>
  <si>
    <t>Тр-р тока</t>
  </si>
  <si>
    <t>Вводной аппарат</t>
  </si>
  <si>
    <t>+</t>
  </si>
  <si>
    <t>Секционный аппарат</t>
  </si>
  <si>
    <t>Фидерный аппарат</t>
  </si>
  <si>
    <t>Col1</t>
  </si>
  <si>
    <t>Col2</t>
  </si>
  <si>
    <t>НЧ(NW+NT)</t>
  </si>
  <si>
    <t>курс €</t>
  </si>
  <si>
    <t>НЧ(NW)</t>
  </si>
  <si>
    <t>MT</t>
  </si>
  <si>
    <t>OF/SDE</t>
  </si>
  <si>
    <t>MX</t>
  </si>
  <si>
    <t>НЧ(NT)</t>
  </si>
  <si>
    <t>Compact NSX</t>
  </si>
  <si>
    <t>NSX100F</t>
  </si>
  <si>
    <t>FreeMod</t>
  </si>
  <si>
    <t>NW</t>
  </si>
  <si>
    <t>NSX250F</t>
  </si>
  <si>
    <t>NT</t>
  </si>
  <si>
    <t>NSX400F</t>
  </si>
  <si>
    <t>NSXmod</t>
  </si>
  <si>
    <t>NSX630F</t>
  </si>
  <si>
    <t>Side</t>
  </si>
  <si>
    <t>NomCur</t>
  </si>
  <si>
    <t>NT400</t>
  </si>
  <si>
    <t>Nsvert</t>
  </si>
  <si>
    <t>fCenter</t>
  </si>
  <si>
    <t>NW12H1</t>
  </si>
  <si>
    <t>NW16H1</t>
  </si>
  <si>
    <t>NW32H1</t>
  </si>
  <si>
    <t>NSX250H</t>
  </si>
  <si>
    <t>NSX400H</t>
  </si>
  <si>
    <t>NW08H1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</si>
</sst>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  <charset val="204"/>
    </font>
    <font>
      <sz val="8"/>
      <color rgb="FF000000"/>
      <name val="Tahoma"/>
      <family val="2"/>
      <charset val="204"/>
    </font>
    <font>
      <sz val="10"/>
      <name val="Arial"/>
      <family val="2"/>
      <charset val="204"/>
    </font>
    <font>
      <sz val="10"/>
      <color theme="8" tint="0.79998168889431442"/>
      <name val="Arial"/>
      <family val="2"/>
      <charset val="204"/>
    </font>
    <font>
      <b/>
      <sz val="10"/>
      <name val="Arial Cyr"/>
      <family val="2"/>
      <charset val="204"/>
    </font>
    <font>
      <sz val="10"/>
      <color rgb="FFC0000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1"/>
      <color theme="0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i/>
      <sz val="10"/>
      <name val="Arial"/>
      <family val="2"/>
      <charset val="204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0"/>
      <color rgb="FFFF0000"/>
      <name val="Arial"/>
      <family val="2"/>
      <charset val="204"/>
    </font>
    <font>
      <b/>
      <i/>
      <sz val="14"/>
      <color rgb="FFFF0000"/>
      <name val="Arial"/>
      <family val="2"/>
      <charset val="204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indexed="42"/>
        <bgColor indexed="64"/>
      </patternFill>
    </fill>
    <fill>
      <patternFill patternType="lightUp">
        <fgColor theme="0" tint="-0.499984740745262"/>
        <bgColor theme="8" tint="0.79992065187536243"/>
      </patternFill>
    </fill>
    <fill>
      <patternFill patternType="solid">
        <fgColor indexed="13"/>
        <bgColor indexed="64"/>
      </patternFill>
    </fill>
  </fills>
  <borders count="7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 style="double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rgb="FF3F3F3F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rgb="FF3F3F3F"/>
      </bottom>
      <diagonal/>
    </border>
    <border>
      <left style="dotted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tted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rgb="FF3F3F3F"/>
      </left>
      <right style="dotted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indexed="64"/>
      </left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/>
      <right style="dotted">
        <color rgb="FF3F3F3F"/>
      </right>
      <top/>
      <bottom/>
      <diagonal/>
    </border>
    <border>
      <left style="dotted">
        <color rgb="FF3F3F3F"/>
      </left>
      <right style="double">
        <color indexed="64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uble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2" borderId="1" applyNumberFormat="0" applyAlignment="0" applyProtection="0"/>
    <xf numFmtId="0" fontId="11" fillId="3" borderId="0" applyNumberFormat="0" applyBorder="0" applyAlignment="0" applyProtection="0"/>
  </cellStyleXfs>
  <cellXfs count="143">
    <xf numFmtId="0" fontId="0" fillId="0" borderId="0" xfId="0"/>
    <xf numFmtId="0" fontId="3" fillId="4" borderId="0" xfId="0" applyFont="1" applyFill="1" applyProtection="1">
      <protection hidden="1"/>
    </xf>
    <xf numFmtId="0" fontId="0" fillId="4" borderId="0" xfId="0" applyFill="1" applyProtection="1">
      <protection hidden="1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7" fillId="6" borderId="10" xfId="0" applyFont="1" applyFill="1" applyBorder="1" applyProtection="1">
      <protection hidden="1"/>
    </xf>
    <xf numFmtId="0" fontId="7" fillId="6" borderId="11" xfId="0" applyFont="1" applyFill="1" applyBorder="1" applyAlignment="1" applyProtection="1">
      <alignment horizontal="center"/>
      <protection hidden="1"/>
    </xf>
    <xf numFmtId="0" fontId="7" fillId="6" borderId="12" xfId="0" applyFont="1" applyFill="1" applyBorder="1" applyProtection="1">
      <protection hidden="1"/>
    </xf>
    <xf numFmtId="0" fontId="7" fillId="6" borderId="13" xfId="0" applyFont="1" applyFill="1" applyBorder="1" applyAlignment="1" applyProtection="1">
      <alignment horizontal="center"/>
      <protection hidden="1"/>
    </xf>
    <xf numFmtId="0" fontId="0" fillId="7" borderId="14" xfId="0" applyFill="1" applyBorder="1" applyAlignment="1" applyProtection="1">
      <alignment horizontal="center"/>
      <protection locked="0" hidden="1"/>
    </xf>
    <xf numFmtId="0" fontId="7" fillId="6" borderId="15" xfId="0" applyFont="1" applyFill="1" applyBorder="1" applyProtection="1">
      <protection hidden="1"/>
    </xf>
    <xf numFmtId="0" fontId="9" fillId="8" borderId="16" xfId="1" applyFont="1" applyFill="1" applyBorder="1" applyAlignment="1" applyProtection="1">
      <alignment horizontal="center" vertical="center"/>
      <protection locked="0" hidden="1"/>
    </xf>
    <xf numFmtId="0" fontId="7" fillId="6" borderId="17" xfId="0" applyFont="1" applyFill="1" applyBorder="1" applyProtection="1">
      <protection hidden="1"/>
    </xf>
    <xf numFmtId="0" fontId="7" fillId="6" borderId="18" xfId="0" applyFont="1" applyFill="1" applyBorder="1" applyAlignment="1" applyProtection="1">
      <alignment horizontal="center"/>
      <protection hidden="1"/>
    </xf>
    <xf numFmtId="0" fontId="2" fillId="7" borderId="15" xfId="0" applyFont="1" applyFill="1" applyBorder="1" applyAlignment="1" applyProtection="1">
      <alignment horizontal="center"/>
      <protection locked="0" hidden="1"/>
    </xf>
    <xf numFmtId="0" fontId="7" fillId="6" borderId="19" xfId="0" applyFont="1" applyFill="1" applyBorder="1" applyAlignment="1" applyProtection="1">
      <alignment horizontal="center"/>
      <protection hidden="1"/>
    </xf>
    <xf numFmtId="0" fontId="7" fillId="6" borderId="20" xfId="0" applyFont="1" applyFill="1" applyBorder="1" applyProtection="1">
      <protection hidden="1"/>
    </xf>
    <xf numFmtId="0" fontId="7" fillId="6" borderId="21" xfId="0" applyFont="1" applyFill="1" applyBorder="1" applyAlignment="1" applyProtection="1">
      <alignment horizontal="center"/>
      <protection hidden="1"/>
    </xf>
    <xf numFmtId="0" fontId="0" fillId="7" borderId="22" xfId="0" applyFill="1" applyBorder="1" applyAlignment="1" applyProtection="1">
      <alignment horizontal="center"/>
      <protection locked="0" hidden="1"/>
    </xf>
    <xf numFmtId="0" fontId="7" fillId="6" borderId="23" xfId="0" applyFont="1" applyFill="1" applyBorder="1" applyProtection="1">
      <protection hidden="1"/>
    </xf>
    <xf numFmtId="0" fontId="7" fillId="6" borderId="24" xfId="0" applyFont="1" applyFill="1" applyBorder="1" applyProtection="1">
      <protection hidden="1"/>
    </xf>
    <xf numFmtId="0" fontId="0" fillId="6" borderId="25" xfId="0" applyFill="1" applyBorder="1" applyAlignment="1" applyProtection="1">
      <alignment horizontal="center"/>
      <protection hidden="1"/>
    </xf>
    <xf numFmtId="0" fontId="7" fillId="6" borderId="26" xfId="0" applyFont="1" applyFill="1" applyBorder="1" applyProtection="1">
      <protection hidden="1"/>
    </xf>
    <xf numFmtId="0" fontId="0" fillId="6" borderId="18" xfId="0" applyFill="1" applyBorder="1" applyAlignment="1" applyProtection="1">
      <alignment horizontal="center"/>
      <protection hidden="1"/>
    </xf>
    <xf numFmtId="0" fontId="3" fillId="4" borderId="0" xfId="0" applyFont="1" applyFill="1" applyProtection="1">
      <protection locked="0" hidden="1"/>
    </xf>
    <xf numFmtId="0" fontId="7" fillId="6" borderId="27" xfId="0" applyFont="1" applyFill="1" applyBorder="1" applyProtection="1">
      <protection hidden="1"/>
    </xf>
    <xf numFmtId="0" fontId="0" fillId="6" borderId="21" xfId="0" applyFill="1" applyBorder="1" applyAlignment="1" applyProtection="1">
      <alignment horizontal="center"/>
      <protection hidden="1"/>
    </xf>
    <xf numFmtId="0" fontId="12" fillId="7" borderId="1" xfId="2" applyFont="1" applyFill="1" applyBorder="1" applyAlignment="1" applyProtection="1">
      <alignment horizontal="center" vertical="center"/>
      <protection hidden="1"/>
    </xf>
    <xf numFmtId="0" fontId="7" fillId="4" borderId="0" xfId="0" applyFont="1" applyFill="1" applyProtection="1">
      <protection hidden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5" fillId="8" borderId="1" xfId="1" applyFont="1" applyFill="1" applyAlignment="1" applyProtection="1">
      <alignment horizontal="center" vertical="center"/>
      <protection hidden="1"/>
    </xf>
    <xf numFmtId="0" fontId="7" fillId="6" borderId="22" xfId="0" applyFont="1" applyFill="1" applyBorder="1" applyProtection="1">
      <protection hidden="1"/>
    </xf>
    <xf numFmtId="0" fontId="16" fillId="9" borderId="1" xfId="1" applyFont="1" applyFill="1" applyAlignment="1" applyProtection="1">
      <alignment horizontal="center" vertical="center"/>
      <protection hidden="1"/>
    </xf>
    <xf numFmtId="0" fontId="6" fillId="4" borderId="0" xfId="0" applyFont="1" applyFill="1" applyAlignment="1" applyProtection="1">
      <protection hidden="1"/>
    </xf>
    <xf numFmtId="0" fontId="7" fillId="0" borderId="0" xfId="0" applyFont="1" applyAlignment="1">
      <alignment horizontal="center" vertical="center" wrapText="1"/>
    </xf>
    <xf numFmtId="0" fontId="10" fillId="5" borderId="20" xfId="0" applyFont="1" applyFill="1" applyBorder="1" applyAlignment="1" applyProtection="1">
      <alignment vertical="center"/>
      <protection hidden="1"/>
    </xf>
    <xf numFmtId="0" fontId="10" fillId="5" borderId="21" xfId="0" applyFont="1" applyFill="1" applyBorder="1" applyAlignment="1" applyProtection="1">
      <alignment vertical="center"/>
      <protection hidden="1"/>
    </xf>
    <xf numFmtId="0" fontId="10" fillId="5" borderId="43" xfId="0" applyFont="1" applyFill="1" applyBorder="1" applyProtection="1">
      <protection hidden="1"/>
    </xf>
    <xf numFmtId="0" fontId="0" fillId="8" borderId="44" xfId="0" applyFill="1" applyBorder="1" applyProtection="1">
      <protection locked="0" hidden="1"/>
    </xf>
    <xf numFmtId="0" fontId="0" fillId="8" borderId="45" xfId="0" applyFill="1" applyBorder="1" applyProtection="1">
      <protection locked="0" hidden="1"/>
    </xf>
    <xf numFmtId="0" fontId="0" fillId="8" borderId="45" xfId="0" applyFill="1" applyBorder="1" applyAlignment="1" applyProtection="1">
      <alignment horizontal="center"/>
      <protection locked="0" hidden="1"/>
    </xf>
    <xf numFmtId="0" fontId="2" fillId="8" borderId="46" xfId="0" applyFont="1" applyFill="1" applyBorder="1" applyAlignment="1" applyProtection="1">
      <alignment horizontal="center"/>
      <protection locked="0" hidden="1"/>
    </xf>
    <xf numFmtId="0" fontId="0" fillId="7" borderId="47" xfId="0" applyFill="1" applyBorder="1" applyAlignment="1" applyProtection="1">
      <alignment horizontal="center"/>
      <protection locked="0" hidden="1"/>
    </xf>
    <xf numFmtId="0" fontId="0" fillId="7" borderId="48" xfId="0" applyFill="1" applyBorder="1" applyAlignment="1" applyProtection="1">
      <alignment horizontal="center"/>
      <protection locked="0" hidden="1"/>
    </xf>
    <xf numFmtId="164" fontId="0" fillId="0" borderId="0" xfId="0" applyNumberFormat="1" applyBorder="1"/>
    <xf numFmtId="164" fontId="0" fillId="0" borderId="0" xfId="0" applyNumberFormat="1"/>
    <xf numFmtId="0" fontId="0" fillId="10" borderId="0" xfId="0" applyFill="1"/>
    <xf numFmtId="0" fontId="0" fillId="4" borderId="0" xfId="0" applyFill="1" applyBorder="1" applyProtection="1">
      <protection hidden="1"/>
    </xf>
    <xf numFmtId="0" fontId="0" fillId="4" borderId="49" xfId="0" applyFill="1" applyBorder="1" applyProtection="1">
      <protection hidden="1"/>
    </xf>
    <xf numFmtId="0" fontId="0" fillId="4" borderId="49" xfId="0" applyFill="1" applyBorder="1" applyAlignment="1" applyProtection="1">
      <alignment horizontal="center"/>
      <protection hidden="1"/>
    </xf>
    <xf numFmtId="0" fontId="0" fillId="4" borderId="50" xfId="0" applyFill="1" applyBorder="1" applyProtection="1">
      <protection hidden="1"/>
    </xf>
    <xf numFmtId="0" fontId="0" fillId="4" borderId="51" xfId="0" applyFill="1" applyBorder="1" applyAlignment="1" applyProtection="1">
      <alignment horizontal="center"/>
      <protection hidden="1"/>
    </xf>
    <xf numFmtId="164" fontId="0" fillId="10" borderId="0" xfId="0" applyNumberFormat="1" applyFill="1"/>
    <xf numFmtId="0" fontId="10" fillId="5" borderId="52" xfId="0" applyFont="1" applyFill="1" applyBorder="1" applyProtection="1">
      <protection hidden="1"/>
    </xf>
    <xf numFmtId="0" fontId="0" fillId="8" borderId="53" xfId="0" applyFill="1" applyBorder="1" applyProtection="1">
      <protection locked="0" hidden="1"/>
    </xf>
    <xf numFmtId="0" fontId="0" fillId="8" borderId="53" xfId="0" applyFill="1" applyBorder="1" applyAlignment="1" applyProtection="1">
      <alignment horizontal="center"/>
      <protection locked="0" hidden="1"/>
    </xf>
    <xf numFmtId="0" fontId="0" fillId="8" borderId="54" xfId="0" applyFill="1" applyBorder="1" applyAlignment="1" applyProtection="1">
      <alignment horizontal="center"/>
      <protection locked="0" hidden="1"/>
    </xf>
    <xf numFmtId="0" fontId="0" fillId="8" borderId="55" xfId="0" applyFill="1" applyBorder="1" applyAlignment="1" applyProtection="1">
      <alignment horizontal="center"/>
      <protection locked="0" hidden="1"/>
    </xf>
    <xf numFmtId="0" fontId="0" fillId="11" borderId="56" xfId="0" applyFill="1" applyBorder="1" applyAlignment="1" applyProtection="1">
      <protection hidden="1"/>
    </xf>
    <xf numFmtId="0" fontId="2" fillId="8" borderId="57" xfId="0" applyFont="1" applyFill="1" applyBorder="1" applyAlignment="1" applyProtection="1">
      <alignment horizontal="center"/>
      <protection locked="0" hidden="1"/>
    </xf>
    <xf numFmtId="0" fontId="0" fillId="7" borderId="58" xfId="0" applyFill="1" applyBorder="1" applyAlignment="1" applyProtection="1">
      <alignment horizontal="center"/>
      <protection locked="0" hidden="1"/>
    </xf>
    <xf numFmtId="0" fontId="0" fillId="11" borderId="59" xfId="0" applyFill="1" applyBorder="1" applyProtection="1">
      <protection hidden="1"/>
    </xf>
    <xf numFmtId="0" fontId="0" fillId="4" borderId="60" xfId="0" applyFill="1" applyBorder="1" applyProtection="1">
      <protection hidden="1"/>
    </xf>
    <xf numFmtId="0" fontId="0" fillId="4" borderId="60" xfId="0" applyFill="1" applyBorder="1" applyAlignment="1" applyProtection="1">
      <alignment horizontal="center"/>
      <protection hidden="1"/>
    </xf>
    <xf numFmtId="0" fontId="0" fillId="4" borderId="33" xfId="0" applyFill="1" applyBorder="1" applyAlignment="1" applyProtection="1">
      <alignment horizontal="center"/>
      <protection hidden="1"/>
    </xf>
    <xf numFmtId="0" fontId="10" fillId="4" borderId="61" xfId="0" applyFont="1" applyFill="1" applyBorder="1" applyProtection="1">
      <protection hidden="1"/>
    </xf>
    <xf numFmtId="0" fontId="0" fillId="4" borderId="61" xfId="0" applyFill="1" applyBorder="1" applyAlignment="1" applyProtection="1">
      <alignment horizontal="center"/>
      <protection hidden="1"/>
    </xf>
    <xf numFmtId="0" fontId="0" fillId="4" borderId="61" xfId="0" applyFill="1" applyBorder="1" applyProtection="1">
      <protection hidden="1"/>
    </xf>
    <xf numFmtId="0" fontId="0" fillId="4" borderId="36" xfId="0" applyFill="1" applyBorder="1" applyAlignment="1" applyProtection="1">
      <alignment horizontal="center"/>
      <protection hidden="1"/>
    </xf>
    <xf numFmtId="0" fontId="0" fillId="8" borderId="24" xfId="0" applyFill="1" applyBorder="1" applyProtection="1">
      <protection locked="0" hidden="1"/>
    </xf>
    <xf numFmtId="0" fontId="0" fillId="8" borderId="55" xfId="0" applyFill="1" applyBorder="1" applyProtection="1">
      <protection locked="0" hidden="1"/>
    </xf>
    <xf numFmtId="0" fontId="2" fillId="8" borderId="55" xfId="0" applyFont="1" applyFill="1" applyBorder="1" applyAlignment="1" applyProtection="1">
      <alignment horizontal="center"/>
      <protection locked="0" hidden="1"/>
    </xf>
    <xf numFmtId="0" fontId="2" fillId="8" borderId="25" xfId="0" applyFont="1" applyFill="1" applyBorder="1" applyAlignment="1" applyProtection="1">
      <alignment horizontal="center"/>
      <protection locked="0" hidden="1"/>
    </xf>
    <xf numFmtId="0" fontId="0" fillId="7" borderId="63" xfId="0" applyFill="1" applyBorder="1" applyAlignment="1" applyProtection="1">
      <alignment horizontal="center"/>
      <protection locked="0" hidden="1"/>
    </xf>
    <xf numFmtId="0" fontId="0" fillId="7" borderId="13" xfId="0" applyFill="1" applyBorder="1" applyAlignment="1" applyProtection="1">
      <alignment horizontal="center"/>
      <protection locked="0" hidden="1"/>
    </xf>
    <xf numFmtId="0" fontId="0" fillId="8" borderId="17" xfId="0" applyFill="1" applyBorder="1" applyProtection="1">
      <protection locked="0" hidden="1"/>
    </xf>
    <xf numFmtId="0" fontId="0" fillId="8" borderId="64" xfId="0" applyFill="1" applyBorder="1" applyProtection="1">
      <protection locked="0" hidden="1"/>
    </xf>
    <xf numFmtId="0" fontId="0" fillId="8" borderId="64" xfId="0" applyFill="1" applyBorder="1" applyAlignment="1" applyProtection="1">
      <alignment horizontal="center"/>
      <protection locked="0" hidden="1"/>
    </xf>
    <xf numFmtId="0" fontId="2" fillId="8" borderId="64" xfId="0" applyFont="1" applyFill="1" applyBorder="1" applyAlignment="1" applyProtection="1">
      <alignment horizontal="center"/>
      <protection locked="0" hidden="1"/>
    </xf>
    <xf numFmtId="0" fontId="0" fillId="8" borderId="18" xfId="0" applyFill="1" applyBorder="1" applyAlignment="1" applyProtection="1">
      <alignment horizontal="center"/>
      <protection locked="0" hidden="1"/>
    </xf>
    <xf numFmtId="0" fontId="0" fillId="7" borderId="65" xfId="0" applyFill="1" applyBorder="1" applyAlignment="1" applyProtection="1">
      <alignment horizontal="center"/>
      <protection locked="0" hidden="1"/>
    </xf>
    <xf numFmtId="0" fontId="0" fillId="7" borderId="66" xfId="0" applyFill="1" applyBorder="1" applyAlignment="1" applyProtection="1">
      <alignment horizontal="center"/>
      <protection locked="0" hidden="1"/>
    </xf>
    <xf numFmtId="0" fontId="0" fillId="7" borderId="18" xfId="0" applyFill="1" applyBorder="1" applyAlignment="1" applyProtection="1">
      <alignment horizontal="center"/>
      <protection locked="0" hidden="1"/>
    </xf>
    <xf numFmtId="0" fontId="0" fillId="8" borderId="67" xfId="0" applyFill="1" applyBorder="1" applyAlignment="1" applyProtection="1">
      <alignment horizontal="center"/>
      <protection locked="0" hidden="1"/>
    </xf>
    <xf numFmtId="0" fontId="0" fillId="12" borderId="8" xfId="0" applyFill="1" applyBorder="1"/>
    <xf numFmtId="0" fontId="0" fillId="12" borderId="0" xfId="0" applyFill="1" applyBorder="1"/>
    <xf numFmtId="0" fontId="0" fillId="12" borderId="9" xfId="0" applyFill="1" applyBorder="1"/>
    <xf numFmtId="0" fontId="2" fillId="8" borderId="18" xfId="0" applyFont="1" applyFill="1" applyBorder="1" applyAlignment="1" applyProtection="1">
      <alignment horizontal="center"/>
      <protection locked="0" hidden="1"/>
    </xf>
    <xf numFmtId="0" fontId="0" fillId="8" borderId="67" xfId="0" applyFill="1" applyBorder="1" applyProtection="1">
      <protection locked="0" hidden="1"/>
    </xf>
    <xf numFmtId="0" fontId="0" fillId="8" borderId="68" xfId="0" applyFill="1" applyBorder="1" applyAlignment="1" applyProtection="1">
      <alignment horizontal="center"/>
      <protection locked="0" hidden="1"/>
    </xf>
    <xf numFmtId="0" fontId="0" fillId="7" borderId="69" xfId="0" applyFill="1" applyBorder="1" applyAlignment="1" applyProtection="1">
      <alignment horizontal="center"/>
      <protection locked="0" hidden="1"/>
    </xf>
    <xf numFmtId="0" fontId="0" fillId="7" borderId="68" xfId="0" applyFill="1" applyBorder="1" applyAlignment="1" applyProtection="1">
      <alignment horizontal="center"/>
      <protection locked="0" hidden="1"/>
    </xf>
    <xf numFmtId="0" fontId="13" fillId="0" borderId="0" xfId="0" applyFont="1"/>
    <xf numFmtId="0" fontId="10" fillId="4" borderId="0" xfId="0" applyFont="1" applyFill="1" applyAlignment="1" applyProtection="1">
      <alignment horizontal="center" vertical="center"/>
      <protection hidden="1"/>
    </xf>
    <xf numFmtId="0" fontId="10" fillId="5" borderId="70" xfId="0" applyFont="1" applyFill="1" applyBorder="1" applyAlignment="1" applyProtection="1">
      <alignment horizontal="center" vertical="center"/>
      <protection hidden="1"/>
    </xf>
    <xf numFmtId="0" fontId="10" fillId="5" borderId="53" xfId="0" applyFont="1" applyFill="1" applyBorder="1" applyAlignment="1" applyProtection="1">
      <alignment horizontal="center" vertical="center"/>
      <protection hidden="1"/>
    </xf>
    <xf numFmtId="0" fontId="10" fillId="5" borderId="53" xfId="0" applyFont="1" applyFill="1" applyBorder="1" applyAlignment="1" applyProtection="1">
      <alignment horizontal="center" vertical="center" wrapText="1"/>
      <protection hidden="1"/>
    </xf>
    <xf numFmtId="0" fontId="10" fillId="5" borderId="57" xfId="0" applyFont="1" applyFill="1" applyBorder="1" applyAlignment="1" applyProtection="1">
      <alignment horizontal="center" vertical="center"/>
      <protection hidden="1"/>
    </xf>
    <xf numFmtId="0" fontId="10" fillId="4" borderId="5" xfId="0" applyFont="1" applyFill="1" applyBorder="1" applyAlignment="1" applyProtection="1">
      <alignment horizontal="center" vertical="center"/>
      <protection hidden="1"/>
    </xf>
    <xf numFmtId="0" fontId="0" fillId="4" borderId="6" xfId="0" applyFill="1" applyBorder="1" applyAlignment="1" applyProtection="1">
      <alignment horizontal="center"/>
      <protection hidden="1"/>
    </xf>
    <xf numFmtId="0" fontId="0" fillId="0" borderId="0" xfId="0" applyAlignment="1">
      <alignment horizontal="center" vertical="center"/>
    </xf>
    <xf numFmtId="0" fontId="0" fillId="8" borderId="12" xfId="0" applyFill="1" applyBorder="1" applyProtection="1">
      <protection locked="0" hidden="1"/>
    </xf>
    <xf numFmtId="0" fontId="0" fillId="8" borderId="13" xfId="0" applyFill="1" applyBorder="1" applyAlignment="1" applyProtection="1">
      <alignment horizontal="center"/>
      <protection locked="0" hidden="1"/>
    </xf>
    <xf numFmtId="0" fontId="0" fillId="7" borderId="71" xfId="0" applyFill="1" applyBorder="1" applyAlignment="1" applyProtection="1">
      <alignment horizontal="center"/>
      <protection locked="0" hidden="1"/>
    </xf>
    <xf numFmtId="0" fontId="0" fillId="8" borderId="72" xfId="0" applyFill="1" applyBorder="1" applyProtection="1">
      <protection locked="0" hidden="1"/>
    </xf>
    <xf numFmtId="0" fontId="0" fillId="7" borderId="73" xfId="0" applyFill="1" applyBorder="1" applyAlignment="1" applyProtection="1">
      <alignment horizontal="center"/>
      <protection locked="0" hidden="1"/>
    </xf>
    <xf numFmtId="0" fontId="0" fillId="7" borderId="21" xfId="0" applyFill="1" applyBorder="1" applyAlignment="1" applyProtection="1">
      <alignment horizontal="center"/>
      <protection locked="0" hidden="1"/>
    </xf>
    <xf numFmtId="0" fontId="10" fillId="0" borderId="60" xfId="0" applyFont="1" applyBorder="1"/>
    <xf numFmtId="0" fontId="10" fillId="5" borderId="37" xfId="0" applyFont="1" applyFill="1" applyBorder="1" applyAlignment="1" applyProtection="1">
      <alignment horizontal="center" vertical="center" wrapText="1"/>
      <protection hidden="1"/>
    </xf>
    <xf numFmtId="0" fontId="10" fillId="5" borderId="41" xfId="0" applyFont="1" applyFill="1" applyBorder="1" applyAlignment="1" applyProtection="1">
      <alignment horizontal="center" vertical="center" wrapText="1"/>
      <protection hidden="1"/>
    </xf>
    <xf numFmtId="0" fontId="10" fillId="5" borderId="38" xfId="0" applyFont="1" applyFill="1" applyBorder="1" applyAlignment="1" applyProtection="1">
      <alignment horizontal="center" vertical="center" wrapText="1"/>
      <protection hidden="1"/>
    </xf>
    <xf numFmtId="0" fontId="10" fillId="5" borderId="42" xfId="0" applyFont="1" applyFill="1" applyBorder="1" applyAlignment="1" applyProtection="1">
      <alignment horizontal="center" vertical="center" wrapText="1"/>
      <protection hidden="1"/>
    </xf>
    <xf numFmtId="0" fontId="10" fillId="5" borderId="24" xfId="0" applyFont="1" applyFill="1" applyBorder="1" applyAlignment="1" applyProtection="1">
      <alignment horizontal="center" vertical="center"/>
      <protection hidden="1"/>
    </xf>
    <xf numFmtId="0" fontId="10" fillId="5" borderId="25" xfId="0" applyFont="1" applyFill="1" applyBorder="1" applyAlignment="1" applyProtection="1">
      <alignment horizontal="center" vertical="center"/>
      <protection hidden="1"/>
    </xf>
    <xf numFmtId="0" fontId="6" fillId="5" borderId="5" xfId="0" applyFont="1" applyFill="1" applyBorder="1" applyAlignment="1" applyProtection="1">
      <alignment horizontal="center"/>
      <protection hidden="1"/>
    </xf>
    <xf numFmtId="0" fontId="6" fillId="5" borderId="6" xfId="0" applyFont="1" applyFill="1" applyBorder="1" applyAlignment="1" applyProtection="1">
      <alignment horizontal="center"/>
      <protection hidden="1"/>
    </xf>
    <xf numFmtId="0" fontId="6" fillId="5" borderId="7" xfId="0" applyFont="1" applyFill="1" applyBorder="1" applyAlignment="1" applyProtection="1">
      <alignment horizontal="center"/>
      <protection hidden="1"/>
    </xf>
    <xf numFmtId="0" fontId="10" fillId="6" borderId="5" xfId="0" applyFont="1" applyFill="1" applyBorder="1" applyAlignment="1" applyProtection="1">
      <alignment horizontal="center"/>
      <protection hidden="1"/>
    </xf>
    <xf numFmtId="0" fontId="10" fillId="6" borderId="7" xfId="0" applyFont="1" applyFill="1" applyBorder="1" applyAlignment="1" applyProtection="1">
      <alignment horizontal="center"/>
      <protection hidden="1"/>
    </xf>
    <xf numFmtId="0" fontId="10" fillId="6" borderId="6" xfId="0" applyFont="1" applyFill="1" applyBorder="1" applyAlignment="1" applyProtection="1">
      <alignment horizontal="center"/>
      <protection hidden="1"/>
    </xf>
    <xf numFmtId="0" fontId="13" fillId="6" borderId="31" xfId="0" applyFont="1" applyFill="1" applyBorder="1" applyAlignment="1" applyProtection="1">
      <alignment horizontal="center" vertical="center"/>
      <protection hidden="1"/>
    </xf>
    <xf numFmtId="0" fontId="13" fillId="6" borderId="34" xfId="0" applyFont="1" applyFill="1" applyBorder="1" applyAlignment="1" applyProtection="1">
      <alignment horizontal="center" vertical="center"/>
      <protection hidden="1"/>
    </xf>
    <xf numFmtId="3" fontId="14" fillId="6" borderId="32" xfId="0" applyNumberFormat="1" applyFont="1" applyFill="1" applyBorder="1" applyAlignment="1" applyProtection="1">
      <alignment horizontal="center" vertical="center"/>
      <protection hidden="1"/>
    </xf>
    <xf numFmtId="3" fontId="14" fillId="6" borderId="33" xfId="0" applyNumberFormat="1" applyFont="1" applyFill="1" applyBorder="1" applyAlignment="1" applyProtection="1">
      <alignment horizontal="center" vertical="center"/>
      <protection hidden="1"/>
    </xf>
    <xf numFmtId="3" fontId="14" fillId="6" borderId="35" xfId="0" applyNumberFormat="1" applyFont="1" applyFill="1" applyBorder="1" applyAlignment="1" applyProtection="1">
      <alignment horizontal="center" vertical="center"/>
      <protection hidden="1"/>
    </xf>
    <xf numFmtId="3" fontId="14" fillId="6" borderId="36" xfId="0" applyNumberFormat="1" applyFont="1" applyFill="1" applyBorder="1" applyAlignment="1" applyProtection="1">
      <alignment horizontal="center" vertical="center"/>
      <protection hidden="1"/>
    </xf>
    <xf numFmtId="0" fontId="0" fillId="4" borderId="0" xfId="0" applyFill="1" applyAlignment="1" applyProtection="1">
      <alignment horizontal="center"/>
      <protection hidden="1"/>
    </xf>
    <xf numFmtId="0" fontId="0" fillId="4" borderId="39" xfId="0" applyFill="1" applyBorder="1" applyAlignment="1" applyProtection="1">
      <alignment horizontal="center"/>
      <protection hidden="1"/>
    </xf>
    <xf numFmtId="0" fontId="10" fillId="5" borderId="40" xfId="0" applyFont="1" applyFill="1" applyBorder="1" applyAlignment="1" applyProtection="1">
      <alignment horizontal="center" vertical="center"/>
      <protection hidden="1"/>
    </xf>
    <xf numFmtId="0" fontId="10" fillId="5" borderId="37" xfId="0" applyFont="1" applyFill="1" applyBorder="1" applyAlignment="1" applyProtection="1">
      <alignment horizontal="center" vertical="center"/>
      <protection hidden="1"/>
    </xf>
    <xf numFmtId="0" fontId="10" fillId="5" borderId="41" xfId="0" applyFont="1" applyFill="1" applyBorder="1" applyAlignment="1" applyProtection="1">
      <alignment horizontal="center" vertical="center"/>
      <protection hidden="1"/>
    </xf>
    <xf numFmtId="0" fontId="10" fillId="5" borderId="62" xfId="0" applyFont="1" applyFill="1" applyBorder="1" applyAlignment="1" applyProtection="1">
      <alignment horizontal="center" vertical="center"/>
      <protection hidden="1"/>
    </xf>
    <xf numFmtId="0" fontId="10" fillId="5" borderId="34" xfId="0" applyFont="1" applyFill="1" applyBorder="1" applyAlignment="1" applyProtection="1">
      <alignment horizontal="center" vertical="center"/>
      <protection hidden="1"/>
    </xf>
    <xf numFmtId="0" fontId="10" fillId="5" borderId="31" xfId="0" applyFont="1" applyFill="1" applyBorder="1" applyAlignment="1" applyProtection="1">
      <alignment horizontal="center" vertical="center"/>
      <protection hidden="1"/>
    </xf>
  </cellXfs>
  <cellStyles count="3">
    <cellStyle name="Accent3" xfId="2" builtinId="37"/>
    <cellStyle name="Check Cell" xfId="1" builtinId="23"/>
    <cellStyle name="Normal" xfId="0" builtinId="0"/>
  </cellStyles>
  <dxfs count="14"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rgb="FFFF7C80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rgb="FFFF7C80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J9" lockText="1" noThreeD="1"/>
</file>

<file path=xl/ctrlProps/ctrlProp2.xml><?xml version="1.0" encoding="utf-8"?>
<formControlPr xmlns="http://schemas.microsoft.com/office/spreadsheetml/2009/9/main" objectType="CheckBox" checked="Checked" fmlaLink="J10" lockText="1" noThreeD="1"/>
</file>

<file path=xl/ctrlProps/ctrlProp3.xml><?xml version="1.0" encoding="utf-8"?>
<formControlPr xmlns="http://schemas.microsoft.com/office/spreadsheetml/2009/9/main" objectType="CheckBox" fmlaLink="J11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11</xdr:row>
      <xdr:rowOff>36635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020175" y="21130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47625</xdr:colOff>
          <xdr:row>7</xdr:row>
          <xdr:rowOff>142875</xdr:rowOff>
        </xdr:from>
        <xdr:to>
          <xdr:col>11</xdr:col>
          <xdr:colOff>571500</xdr:colOff>
          <xdr:row>9</xdr:row>
          <xdr:rowOff>0</xdr:rowOff>
        </xdr:to>
        <xdr:sp macro="" textlink="">
          <xdr:nvSpPr>
            <xdr:cNvPr id="1025" name="Check Box 465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MTZ1/NT в колонне 400мм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47625</xdr:colOff>
          <xdr:row>8</xdr:row>
          <xdr:rowOff>161925</xdr:rowOff>
        </xdr:from>
        <xdr:to>
          <xdr:col>11</xdr:col>
          <xdr:colOff>571500</xdr:colOff>
          <xdr:row>9</xdr:row>
          <xdr:rowOff>200025</xdr:rowOff>
        </xdr:to>
        <xdr:sp macro="" textlink="">
          <xdr:nvSpPr>
            <xdr:cNvPr id="1026" name="Check Box 469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Верт. установка NSX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47625</xdr:colOff>
          <xdr:row>9</xdr:row>
          <xdr:rowOff>180975</xdr:rowOff>
        </xdr:from>
        <xdr:to>
          <xdr:col>11</xdr:col>
          <xdr:colOff>571500</xdr:colOff>
          <xdr:row>10</xdr:row>
          <xdr:rowOff>190500</xdr:rowOff>
        </xdr:to>
        <xdr:sp macro="" textlink="">
          <xdr:nvSpPr>
            <xdr:cNvPr id="1027" name="Check Box 469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Masterpact MTZ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Docs/AutoCAD%20SE/LISP%20Sline/QQT_Prisma_base_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RNING"/>
      <sheetName val="ГРЩ9"/>
      <sheetName val="ГРЩ2"/>
      <sheetName val="OTT_MDB"/>
      <sheetName val="Specif_MDB"/>
      <sheetName val="MDB"/>
      <sheetName val="Total"/>
      <sheetName val="S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>
            <v>0</v>
          </cell>
          <cell r="B1">
            <v>0</v>
          </cell>
        </row>
        <row r="3">
          <cell r="A3" t="str">
            <v>NSX100BMic.2.2</v>
          </cell>
          <cell r="B3">
            <v>94.474092108146934</v>
          </cell>
        </row>
        <row r="5">
          <cell r="A5" t="str">
            <v>NSX160BMic.2.2</v>
          </cell>
          <cell r="B5">
            <v>127.23847195853259</v>
          </cell>
        </row>
        <row r="7">
          <cell r="A7" t="str">
            <v>NSX250BMic.2.2</v>
          </cell>
          <cell r="B7">
            <v>194.34404434034755</v>
          </cell>
        </row>
        <row r="9">
          <cell r="A9" t="str">
            <v>NSX100FMic.2.2</v>
          </cell>
          <cell r="B9">
            <v>96.250135328895425</v>
          </cell>
        </row>
        <row r="11">
          <cell r="A11" t="str">
            <v>NSX160FMic.2.2</v>
          </cell>
          <cell r="B11">
            <v>130.36555965429739</v>
          </cell>
        </row>
        <row r="13">
          <cell r="A13" t="str">
            <v>NSX250FMic.2.2</v>
          </cell>
          <cell r="B13">
            <v>191.47190308074582</v>
          </cell>
        </row>
        <row r="15">
          <cell r="A15" t="str">
            <v>NSX100NMic.2.2</v>
          </cell>
          <cell r="B15">
            <v>130.48953412532643</v>
          </cell>
        </row>
        <row r="17">
          <cell r="A17" t="str">
            <v>NSX160NMic.2.2</v>
          </cell>
          <cell r="B17">
            <v>164.08965242258526</v>
          </cell>
        </row>
        <row r="19">
          <cell r="A19" t="str">
            <v>NSX250NMic.2.2</v>
          </cell>
          <cell r="B19">
            <v>204.90167860641606</v>
          </cell>
        </row>
        <row r="21">
          <cell r="A21" t="str">
            <v>NSX100HMic.2.2</v>
          </cell>
          <cell r="B21">
            <v>152.62141972553979</v>
          </cell>
        </row>
        <row r="23">
          <cell r="A23" t="str">
            <v>NSX160HMic.2.2</v>
          </cell>
          <cell r="B23">
            <v>182.43761007850395</v>
          </cell>
        </row>
        <row r="25">
          <cell r="A25" t="str">
            <v>NSX250HMic.2.2</v>
          </cell>
          <cell r="B25">
            <v>217.5758567969433</v>
          </cell>
        </row>
        <row r="27">
          <cell r="A27" t="str">
            <v>NSX100SMic.2.2</v>
          </cell>
          <cell r="B27">
            <v>175.5424378213236</v>
          </cell>
        </row>
        <row r="30">
          <cell r="A30" t="str">
            <v>NSX160SMic.2.2</v>
          </cell>
          <cell r="B30">
            <v>211.81744726133923</v>
          </cell>
        </row>
        <row r="33">
          <cell r="A33" t="str">
            <v>NSX250SMic.2.2</v>
          </cell>
          <cell r="B33">
            <v>257.18972715054122</v>
          </cell>
        </row>
        <row r="36">
          <cell r="A36" t="str">
            <v>NSX100LMic.2.2</v>
          </cell>
          <cell r="B36">
            <v>186.29468164042385</v>
          </cell>
        </row>
        <row r="39">
          <cell r="A39" t="str">
            <v>NSX160LMic.2.2</v>
          </cell>
          <cell r="B39">
            <v>194.76468615578798</v>
          </cell>
        </row>
        <row r="42">
          <cell r="A42" t="str">
            <v>NSX250LMic.2.2</v>
          </cell>
          <cell r="B42">
            <v>316.43117238392745</v>
          </cell>
        </row>
        <row r="45">
          <cell r="A45" t="str">
            <v>NSX100BMic.5.2A</v>
          </cell>
          <cell r="B45">
            <v>211.4170057590697</v>
          </cell>
        </row>
        <row r="47">
          <cell r="A47" t="str">
            <v>NSX160BMic.5.2A</v>
          </cell>
          <cell r="B47">
            <v>294.94107581850875</v>
          </cell>
        </row>
        <row r="49">
          <cell r="A49" t="str">
            <v>NSX250BMic.5.2A</v>
          </cell>
          <cell r="B49">
            <v>273.89287760722669</v>
          </cell>
        </row>
        <row r="51">
          <cell r="A51" t="str">
            <v>NSX100FMic.5.2A</v>
          </cell>
          <cell r="B51">
            <v>213.19304897981817</v>
          </cell>
        </row>
        <row r="53">
          <cell r="A53" t="str">
            <v>NSX160FMic.5.2A</v>
          </cell>
          <cell r="B53">
            <v>298.06816351427358</v>
          </cell>
        </row>
        <row r="55">
          <cell r="A55" t="str">
            <v>NSX250FMic.5.2A</v>
          </cell>
          <cell r="B55">
            <v>271.02073634762496</v>
          </cell>
        </row>
        <row r="57">
          <cell r="A57" t="str">
            <v>NSX100NMic.5.2A</v>
          </cell>
          <cell r="B57">
            <v>247.43244777624921</v>
          </cell>
        </row>
        <row r="59">
          <cell r="A59" t="str">
            <v>NSX160NMic.5.2A</v>
          </cell>
          <cell r="B59">
            <v>331.79225628256148</v>
          </cell>
        </row>
        <row r="61">
          <cell r="A61" t="str">
            <v>NSX250NMic.5.2A</v>
          </cell>
          <cell r="B61">
            <v>284.45051187329517</v>
          </cell>
        </row>
        <row r="63">
          <cell r="A63" t="str">
            <v>NSX100HMic.5.2A</v>
          </cell>
          <cell r="B63">
            <v>269.56433337646257</v>
          </cell>
        </row>
        <row r="65">
          <cell r="A65" t="str">
            <v>NSX160HMic.5.2A</v>
          </cell>
          <cell r="B65">
            <v>350.14021393848014</v>
          </cell>
        </row>
        <row r="67">
          <cell r="A67" t="str">
            <v>NSX250HMic.5.2A</v>
          </cell>
          <cell r="B67">
            <v>297.12469006382241</v>
          </cell>
        </row>
        <row r="69">
          <cell r="A69" t="str">
            <v>NSX100SMic.5.2A</v>
          </cell>
          <cell r="B69">
            <v>292.48535147224635</v>
          </cell>
        </row>
        <row r="72">
          <cell r="A72" t="str">
            <v>NSX160SMic.5.2A</v>
          </cell>
          <cell r="B72">
            <v>379.52005112131542</v>
          </cell>
        </row>
        <row r="75">
          <cell r="A75" t="str">
            <v>NSX250SMic.5.2A</v>
          </cell>
          <cell r="B75">
            <v>336.73856041742033</v>
          </cell>
        </row>
        <row r="78">
          <cell r="A78" t="str">
            <v>NSX100LMic.5.2A</v>
          </cell>
          <cell r="B78">
            <v>303.23759529134657</v>
          </cell>
        </row>
        <row r="81">
          <cell r="A81" t="str">
            <v>NSX160LMic.5.2A</v>
          </cell>
          <cell r="B81">
            <v>362.46729001576421</v>
          </cell>
        </row>
        <row r="84">
          <cell r="A84" t="str">
            <v>NSX250LMic.5.2A</v>
          </cell>
          <cell r="B84">
            <v>395.98000565080656</v>
          </cell>
        </row>
        <row r="87">
          <cell r="A87" t="str">
            <v>NSX100BMic.5.2E</v>
          </cell>
          <cell r="B87">
            <v>259.73272213082936</v>
          </cell>
        </row>
        <row r="90">
          <cell r="A90" t="str">
            <v>NSX160BMic.5.2E</v>
          </cell>
          <cell r="B90">
            <v>199.14921033939169</v>
          </cell>
        </row>
        <row r="93">
          <cell r="A93" t="str">
            <v>NSX250BMic.5.2E</v>
          </cell>
          <cell r="B93">
            <v>351.90318636835337</v>
          </cell>
        </row>
        <row r="96">
          <cell r="A96" t="str">
            <v>NSX100FMic.5.2E</v>
          </cell>
          <cell r="B96">
            <v>261.50876535157784</v>
          </cell>
        </row>
        <row r="99">
          <cell r="A99" t="str">
            <v>NSX160FMic.5.2E</v>
          </cell>
          <cell r="B99">
            <v>202.27629803515646</v>
          </cell>
        </row>
        <row r="102">
          <cell r="A102" t="str">
            <v>NSX250FMic.5.2E</v>
          </cell>
          <cell r="B102">
            <v>349.03104510875164</v>
          </cell>
        </row>
        <row r="105">
          <cell r="A105" t="str">
            <v>NSX100NMic.5.2E</v>
          </cell>
          <cell r="B105">
            <v>295.74816414800887</v>
          </cell>
        </row>
        <row r="108">
          <cell r="A108" t="str">
            <v>NSX160NMic.5.2E</v>
          </cell>
          <cell r="B108">
            <v>236.00039080344436</v>
          </cell>
        </row>
        <row r="111">
          <cell r="A111" t="str">
            <v>NSX250NMic.5.2E</v>
          </cell>
          <cell r="B111">
            <v>362.46082063442185</v>
          </cell>
        </row>
        <row r="114">
          <cell r="A114" t="str">
            <v>NSX100HMic.5.2E</v>
          </cell>
          <cell r="B114">
            <v>317.88004974822223</v>
          </cell>
        </row>
        <row r="117">
          <cell r="A117" t="str">
            <v>NSX160HMic.5.2E</v>
          </cell>
          <cell r="B117">
            <v>254.34834845936305</v>
          </cell>
        </row>
        <row r="120">
          <cell r="A120" t="str">
            <v>NSX250HMic.5.2E</v>
          </cell>
          <cell r="B120">
            <v>375.13499882494909</v>
          </cell>
        </row>
        <row r="123">
          <cell r="A123" t="str">
            <v>NSX100SMic.5.2E</v>
          </cell>
          <cell r="B123">
            <v>341.64287958764953</v>
          </cell>
        </row>
        <row r="126">
          <cell r="A126" t="str">
            <v>NSX160SMic.5.2E</v>
          </cell>
          <cell r="B126">
            <v>284.56999738584182</v>
          </cell>
        </row>
        <row r="129">
          <cell r="A129" t="str">
            <v>NSX250SMic.5.2E</v>
          </cell>
          <cell r="B129">
            <v>415.59068092219047</v>
          </cell>
        </row>
        <row r="132">
          <cell r="A132" t="str">
            <v>NSX100LMic.5.2E</v>
          </cell>
          <cell r="B132">
            <v>352.3951234067498</v>
          </cell>
        </row>
        <row r="135">
          <cell r="A135" t="str">
            <v>NSX160LMic.5.2E</v>
          </cell>
          <cell r="B135">
            <v>267.5172362802906</v>
          </cell>
        </row>
        <row r="138">
          <cell r="A138" t="str">
            <v>NSX250LMic.5.2E</v>
          </cell>
          <cell r="B138">
            <v>474.8321261555767</v>
          </cell>
        </row>
        <row r="141">
          <cell r="A141" t="str">
            <v>NSX400FMic.2.3</v>
          </cell>
          <cell r="B141">
            <v>295.53810729666998</v>
          </cell>
        </row>
        <row r="143">
          <cell r="A143" t="str">
            <v>NSX630FMic.2.3</v>
          </cell>
          <cell r="B143">
            <v>425.0044229443871</v>
          </cell>
        </row>
        <row r="145">
          <cell r="A145" t="str">
            <v>NSX400NMic.2.3</v>
          </cell>
          <cell r="B145">
            <v>342.87760722669503</v>
          </cell>
        </row>
        <row r="147">
          <cell r="A147" t="str">
            <v>NSX630NMic.2.3</v>
          </cell>
          <cell r="B147">
            <v>465.50803127483783</v>
          </cell>
        </row>
        <row r="149">
          <cell r="A149" t="str">
            <v>NSX400HMic.2.3</v>
          </cell>
          <cell r="B149">
            <v>356.11171697380826</v>
          </cell>
        </row>
        <row r="151">
          <cell r="A151" t="str">
            <v>NSX630HMic.2.3</v>
          </cell>
          <cell r="B151">
            <v>445.40211826029093</v>
          </cell>
        </row>
        <row r="153">
          <cell r="A153" t="str">
            <v>NSX400SMic.2.3</v>
          </cell>
          <cell r="B153">
            <v>367.04510347049302</v>
          </cell>
        </row>
        <row r="155">
          <cell r="A155" t="str">
            <v>NSX630SMic.2.3</v>
          </cell>
          <cell r="B155">
            <v>380.72863717861037</v>
          </cell>
        </row>
        <row r="157">
          <cell r="A157" t="str">
            <v>NSX400LMic.2.3</v>
          </cell>
          <cell r="B157">
            <v>295.53810729666998</v>
          </cell>
        </row>
        <row r="159">
          <cell r="A159" t="str">
            <v>NSX630LMic.2.3</v>
          </cell>
          <cell r="B159">
            <v>425.0044229443871</v>
          </cell>
        </row>
        <row r="161">
          <cell r="A161" t="str">
            <v>NSX400FMic.5.3A</v>
          </cell>
          <cell r="B161">
            <v>376.49436107597694</v>
          </cell>
        </row>
        <row r="163">
          <cell r="A163" t="str">
            <v>NSX630FMic.5.3A</v>
          </cell>
          <cell r="B163">
            <v>525.81916890894547</v>
          </cell>
        </row>
        <row r="165">
          <cell r="A165" t="str">
            <v>NSX400NMic.5.3A</v>
          </cell>
          <cell r="B165">
            <v>423.833861006002</v>
          </cell>
        </row>
        <row r="167">
          <cell r="A167" t="str">
            <v>NSX630NMic.5.3A</v>
          </cell>
          <cell r="B167">
            <v>566.32277723939615</v>
          </cell>
        </row>
        <row r="169">
          <cell r="A169" t="str">
            <v>NSX400HMic.5.3A</v>
          </cell>
          <cell r="B169">
            <v>437.06797075311522</v>
          </cell>
        </row>
        <row r="171">
          <cell r="A171" t="str">
            <v>NSX630HMic.5.3A</v>
          </cell>
          <cell r="B171">
            <v>546.21686422484936</v>
          </cell>
        </row>
        <row r="173">
          <cell r="A173" t="str">
            <v>NSX400SMic.5.3A</v>
          </cell>
          <cell r="B173">
            <v>674.50245176350052</v>
          </cell>
        </row>
        <row r="176">
          <cell r="A176" t="str">
            <v>NSX630SMic.5.3A</v>
          </cell>
          <cell r="B176">
            <v>664.03670911813094</v>
          </cell>
        </row>
        <row r="179">
          <cell r="A179" t="str">
            <v>NSX400LMic.5.3A</v>
          </cell>
          <cell r="B179">
            <v>1102.4178322555433</v>
          </cell>
        </row>
        <row r="182">
          <cell r="A182" t="str">
            <v>NSX630LMic.5.3A</v>
          </cell>
          <cell r="B182">
            <v>936.49628868756054</v>
          </cell>
        </row>
        <row r="185">
          <cell r="A185" t="str">
            <v>NSX400FMic.5.3E</v>
          </cell>
          <cell r="B185">
            <v>428.29218894818428</v>
          </cell>
        </row>
        <row r="188">
          <cell r="A188" t="str">
            <v>NSX630FMic.5.3E</v>
          </cell>
          <cell r="B188">
            <v>628.03262152534808</v>
          </cell>
        </row>
        <row r="191">
          <cell r="A191" t="str">
            <v>NSX400NMic.5.3E</v>
          </cell>
          <cell r="B191">
            <v>475.63168887820933</v>
          </cell>
        </row>
        <row r="194">
          <cell r="A194" t="str">
            <v>NSX630NMic.5.3E</v>
          </cell>
          <cell r="B194">
            <v>668.53622985579887</v>
          </cell>
        </row>
        <row r="197">
          <cell r="A197" t="str">
            <v>NSX400HMic.5.3E</v>
          </cell>
          <cell r="B197">
            <v>488.8657986253225</v>
          </cell>
        </row>
        <row r="200">
          <cell r="A200" t="str">
            <v>NSX630HMic.5.3E</v>
          </cell>
          <cell r="B200">
            <v>648.43031684125197</v>
          </cell>
        </row>
        <row r="203">
          <cell r="A203" t="str">
            <v>NSX400SMic.5.3E</v>
          </cell>
          <cell r="B203">
            <v>727.14209137935131</v>
          </cell>
        </row>
        <row r="206">
          <cell r="A206" t="str">
            <v>NSX630SMic.5.3E</v>
          </cell>
          <cell r="B206">
            <v>767.09197347817712</v>
          </cell>
        </row>
        <row r="209">
          <cell r="A209" t="str">
            <v>NSX400LMic.5.3E</v>
          </cell>
          <cell r="B209">
            <v>1155.057471871394</v>
          </cell>
        </row>
        <row r="212">
          <cell r="A212" t="str">
            <v>NSX630LMic.5.3E</v>
          </cell>
          <cell r="B212">
            <v>1039.5515530476068</v>
          </cell>
        </row>
        <row r="215">
          <cell r="A215" t="str">
            <v>NSX100BTM100D</v>
          </cell>
          <cell r="B215">
            <v>53.356288634749298</v>
          </cell>
        </row>
        <row r="217">
          <cell r="A217" t="str">
            <v>NSX100BTM80D</v>
          </cell>
          <cell r="B217">
            <v>49.995511041517588</v>
          </cell>
        </row>
        <row r="219">
          <cell r="A219" t="str">
            <v>NSX100BTM63D</v>
          </cell>
          <cell r="B219">
            <v>54.508630682823402</v>
          </cell>
        </row>
        <row r="221">
          <cell r="A221" t="str">
            <v>NSX100BTM50D</v>
          </cell>
          <cell r="B221">
            <v>53.075068588645046</v>
          </cell>
        </row>
        <row r="223">
          <cell r="A223" t="str">
            <v>NSX100BTM40D</v>
          </cell>
          <cell r="B223">
            <v>55.192800766819737</v>
          </cell>
        </row>
        <row r="225">
          <cell r="A225" t="str">
            <v>NSX100BTM32D</v>
          </cell>
          <cell r="B225">
            <v>54.396274692572362</v>
          </cell>
        </row>
        <row r="227">
          <cell r="A227" t="str">
            <v>NSX100BTM25D</v>
          </cell>
          <cell r="B227">
            <v>53.093816591718664</v>
          </cell>
        </row>
        <row r="229">
          <cell r="A229" t="str">
            <v>NSX100BTM16D</v>
          </cell>
          <cell r="B229">
            <v>54.507310400916808</v>
          </cell>
        </row>
        <row r="231">
          <cell r="A231" t="str">
            <v>NSX100FTM100D</v>
          </cell>
          <cell r="B231">
            <v>55.132331855497789</v>
          </cell>
        </row>
        <row r="233">
          <cell r="A233" t="str">
            <v>NSX100FTM80D</v>
          </cell>
          <cell r="B233">
            <v>51.771554262266079</v>
          </cell>
        </row>
        <row r="235">
          <cell r="A235" t="str">
            <v>NSX100FTM63D</v>
          </cell>
          <cell r="B235">
            <v>56.284673903571893</v>
          </cell>
        </row>
        <row r="237">
          <cell r="A237" t="str">
            <v>NSX100FTM50D</v>
          </cell>
          <cell r="B237">
            <v>54.851111809393544</v>
          </cell>
        </row>
        <row r="239">
          <cell r="A239" t="str">
            <v>NSX100FTM40D</v>
          </cell>
          <cell r="B239">
            <v>56.968843987568221</v>
          </cell>
        </row>
        <row r="241">
          <cell r="A241" t="str">
            <v>NSX100FTM32D</v>
          </cell>
          <cell r="B241">
            <v>56.172317913320846</v>
          </cell>
        </row>
        <row r="243">
          <cell r="A243" t="str">
            <v>NSX100FTM25D</v>
          </cell>
          <cell r="B243">
            <v>54.869859812467162</v>
          </cell>
        </row>
        <row r="245">
          <cell r="A245" t="str">
            <v>NSX100FTM16D</v>
          </cell>
          <cell r="B245">
            <v>56.283353621665292</v>
          </cell>
        </row>
        <row r="247">
          <cell r="A247" t="str">
            <v>NSX100HTM100D</v>
          </cell>
          <cell r="B247">
            <v>111.50361625214217</v>
          </cell>
        </row>
        <row r="249">
          <cell r="A249" t="str">
            <v>NSX100HTM80D</v>
          </cell>
          <cell r="B249">
            <v>108.14283865891046</v>
          </cell>
        </row>
        <row r="251">
          <cell r="A251" t="str">
            <v>NSX100HTM63D</v>
          </cell>
          <cell r="B251">
            <v>112.65595830021626</v>
          </cell>
        </row>
        <row r="253">
          <cell r="A253" t="str">
            <v>NSX100HTM50D</v>
          </cell>
          <cell r="B253">
            <v>111.22239620603791</v>
          </cell>
        </row>
        <row r="255">
          <cell r="A255" t="str">
            <v>NSX100HTM40D</v>
          </cell>
          <cell r="B255">
            <v>113.3401283842126</v>
          </cell>
        </row>
        <row r="257">
          <cell r="A257" t="str">
            <v>NSX100HTM32D</v>
          </cell>
          <cell r="B257">
            <v>112.54360230996521</v>
          </cell>
        </row>
        <row r="259">
          <cell r="A259" t="str">
            <v>NSX100HTM25D</v>
          </cell>
          <cell r="B259">
            <v>111.24114420911152</v>
          </cell>
        </row>
        <row r="261">
          <cell r="A261" t="str">
            <v>NSX100HTM16t</v>
          </cell>
          <cell r="B261">
            <v>112.65463801830968</v>
          </cell>
        </row>
        <row r="263">
          <cell r="A263" t="str">
            <v>NSX100NTM100D</v>
          </cell>
          <cell r="B263">
            <v>89.3717306519288</v>
          </cell>
        </row>
        <row r="265">
          <cell r="A265" t="str">
            <v>NSX100NTM80D</v>
          </cell>
          <cell r="B265">
            <v>86.010953058697098</v>
          </cell>
        </row>
        <row r="267">
          <cell r="A267" t="str">
            <v>NSX100NTM63D</v>
          </cell>
          <cell r="B267">
            <v>90.524072700002904</v>
          </cell>
        </row>
        <row r="269">
          <cell r="A269" t="str">
            <v>NSX100NTM50D</v>
          </cell>
          <cell r="B269">
            <v>89.090510605824562</v>
          </cell>
        </row>
        <row r="271">
          <cell r="A271" t="str">
            <v>NSX100NTM40D</v>
          </cell>
          <cell r="B271">
            <v>91.208242783999239</v>
          </cell>
        </row>
        <row r="273">
          <cell r="A273" t="str">
            <v>NSX100NTM32D</v>
          </cell>
          <cell r="B273">
            <v>90.411716709751872</v>
          </cell>
        </row>
        <row r="275">
          <cell r="A275" t="str">
            <v>NSX100NTM25D</v>
          </cell>
          <cell r="B275">
            <v>89.109258608898173</v>
          </cell>
        </row>
        <row r="277">
          <cell r="A277" t="str">
            <v>NSX100NTM16D</v>
          </cell>
          <cell r="B277">
            <v>90.522752418096303</v>
          </cell>
        </row>
        <row r="279">
          <cell r="A279" t="str">
            <v>NSX160BTM160D</v>
          </cell>
          <cell r="B279">
            <v>80.837824492285606</v>
          </cell>
        </row>
        <row r="281">
          <cell r="A281" t="str">
            <v>NSX160BTM125D</v>
          </cell>
          <cell r="B281">
            <v>73.827919737422334</v>
          </cell>
        </row>
        <row r="283">
          <cell r="A283" t="str">
            <v>NSX160BTM100D</v>
          </cell>
          <cell r="B283">
            <v>55.439297398780589</v>
          </cell>
        </row>
        <row r="285">
          <cell r="A285" t="str">
            <v>NSX160BTM80D</v>
          </cell>
          <cell r="B285">
            <v>52.078519805548879</v>
          </cell>
        </row>
        <row r="287">
          <cell r="A287" t="str">
            <v>NSX160FTM160D</v>
          </cell>
          <cell r="B287">
            <v>83.964912188050391</v>
          </cell>
        </row>
        <row r="289">
          <cell r="A289" t="str">
            <v>NSX160FTM125D</v>
          </cell>
          <cell r="B289">
            <v>76.955007433187134</v>
          </cell>
        </row>
        <row r="291">
          <cell r="A291" t="str">
            <v>NSX160FTM100D</v>
          </cell>
          <cell r="B291">
            <v>58.566385094545382</v>
          </cell>
        </row>
        <row r="293">
          <cell r="A293" t="str">
            <v>NSX160FTM80D</v>
          </cell>
          <cell r="B293">
            <v>55.205607501313686</v>
          </cell>
        </row>
        <row r="295">
          <cell r="A295" t="str">
            <v>NSX160HTM160D</v>
          </cell>
          <cell r="B295">
            <v>136.03696261225696</v>
          </cell>
        </row>
        <row r="297">
          <cell r="A297" t="str">
            <v>NSX160HTM125D</v>
          </cell>
          <cell r="B297">
            <v>129.02705785739371</v>
          </cell>
        </row>
        <row r="299">
          <cell r="A299" t="str">
            <v>NSX160HTM100D</v>
          </cell>
          <cell r="B299">
            <v>110.63843551875196</v>
          </cell>
        </row>
        <row r="301">
          <cell r="A301" t="str">
            <v>NSX160HTM80D</v>
          </cell>
          <cell r="B301">
            <v>107.27765792552026</v>
          </cell>
        </row>
        <row r="303">
          <cell r="A303" t="str">
            <v>NSX160NTM160D</v>
          </cell>
          <cell r="B303">
            <v>117.68900495633828</v>
          </cell>
        </row>
        <row r="305">
          <cell r="A305" t="str">
            <v>NSX160NTM125D</v>
          </cell>
          <cell r="B305">
            <v>110.67910020147502</v>
          </cell>
        </row>
        <row r="307">
          <cell r="A307" t="str">
            <v>NSX160NTM100D</v>
          </cell>
          <cell r="B307">
            <v>92.290477862833271</v>
          </cell>
        </row>
        <row r="309">
          <cell r="A309" t="str">
            <v>NSX160NTM80D</v>
          </cell>
          <cell r="B309">
            <v>88.929700269601568</v>
          </cell>
        </row>
        <row r="311">
          <cell r="A311" t="str">
            <v>NSX250BTM250D</v>
          </cell>
          <cell r="B311">
            <v>159.49771195145587</v>
          </cell>
        </row>
        <row r="313">
          <cell r="A313" t="str">
            <v>NSX250BTM200D</v>
          </cell>
          <cell r="B313">
            <v>152.71199106433207</v>
          </cell>
        </row>
        <row r="315">
          <cell r="A315" t="str">
            <v>NSX250BTM160D</v>
          </cell>
          <cell r="B315">
            <v>146.60595130272216</v>
          </cell>
        </row>
        <row r="317">
          <cell r="A317" t="str">
            <v>NSX250BTM125D</v>
          </cell>
          <cell r="B317">
            <v>120.54464269210762</v>
          </cell>
        </row>
        <row r="319">
          <cell r="A319" t="str">
            <v>NSX250FTM250D</v>
          </cell>
          <cell r="B319">
            <v>156.62557069185414</v>
          </cell>
        </row>
        <row r="321">
          <cell r="A321" t="str">
            <v>NSX250FTM200D</v>
          </cell>
          <cell r="B321">
            <v>149.83984980473031</v>
          </cell>
        </row>
        <row r="323">
          <cell r="A323" t="str">
            <v>NSX250FTM160D</v>
          </cell>
          <cell r="B323">
            <v>143.73381004312043</v>
          </cell>
        </row>
        <row r="325">
          <cell r="A325" t="str">
            <v>NSX250FTM125D</v>
          </cell>
          <cell r="B325">
            <v>117.67250143250587</v>
          </cell>
        </row>
        <row r="327">
          <cell r="A327" t="str">
            <v>NSX250HTM250D</v>
          </cell>
          <cell r="B327">
            <v>182.72952440805162</v>
          </cell>
        </row>
        <row r="329">
          <cell r="A329" t="str">
            <v>NSX250HTM200D</v>
          </cell>
          <cell r="B329">
            <v>175.94380352092779</v>
          </cell>
        </row>
        <row r="331">
          <cell r="A331" t="str">
            <v>NSX250HTM160D</v>
          </cell>
          <cell r="B331">
            <v>169.83776375931788</v>
          </cell>
        </row>
        <row r="333">
          <cell r="A333" t="str">
            <v>NSX250HTM125D</v>
          </cell>
          <cell r="B333">
            <v>143.77645514870335</v>
          </cell>
        </row>
        <row r="335">
          <cell r="A335" t="str">
            <v>NSX250NTM250D</v>
          </cell>
          <cell r="B335">
            <v>170.05534621752437</v>
          </cell>
        </row>
        <row r="337">
          <cell r="A337" t="str">
            <v>NSX250NTM200D</v>
          </cell>
          <cell r="B337">
            <v>163.26962533040054</v>
          </cell>
        </row>
        <row r="339">
          <cell r="A339" t="str">
            <v>NSX250NTM160D</v>
          </cell>
          <cell r="B339">
            <v>157.16358556879067</v>
          </cell>
        </row>
        <row r="341">
          <cell r="A341" t="str">
            <v>NSX250NTM125D</v>
          </cell>
          <cell r="B341">
            <v>131.10227695817613</v>
          </cell>
        </row>
        <row r="343">
          <cell r="A343" t="str">
            <v>NSX250NTM100D</v>
          </cell>
          <cell r="B343">
            <v>150</v>
          </cell>
        </row>
        <row r="345">
          <cell r="A345" t="str">
            <v>NSX1MT</v>
          </cell>
          <cell r="B345">
            <v>178.49273976979566</v>
          </cell>
        </row>
        <row r="348">
          <cell r="A348" t="str">
            <v>NSX1MTc</v>
          </cell>
          <cell r="B348">
            <v>220.26474292790996</v>
          </cell>
        </row>
        <row r="351">
          <cell r="A351" t="str">
            <v>NSX2MT</v>
          </cell>
          <cell r="B351">
            <v>178.57948229105878</v>
          </cell>
        </row>
        <row r="354">
          <cell r="A354" t="str">
            <v>NSX2MTc</v>
          </cell>
          <cell r="B354">
            <v>227.35954180936713</v>
          </cell>
        </row>
        <row r="357">
          <cell r="A357" t="str">
            <v>NSX4MT</v>
          </cell>
          <cell r="B357">
            <v>244.88100299175881</v>
          </cell>
        </row>
        <row r="360">
          <cell r="A360" t="str">
            <v>NSX4MTc</v>
          </cell>
          <cell r="B360">
            <v>284.59231015006327</v>
          </cell>
        </row>
        <row r="363">
          <cell r="A363" t="str">
            <v>NSX6MT</v>
          </cell>
          <cell r="B363">
            <v>244.88100299175881</v>
          </cell>
        </row>
        <row r="366">
          <cell r="A366" t="str">
            <v>NSX6MTc</v>
          </cell>
          <cell r="B366">
            <v>284.59231015006327</v>
          </cell>
        </row>
        <row r="369">
          <cell r="A369" t="str">
            <v>Modbus</v>
          </cell>
          <cell r="B369">
            <v>119.9524962570008</v>
          </cell>
        </row>
        <row r="373">
          <cell r="A373" t="str">
            <v>NSXcord</v>
          </cell>
          <cell r="B373">
            <v>27.938538236684302</v>
          </cell>
        </row>
        <row r="378">
          <cell r="A378" t="str">
            <v>NSX100TT</v>
          </cell>
          <cell r="B378">
            <v>12.06724459806658</v>
          </cell>
        </row>
        <row r="381">
          <cell r="A381" t="str">
            <v>NSX160TT</v>
          </cell>
          <cell r="B381">
            <v>12.290900353043384</v>
          </cell>
        </row>
        <row r="384">
          <cell r="A384" t="str">
            <v>NSX250TT</v>
          </cell>
          <cell r="B384">
            <v>14.708600580395927</v>
          </cell>
        </row>
        <row r="387">
          <cell r="A387" t="str">
            <v>NSX400TT</v>
          </cell>
          <cell r="B387">
            <v>16.646510362892684</v>
          </cell>
        </row>
        <row r="390">
          <cell r="A390" t="str">
            <v>NSX630TT</v>
          </cell>
          <cell r="B390">
            <v>20.199917086296267</v>
          </cell>
        </row>
        <row r="393">
          <cell r="A393" t="str">
            <v>06TT</v>
          </cell>
          <cell r="B393">
            <v>18.610297670758658</v>
          </cell>
        </row>
        <row r="395">
          <cell r="A395" t="str">
            <v>08TT</v>
          </cell>
          <cell r="B395">
            <v>22.325174871338529</v>
          </cell>
        </row>
        <row r="397">
          <cell r="A397" t="str">
            <v>10TT</v>
          </cell>
          <cell r="B397">
            <v>23.651001961938913</v>
          </cell>
        </row>
        <row r="399">
          <cell r="A399" t="str">
            <v>12TT</v>
          </cell>
          <cell r="B399">
            <v>24.697721457485603</v>
          </cell>
        </row>
        <row r="401">
          <cell r="A401" t="str">
            <v>16TT</v>
          </cell>
          <cell r="B401">
            <v>43.481900255342524</v>
          </cell>
        </row>
        <row r="403">
          <cell r="A403" t="str">
            <v>20TT</v>
          </cell>
          <cell r="B403">
            <v>44.699464229602306</v>
          </cell>
        </row>
        <row r="405">
          <cell r="A405" t="str">
            <v>25TT</v>
          </cell>
          <cell r="B405">
            <v>51.507365852756877</v>
          </cell>
        </row>
        <row r="407">
          <cell r="A407" t="str">
            <v>32TT</v>
          </cell>
          <cell r="B407">
            <v>51.085271727219194</v>
          </cell>
        </row>
        <row r="409">
          <cell r="A409" t="str">
            <v>40TT</v>
          </cell>
          <cell r="B409">
            <v>56.374717129601507</v>
          </cell>
        </row>
        <row r="411">
          <cell r="A411" t="str">
            <v>NSX100PA</v>
          </cell>
          <cell r="B411">
            <v>16.271814357801681</v>
          </cell>
        </row>
        <row r="414">
          <cell r="A414" t="str">
            <v>NSX160PA</v>
          </cell>
          <cell r="B414">
            <v>16.271814357801681</v>
          </cell>
        </row>
        <row r="417">
          <cell r="A417" t="str">
            <v>NSX250PA</v>
          </cell>
          <cell r="B417">
            <v>16.271814357801681</v>
          </cell>
        </row>
        <row r="420">
          <cell r="A420" t="str">
            <v>NSX400PA</v>
          </cell>
          <cell r="B420">
            <v>16.271814357801681</v>
          </cell>
        </row>
        <row r="423">
          <cell r="A423" t="str">
            <v>NSX630PA</v>
          </cell>
          <cell r="B423">
            <v>16.271814357801681</v>
          </cell>
        </row>
        <row r="427">
          <cell r="A427" t="str">
            <v>06PA</v>
          </cell>
          <cell r="B427">
            <v>16.271814357801681</v>
          </cell>
        </row>
        <row r="430">
          <cell r="A430" t="str">
            <v>08PA</v>
          </cell>
          <cell r="B430">
            <v>16.271814357801681</v>
          </cell>
        </row>
        <row r="433">
          <cell r="A433" t="str">
            <v>10PA</v>
          </cell>
          <cell r="B433">
            <v>16.271814357801681</v>
          </cell>
        </row>
        <row r="436">
          <cell r="A436" t="str">
            <v>12PA</v>
          </cell>
          <cell r="B436">
            <v>16.271814357801681</v>
          </cell>
        </row>
        <row r="439">
          <cell r="A439" t="str">
            <v>16PA</v>
          </cell>
          <cell r="B439">
            <v>16.271814357801681</v>
          </cell>
        </row>
        <row r="442">
          <cell r="A442" t="str">
            <v>20PA</v>
          </cell>
          <cell r="B442">
            <v>16.271814357801681</v>
          </cell>
        </row>
        <row r="445">
          <cell r="A445" t="str">
            <v>25PA</v>
          </cell>
          <cell r="B445">
            <v>21.861227809361857</v>
          </cell>
        </row>
        <row r="448">
          <cell r="A448" t="str">
            <v>32PA</v>
          </cell>
          <cell r="B448">
            <v>21.861227809361857</v>
          </cell>
        </row>
        <row r="451">
          <cell r="A451" t="str">
            <v>40PA</v>
          </cell>
          <cell r="B451">
            <v>21.861227809361857</v>
          </cell>
        </row>
        <row r="454">
          <cell r="A454" t="str">
            <v>PM5110</v>
          </cell>
          <cell r="B454">
            <v>242.01044607044497</v>
          </cell>
        </row>
        <row r="458">
          <cell r="A458" t="str">
            <v>PM5560</v>
          </cell>
          <cell r="B458">
            <v>609.63581343888541</v>
          </cell>
        </row>
        <row r="462">
          <cell r="A462" t="str">
            <v>FDM121</v>
          </cell>
          <cell r="B462">
            <v>62.419509013564571</v>
          </cell>
        </row>
        <row r="466">
          <cell r="A466" t="str">
            <v>NSX1OF</v>
          </cell>
          <cell r="B466">
            <v>8.4352811012207329</v>
          </cell>
        </row>
        <row r="469">
          <cell r="A469" t="str">
            <v>NSX6OF</v>
          </cell>
          <cell r="B469">
            <v>4.9048472829918648</v>
          </cell>
        </row>
        <row r="471">
          <cell r="A471" t="str">
            <v>NSXMX</v>
          </cell>
          <cell r="B471">
            <v>13.771860567668407</v>
          </cell>
        </row>
        <row r="473">
          <cell r="A473" t="str">
            <v>NSX1p</v>
          </cell>
          <cell r="B473">
            <v>228.65830312088238</v>
          </cell>
        </row>
        <row r="481">
          <cell r="A481" t="str">
            <v>NSX1pOF</v>
          </cell>
          <cell r="B481">
            <v>21.966850361889271</v>
          </cell>
        </row>
        <row r="485">
          <cell r="A485" t="str">
            <v>NSX1f</v>
          </cell>
          <cell r="B485">
            <v>150.13150007789665</v>
          </cell>
        </row>
        <row r="490">
          <cell r="A490" t="str">
            <v>NSX6p</v>
          </cell>
          <cell r="B490">
            <v>433.06698846337667</v>
          </cell>
        </row>
        <row r="498">
          <cell r="A498" t="str">
            <v>NSX6pOF</v>
          </cell>
          <cell r="B498">
            <v>24.601208850113679</v>
          </cell>
        </row>
        <row r="502">
          <cell r="A502" t="str">
            <v>NSX6f</v>
          </cell>
          <cell r="B502">
            <v>306.25628784258015</v>
          </cell>
        </row>
        <row r="507">
          <cell r="A507" t="str">
            <v>NSX1vp</v>
          </cell>
          <cell r="B507">
            <v>52.416776030017928</v>
          </cell>
        </row>
        <row r="511">
          <cell r="A511" t="str">
            <v>NSXvp</v>
          </cell>
          <cell r="B511">
            <v>80.067572027979409</v>
          </cell>
        </row>
        <row r="516">
          <cell r="A516" t="str">
            <v>NSXvf</v>
          </cell>
          <cell r="B516">
            <v>41.998959617857601</v>
          </cell>
        </row>
        <row r="521">
          <cell r="A521" t="str">
            <v>NWMic.2.0A</v>
          </cell>
          <cell r="B521">
            <v>115.22166212929784</v>
          </cell>
        </row>
        <row r="523">
          <cell r="A523" t="str">
            <v>NWMic.5.0A</v>
          </cell>
          <cell r="B523">
            <v>113.68934294850636</v>
          </cell>
        </row>
        <row r="525">
          <cell r="A525" t="str">
            <v>NWMic.6.0A</v>
          </cell>
          <cell r="B525">
            <v>133.54506254175391</v>
          </cell>
        </row>
        <row r="527">
          <cell r="A527" t="str">
            <v>NWMic.2.0E</v>
          </cell>
          <cell r="B527">
            <v>190.03900112752075</v>
          </cell>
        </row>
        <row r="530">
          <cell r="A530" t="str">
            <v>NWMic.5.0E</v>
          </cell>
          <cell r="B530">
            <v>192.71864528514129</v>
          </cell>
        </row>
        <row r="533">
          <cell r="A533" t="str">
            <v>NWMic.6.0E</v>
          </cell>
          <cell r="B533">
            <v>275.53002717140163</v>
          </cell>
        </row>
        <row r="536">
          <cell r="A536" t="str">
            <v>NWMic.5.0P</v>
          </cell>
          <cell r="B536">
            <v>450.64588190870512</v>
          </cell>
        </row>
        <row r="539">
          <cell r="A539" t="str">
            <v>NWMic.6.0P</v>
          </cell>
          <cell r="B539">
            <v>464.18312838157203</v>
          </cell>
        </row>
        <row r="542">
          <cell r="A542" t="str">
            <v>MTZ2_Mic.2.0X</v>
          </cell>
          <cell r="B542">
            <v>1000000</v>
          </cell>
        </row>
        <row r="544">
          <cell r="A544" t="str">
            <v>MTZ2_Mic.5.0X</v>
          </cell>
          <cell r="B544">
            <v>1000000</v>
          </cell>
        </row>
        <row r="546">
          <cell r="A546" t="str">
            <v>MTZ2_Mic.6.0X</v>
          </cell>
          <cell r="B546">
            <v>1000000</v>
          </cell>
        </row>
        <row r="548">
          <cell r="A548" t="str">
            <v>NTMic.2.0A</v>
          </cell>
          <cell r="B548">
            <v>114.4821722334153</v>
          </cell>
        </row>
        <row r="550">
          <cell r="A550" t="str">
            <v>NTMic.5.0A</v>
          </cell>
          <cell r="B550">
            <v>112.94985305262379</v>
          </cell>
        </row>
        <row r="552">
          <cell r="A552" t="str">
            <v>NTMic.6.0A</v>
          </cell>
          <cell r="B552">
            <v>132.80557264587134</v>
          </cell>
        </row>
        <row r="554">
          <cell r="A554" t="str">
            <v>NTMic.2.0E</v>
          </cell>
          <cell r="B554">
            <v>267.82499399271734</v>
          </cell>
        </row>
        <row r="557">
          <cell r="A557" t="str">
            <v>NTMic.5.0E</v>
          </cell>
          <cell r="B557">
            <v>270.50463815033788</v>
          </cell>
        </row>
        <row r="560">
          <cell r="A560" t="str">
            <v>NTMic.6.0E</v>
          </cell>
          <cell r="B560">
            <v>353.31602003659827</v>
          </cell>
        </row>
        <row r="563">
          <cell r="A563" t="str">
            <v>NTMic.5.0P</v>
          </cell>
          <cell r="B563">
            <v>527.17628668073212</v>
          </cell>
        </row>
        <row r="566">
          <cell r="A566" t="str">
            <v>NTMic.6.0P</v>
          </cell>
          <cell r="B566">
            <v>541.96912124676862</v>
          </cell>
        </row>
        <row r="569">
          <cell r="A569" t="str">
            <v>MTZ1_Mic.2.0X</v>
          </cell>
          <cell r="B569">
            <v>1000000</v>
          </cell>
        </row>
        <row r="571">
          <cell r="A571" t="str">
            <v>MTZ1_Mic.5.0X</v>
          </cell>
          <cell r="B571">
            <v>1000000</v>
          </cell>
        </row>
        <row r="573">
          <cell r="A573" t="str">
            <v>MTZ1_Mic.6.0X</v>
          </cell>
          <cell r="B573">
            <v>1000000</v>
          </cell>
        </row>
        <row r="575">
          <cell r="A575" t="str">
            <v>NTMCH</v>
          </cell>
          <cell r="B575">
            <v>508.36887092131917</v>
          </cell>
        </row>
        <row r="580">
          <cell r="A580" t="str">
            <v>NTMX</v>
          </cell>
          <cell r="B580">
            <v>65.928409033896926</v>
          </cell>
        </row>
        <row r="582">
          <cell r="A582" t="str">
            <v>MTZ1_MCH</v>
          </cell>
          <cell r="B582">
            <v>1000508.3688709213</v>
          </cell>
        </row>
        <row r="588">
          <cell r="A588" t="str">
            <v>MTZ1_MX</v>
          </cell>
          <cell r="B588">
            <v>1000000</v>
          </cell>
        </row>
        <row r="590">
          <cell r="A590" t="str">
            <v>NWMCH</v>
          </cell>
          <cell r="B590">
            <v>569.18976939956224</v>
          </cell>
        </row>
        <row r="595">
          <cell r="A595" t="str">
            <v>NWMX</v>
          </cell>
          <cell r="B595">
            <v>58.287541555873005</v>
          </cell>
        </row>
        <row r="597">
          <cell r="A597" t="str">
            <v>MTZ2_MCH</v>
          </cell>
          <cell r="B597">
            <v>5000000</v>
          </cell>
        </row>
        <row r="603">
          <cell r="A603" t="str">
            <v>MTZ2_MX</v>
          </cell>
          <cell r="B603">
            <v>1000000</v>
          </cell>
        </row>
        <row r="605">
          <cell r="A605" t="str">
            <v>NTMCH+</v>
          </cell>
          <cell r="B605">
            <v>1155.035423163554</v>
          </cell>
        </row>
        <row r="614">
          <cell r="A614" t="str">
            <v>MTZ1_MCH+</v>
          </cell>
          <cell r="B614">
            <v>10000000</v>
          </cell>
        </row>
        <row r="625">
          <cell r="A625" t="str">
            <v>NWMCH+</v>
          </cell>
          <cell r="B625">
            <v>1212.9501171090051</v>
          </cell>
        </row>
        <row r="634">
          <cell r="A634" t="str">
            <v>MTZ2_MCH+</v>
          </cell>
          <cell r="B634">
            <v>10000000</v>
          </cell>
        </row>
        <row r="645">
          <cell r="A645" t="str">
            <v>NMast+</v>
          </cell>
          <cell r="B645">
            <v>75.089713155552971</v>
          </cell>
        </row>
        <row r="646">
          <cell r="A646" t="str">
            <v>Mast+</v>
          </cell>
          <cell r="B646">
            <v>75.089713155552971</v>
          </cell>
        </row>
        <row r="650">
          <cell r="A650" t="str">
            <v>MMast+</v>
          </cell>
          <cell r="B650">
            <v>3000000</v>
          </cell>
        </row>
        <row r="654">
          <cell r="A654" t="str">
            <v>NSGR</v>
          </cell>
          <cell r="B654">
            <v>726.92952599238993</v>
          </cell>
        </row>
        <row r="657">
          <cell r="A657" t="str">
            <v>MSGR</v>
          </cell>
          <cell r="B657">
            <v>2000000</v>
          </cell>
        </row>
        <row r="660">
          <cell r="A660" t="str">
            <v>NT06TCE</v>
          </cell>
          <cell r="B660">
            <v>183.39996356021936</v>
          </cell>
        </row>
        <row r="661">
          <cell r="A661" t="str">
            <v>NT08TCE</v>
          </cell>
          <cell r="B661">
            <v>183.39996356021936</v>
          </cell>
        </row>
        <row r="662">
          <cell r="A662" t="str">
            <v>NT10TCE</v>
          </cell>
          <cell r="B662">
            <v>183.39996356021936</v>
          </cell>
        </row>
        <row r="663">
          <cell r="A663" t="str">
            <v>NT12TCE</v>
          </cell>
          <cell r="B663">
            <v>183.39996356021936</v>
          </cell>
        </row>
        <row r="664">
          <cell r="A664" t="str">
            <v>NT16TCE</v>
          </cell>
          <cell r="B664">
            <v>183.39996356021936</v>
          </cell>
        </row>
        <row r="666">
          <cell r="A666" t="str">
            <v>MTZ1_06TCE</v>
          </cell>
          <cell r="B666">
            <v>1000000</v>
          </cell>
        </row>
        <row r="667">
          <cell r="A667" t="str">
            <v>MTZ1_08TCE</v>
          </cell>
          <cell r="B667">
            <v>1000000</v>
          </cell>
        </row>
        <row r="668">
          <cell r="A668" t="str">
            <v>MTZ1_10TCE</v>
          </cell>
          <cell r="B668">
            <v>1000000</v>
          </cell>
        </row>
        <row r="669">
          <cell r="A669" t="str">
            <v>MTZ1_12TCE</v>
          </cell>
          <cell r="B669">
            <v>1000000</v>
          </cell>
        </row>
        <row r="670">
          <cell r="A670" t="str">
            <v>MTZ1_16TCE</v>
          </cell>
          <cell r="B670">
            <v>1000000</v>
          </cell>
        </row>
        <row r="672">
          <cell r="A672" t="str">
            <v>NW08TCE</v>
          </cell>
          <cell r="B672">
            <v>246.7136863063001</v>
          </cell>
        </row>
        <row r="673">
          <cell r="A673" t="str">
            <v>NW10TCE</v>
          </cell>
          <cell r="B673">
            <v>246.7136863063001</v>
          </cell>
        </row>
        <row r="674">
          <cell r="A674" t="str">
            <v>NW12TCE</v>
          </cell>
          <cell r="B674">
            <v>246.7136863063001</v>
          </cell>
        </row>
        <row r="675">
          <cell r="A675" t="str">
            <v>NW16TCE</v>
          </cell>
          <cell r="B675">
            <v>246.7136863063001</v>
          </cell>
        </row>
        <row r="676">
          <cell r="A676" t="str">
            <v>NW20TCE</v>
          </cell>
          <cell r="B676">
            <v>246.7136863063001</v>
          </cell>
        </row>
        <row r="678">
          <cell r="A678" t="str">
            <v>NW25TCE</v>
          </cell>
          <cell r="B678">
            <v>321.72906759051193</v>
          </cell>
        </row>
        <row r="679">
          <cell r="A679" t="str">
            <v>NW32TCE</v>
          </cell>
          <cell r="B679">
            <v>321.72906759051193</v>
          </cell>
        </row>
        <row r="680">
          <cell r="A680" t="str">
            <v>NW40TCE</v>
          </cell>
          <cell r="B680">
            <v>321.72906759051193</v>
          </cell>
        </row>
        <row r="682">
          <cell r="A682" t="str">
            <v>MTZ2_08TCE</v>
          </cell>
          <cell r="B682">
            <v>1000000</v>
          </cell>
        </row>
        <row r="683">
          <cell r="A683" t="str">
            <v>MTZ2_10TCE</v>
          </cell>
          <cell r="B683">
            <v>1000000</v>
          </cell>
        </row>
        <row r="684">
          <cell r="A684" t="str">
            <v>MTZ2_12TCE</v>
          </cell>
          <cell r="B684">
            <v>1000000</v>
          </cell>
        </row>
        <row r="685">
          <cell r="A685" t="str">
            <v>MTZ2_16TCE</v>
          </cell>
          <cell r="B685">
            <v>1000000</v>
          </cell>
        </row>
        <row r="686">
          <cell r="A686" t="str">
            <v>MTZ2_20TCE</v>
          </cell>
          <cell r="B686">
            <v>1000000</v>
          </cell>
        </row>
        <row r="688">
          <cell r="A688" t="str">
            <v>MTZ2_25TCE</v>
          </cell>
          <cell r="B688">
            <v>1000000</v>
          </cell>
        </row>
        <row r="689">
          <cell r="A689" t="str">
            <v>MTZ2_32TCE</v>
          </cell>
          <cell r="B689">
            <v>1000000</v>
          </cell>
        </row>
        <row r="690">
          <cell r="A690" t="str">
            <v>MTZ2_40TCE</v>
          </cell>
          <cell r="B690">
            <v>1000000</v>
          </cell>
        </row>
        <row r="692">
          <cell r="A692" t="str">
            <v>PENTT</v>
          </cell>
          <cell r="B692">
            <v>91.390837771681021</v>
          </cell>
        </row>
        <row r="700">
          <cell r="A700" t="str">
            <v>CJB306</v>
          </cell>
          <cell r="B700">
            <v>260.95002204870781</v>
          </cell>
        </row>
        <row r="705">
          <cell r="A705" t="str">
            <v>BAT</v>
          </cell>
          <cell r="B705">
            <v>171.22221136657097</v>
          </cell>
        </row>
        <row r="712">
          <cell r="A712" t="str">
            <v>NT06L</v>
          </cell>
          <cell r="B712">
            <v>2319.1502929705543</v>
          </cell>
        </row>
        <row r="731">
          <cell r="A731" t="str">
            <v>NT06H2</v>
          </cell>
          <cell r="B731">
            <v>2134.0214202536522</v>
          </cell>
        </row>
        <row r="750">
          <cell r="A750" t="str">
            <v>NT06H1</v>
          </cell>
          <cell r="B750">
            <v>2125.7703184784014</v>
          </cell>
        </row>
        <row r="769">
          <cell r="A769" t="str">
            <v>NT08L</v>
          </cell>
          <cell r="B769">
            <v>2321.5859490318367</v>
          </cell>
        </row>
        <row r="788">
          <cell r="A788" t="str">
            <v>NT08H2</v>
          </cell>
          <cell r="B788">
            <v>2136.9898100642445</v>
          </cell>
        </row>
        <row r="807">
          <cell r="A807" t="str">
            <v>NT08H1</v>
          </cell>
          <cell r="B807">
            <v>2017.9570221833765</v>
          </cell>
        </row>
        <row r="826">
          <cell r="A826" t="str">
            <v>NT10L</v>
          </cell>
          <cell r="B826">
            <v>2322.0469914736191</v>
          </cell>
        </row>
        <row r="845">
          <cell r="A845" t="str">
            <v>NT10H2</v>
          </cell>
          <cell r="B845">
            <v>2137.8523502338217</v>
          </cell>
        </row>
        <row r="864">
          <cell r="A864" t="str">
            <v>NT10H1</v>
          </cell>
          <cell r="B864">
            <v>2129.6061335016252</v>
          </cell>
        </row>
        <row r="883">
          <cell r="A883" t="str">
            <v>NT12H2</v>
          </cell>
          <cell r="B883">
            <v>2637.2471330078392</v>
          </cell>
        </row>
        <row r="904">
          <cell r="A904" t="str">
            <v>NT12H1</v>
          </cell>
          <cell r="B904">
            <v>2521.1282072948211</v>
          </cell>
        </row>
        <row r="925">
          <cell r="A925" t="str">
            <v>NT16H2</v>
          </cell>
          <cell r="B925">
            <v>3228.3246678830856</v>
          </cell>
        </row>
        <row r="946">
          <cell r="A946" t="str">
            <v>NT16H1</v>
          </cell>
          <cell r="B946">
            <v>3218.8920458296247</v>
          </cell>
        </row>
        <row r="967">
          <cell r="A967" t="str">
            <v>NT06L_400</v>
          </cell>
          <cell r="B967">
            <v>1315.5558254798566</v>
          </cell>
        </row>
        <row r="970">
          <cell r="A970" t="str">
            <v>NT06H2_400</v>
          </cell>
          <cell r="B970">
            <v>1130.426952762954</v>
          </cell>
        </row>
        <row r="973">
          <cell r="A973" t="str">
            <v>NT06H1_400</v>
          </cell>
          <cell r="B973">
            <v>1122.1758509877029</v>
          </cell>
        </row>
        <row r="976">
          <cell r="A976" t="str">
            <v>NT08L_400</v>
          </cell>
          <cell r="B976">
            <v>1317.9914815411387</v>
          </cell>
        </row>
        <row r="979">
          <cell r="A979" t="str">
            <v>NT08H2_400</v>
          </cell>
          <cell r="B979">
            <v>1133.3953425735463</v>
          </cell>
        </row>
        <row r="982">
          <cell r="A982" t="str">
            <v>NT08H1_400</v>
          </cell>
          <cell r="B982">
            <v>1014.362554692678</v>
          </cell>
        </row>
        <row r="985">
          <cell r="A985" t="str">
            <v>NT10L_400</v>
          </cell>
          <cell r="B985">
            <v>1316.5790439574657</v>
          </cell>
        </row>
        <row r="988">
          <cell r="A988" t="str">
            <v>NT10H2_400</v>
          </cell>
          <cell r="B988">
            <v>1132.3844027176683</v>
          </cell>
        </row>
        <row r="991">
          <cell r="A991" t="str">
            <v>NT10H1_400</v>
          </cell>
          <cell r="B991">
            <v>1124.1381859854716</v>
          </cell>
        </row>
        <row r="994">
          <cell r="A994" t="str">
            <v>NT12H2_400</v>
          </cell>
          <cell r="B994">
            <v>1133.5158843116183</v>
          </cell>
        </row>
        <row r="997">
          <cell r="A997" t="str">
            <v>NT12H1_400</v>
          </cell>
          <cell r="B997">
            <v>1017.3969585986</v>
          </cell>
        </row>
        <row r="1000">
          <cell r="A1000" t="str">
            <v>NT16H2_400</v>
          </cell>
          <cell r="B1000">
            <v>1139.2122405976124</v>
          </cell>
        </row>
        <row r="1003">
          <cell r="A1003" t="str">
            <v>NT16H1_400</v>
          </cell>
          <cell r="B1003">
            <v>1129.7796185441516</v>
          </cell>
        </row>
        <row r="1006">
          <cell r="A1006" t="str">
            <v>NT_400</v>
          </cell>
          <cell r="B1006">
            <v>1182.7342774229155</v>
          </cell>
        </row>
        <row r="1022">
          <cell r="A1022" t="str">
            <v>MT_400</v>
          </cell>
          <cell r="B1022">
            <v>7001019.3181008007</v>
          </cell>
        </row>
        <row r="1039">
          <cell r="A1039" t="str">
            <v>NT_400-4000</v>
          </cell>
          <cell r="B1039">
            <v>27.565769843176913</v>
          </cell>
        </row>
        <row r="1041">
          <cell r="A1041" t="str">
            <v>NT_400-3200</v>
          </cell>
          <cell r="B1041">
            <v>24.382570166381925</v>
          </cell>
        </row>
        <row r="1043">
          <cell r="A1043" t="str">
            <v>NT_400-2500</v>
          </cell>
          <cell r="B1043">
            <v>71.556242688938937</v>
          </cell>
        </row>
        <row r="1044">
          <cell r="A1044" t="str">
            <v>NT_400-2000</v>
          </cell>
          <cell r="B1044">
            <v>71.556242688938937</v>
          </cell>
        </row>
        <row r="1045">
          <cell r="A1045" t="str">
            <v>NT_400-1600</v>
          </cell>
          <cell r="B1045">
            <v>71.556242688938937</v>
          </cell>
        </row>
        <row r="1046">
          <cell r="A1046" t="str">
            <v>NT_400-1200</v>
          </cell>
          <cell r="B1046">
            <v>71.556242688938937</v>
          </cell>
        </row>
        <row r="1047">
          <cell r="A1047" t="str">
            <v>NT_400-1000</v>
          </cell>
          <cell r="B1047">
            <v>71.556242688938937</v>
          </cell>
        </row>
        <row r="1049">
          <cell r="A1049" t="str">
            <v>MTZ1_06L</v>
          </cell>
          <cell r="B1049">
            <v>9000832.6013250351</v>
          </cell>
        </row>
        <row r="1068">
          <cell r="A1068" t="str">
            <v>MTZ1_06H2</v>
          </cell>
          <cell r="B1068">
            <v>9000832.6013250351</v>
          </cell>
        </row>
        <row r="1087">
          <cell r="A1087" t="str">
            <v>MTZ1_06H1</v>
          </cell>
          <cell r="B1087">
            <v>9000832.6013250351</v>
          </cell>
        </row>
        <row r="1106">
          <cell r="A1106" t="str">
            <v>MTZ1_08L</v>
          </cell>
          <cell r="B1106">
            <v>9000832.6013250351</v>
          </cell>
        </row>
        <row r="1125">
          <cell r="A1125" t="str">
            <v>MTZ1_08H2</v>
          </cell>
          <cell r="B1125">
            <v>9000832.6013250351</v>
          </cell>
        </row>
        <row r="1144">
          <cell r="A1144" t="str">
            <v>MTZ1_08H1</v>
          </cell>
          <cell r="B1144">
            <v>9000832.6013250351</v>
          </cell>
        </row>
        <row r="1163">
          <cell r="A1163" t="str">
            <v>MTZ1_10L</v>
          </cell>
          <cell r="B1163">
            <v>9000834.4748050608</v>
          </cell>
        </row>
        <row r="1182">
          <cell r="A1182" t="str">
            <v>MTZ1_10H2</v>
          </cell>
          <cell r="B1182">
            <v>9000834.4748050608</v>
          </cell>
        </row>
        <row r="1201">
          <cell r="A1201" t="str">
            <v>MTZ1_10H1</v>
          </cell>
          <cell r="B1201">
            <v>9000834.4748050608</v>
          </cell>
        </row>
        <row r="1220">
          <cell r="A1220" t="str">
            <v>MTZ1_12H2</v>
          </cell>
          <cell r="B1220">
            <v>9001332.7381062414</v>
          </cell>
        </row>
        <row r="1241">
          <cell r="A1241" t="str">
            <v>MTZ1_12H1</v>
          </cell>
          <cell r="B1241">
            <v>9001332.7381062414</v>
          </cell>
        </row>
        <row r="1262">
          <cell r="A1262" t="str">
            <v>MTZ1_16H2</v>
          </cell>
          <cell r="B1262">
            <v>9001814.5984890684</v>
          </cell>
        </row>
        <row r="1283">
          <cell r="A1283" t="str">
            <v>MTZ1_16H1</v>
          </cell>
          <cell r="B1283">
            <v>9001814.5984890684</v>
          </cell>
        </row>
        <row r="1304">
          <cell r="A1304" t="str">
            <v>MTZ1_06L_400</v>
          </cell>
          <cell r="B1304">
            <v>2000000</v>
          </cell>
        </row>
        <row r="1307">
          <cell r="A1307" t="str">
            <v>MTZ1_06H2_400</v>
          </cell>
          <cell r="B1307">
            <v>2000000</v>
          </cell>
        </row>
        <row r="1310">
          <cell r="A1310" t="str">
            <v>MTZ1_06H1_400</v>
          </cell>
          <cell r="B1310">
            <v>2000000</v>
          </cell>
        </row>
        <row r="1313">
          <cell r="A1313" t="str">
            <v>MTZ1_08L_400</v>
          </cell>
          <cell r="B1313">
            <v>2000000</v>
          </cell>
        </row>
        <row r="1316">
          <cell r="A1316" t="str">
            <v>MTZ1_08H2_400</v>
          </cell>
          <cell r="B1316">
            <v>2000000</v>
          </cell>
        </row>
        <row r="1319">
          <cell r="A1319" t="str">
            <v>MTZ1_08H1_400</v>
          </cell>
          <cell r="B1319">
            <v>2000000</v>
          </cell>
        </row>
        <row r="1322">
          <cell r="A1322" t="str">
            <v>MTZ1_10L_400</v>
          </cell>
          <cell r="B1322">
            <v>2000000</v>
          </cell>
        </row>
        <row r="1325">
          <cell r="A1325" t="str">
            <v>MTZ1_10H2_400</v>
          </cell>
          <cell r="B1325">
            <v>2000000</v>
          </cell>
        </row>
        <row r="1328">
          <cell r="A1328" t="str">
            <v>MTZ1_10H1_400</v>
          </cell>
          <cell r="B1328">
            <v>2000000</v>
          </cell>
        </row>
        <row r="1331">
          <cell r="A1331" t="str">
            <v>MTZ1_12H2_400</v>
          </cell>
          <cell r="B1331">
            <v>2000000</v>
          </cell>
        </row>
        <row r="1334">
          <cell r="A1334" t="str">
            <v>MTZ1_12H1_400</v>
          </cell>
          <cell r="B1334">
            <v>2000000</v>
          </cell>
        </row>
        <row r="1337">
          <cell r="A1337" t="str">
            <v>MTZ1_16H2_400</v>
          </cell>
          <cell r="B1337">
            <v>2000000</v>
          </cell>
        </row>
        <row r="1340">
          <cell r="A1340" t="str">
            <v>MTZ1_16H1_400</v>
          </cell>
          <cell r="B1340">
            <v>2000000</v>
          </cell>
        </row>
        <row r="1343">
          <cell r="A1343" t="str">
            <v>MTZ1__400</v>
          </cell>
          <cell r="B1343">
            <v>5001050.9734438499</v>
          </cell>
        </row>
        <row r="1359">
          <cell r="A1359" t="str">
            <v>MTZ1__400-4000</v>
          </cell>
          <cell r="B1359">
            <v>27.565769843176913</v>
          </cell>
        </row>
        <row r="1361">
          <cell r="A1361" t="str">
            <v>MTZ1__400-3200</v>
          </cell>
          <cell r="B1361">
            <v>24.382570166381925</v>
          </cell>
        </row>
        <row r="1363">
          <cell r="A1363" t="str">
            <v>MTZ1__400-2500</v>
          </cell>
          <cell r="B1363">
            <v>71.556242688938937</v>
          </cell>
        </row>
        <row r="1364">
          <cell r="A1364" t="str">
            <v>MTZ1__400-2000</v>
          </cell>
          <cell r="B1364">
            <v>71.556242688938937</v>
          </cell>
        </row>
        <row r="1365">
          <cell r="A1365" t="str">
            <v>MTZ1__400-1600</v>
          </cell>
          <cell r="B1365">
            <v>71.556242688938937</v>
          </cell>
        </row>
        <row r="1366">
          <cell r="A1366" t="str">
            <v>MTZ1__400-1200</v>
          </cell>
          <cell r="B1366">
            <v>71.556242688938937</v>
          </cell>
        </row>
        <row r="1367">
          <cell r="A1367" t="str">
            <v>MTZ1__400-1000</v>
          </cell>
          <cell r="B1367">
            <v>71.556242688938937</v>
          </cell>
        </row>
        <row r="1369">
          <cell r="A1369" t="str">
            <v>NW08H1</v>
          </cell>
          <cell r="B1369">
            <v>2946.1200875610962</v>
          </cell>
        </row>
        <row r="1389">
          <cell r="A1389" t="str">
            <v>NW10H1</v>
          </cell>
          <cell r="B1389">
            <v>2946.0652958619726</v>
          </cell>
        </row>
        <row r="1409">
          <cell r="A1409" t="str">
            <v>NW12H1</v>
          </cell>
          <cell r="B1409">
            <v>2945.5565912433626</v>
          </cell>
        </row>
        <row r="1429">
          <cell r="A1429" t="str">
            <v>NW16H1</v>
          </cell>
          <cell r="B1429">
            <v>2983.4247848600635</v>
          </cell>
        </row>
        <row r="1448">
          <cell r="A1448" t="str">
            <v>NW20H1</v>
          </cell>
          <cell r="B1448">
            <v>4187.3072058345906</v>
          </cell>
        </row>
        <row r="1468">
          <cell r="A1468" t="str">
            <v>NW25H1</v>
          </cell>
          <cell r="B1468">
            <v>5574.5894583411455</v>
          </cell>
        </row>
        <row r="1488">
          <cell r="A1488" t="str">
            <v>NW32H1</v>
          </cell>
          <cell r="B1488">
            <v>6532.1621992727887</v>
          </cell>
        </row>
        <row r="1509">
          <cell r="A1509" t="str">
            <v>NW40H1</v>
          </cell>
          <cell r="B1509">
            <v>11790.100526264368</v>
          </cell>
        </row>
        <row r="1540">
          <cell r="A1540" t="str">
            <v>MTZ2_08H1</v>
          </cell>
          <cell r="B1540">
            <v>8001237.2481892323</v>
          </cell>
        </row>
        <row r="1560">
          <cell r="A1560" t="str">
            <v>MTZ2_10H1</v>
          </cell>
          <cell r="B1560">
            <v>8001237.2481892323</v>
          </cell>
        </row>
        <row r="1580">
          <cell r="A1580" t="str">
            <v>MTZ2_12H1</v>
          </cell>
          <cell r="B1580">
            <v>8001237.2481892323</v>
          </cell>
        </row>
        <row r="1600">
          <cell r="A1600" t="str">
            <v>MTZ2_16H1</v>
          </cell>
          <cell r="B1600">
            <v>8001364.6654273616</v>
          </cell>
        </row>
        <row r="1619">
          <cell r="A1619" t="str">
            <v>MTZ2_20H1</v>
          </cell>
          <cell r="B1619">
            <v>8002008.8267446859</v>
          </cell>
        </row>
        <row r="1639">
          <cell r="A1639" t="str">
            <v>MTZ2_25H1</v>
          </cell>
          <cell r="B1639">
            <v>8003324.9127953798</v>
          </cell>
        </row>
        <row r="1659">
          <cell r="A1659" t="str">
            <v>MTZ2_32H1</v>
          </cell>
          <cell r="B1659">
            <v>8004249.5965218488</v>
          </cell>
        </row>
        <row r="1680">
          <cell r="A1680" t="str">
            <v>MTZ2_40H1</v>
          </cell>
          <cell r="B1680">
            <v>7009252.2524009319</v>
          </cell>
        </row>
        <row r="1711">
          <cell r="A1711" t="str">
            <v>FBB1000</v>
          </cell>
          <cell r="B1711">
            <v>1097.1456825461371</v>
          </cell>
        </row>
        <row r="1722">
          <cell r="A1722" t="str">
            <v>FBB1000S</v>
          </cell>
          <cell r="B1722">
            <v>271.59637925889933</v>
          </cell>
        </row>
        <row r="1726">
          <cell r="A1726" t="str">
            <v>FBB1200</v>
          </cell>
          <cell r="B1726">
            <v>1241.5422741063674</v>
          </cell>
        </row>
        <row r="1737">
          <cell r="A1737" t="str">
            <v>FBB1200S</v>
          </cell>
          <cell r="B1737">
            <v>319.88687824624316</v>
          </cell>
        </row>
        <row r="1741">
          <cell r="A1741" t="str">
            <v>FBB1600</v>
          </cell>
          <cell r="B1741">
            <v>1613.2206428716661</v>
          </cell>
        </row>
        <row r="1752">
          <cell r="A1752" t="str">
            <v>FBB1600S</v>
          </cell>
          <cell r="B1752">
            <v>433.763965281867</v>
          </cell>
        </row>
        <row r="1756">
          <cell r="A1756" t="str">
            <v>FBB2000</v>
          </cell>
          <cell r="B1756">
            <v>1836.6075884522863</v>
          </cell>
        </row>
        <row r="1768">
          <cell r="A1768" t="str">
            <v>FBB2000S</v>
          </cell>
          <cell r="B1768">
            <v>271.59637925889933</v>
          </cell>
        </row>
        <row r="1772">
          <cell r="A1772" t="str">
            <v>FBB2500</v>
          </cell>
          <cell r="B1772">
            <v>2825.1702503518545</v>
          </cell>
        </row>
        <row r="1784">
          <cell r="A1784" t="str">
            <v>FBB2500S</v>
          </cell>
          <cell r="B1784">
            <v>433.763965281867</v>
          </cell>
        </row>
        <row r="1788">
          <cell r="A1788" t="str">
            <v>FBB3200</v>
          </cell>
          <cell r="B1788">
            <v>2989.3857256401379</v>
          </cell>
        </row>
        <row r="1802">
          <cell r="A1802" t="str">
            <v>FBB3200S</v>
          </cell>
          <cell r="B1802">
            <v>474.32791049544898</v>
          </cell>
        </row>
        <row r="1806">
          <cell r="A1806" t="str">
            <v>FBB4000</v>
          </cell>
          <cell r="B1806">
            <v>3379.9562722632536</v>
          </cell>
        </row>
        <row r="1819">
          <cell r="A1819" t="str">
            <v>FBB4000S</v>
          </cell>
          <cell r="B1819">
            <v>552.5604227014552</v>
          </cell>
        </row>
        <row r="1823">
          <cell r="A1823" t="str">
            <v>FBB1000-400</v>
          </cell>
          <cell r="B1823">
            <v>202.08828989165764</v>
          </cell>
        </row>
        <row r="1827">
          <cell r="A1827" t="str">
            <v>FBB1200-400</v>
          </cell>
          <cell r="B1827">
            <v>226.47099208623024</v>
          </cell>
        </row>
        <row r="1831">
          <cell r="A1831" t="str">
            <v>FBB1600-400</v>
          </cell>
          <cell r="B1831">
            <v>290.17961115057284</v>
          </cell>
        </row>
        <row r="1835">
          <cell r="A1835" t="str">
            <v>FBB1600-400</v>
          </cell>
          <cell r="B1835">
            <v>338.74591702820385</v>
          </cell>
        </row>
        <row r="1839">
          <cell r="A1839" t="str">
            <v>FBB2000-400</v>
          </cell>
          <cell r="B1839">
            <v>514.92855954603431</v>
          </cell>
        </row>
        <row r="1843">
          <cell r="A1843" t="str">
            <v>FBB2500-400</v>
          </cell>
          <cell r="B1843">
            <v>514.92855954603431</v>
          </cell>
        </row>
        <row r="1847">
          <cell r="A1847" t="str">
            <v>FBB3200-400</v>
          </cell>
          <cell r="B1847">
            <v>597.11267549847241</v>
          </cell>
        </row>
        <row r="1852">
          <cell r="A1852" t="str">
            <v>FBB4000-400</v>
          </cell>
          <cell r="B1852">
            <v>753.12378699099838</v>
          </cell>
        </row>
        <row r="1858">
          <cell r="A1858" t="str">
            <v>CanalisNT06</v>
          </cell>
          <cell r="B1858">
            <v>1194.678735803669</v>
          </cell>
        </row>
        <row r="1859">
          <cell r="A1859" t="str">
            <v>CanalisNT08</v>
          </cell>
          <cell r="B1859">
            <v>1194.678735803669</v>
          </cell>
        </row>
        <row r="1860">
          <cell r="A1860" t="str">
            <v>CanalisNT10</v>
          </cell>
          <cell r="B1860">
            <v>1194.678735803669</v>
          </cell>
        </row>
        <row r="1861">
          <cell r="A1861" t="str">
            <v>CanalisNT12</v>
          </cell>
          <cell r="B1861">
            <v>1194.678735803669</v>
          </cell>
        </row>
        <row r="1862">
          <cell r="A1862" t="str">
            <v>CanalisNT16</v>
          </cell>
          <cell r="B1862">
            <v>1194.678735803669</v>
          </cell>
        </row>
        <row r="1867">
          <cell r="A1867" t="str">
            <v>CanalisNW08</v>
          </cell>
          <cell r="B1867">
            <v>1617.5350600860295</v>
          </cell>
        </row>
        <row r="1868">
          <cell r="A1868" t="str">
            <v>CanalisNW10</v>
          </cell>
          <cell r="B1868">
            <v>1617.5350600860295</v>
          </cell>
        </row>
        <row r="1869">
          <cell r="A1869" t="str">
            <v>CanalisNW12</v>
          </cell>
          <cell r="B1869">
            <v>1617.5350600860295</v>
          </cell>
        </row>
        <row r="1870">
          <cell r="A1870" t="str">
            <v>CanalisNW16</v>
          </cell>
          <cell r="B1870">
            <v>1617.5350600860295</v>
          </cell>
        </row>
        <row r="1875">
          <cell r="A1875" t="str">
            <v>CanalisNW20</v>
          </cell>
          <cell r="B1875">
            <v>1843.5285062066453</v>
          </cell>
        </row>
        <row r="1876">
          <cell r="A1876" t="str">
            <v>CanalisNW25</v>
          </cell>
          <cell r="B1876">
            <v>1843.5285062066453</v>
          </cell>
        </row>
        <row r="1881">
          <cell r="A1881" t="str">
            <v>CanalisNW32</v>
          </cell>
          <cell r="B1881">
            <v>2296.4868618747478</v>
          </cell>
        </row>
        <row r="1886">
          <cell r="A1886" t="str">
            <v>CanalisNW40</v>
          </cell>
          <cell r="B1886">
            <v>2605.108962865751</v>
          </cell>
        </row>
        <row r="1891">
          <cell r="A1891" t="str">
            <v>CanalisMTZ2_08</v>
          </cell>
          <cell r="B1891">
            <v>1617.5350600860295</v>
          </cell>
        </row>
        <row r="1892">
          <cell r="A1892" t="str">
            <v>CanalisMTZ2_10</v>
          </cell>
          <cell r="B1892">
            <v>1617.5350600860295</v>
          </cell>
        </row>
        <row r="1893">
          <cell r="A1893" t="str">
            <v>CanalisMTZ2_12</v>
          </cell>
          <cell r="B1893">
            <v>1617.5350600860295</v>
          </cell>
        </row>
        <row r="1894">
          <cell r="A1894" t="str">
            <v>CanalisMTZ2_16</v>
          </cell>
          <cell r="B1894">
            <v>1617.5350600860295</v>
          </cell>
        </row>
        <row r="1899">
          <cell r="A1899" t="str">
            <v>CanalisMTZ2_20</v>
          </cell>
          <cell r="B1899">
            <v>1843.5285062066453</v>
          </cell>
        </row>
        <row r="1900">
          <cell r="A1900" t="str">
            <v>CanalisMTZ2_25</v>
          </cell>
          <cell r="B1900">
            <v>1843.5285062066453</v>
          </cell>
        </row>
        <row r="1905">
          <cell r="A1905" t="str">
            <v>CanalisMTZ2_32</v>
          </cell>
          <cell r="B1905">
            <v>2296.4868618747478</v>
          </cell>
        </row>
        <row r="1910">
          <cell r="A1910" t="str">
            <v>CanalisMTZ2_40</v>
          </cell>
          <cell r="B1910">
            <v>2605.108962865751</v>
          </cell>
        </row>
        <row r="1915">
          <cell r="A1915" t="str">
            <v>P400x400</v>
          </cell>
          <cell r="B1915">
            <v>373.30601229974627</v>
          </cell>
        </row>
        <row r="1923">
          <cell r="A1923" t="str">
            <v>P400x600</v>
          </cell>
          <cell r="B1923">
            <v>428.7428011629043</v>
          </cell>
        </row>
        <row r="1932">
          <cell r="A1932" t="str">
            <v>P400x800</v>
          </cell>
          <cell r="B1932">
            <v>602.97340688183749</v>
          </cell>
        </row>
        <row r="1941">
          <cell r="A1941" t="str">
            <v>P400x1000</v>
          </cell>
          <cell r="B1941">
            <v>658.41019574499546</v>
          </cell>
        </row>
        <row r="1954">
          <cell r="A1954" t="str">
            <v>P650x400</v>
          </cell>
          <cell r="B1954">
            <v>475.43509890231769</v>
          </cell>
        </row>
        <row r="1962">
          <cell r="A1962" t="str">
            <v>P650x600</v>
          </cell>
          <cell r="B1962">
            <v>538.62946816404235</v>
          </cell>
        </row>
        <row r="1972">
          <cell r="A1972" t="str">
            <v>P650x800</v>
          </cell>
          <cell r="B1972">
            <v>722.85407980311959</v>
          </cell>
        </row>
        <row r="1982">
          <cell r="A1982" t="str">
            <v>P650x1000</v>
          </cell>
          <cell r="B1982">
            <v>777.01745676736891</v>
          </cell>
        </row>
        <row r="1996">
          <cell r="A1996" t="str">
            <v>P800x400</v>
          </cell>
          <cell r="B1996">
            <v>577.4477366407275</v>
          </cell>
        </row>
        <row r="2004">
          <cell r="A2004" t="str">
            <v>P800x600</v>
          </cell>
          <cell r="B2004">
            <v>681.41835244661445</v>
          </cell>
        </row>
        <row r="2012">
          <cell r="A2012" t="str">
            <v>P800x800</v>
          </cell>
          <cell r="B2012">
            <v>859.8021689591161</v>
          </cell>
        </row>
        <row r="2022">
          <cell r="A2022" t="str">
            <v>P800x1000</v>
          </cell>
          <cell r="B2022">
            <v>977.80909779856199</v>
          </cell>
        </row>
        <row r="2036">
          <cell r="A2036" t="str">
            <v>AVR</v>
          </cell>
          <cell r="B2036">
            <v>2891.3086370201768</v>
          </cell>
        </row>
        <row r="2063">
          <cell r="A2063" t="str">
            <v>Accessories</v>
          </cell>
          <cell r="B2063">
            <v>670.67297409342837</v>
          </cell>
        </row>
        <row r="2089">
          <cell r="A2089" t="str">
            <v>Per Column</v>
          </cell>
          <cell r="B2089">
            <v>137.23234585048601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68A4-A7F6-4F91-B424-28249E90ADF6}">
  <sheetPr codeName="Лист4"/>
  <dimension ref="A1:AI41"/>
  <sheetViews>
    <sheetView tabSelected="1" topLeftCell="A7" zoomScaleNormal="100" workbookViewId="0">
      <selection activeCell="E12" sqref="E12"/>
    </sheetView>
  </sheetViews>
  <sheetFormatPr defaultColWidth="0" defaultRowHeight="12.75" customHeight="1" zeroHeight="1" x14ac:dyDescent="0.2"/>
  <cols>
    <col min="1" max="1" width="27.85546875" bestFit="1" customWidth="1"/>
    <col min="2" max="2" width="15.28515625" bestFit="1" customWidth="1"/>
    <col min="3" max="3" width="11.140625" bestFit="1" customWidth="1"/>
    <col min="4" max="4" width="10.140625" customWidth="1"/>
    <col min="5" max="5" width="9.140625" bestFit="1" customWidth="1"/>
    <col min="6" max="6" width="6.7109375" customWidth="1"/>
    <col min="7" max="7" width="13.85546875" bestFit="1" customWidth="1"/>
    <col min="8" max="8" width="9.140625" bestFit="1" customWidth="1"/>
    <col min="9" max="9" width="8.7109375" customWidth="1"/>
    <col min="10" max="10" width="4.42578125" customWidth="1"/>
    <col min="11" max="11" width="9.140625" customWidth="1"/>
    <col min="12" max="12" width="9.7109375" bestFit="1" customWidth="1"/>
    <col min="13" max="13" width="10.28515625" hidden="1" customWidth="1"/>
    <col min="14" max="14" width="8.42578125" hidden="1" customWidth="1"/>
    <col min="15" max="15" width="9.5703125" hidden="1" customWidth="1"/>
    <col min="16" max="16" width="12.42578125" hidden="1" customWidth="1"/>
    <col min="17" max="22" width="9.140625" hidden="1" customWidth="1"/>
    <col min="23" max="23" width="3.85546875" hidden="1" customWidth="1"/>
    <col min="24" max="24" width="4.42578125" hidden="1" customWidth="1"/>
    <col min="25" max="25" width="9.7109375" hidden="1" customWidth="1"/>
    <col min="26" max="27" width="9.140625" hidden="1" customWidth="1"/>
    <col min="28" max="28" width="11.5703125" hidden="1" customWidth="1"/>
    <col min="29" max="29" width="12.7109375" hidden="1" customWidth="1"/>
    <col min="30" max="35" width="0" hidden="1" customWidth="1"/>
    <col min="36" max="16384" width="9.140625" hidden="1"/>
  </cols>
  <sheetData>
    <row r="1" spans="1:35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T1" t="s">
        <v>7</v>
      </c>
      <c r="V1">
        <v>4000</v>
      </c>
      <c r="W1" s="3">
        <v>150</v>
      </c>
      <c r="X1" t="s">
        <v>8</v>
      </c>
      <c r="Y1" t="str">
        <f ca="1">"NSX100"&amp;INDIRECT("X"&amp;MATCH($B$6,$W$1:$W$8,-1))</f>
        <v>NSX100H</v>
      </c>
      <c r="Z1" t="s">
        <v>9</v>
      </c>
      <c r="AA1" t="s">
        <v>8</v>
      </c>
      <c r="AB1" t="str">
        <f ca="1">"NW40"&amp;INDIRECT("z"&amp;MATCH($B$6,$W$1:$W$8,-1))</f>
        <v>NW40H1</v>
      </c>
      <c r="AC1" s="4" t="str">
        <f ca="1">"MTZ2_40"&amp;INDIRECT("z"&amp;MATCH($B$6,$W$1:$W$8,-1))</f>
        <v>MTZ2_40H1</v>
      </c>
      <c r="AD1" s="5" t="s">
        <v>10</v>
      </c>
      <c r="AE1" s="6">
        <v>3520</v>
      </c>
      <c r="AF1" s="6" t="s">
        <v>11</v>
      </c>
      <c r="AG1" s="6" t="s">
        <v>12</v>
      </c>
      <c r="AH1" s="6">
        <v>535</v>
      </c>
      <c r="AI1" s="7" t="s">
        <v>13</v>
      </c>
    </row>
    <row r="2" spans="1:35" ht="14.25" thickTop="1" thickBot="1" x14ac:dyDescent="0.25">
      <c r="A2" s="123" t="s">
        <v>14</v>
      </c>
      <c r="B2" s="124"/>
      <c r="C2" s="2"/>
      <c r="D2" s="123" t="s">
        <v>15</v>
      </c>
      <c r="E2" s="125"/>
      <c r="F2" s="124"/>
      <c r="G2" s="2"/>
      <c r="H2" s="2"/>
      <c r="I2" s="2"/>
      <c r="J2" s="2"/>
      <c r="K2" s="2"/>
      <c r="L2" s="2"/>
      <c r="M2" t="s">
        <v>16</v>
      </c>
      <c r="N2" t="s">
        <v>17</v>
      </c>
      <c r="O2" t="s">
        <v>17</v>
      </c>
      <c r="P2" t="s">
        <v>17</v>
      </c>
      <c r="Q2" t="s">
        <v>18</v>
      </c>
      <c r="R2" t="s">
        <v>18</v>
      </c>
      <c r="T2" s="8" t="s">
        <v>19</v>
      </c>
      <c r="V2">
        <v>3200</v>
      </c>
      <c r="W2" s="3">
        <v>100</v>
      </c>
      <c r="X2" t="s">
        <v>20</v>
      </c>
      <c r="Y2" t="str">
        <f ca="1">"NSX160"&amp;INDIRECT("X"&amp;MATCH($B$6,$W$1:$W$8,-1))</f>
        <v>NSX160H</v>
      </c>
      <c r="Z2" t="s">
        <v>21</v>
      </c>
      <c r="AA2" t="s">
        <v>8</v>
      </c>
      <c r="AB2" t="str">
        <f ca="1">"NW32"&amp;INDIRECT("Z"&amp;MATCH($B$6,$W$1:$W$8,-1))</f>
        <v>NW32H1</v>
      </c>
      <c r="AC2" s="4" t="str">
        <f ca="1">"MTZ2_32"&amp;INDIRECT("Z"&amp;MATCH($B$6,$W$1:$W$8,-1))</f>
        <v>MTZ2_32H1</v>
      </c>
      <c r="AD2" s="9" t="s">
        <v>22</v>
      </c>
      <c r="AE2" s="10">
        <v>2820</v>
      </c>
      <c r="AF2" s="10" t="s">
        <v>23</v>
      </c>
      <c r="AG2" s="10" t="s">
        <v>24</v>
      </c>
      <c r="AH2" s="10">
        <v>370</v>
      </c>
      <c r="AI2" s="11" t="s">
        <v>25</v>
      </c>
    </row>
    <row r="3" spans="1:35" ht="14.25" thickTop="1" thickBot="1" x14ac:dyDescent="0.25">
      <c r="A3" s="12" t="s">
        <v>26</v>
      </c>
      <c r="B3" s="13" t="s">
        <v>27</v>
      </c>
      <c r="C3" s="2"/>
      <c r="D3" s="14" t="s">
        <v>28</v>
      </c>
      <c r="E3" s="15">
        <f>Y24</f>
        <v>0</v>
      </c>
      <c r="F3" s="16"/>
      <c r="G3" s="2"/>
      <c r="H3" s="2"/>
      <c r="I3" s="2"/>
      <c r="J3" s="2"/>
      <c r="K3" s="2"/>
      <c r="L3" s="2"/>
      <c r="M3" t="s">
        <v>29</v>
      </c>
      <c r="N3" t="s">
        <v>30</v>
      </c>
      <c r="O3" t="s">
        <v>30</v>
      </c>
      <c r="P3" t="s">
        <v>30</v>
      </c>
      <c r="Q3" t="s">
        <v>31</v>
      </c>
      <c r="R3" t="s">
        <v>31</v>
      </c>
      <c r="T3" s="8" t="s">
        <v>32</v>
      </c>
      <c r="V3">
        <v>2500</v>
      </c>
      <c r="W3" s="3">
        <v>70</v>
      </c>
      <c r="X3" t="s">
        <v>33</v>
      </c>
      <c r="Y3" t="str">
        <f ca="1">"NSX250"&amp;INDIRECT("X"&amp;MATCH($B$6,$W$1:$W$8,-1))</f>
        <v>NSX250H</v>
      </c>
      <c r="Z3" t="s">
        <v>21</v>
      </c>
      <c r="AA3" t="s">
        <v>8</v>
      </c>
      <c r="AB3" t="str">
        <f ca="1">"NW25"&amp;INDIRECT("Z"&amp;MATCH($B$6,$W$1:$W$8,-1))</f>
        <v>NW25H1</v>
      </c>
      <c r="AC3" s="4" t="str">
        <f ca="1">"MTZ2_25"&amp;INDIRECT("Z"&amp;MATCH($B$6,$W$1:$W$8,-1))</f>
        <v>MTZ2_25H1</v>
      </c>
      <c r="AD3" s="9" t="s">
        <v>34</v>
      </c>
      <c r="AE3" s="10">
        <v>2350</v>
      </c>
      <c r="AF3" s="10" t="s">
        <v>35</v>
      </c>
      <c r="AG3" s="10" t="s">
        <v>36</v>
      </c>
      <c r="AH3" s="10">
        <v>237</v>
      </c>
      <c r="AI3" s="11" t="s">
        <v>37</v>
      </c>
    </row>
    <row r="4" spans="1:35" ht="15" customHeight="1" thickTop="1" thickBot="1" x14ac:dyDescent="0.25">
      <c r="A4" s="17" t="s">
        <v>38</v>
      </c>
      <c r="B4" s="18">
        <v>2500</v>
      </c>
      <c r="C4" s="2"/>
      <c r="D4" s="19" t="s">
        <v>39</v>
      </c>
      <c r="E4" s="20">
        <f>SUM(Y25:Z25)</f>
        <v>1</v>
      </c>
      <c r="F4" s="21"/>
      <c r="G4" s="2"/>
      <c r="H4" s="2"/>
      <c r="I4" s="2"/>
      <c r="J4" s="2"/>
      <c r="K4" s="2"/>
      <c r="L4" s="2"/>
      <c r="M4" t="s">
        <v>40</v>
      </c>
      <c r="N4" t="s">
        <v>41</v>
      </c>
      <c r="O4" t="s">
        <v>41</v>
      </c>
      <c r="P4" t="s">
        <v>41</v>
      </c>
      <c r="Q4" t="s">
        <v>42</v>
      </c>
      <c r="R4" t="s">
        <v>42</v>
      </c>
      <c r="S4" t="s">
        <v>43</v>
      </c>
      <c r="T4" t="s">
        <v>44</v>
      </c>
      <c r="V4">
        <v>2000</v>
      </c>
      <c r="W4" s="3">
        <v>65</v>
      </c>
      <c r="X4" t="s">
        <v>33</v>
      </c>
      <c r="Y4" t="str">
        <f ca="1">"NSX400"&amp;INDIRECT("X"&amp;MATCH($B$6,$W$1:$W$7,-1))</f>
        <v>NSX400H</v>
      </c>
      <c r="Z4" t="s">
        <v>45</v>
      </c>
      <c r="AA4" t="s">
        <v>8</v>
      </c>
      <c r="AB4" t="str">
        <f ca="1">"NW20"&amp;INDIRECT("Z"&amp;MATCH($B$6,$W$1:$W$8,-1))</f>
        <v>NW20H1</v>
      </c>
      <c r="AC4" s="4" t="str">
        <f ca="1">"MTZ2_20"&amp;INDIRECT("Z"&amp;MATCH($B$6,$W$1:$W$8,-1))</f>
        <v>MTZ2_20H1</v>
      </c>
      <c r="AD4" s="9" t="s">
        <v>46</v>
      </c>
      <c r="AE4" s="10">
        <v>2000</v>
      </c>
      <c r="AF4" s="10" t="s">
        <v>47</v>
      </c>
      <c r="AG4" s="10" t="s">
        <v>48</v>
      </c>
      <c r="AH4" s="10">
        <v>160</v>
      </c>
      <c r="AI4" s="11" t="s">
        <v>49</v>
      </c>
    </row>
    <row r="5" spans="1:35" ht="14.25" thickTop="1" thickBot="1" x14ac:dyDescent="0.25">
      <c r="A5" s="17" t="s">
        <v>50</v>
      </c>
      <c r="B5" s="22">
        <f>INDEX(V1:V7,MATCH(ROUND(B4/(1.73*0.4),0),V1:V7,-1))</f>
        <v>4000</v>
      </c>
      <c r="C5" s="2"/>
      <c r="D5" s="23" t="s">
        <v>51</v>
      </c>
      <c r="E5" s="24">
        <f>SUM(Y26:Z26)</f>
        <v>6</v>
      </c>
      <c r="F5" s="25"/>
      <c r="G5" s="2"/>
      <c r="H5" s="2"/>
      <c r="I5" s="2"/>
      <c r="J5" s="2"/>
      <c r="K5" s="2"/>
      <c r="L5" s="2"/>
      <c r="M5" t="s">
        <v>52</v>
      </c>
      <c r="N5" s="8" t="s">
        <v>53</v>
      </c>
      <c r="O5" s="8" t="s">
        <v>54</v>
      </c>
      <c r="P5" s="8" t="s">
        <v>55</v>
      </c>
      <c r="R5" s="8"/>
      <c r="S5" t="s">
        <v>43</v>
      </c>
      <c r="T5" t="s">
        <v>43</v>
      </c>
      <c r="V5">
        <v>1600</v>
      </c>
      <c r="W5" s="3">
        <v>50</v>
      </c>
      <c r="X5" t="s">
        <v>56</v>
      </c>
      <c r="Y5" t="str">
        <f ca="1">"NSX630"&amp;INDIRECT("X"&amp;MATCH($B$6,$W$1:$W$7,-1))</f>
        <v>NSX630H</v>
      </c>
      <c r="Z5" t="s">
        <v>45</v>
      </c>
      <c r="AA5" t="s">
        <v>21</v>
      </c>
      <c r="AB5" t="str">
        <f ca="1">"NW16"&amp;INDIRECT("Z"&amp;MATCH($B$6,$W$1:$W$8,-1))</f>
        <v>NW16H1</v>
      </c>
      <c r="AC5" s="4" t="str">
        <f ca="1">"MTZ2_16"&amp;INDIRECT("Z"&amp;MATCH($B$6,$W$1:$W$8,-1))</f>
        <v>MTZ2_16H1</v>
      </c>
      <c r="AD5" s="9" t="s">
        <v>57</v>
      </c>
      <c r="AE5" s="10">
        <v>1480</v>
      </c>
      <c r="AF5" s="10" t="s">
        <v>58</v>
      </c>
      <c r="AG5" s="10" t="s">
        <v>59</v>
      </c>
      <c r="AH5" s="10">
        <v>100</v>
      </c>
      <c r="AI5" s="11" t="s">
        <v>60</v>
      </c>
    </row>
    <row r="6" spans="1:35" ht="14.25" thickTop="1" thickBot="1" x14ac:dyDescent="0.25">
      <c r="A6" s="17" t="s">
        <v>61</v>
      </c>
      <c r="B6" s="22">
        <f>ROUND(B4/(1.73*400*0.06),0)</f>
        <v>60</v>
      </c>
      <c r="C6" s="2"/>
      <c r="D6" s="126" t="str">
        <f>"2110x"&amp;(IF(F3&lt;&gt;"",F3,E3)*400+IF(F4&lt;&gt;"",F4,E4)*650+IF(F5&lt;&gt;"",F5,E5)*800+50)&amp;"x"&amp;$B$10&amp;"мм"</f>
        <v>2110x5500x1000мм</v>
      </c>
      <c r="E6" s="127"/>
      <c r="F6" s="128"/>
      <c r="G6" s="2"/>
      <c r="H6" s="2"/>
      <c r="I6" s="2"/>
      <c r="J6" s="2"/>
      <c r="K6" s="2"/>
      <c r="L6" s="2"/>
      <c r="M6" t="s">
        <v>62</v>
      </c>
      <c r="N6" s="8" t="s">
        <v>63</v>
      </c>
      <c r="O6" s="8" t="s">
        <v>64</v>
      </c>
      <c r="P6" s="8" t="s">
        <v>65</v>
      </c>
      <c r="V6">
        <v>1200</v>
      </c>
      <c r="W6" s="3">
        <v>42</v>
      </c>
      <c r="X6" t="s">
        <v>56</v>
      </c>
      <c r="Z6" t="s">
        <v>45</v>
      </c>
      <c r="AA6" t="s">
        <v>45</v>
      </c>
      <c r="AB6" t="str">
        <f ca="1">"NW12"&amp;INDIRECT("Z"&amp;MATCH($B$6,$W$1:$W$8,-1))</f>
        <v>NW12H1</v>
      </c>
      <c r="AC6" s="4" t="str">
        <f ca="1">"MTZ2_12"&amp;INDIRECT("Z"&amp;MATCH($B$6,$W$1:$W$8,-1))</f>
        <v>MTZ2_12H1</v>
      </c>
      <c r="AD6" s="9" t="s">
        <v>66</v>
      </c>
      <c r="AE6" s="10">
        <v>1250</v>
      </c>
      <c r="AF6" s="10" t="s">
        <v>67</v>
      </c>
      <c r="AG6" s="10"/>
      <c r="AH6" s="10"/>
      <c r="AI6" s="11"/>
    </row>
    <row r="7" spans="1:35" ht="16.5" thickTop="1" thickBot="1" x14ac:dyDescent="0.25">
      <c r="A7" s="17" t="s">
        <v>68</v>
      </c>
      <c r="B7" s="18" t="s">
        <v>69</v>
      </c>
      <c r="C7" s="2"/>
      <c r="D7" s="2"/>
      <c r="E7" s="2"/>
      <c r="F7" s="2"/>
      <c r="G7" s="2"/>
      <c r="H7" s="2"/>
      <c r="I7" s="2"/>
      <c r="J7" s="2"/>
      <c r="K7" s="2"/>
      <c r="L7" s="2"/>
      <c r="N7" s="8" t="s">
        <v>70</v>
      </c>
      <c r="O7" s="8" t="s">
        <v>55</v>
      </c>
      <c r="P7" s="8" t="s">
        <v>71</v>
      </c>
      <c r="V7">
        <v>1000</v>
      </c>
      <c r="W7" s="3">
        <v>36</v>
      </c>
      <c r="X7" t="s">
        <v>72</v>
      </c>
      <c r="Z7" t="s">
        <v>45</v>
      </c>
      <c r="AA7" t="s">
        <v>45</v>
      </c>
      <c r="AB7" t="str">
        <f ca="1">"NW10"&amp;INDIRECT("Z"&amp;MATCH($B$6,$W$1:$W$8,-1))</f>
        <v>NW10H1</v>
      </c>
      <c r="AC7" s="4" t="str">
        <f ca="1">"MTZ2_10"&amp;INDIRECT("Z"&amp;MATCH($B$6,$W$1:$W$8,-1))</f>
        <v>MTZ2_10H1</v>
      </c>
      <c r="AD7" s="9" t="s">
        <v>73</v>
      </c>
      <c r="AE7" s="10">
        <v>1000</v>
      </c>
      <c r="AF7" s="10" t="s">
        <v>74</v>
      </c>
      <c r="AG7" s="10"/>
      <c r="AH7" s="10"/>
      <c r="AI7" s="11"/>
    </row>
    <row r="8" spans="1:35" ht="14.25" thickTop="1" thickBot="1" x14ac:dyDescent="0.25">
      <c r="A8" s="17" t="s">
        <v>75</v>
      </c>
      <c r="B8" s="22" t="s">
        <v>76</v>
      </c>
      <c r="C8" s="2"/>
      <c r="D8" s="26" t="s">
        <v>77</v>
      </c>
      <c r="E8" s="27">
        <f>(IF($F$4&lt;&gt;"",$F$4,$E$4)+IF($F$5&lt;&gt;"",$F$5,$E$5))*20</f>
        <v>140</v>
      </c>
      <c r="F8" s="28" t="s">
        <v>78</v>
      </c>
      <c r="G8" s="2"/>
      <c r="H8" s="2"/>
      <c r="I8" s="2"/>
      <c r="J8" s="2"/>
      <c r="K8" s="2"/>
      <c r="L8" s="2"/>
      <c r="M8" s="4" t="s">
        <v>79</v>
      </c>
      <c r="N8" s="8" t="s">
        <v>80</v>
      </c>
      <c r="O8" s="8" t="s">
        <v>65</v>
      </c>
      <c r="P8" s="8" t="s">
        <v>81</v>
      </c>
      <c r="W8" s="3">
        <v>25</v>
      </c>
      <c r="X8" t="s">
        <v>82</v>
      </c>
      <c r="Z8" t="s">
        <v>45</v>
      </c>
      <c r="AA8" t="s">
        <v>45</v>
      </c>
      <c r="AB8" t="str">
        <f ca="1">"NW08"&amp;INDIRECT("Z"&amp;MATCH($B$6,$W$1:$W$8,-1))</f>
        <v>NW08H1</v>
      </c>
      <c r="AC8" s="4" t="str">
        <f ca="1">"MTZ2_08"&amp;INDIRECT("Z"&amp;MATCH($B$6,$W$1:$W$8,-1))</f>
        <v>MTZ2_08H1</v>
      </c>
      <c r="AD8" s="9" t="s">
        <v>83</v>
      </c>
      <c r="AE8" s="10">
        <v>800</v>
      </c>
      <c r="AF8" s="10" t="s">
        <v>84</v>
      </c>
      <c r="AG8" s="10"/>
      <c r="AH8" s="10"/>
      <c r="AI8" s="11"/>
    </row>
    <row r="9" spans="1:35" ht="14.25" thickTop="1" thickBot="1" x14ac:dyDescent="0.25">
      <c r="A9" s="17" t="s">
        <v>85</v>
      </c>
      <c r="B9" s="22" t="str">
        <f>IF(B10&lt;800,"Односторонний","Двусторонний")</f>
        <v>Двусторонний</v>
      </c>
      <c r="C9" s="2"/>
      <c r="D9" s="29" t="s">
        <v>86</v>
      </c>
      <c r="E9" s="19">
        <f>E11*0.25</f>
        <v>10.5</v>
      </c>
      <c r="F9" s="30" t="s">
        <v>78</v>
      </c>
      <c r="G9" s="2"/>
      <c r="H9" s="2"/>
      <c r="I9" s="2"/>
      <c r="J9" s="31" t="b">
        <v>1</v>
      </c>
      <c r="K9" s="2"/>
      <c r="L9" s="2"/>
      <c r="M9" s="4" t="s">
        <v>87</v>
      </c>
      <c r="N9" s="8" t="s">
        <v>88</v>
      </c>
      <c r="AB9" t="str">
        <f ca="1">IF($B$6&gt;50,"NT10","NT16")&amp;INDIRECT("AA"&amp;MATCH($B$6,$W$1:$W$8,-1))</f>
        <v>NT10L</v>
      </c>
      <c r="AC9" s="4" t="str">
        <f ca="1">IF($B$6&gt;50,"MTZ1_10","MTZ1_16")&amp;INDIRECT("AA"&amp;MATCH($B$6,$W$1:$W$8,-1))</f>
        <v>MTZ1_10L</v>
      </c>
      <c r="AD9" s="9" t="s">
        <v>89</v>
      </c>
      <c r="AE9" s="10">
        <v>1480</v>
      </c>
      <c r="AF9" s="10" t="s">
        <v>58</v>
      </c>
      <c r="AG9" s="10"/>
      <c r="AH9" s="10"/>
      <c r="AI9" s="11"/>
    </row>
    <row r="10" spans="1:35" ht="16.5" thickTop="1" thickBot="1" x14ac:dyDescent="0.25">
      <c r="A10" s="17" t="s">
        <v>90</v>
      </c>
      <c r="B10" s="18">
        <v>1000</v>
      </c>
      <c r="C10" s="2"/>
      <c r="D10" s="29" t="s">
        <v>91</v>
      </c>
      <c r="E10" s="19">
        <f>E8*3</f>
        <v>420</v>
      </c>
      <c r="F10" s="30" t="s">
        <v>78</v>
      </c>
      <c r="G10" s="2"/>
      <c r="H10" s="2"/>
      <c r="I10" s="2"/>
      <c r="J10" s="31" t="b">
        <v>1</v>
      </c>
      <c r="K10" s="2"/>
      <c r="L10" s="2"/>
      <c r="M10" s="4" t="s">
        <v>92</v>
      </c>
      <c r="N10" s="8" t="s">
        <v>54</v>
      </c>
      <c r="AB10" t="str">
        <f ca="1">IF($B$6&gt;50,"NT08","NT12")&amp;INDIRECT("AA"&amp;MATCH($B$6,$W$1:$W$8,-1))</f>
        <v>NT08L</v>
      </c>
      <c r="AC10" s="4" t="str">
        <f ca="1">IF($B$6&gt;50,"MTZ1_08","MTZ1_12")&amp;INDIRECT("AA"&amp;MATCH($B$6,$W$1:$W$8,-1))</f>
        <v>MTZ1_08L</v>
      </c>
      <c r="AD10" s="9" t="s">
        <v>93</v>
      </c>
      <c r="AE10" s="10">
        <v>1250</v>
      </c>
      <c r="AF10" s="10" t="s">
        <v>67</v>
      </c>
      <c r="AG10" s="10"/>
      <c r="AH10" s="10"/>
      <c r="AI10" s="11"/>
    </row>
    <row r="11" spans="1:35" ht="16.5" thickTop="1" thickBot="1" x14ac:dyDescent="0.25">
      <c r="A11" s="17" t="s">
        <v>94</v>
      </c>
      <c r="B11" s="18" t="s">
        <v>95</v>
      </c>
      <c r="C11" s="2"/>
      <c r="D11" s="29" t="s">
        <v>96</v>
      </c>
      <c r="E11" s="19">
        <f>E10*0.1</f>
        <v>42</v>
      </c>
      <c r="F11" s="30" t="s">
        <v>78</v>
      </c>
      <c r="G11" s="2"/>
      <c r="H11" s="2"/>
      <c r="I11" s="2"/>
      <c r="J11" s="31" t="b">
        <v>0</v>
      </c>
      <c r="K11" s="2"/>
      <c r="L11" s="2"/>
      <c r="N11" s="8" t="s">
        <v>64</v>
      </c>
      <c r="AB11" t="str">
        <f ca="1">IF($B$6&gt;50,"NT06","NT10")&amp;INDIRECT("AA"&amp;MATCH($B$6,$W$1:$W$8,-1))</f>
        <v>NT06L</v>
      </c>
      <c r="AC11" s="4" t="str">
        <f ca="1">IF($B$6&gt;50,"MTZ1_06","MTZ1_10")&amp;INDIRECT("AA"&amp;MATCH($B$6,$W$1:$W$8,-1))</f>
        <v>MTZ1_06L</v>
      </c>
      <c r="AD11" s="9" t="s">
        <v>97</v>
      </c>
      <c r="AE11" s="10">
        <v>1000</v>
      </c>
      <c r="AF11" s="10" t="s">
        <v>74</v>
      </c>
      <c r="AG11" s="10"/>
      <c r="AH11" s="10"/>
      <c r="AI11" s="11"/>
    </row>
    <row r="12" spans="1:35" ht="14.25" thickTop="1" thickBot="1" x14ac:dyDescent="0.25">
      <c r="A12" s="17" t="s">
        <v>1</v>
      </c>
      <c r="B12" s="22" t="s">
        <v>98</v>
      </c>
      <c r="C12" s="2"/>
      <c r="D12" s="29" t="s">
        <v>99</v>
      </c>
      <c r="E12" s="19">
        <v>8</v>
      </c>
      <c r="F12" s="30" t="s">
        <v>78</v>
      </c>
      <c r="G12" s="2"/>
      <c r="H12" s="2"/>
      <c r="I12" s="2"/>
      <c r="J12" s="2"/>
      <c r="K12" s="2"/>
      <c r="L12" s="2"/>
      <c r="N12" s="8"/>
      <c r="AB12">
        <f ca="1">IF($B$6&gt;50,1,"NT08"&amp;INDIRECT("AA"&amp;MATCH($B$6,$W$1:$W$8,-1)))</f>
        <v>1</v>
      </c>
      <c r="AC12" s="4">
        <f ca="1">IF($B$6&gt;50,1,"MTZ1_08"&amp;INDIRECT("AA"&amp;MATCH($B$6,$W$1:$W$8,-1)))</f>
        <v>1</v>
      </c>
      <c r="AD12" s="9" t="s">
        <v>100</v>
      </c>
      <c r="AE12" s="10">
        <v>800</v>
      </c>
      <c r="AF12" s="10" t="s">
        <v>84</v>
      </c>
      <c r="AG12" s="10"/>
      <c r="AH12" s="10"/>
      <c r="AI12" s="11"/>
    </row>
    <row r="13" spans="1:35" ht="16.5" customHeight="1" thickTop="1" thickBot="1" x14ac:dyDescent="0.25">
      <c r="A13" s="17" t="s">
        <v>101</v>
      </c>
      <c r="B13" s="18" t="s">
        <v>102</v>
      </c>
      <c r="C13" s="2"/>
      <c r="D13" s="32" t="s">
        <v>103</v>
      </c>
      <c r="E13" s="23">
        <f>17.5*E8</f>
        <v>2450</v>
      </c>
      <c r="F13" s="33" t="s">
        <v>104</v>
      </c>
      <c r="G13" s="2"/>
      <c r="H13" s="2"/>
      <c r="I13" s="34"/>
      <c r="J13" s="35" t="s">
        <v>105</v>
      </c>
      <c r="K13" s="2"/>
      <c r="L13" s="2"/>
      <c r="AB13">
        <f ca="1">IF($B$6&gt;50,1,"NT06"&amp;INDIRECT("AA"&amp;MATCH($B$6,$W$1:$W$8,-1)))</f>
        <v>1</v>
      </c>
      <c r="AC13" s="4">
        <f ca="1">IF($B$6&gt;50,1,"MTZ1_06"&amp;INDIRECT("AA"&amp;MATCH($B$6,$W$1:$W$8,-1)))</f>
        <v>1</v>
      </c>
      <c r="AD13" s="36" t="s">
        <v>106</v>
      </c>
      <c r="AE13" s="37">
        <v>630</v>
      </c>
      <c r="AF13" s="37" t="s">
        <v>13</v>
      </c>
      <c r="AG13" s="37"/>
      <c r="AH13" s="37"/>
      <c r="AI13" s="38"/>
    </row>
    <row r="14" spans="1:35" ht="16.5" customHeight="1" thickTop="1" thickBot="1" x14ac:dyDescent="0.25">
      <c r="A14" s="17" t="s">
        <v>107</v>
      </c>
      <c r="B14" s="18" t="s">
        <v>108</v>
      </c>
      <c r="C14" s="2"/>
      <c r="D14" s="129" t="s">
        <v>109</v>
      </c>
      <c r="E14" s="131"/>
      <c r="F14" s="132"/>
      <c r="G14" s="2"/>
      <c r="H14" s="2"/>
      <c r="I14" s="39"/>
      <c r="J14" s="35" t="s">
        <v>110</v>
      </c>
      <c r="K14" s="2"/>
      <c r="L14" s="2"/>
    </row>
    <row r="15" spans="1:35" ht="16.5" thickTop="1" thickBot="1" x14ac:dyDescent="0.25">
      <c r="A15" s="40" t="s">
        <v>111</v>
      </c>
      <c r="B15" s="18" t="s">
        <v>112</v>
      </c>
      <c r="C15" s="2"/>
      <c r="D15" s="130"/>
      <c r="E15" s="133"/>
      <c r="F15" s="134"/>
      <c r="G15" s="2"/>
      <c r="H15" s="2"/>
      <c r="I15" s="41"/>
      <c r="J15" s="35" t="s">
        <v>113</v>
      </c>
      <c r="K15" s="2"/>
      <c r="L15" s="2"/>
    </row>
    <row r="16" spans="1:35" ht="14.25" thickTop="1" thickBot="1" x14ac:dyDescent="0.25">
      <c r="A16" s="2"/>
      <c r="B16" s="2"/>
      <c r="C16" s="2"/>
      <c r="D16" s="42"/>
      <c r="E16" s="42"/>
      <c r="F16" s="2"/>
      <c r="G16" s="2"/>
      <c r="H16" s="2"/>
      <c r="I16" s="2"/>
      <c r="J16" s="2"/>
      <c r="K16" s="2"/>
      <c r="L16" s="2"/>
    </row>
    <row r="17" spans="1:29" ht="21.75" customHeight="1" thickTop="1" x14ac:dyDescent="0.2">
      <c r="A17" s="135"/>
      <c r="B17" s="121" t="s">
        <v>114</v>
      </c>
      <c r="C17" s="138" t="s">
        <v>115</v>
      </c>
      <c r="D17" s="117" t="s">
        <v>116</v>
      </c>
      <c r="E17" s="117" t="s">
        <v>117</v>
      </c>
      <c r="F17" s="117" t="s">
        <v>118</v>
      </c>
      <c r="G17" s="138" t="s">
        <v>119</v>
      </c>
      <c r="H17" s="138" t="s">
        <v>120</v>
      </c>
      <c r="I17" s="117" t="s">
        <v>121</v>
      </c>
      <c r="J17" s="119" t="s">
        <v>122</v>
      </c>
      <c r="K17" s="121" t="s">
        <v>123</v>
      </c>
      <c r="L17" s="122"/>
      <c r="S17" s="43"/>
      <c r="U17" s="8"/>
    </row>
    <row r="18" spans="1:29" ht="20.25" customHeight="1" thickBot="1" x14ac:dyDescent="0.25">
      <c r="A18" s="136"/>
      <c r="B18" s="137"/>
      <c r="C18" s="139"/>
      <c r="D18" s="118"/>
      <c r="E18" s="118"/>
      <c r="F18" s="118"/>
      <c r="G18" s="139"/>
      <c r="H18" s="139"/>
      <c r="I18" s="118"/>
      <c r="J18" s="120"/>
      <c r="K18" s="44" t="s">
        <v>124</v>
      </c>
      <c r="L18" s="45" t="s">
        <v>125</v>
      </c>
      <c r="AB18" s="43" t="s">
        <v>126</v>
      </c>
      <c r="AC18" s="43" t="s">
        <v>127</v>
      </c>
    </row>
    <row r="19" spans="1:29" ht="14.25" thickTop="1" thickBot="1" x14ac:dyDescent="0.25">
      <c r="A19" s="46" t="s">
        <v>128</v>
      </c>
      <c r="B19" s="47" t="s">
        <v>157</v>
      </c>
      <c r="C19" s="48" t="s">
        <v>16</v>
      </c>
      <c r="D19" s="49" t="s">
        <v>129</v>
      </c>
      <c r="E19" s="49"/>
      <c r="F19" s="49">
        <v>3</v>
      </c>
      <c r="G19" s="49" t="s">
        <v>32</v>
      </c>
      <c r="H19" s="49"/>
      <c r="I19" s="49"/>
      <c r="J19" s="50" t="s">
        <v>129</v>
      </c>
      <c r="K19" s="51">
        <v>1</v>
      </c>
      <c r="L19" s="52">
        <v>1</v>
      </c>
      <c r="M19" s="53"/>
      <c r="N19" s="54"/>
      <c r="O19" s="54"/>
      <c r="P19" s="54"/>
      <c r="Q19" s="54"/>
      <c r="R19" s="54"/>
      <c r="S19" s="54"/>
      <c r="T19" s="54"/>
      <c r="U19" s="54"/>
      <c r="V19" s="55"/>
      <c r="AB19" s="5">
        <f>INDEX($AD$1:$AF$13,MATCH(LEFT(B19,4),$AD$1:$AD$13,0),2)</f>
        <v>2820</v>
      </c>
      <c r="AC19" s="7" t="str">
        <f>INDEX($AD$1:$AF$13,MATCH(LEFT(B19,4),$AD$1:$AD$13,0),3)</f>
        <v>3000/5A</v>
      </c>
    </row>
    <row r="20" spans="1:29" ht="14.25" thickTop="1" thickBot="1" x14ac:dyDescent="0.25">
      <c r="A20" s="56"/>
      <c r="B20" s="56"/>
      <c r="C20" s="56"/>
      <c r="D20" s="56"/>
      <c r="E20" s="57"/>
      <c r="F20" s="57"/>
      <c r="G20" s="58"/>
      <c r="H20" s="57"/>
      <c r="I20" s="57"/>
      <c r="J20" s="59"/>
      <c r="K20" s="58"/>
      <c r="L20" s="60"/>
      <c r="M20" s="10"/>
      <c r="P20" s="54"/>
      <c r="S20" s="54"/>
      <c r="T20" s="54"/>
      <c r="V20" s="61"/>
      <c r="AB20" s="9" t="e">
        <f t="shared" ref="AB20:AB31" si="0">INDEX($AD$1:$AF$13,MATCH(LEFT(B20,4),$AD$1:$AD$13,0),2)</f>
        <v>#N/A</v>
      </c>
      <c r="AC20" s="11" t="e">
        <f t="shared" ref="AC20:AC31" si="1">INDEX($AD$1:$AF$13,MATCH(LEFT(B20,4),$AD$1:$AD$13,0),3)</f>
        <v>#N/A</v>
      </c>
    </row>
    <row r="21" spans="1:29" ht="14.25" thickTop="1" thickBot="1" x14ac:dyDescent="0.25">
      <c r="A21" s="62" t="s">
        <v>130</v>
      </c>
      <c r="B21" s="47" t="s">
        <v>155</v>
      </c>
      <c r="C21" s="63" t="s">
        <v>29</v>
      </c>
      <c r="D21" s="64" t="s">
        <v>129</v>
      </c>
      <c r="E21" s="65"/>
      <c r="F21" s="66"/>
      <c r="G21" s="66"/>
      <c r="H21" s="66"/>
      <c r="I21" s="67"/>
      <c r="J21" s="68"/>
      <c r="K21" s="69">
        <v>1</v>
      </c>
      <c r="L21" s="70"/>
      <c r="M21" s="53"/>
      <c r="N21" s="54"/>
      <c r="O21" s="54"/>
      <c r="P21" s="54"/>
      <c r="Q21" s="54"/>
      <c r="R21" s="54"/>
      <c r="S21" s="54"/>
      <c r="T21" s="54"/>
      <c r="U21" s="54"/>
      <c r="V21" s="55"/>
      <c r="AB21" s="9">
        <f t="shared" si="0"/>
        <v>1250</v>
      </c>
      <c r="AC21" s="11" t="str">
        <f t="shared" si="1"/>
        <v>1250/5A</v>
      </c>
    </row>
    <row r="22" spans="1:29" ht="13.5" thickTop="1" x14ac:dyDescent="0.2">
      <c r="A22" s="71"/>
      <c r="B22" s="71"/>
      <c r="C22" s="71"/>
      <c r="D22" s="71"/>
      <c r="E22" s="71"/>
      <c r="F22" s="71"/>
      <c r="G22" s="72"/>
      <c r="H22" s="71"/>
      <c r="I22" s="71"/>
      <c r="J22" s="71"/>
      <c r="K22" s="71"/>
      <c r="L22" s="73"/>
      <c r="M22" s="10"/>
      <c r="S22" s="54"/>
      <c r="V22" s="55"/>
      <c r="AB22" s="9" t="e">
        <f t="shared" si="0"/>
        <v>#N/A</v>
      </c>
      <c r="AC22" s="11" t="e">
        <f t="shared" si="1"/>
        <v>#N/A</v>
      </c>
    </row>
    <row r="23" spans="1:29" ht="13.5" thickBot="1" x14ac:dyDescent="0.25">
      <c r="A23" s="74" t="s">
        <v>131</v>
      </c>
      <c r="B23" s="75"/>
      <c r="C23" s="76"/>
      <c r="D23" s="76"/>
      <c r="E23" s="76"/>
      <c r="F23" s="76"/>
      <c r="G23" s="75"/>
      <c r="H23" s="76"/>
      <c r="I23" s="76"/>
      <c r="J23" s="76"/>
      <c r="K23" s="76"/>
      <c r="L23" s="77"/>
      <c r="M23" s="10"/>
      <c r="S23" s="54"/>
      <c r="V23" s="55"/>
      <c r="AB23" s="9" t="e">
        <f t="shared" si="0"/>
        <v>#N/A</v>
      </c>
      <c r="AC23" s="11" t="e">
        <f t="shared" si="1"/>
        <v>#N/A</v>
      </c>
    </row>
    <row r="24" spans="1:29" ht="13.5" thickTop="1" x14ac:dyDescent="0.2">
      <c r="A24" s="140" t="s">
        <v>1</v>
      </c>
      <c r="B24" s="78" t="s">
        <v>160</v>
      </c>
      <c r="C24" s="79" t="s">
        <v>29</v>
      </c>
      <c r="D24" s="80" t="s">
        <v>129</v>
      </c>
      <c r="E24" s="66" t="s">
        <v>129</v>
      </c>
      <c r="F24" s="66"/>
      <c r="G24" s="66"/>
      <c r="H24" s="66"/>
      <c r="I24" s="66"/>
      <c r="J24" s="81"/>
      <c r="K24" s="82"/>
      <c r="L24" s="83"/>
      <c r="M24" s="53"/>
      <c r="N24" s="54"/>
      <c r="O24" s="54"/>
      <c r="P24" s="54"/>
      <c r="Q24" s="54"/>
      <c r="R24" s="54"/>
      <c r="S24" s="54"/>
      <c r="T24" s="54"/>
      <c r="V24" s="55"/>
      <c r="X24" s="5">
        <v>400</v>
      </c>
      <c r="Y24" s="6">
        <f>IF(B10&lt;800,Y27+Z27,0)</f>
        <v>0</v>
      </c>
      <c r="Z24" s="7"/>
      <c r="AA24" s="55">
        <f>(VLOOKUP("P"&amp;X24&amp;"x"&amp;$B$10,[1]SP!A:B,2,0)+VLOOKUP("FBB"&amp;$B$5&amp;"-400",[1]SP!A:B,2,0))*IF(F3&lt;&gt;"",F3,E3)</f>
        <v>0</v>
      </c>
      <c r="AB24" s="9">
        <f t="shared" si="0"/>
        <v>800</v>
      </c>
      <c r="AC24" s="11" t="str">
        <f t="shared" si="1"/>
        <v>800/5A</v>
      </c>
    </row>
    <row r="25" spans="1:29" x14ac:dyDescent="0.2">
      <c r="A25" s="140"/>
      <c r="B25" s="84" t="s">
        <v>156</v>
      </c>
      <c r="C25" s="85" t="s">
        <v>16</v>
      </c>
      <c r="D25" s="86"/>
      <c r="E25" s="87"/>
      <c r="F25" s="86">
        <v>1</v>
      </c>
      <c r="G25" s="66"/>
      <c r="H25" s="86"/>
      <c r="I25" s="86"/>
      <c r="J25" s="88"/>
      <c r="K25" s="89"/>
      <c r="L25" s="83"/>
      <c r="M25" s="53"/>
      <c r="N25" s="54"/>
      <c r="O25" s="54"/>
      <c r="P25" s="54"/>
      <c r="Q25" s="54"/>
      <c r="R25" s="54"/>
      <c r="S25" s="54"/>
      <c r="T25" s="54"/>
      <c r="V25" s="55"/>
      <c r="X25" s="9">
        <v>650</v>
      </c>
      <c r="Y25" s="10">
        <f>(B14="По краям")*((MID(B19,1,4)&lt;&gt;"NW32")*(K19+L19)+(MID(B21,1,4)&lt;&gt;"NW32")*(IF(B10&lt;800,Y27+Z27,Y28+Z28)&gt;2)*K21)</f>
        <v>1</v>
      </c>
      <c r="Z25" s="11">
        <f>(B14="В центре")*(IF(AND(MID(B19,1,2)="NT",MID(B21,1,2)="NT"),(K19+L19),(MID(B19,1,4)&lt;&gt;"NW32")*((MID(B21,1,4)&lt;&gt;"NW32")*(K19+L19)+(MID(B21,1,4)="NW32"))))</f>
        <v>0</v>
      </c>
      <c r="AA25" s="55">
        <f>VLOOKUP("P"&amp;X25&amp;"x"&amp;$B$10,[1]SP!A:B,2,0)*IF(F4&lt;&gt;"",F4,E4)</f>
        <v>777.01745676736891</v>
      </c>
      <c r="AB25" s="9">
        <f t="shared" si="0"/>
        <v>1480</v>
      </c>
      <c r="AC25" s="11" t="str">
        <f t="shared" si="1"/>
        <v>1500/5A</v>
      </c>
    </row>
    <row r="26" spans="1:29" x14ac:dyDescent="0.2">
      <c r="A26" s="140"/>
      <c r="B26" s="84"/>
      <c r="C26" s="85"/>
      <c r="D26" s="86"/>
      <c r="E26" s="86"/>
      <c r="F26" s="86"/>
      <c r="G26" s="66"/>
      <c r="H26" s="86"/>
      <c r="I26" s="86"/>
      <c r="J26" s="88"/>
      <c r="K26" s="90"/>
      <c r="L26" s="91"/>
      <c r="M26" s="53"/>
      <c r="N26" s="54"/>
      <c r="O26" s="54"/>
      <c r="P26" s="54"/>
      <c r="Q26" s="54"/>
      <c r="R26" s="54"/>
      <c r="S26" s="54"/>
      <c r="T26" s="54"/>
      <c r="V26" s="55"/>
      <c r="X26" s="9">
        <v>800</v>
      </c>
      <c r="Y26" s="10">
        <f>(B14="По краям")*((MID(B19,1,4)="NW32")*(K19+L19)+(MID(B21,1,4)="NW32")+(MID(B21,1,4)&lt;&gt;"NW32")*(IF(B10&lt;800,Y27+Z27,Y28+Z28)&lt;3)+IF(B10&lt;800,Y27+Z27,Y28+Z28))</f>
        <v>6</v>
      </c>
      <c r="Z26" s="11">
        <f>(B14="В центре")*(NOT((MID(B19,1,2)="NT")*(MID(B21,1,2)="NT"))*((MID(B19,1,4)="NW32")*(K19+L19)+(MID(B19,1,4)&lt;&gt;"NW32")*(MID(B21,1,4)="NW32")+(K21=1))+IF(B10&lt;800,Y27+Z27,Y28+Z28))</f>
        <v>0</v>
      </c>
      <c r="AA26" s="55">
        <f>(VLOOKUP("P"&amp;X26&amp;"x"&amp;$B$10,[1]SP!A:B,2,0)+VLOOKUP("FBB"&amp;$B$5,[1]SP!A:B,2,0)+IF($B$7&lt;&gt;"TN-C",VLOOKUP("FBB"&amp;$B$5&amp;"S",[1]SP!A:B,2,0),0))*IF(F5&lt;&gt;"",F5,E5)</f>
        <v>29461.954756579627</v>
      </c>
      <c r="AB26" s="9" t="e">
        <f t="shared" si="0"/>
        <v>#N/A</v>
      </c>
      <c r="AC26" s="11" t="e">
        <f t="shared" si="1"/>
        <v>#N/A</v>
      </c>
    </row>
    <row r="27" spans="1:29" x14ac:dyDescent="0.2">
      <c r="A27" s="140"/>
      <c r="B27" s="84"/>
      <c r="C27" s="85"/>
      <c r="D27" s="86"/>
      <c r="E27" s="86"/>
      <c r="F27" s="86"/>
      <c r="G27" s="66"/>
      <c r="H27" s="86"/>
      <c r="I27" s="92"/>
      <c r="J27" s="88"/>
      <c r="K27" s="90">
        <v>1</v>
      </c>
      <c r="L27" s="91"/>
      <c r="M27" s="53"/>
      <c r="N27" s="54"/>
      <c r="O27" s="54"/>
      <c r="P27" s="54"/>
      <c r="Q27" s="54"/>
      <c r="R27" s="54"/>
      <c r="S27" s="54"/>
      <c r="T27" s="54"/>
      <c r="V27" s="55"/>
      <c r="X27" s="93" t="s">
        <v>132</v>
      </c>
      <c r="Y27" s="94">
        <f>MAX(Y33+Y34,Y33+Y34+ROUNDUP((Y35-Y33*12-Y34*15)/27,0))</f>
        <v>2</v>
      </c>
      <c r="Z27" s="95">
        <f>MAX(Z33+Z34,Z33+Z34+ROUNDUP((Z35-Z33*12-Z34*15)/27,0))</f>
        <v>2</v>
      </c>
      <c r="AA27" s="55">
        <f>(VLOOKUP("Per Column",[1]SP!A:B,2,0)+250)*(IF(F4&lt;&gt;"",F4,E4)+IF(F5&lt;&gt;"",F5,E5))+VLOOKUP("Accessories",[1]SP!A:B,2,0)*((IF(F4&lt;&gt;"",F4,E4)+IF(F5&lt;&gt;"",F5,E5))&gt;0)+VLOOKUP("AVR",[1]SP!A:B,2,0)*(SUM(K19:L19)&gt;1)+VLOOKUP("FBB"&amp;$B$5&amp;"-400",[1]SP!A:B,2,0)*2</f>
        <v>7778.8556060490037</v>
      </c>
      <c r="AB27" s="9" t="e">
        <f t="shared" si="0"/>
        <v>#N/A</v>
      </c>
      <c r="AC27" s="11" t="e">
        <f t="shared" si="1"/>
        <v>#N/A</v>
      </c>
    </row>
    <row r="28" spans="1:29" x14ac:dyDescent="0.2">
      <c r="A28" s="140"/>
      <c r="B28" s="84"/>
      <c r="C28" s="85"/>
      <c r="D28" s="86"/>
      <c r="E28" s="86"/>
      <c r="F28" s="86"/>
      <c r="G28" s="66"/>
      <c r="H28" s="86"/>
      <c r="I28" s="92"/>
      <c r="J28" s="96"/>
      <c r="K28" s="90"/>
      <c r="L28" s="91"/>
      <c r="M28" s="53"/>
      <c r="N28" s="54"/>
      <c r="O28" s="54"/>
      <c r="P28" s="54"/>
      <c r="Q28" s="54"/>
      <c r="R28" s="54"/>
      <c r="S28" s="54"/>
      <c r="T28" s="54"/>
      <c r="V28" s="55"/>
      <c r="X28" s="93" t="s">
        <v>133</v>
      </c>
      <c r="Y28" s="94">
        <f>MAX(ROUNDUP((Y33+Y34)/2,0),ROUNDUP((Y33+Y34)/2,0)+ROUNDUP((Y35-Y32)/27,0))</f>
        <v>2</v>
      </c>
      <c r="Z28" s="95">
        <f>MAX(ROUNDUP((Z33+Z34)/2,0),ROUNDUP((Z33+Z34)/2,0)+ROUNDUP((Z35-Z32)/27,0))</f>
        <v>2</v>
      </c>
      <c r="AA28" s="8"/>
      <c r="AB28" s="9" t="e">
        <f t="shared" si="0"/>
        <v>#N/A</v>
      </c>
      <c r="AC28" s="11" t="e">
        <f t="shared" si="1"/>
        <v>#N/A</v>
      </c>
    </row>
    <row r="29" spans="1:29" x14ac:dyDescent="0.2">
      <c r="A29" s="140"/>
      <c r="B29" s="84" t="s">
        <v>156</v>
      </c>
      <c r="C29" s="85" t="s">
        <v>29</v>
      </c>
      <c r="D29" s="86" t="s">
        <v>129</v>
      </c>
      <c r="E29" s="86" t="s">
        <v>129</v>
      </c>
      <c r="F29" s="86"/>
      <c r="G29" s="66"/>
      <c r="H29" s="86"/>
      <c r="I29" s="92"/>
      <c r="J29" s="88"/>
      <c r="K29" s="90"/>
      <c r="L29" s="91"/>
      <c r="M29" s="53"/>
      <c r="N29" s="54"/>
      <c r="O29" s="54"/>
      <c r="P29" s="54"/>
      <c r="Q29" s="54"/>
      <c r="R29" s="54"/>
      <c r="S29" s="54"/>
      <c r="T29" s="54"/>
      <c r="V29" s="55"/>
      <c r="X29" s="9" t="s">
        <v>134</v>
      </c>
      <c r="Y29" s="10">
        <f>ROUNDUP((Y33+Y34)/2-ROUNDDOWN((Y33+Y34)/2,0),0)</f>
        <v>0</v>
      </c>
      <c r="Z29" s="11">
        <f>ROUNDUP((Z33+Z34)/2-ROUNDDOWN((Z33+Z34)/2,0),0)</f>
        <v>0</v>
      </c>
      <c r="AA29" s="8" t="s">
        <v>135</v>
      </c>
      <c r="AB29" s="9">
        <f t="shared" si="0"/>
        <v>1480</v>
      </c>
      <c r="AC29" s="11" t="str">
        <f t="shared" si="1"/>
        <v>1500/5A</v>
      </c>
    </row>
    <row r="30" spans="1:29" ht="13.5" thickBot="1" x14ac:dyDescent="0.25">
      <c r="A30" s="141"/>
      <c r="B30" s="84"/>
      <c r="C30" s="97"/>
      <c r="D30" s="92"/>
      <c r="E30" s="92"/>
      <c r="F30" s="92"/>
      <c r="G30" s="66"/>
      <c r="H30" s="92"/>
      <c r="I30" s="92"/>
      <c r="J30" s="98"/>
      <c r="K30" s="99"/>
      <c r="L30" s="100"/>
      <c r="M30" s="53"/>
      <c r="N30" s="54"/>
      <c r="O30" s="54"/>
      <c r="P30" s="54"/>
      <c r="Q30" s="54"/>
      <c r="R30" s="54"/>
      <c r="S30" s="54"/>
      <c r="T30" s="54"/>
      <c r="V30" s="55"/>
      <c r="X30" s="9" t="s">
        <v>136</v>
      </c>
      <c r="Y30" s="10">
        <f>ROUNDUP(Y33/2-ROUNDDOWN(Y33/2,0),0)</f>
        <v>0</v>
      </c>
      <c r="Z30" s="11">
        <f>ROUNDUP(Z33/2-ROUNDDOWN(Z33/2,0),0)</f>
        <v>0</v>
      </c>
      <c r="AA30" s="101">
        <v>0</v>
      </c>
      <c r="AB30" s="9" t="e">
        <f t="shared" si="0"/>
        <v>#N/A</v>
      </c>
      <c r="AC30" s="11" t="e">
        <f t="shared" si="1"/>
        <v>#N/A</v>
      </c>
    </row>
    <row r="31" spans="1:29" ht="27" customHeight="1" thickTop="1" thickBot="1" x14ac:dyDescent="0.25">
      <c r="A31" s="102"/>
      <c r="B31" s="103" t="s">
        <v>114</v>
      </c>
      <c r="C31" s="104" t="s">
        <v>115</v>
      </c>
      <c r="D31" s="104" t="s">
        <v>137</v>
      </c>
      <c r="E31" s="104" t="s">
        <v>117</v>
      </c>
      <c r="F31" s="105" t="s">
        <v>118</v>
      </c>
      <c r="G31" s="104" t="s">
        <v>119</v>
      </c>
      <c r="H31" s="104" t="s">
        <v>120</v>
      </c>
      <c r="I31" s="104" t="s">
        <v>138</v>
      </c>
      <c r="J31" s="106" t="s">
        <v>139</v>
      </c>
      <c r="K31" s="107"/>
      <c r="L31" s="108"/>
      <c r="M31" s="53"/>
      <c r="N31" s="109"/>
      <c r="O31" s="109"/>
      <c r="P31" s="109"/>
      <c r="Q31" s="109"/>
      <c r="R31" s="109"/>
      <c r="S31" s="109"/>
      <c r="T31" s="109"/>
      <c r="U31" s="109"/>
      <c r="V31" s="55"/>
      <c r="X31" s="9" t="s">
        <v>140</v>
      </c>
      <c r="Y31" s="10">
        <f>ROUNDUP(Y34/2-ROUNDDOWN(Y34/2,0),0)</f>
        <v>0</v>
      </c>
      <c r="Z31" s="11">
        <f>ROUNDUP(Z34/2-ROUNDDOWN(Z34/2,0),0)</f>
        <v>0</v>
      </c>
      <c r="AB31" s="9" t="e">
        <f t="shared" si="0"/>
        <v>#N/A</v>
      </c>
      <c r="AC31" s="11" t="e">
        <f t="shared" si="1"/>
        <v>#N/A</v>
      </c>
    </row>
    <row r="32" spans="1:29" ht="13.5" thickTop="1" x14ac:dyDescent="0.2">
      <c r="A32" s="142" t="s">
        <v>141</v>
      </c>
      <c r="B32" s="110" t="s">
        <v>142</v>
      </c>
      <c r="C32" s="79" t="s">
        <v>41</v>
      </c>
      <c r="D32" s="66"/>
      <c r="E32" s="66"/>
      <c r="F32" s="66"/>
      <c r="G32" s="66" t="s">
        <v>44</v>
      </c>
      <c r="H32" s="66"/>
      <c r="I32" s="66" t="s">
        <v>129</v>
      </c>
      <c r="J32" s="111"/>
      <c r="K32" s="89">
        <v>4</v>
      </c>
      <c r="L32" s="83">
        <v>2</v>
      </c>
      <c r="M32" s="53"/>
      <c r="N32" s="54"/>
      <c r="O32" s="54"/>
      <c r="P32" s="54"/>
      <c r="Q32" s="54"/>
      <c r="R32" s="54"/>
      <c r="S32" s="54"/>
      <c r="T32" s="54"/>
      <c r="U32" s="54"/>
      <c r="V32" s="55"/>
      <c r="X32" s="9" t="s">
        <v>143</v>
      </c>
      <c r="Y32" s="10">
        <f>Y29*(Y30*15+Y31*19)+ROUNDDOWN(Y34/2,0)*8+NOT(Y29)*Y30*3</f>
        <v>0</v>
      </c>
      <c r="Z32" s="11">
        <f>Z29*(Z30*15+Z31*19)+ROUNDDOWN(Z34/2,0)*8+NOT(Z29)*Z30*3</f>
        <v>0</v>
      </c>
      <c r="AB32" s="9">
        <f t="shared" ref="AB32:AB38" si="2">INDEX($AG$1:$AI$5,MATCH(LEFT(B32,6),$AG$1:$AG$5,0),2)</f>
        <v>100</v>
      </c>
      <c r="AC32" s="11" t="str">
        <f t="shared" ref="AC32:AC38" si="3">INDEX($AG$1:$AI$5,MATCH(LEFT(B32,6),$AG$1:$AG$5,0),3)</f>
        <v>100/5A</v>
      </c>
    </row>
    <row r="33" spans="1:29" x14ac:dyDescent="0.2">
      <c r="A33" s="140"/>
      <c r="B33" s="84" t="s">
        <v>147</v>
      </c>
      <c r="C33" s="85" t="s">
        <v>41</v>
      </c>
      <c r="D33" s="66"/>
      <c r="E33" s="86"/>
      <c r="F33" s="86">
        <v>3</v>
      </c>
      <c r="G33" s="66" t="s">
        <v>44</v>
      </c>
      <c r="H33" s="86"/>
      <c r="I33" s="66" t="s">
        <v>129</v>
      </c>
      <c r="J33" s="88"/>
      <c r="K33" s="89">
        <v>2</v>
      </c>
      <c r="L33" s="112">
        <v>2</v>
      </c>
      <c r="M33" s="53"/>
      <c r="N33" s="54"/>
      <c r="O33" s="54"/>
      <c r="P33" s="54"/>
      <c r="Q33" s="54"/>
      <c r="R33" s="54"/>
      <c r="S33" s="54"/>
      <c r="T33" s="54"/>
      <c r="U33" s="54"/>
      <c r="V33" s="55"/>
      <c r="X33" s="9" t="s">
        <v>144</v>
      </c>
      <c r="Y33" s="10">
        <f t="array" ref="Y33">SUM(K24:K30*(MID($B$24:$B$30,1,2)="NW"))</f>
        <v>0</v>
      </c>
      <c r="Z33" s="11">
        <f t="array" ref="Z33">SUM(L24:L30*(MID($B$24:$B$30,1,2)="NW"))</f>
        <v>0</v>
      </c>
      <c r="AB33" s="9">
        <f t="shared" si="2"/>
        <v>370</v>
      </c>
      <c r="AC33" s="11" t="str">
        <f t="shared" si="3"/>
        <v>400/5A</v>
      </c>
    </row>
    <row r="34" spans="1:29" x14ac:dyDescent="0.2">
      <c r="A34" s="140"/>
      <c r="B34" s="84" t="s">
        <v>158</v>
      </c>
      <c r="C34" s="85" t="s">
        <v>41</v>
      </c>
      <c r="D34" s="86"/>
      <c r="E34" s="86"/>
      <c r="F34" s="86"/>
      <c r="G34" s="66" t="s">
        <v>44</v>
      </c>
      <c r="H34" s="86"/>
      <c r="I34" s="66" t="s">
        <v>129</v>
      </c>
      <c r="J34" s="88"/>
      <c r="K34" s="99">
        <v>3</v>
      </c>
      <c r="L34" s="91">
        <v>2</v>
      </c>
      <c r="M34" s="53"/>
      <c r="N34" s="54"/>
      <c r="O34" s="54"/>
      <c r="P34" s="54"/>
      <c r="Q34" s="54"/>
      <c r="R34" s="54"/>
      <c r="S34" s="54"/>
      <c r="T34" s="54"/>
      <c r="U34" s="54"/>
      <c r="V34" s="55"/>
      <c r="X34" s="9" t="s">
        <v>146</v>
      </c>
      <c r="Y34" s="10">
        <f t="array" ref="Y34">SUM(K24:K30*(MID($B$24:$B$30,1,2)="NT"))</f>
        <v>0</v>
      </c>
      <c r="Z34" s="11">
        <f t="array" ref="Z34">SUM(L24:L30*(MID($B$24:$B$30,1,2)="NT"))</f>
        <v>0</v>
      </c>
      <c r="AB34" s="9">
        <f t="shared" si="2"/>
        <v>237</v>
      </c>
      <c r="AC34" s="11" t="str">
        <f t="shared" si="3"/>
        <v>250/5A</v>
      </c>
    </row>
    <row r="35" spans="1:29" x14ac:dyDescent="0.2">
      <c r="A35" s="140"/>
      <c r="B35" s="84" t="s">
        <v>159</v>
      </c>
      <c r="C35" s="85" t="s">
        <v>42</v>
      </c>
      <c r="D35" s="86"/>
      <c r="E35" s="86"/>
      <c r="F35" s="86"/>
      <c r="G35" s="86" t="s">
        <v>44</v>
      </c>
      <c r="H35" s="86"/>
      <c r="I35" s="66" t="s">
        <v>129</v>
      </c>
      <c r="J35" s="88"/>
      <c r="K35" s="99">
        <v>2</v>
      </c>
      <c r="L35" s="91"/>
      <c r="M35" s="53"/>
      <c r="N35" s="54"/>
      <c r="O35" s="54"/>
      <c r="P35" s="54"/>
      <c r="Q35" s="54"/>
      <c r="R35" s="54"/>
      <c r="S35" s="54"/>
      <c r="T35" s="54"/>
      <c r="U35" s="54"/>
      <c r="V35" s="55"/>
      <c r="X35" s="36" t="s">
        <v>148</v>
      </c>
      <c r="Y35" s="37">
        <f t="array" ref="Y35">SUM(IF($B$32:$B$38&lt;&gt;"",(ROUNDDOWN(VALUE(MID($B$32:$B$38,4,1))/3.5,0)+3)*K32:K38,0))</f>
        <v>40</v>
      </c>
      <c r="Z35" s="38">
        <f t="array" ref="Z35">SUM(IF($B$32:$B$38&lt;&gt;"",(ROUNDDOWN(VALUE(MID($B$32:$B$38,4,1))/3.5,0)+3)*L32:L38,0))</f>
        <v>35</v>
      </c>
      <c r="AB35" s="9">
        <f t="shared" si="2"/>
        <v>370</v>
      </c>
      <c r="AC35" s="11" t="str">
        <f t="shared" si="3"/>
        <v>400/5A</v>
      </c>
    </row>
    <row r="36" spans="1:29" x14ac:dyDescent="0.2">
      <c r="A36" s="140"/>
      <c r="B36" s="84" t="s">
        <v>149</v>
      </c>
      <c r="C36" s="85" t="s">
        <v>42</v>
      </c>
      <c r="D36" s="86"/>
      <c r="E36" s="86"/>
      <c r="F36" s="86"/>
      <c r="G36" s="86" t="s">
        <v>44</v>
      </c>
      <c r="H36" s="86"/>
      <c r="I36" s="66" t="s">
        <v>129</v>
      </c>
      <c r="J36" s="88"/>
      <c r="K36" s="99"/>
      <c r="L36" s="91">
        <v>3</v>
      </c>
      <c r="M36" s="53"/>
      <c r="N36" s="54"/>
      <c r="O36" s="54"/>
      <c r="P36" s="54"/>
      <c r="Q36" s="54"/>
      <c r="R36" s="54"/>
      <c r="S36" s="54"/>
      <c r="T36" s="54"/>
      <c r="U36" s="54"/>
      <c r="V36" s="55"/>
      <c r="AB36" s="9">
        <f t="shared" si="2"/>
        <v>535</v>
      </c>
      <c r="AC36" s="11" t="str">
        <f t="shared" si="3"/>
        <v>600/5A</v>
      </c>
    </row>
    <row r="37" spans="1:29" x14ac:dyDescent="0.2">
      <c r="A37" s="140"/>
      <c r="B37" s="84" t="s">
        <v>145</v>
      </c>
      <c r="C37" s="85" t="s">
        <v>17</v>
      </c>
      <c r="D37" s="86"/>
      <c r="E37" s="86"/>
      <c r="F37" s="86"/>
      <c r="G37" s="86"/>
      <c r="H37" s="86"/>
      <c r="I37" s="86"/>
      <c r="J37" s="88"/>
      <c r="K37" s="99">
        <v>1</v>
      </c>
      <c r="L37" s="91">
        <v>1</v>
      </c>
      <c r="M37" s="53"/>
      <c r="N37" s="54"/>
      <c r="O37" s="54"/>
      <c r="P37" s="54"/>
      <c r="Q37" s="54"/>
      <c r="R37" s="54"/>
      <c r="S37" s="54"/>
      <c r="T37" s="54"/>
      <c r="U37" s="54"/>
      <c r="V37" s="55"/>
      <c r="AB37" s="9">
        <f t="shared" si="2"/>
        <v>237</v>
      </c>
      <c r="AC37" s="11" t="str">
        <f t="shared" si="3"/>
        <v>250/5A</v>
      </c>
    </row>
    <row r="38" spans="1:29" ht="13.5" thickBot="1" x14ac:dyDescent="0.25">
      <c r="A38" s="140"/>
      <c r="B38" s="113"/>
      <c r="C38" s="97"/>
      <c r="D38" s="92"/>
      <c r="E38" s="92"/>
      <c r="F38" s="92"/>
      <c r="G38" s="92"/>
      <c r="H38" s="92"/>
      <c r="I38" s="92"/>
      <c r="J38" s="98"/>
      <c r="K38" s="114"/>
      <c r="L38" s="115"/>
      <c r="M38" s="53"/>
      <c r="N38" s="54"/>
      <c r="O38" s="54"/>
      <c r="P38" s="54"/>
      <c r="Q38" s="54"/>
      <c r="R38" s="54"/>
      <c r="S38" s="54"/>
      <c r="T38" s="54"/>
      <c r="U38" s="54"/>
      <c r="V38" s="55"/>
      <c r="AB38" s="36" t="e">
        <f t="shared" si="2"/>
        <v>#N/A</v>
      </c>
      <c r="AC38" s="38" t="e">
        <f t="shared" si="3"/>
        <v>#N/A</v>
      </c>
    </row>
    <row r="39" spans="1:29" ht="13.5" hidden="1" thickTop="1" x14ac:dyDescent="0.2">
      <c r="A39" s="116">
        <v>1</v>
      </c>
      <c r="B39" s="116">
        <v>2</v>
      </c>
      <c r="C39" s="116">
        <v>3</v>
      </c>
      <c r="D39" s="116">
        <v>4</v>
      </c>
      <c r="E39" s="116">
        <v>5</v>
      </c>
      <c r="F39" s="116">
        <v>6</v>
      </c>
      <c r="G39" s="116">
        <v>7</v>
      </c>
      <c r="H39" s="116">
        <v>8</v>
      </c>
      <c r="I39" s="116">
        <v>9</v>
      </c>
      <c r="J39" s="116">
        <v>10</v>
      </c>
      <c r="K39" s="116">
        <v>11</v>
      </c>
      <c r="L39" s="116">
        <v>12</v>
      </c>
    </row>
    <row r="40" spans="1:29" ht="13.5" hidden="1" thickTop="1" x14ac:dyDescent="0.2">
      <c r="A40">
        <f>IF(B10&lt;800,1,0)</f>
        <v>0</v>
      </c>
      <c r="B40">
        <f>B5</f>
        <v>4000</v>
      </c>
      <c r="C40">
        <f>IF(J9,1,0)</f>
        <v>1</v>
      </c>
      <c r="D40">
        <f>IF(J10,1,0)</f>
        <v>1</v>
      </c>
      <c r="E40">
        <f>IF(B14="В центре",1,0)</f>
        <v>0</v>
      </c>
    </row>
    <row r="41" spans="1:29" ht="13.5" hidden="1" thickTop="1" x14ac:dyDescent="0.2">
      <c r="A41" s="8" t="s">
        <v>150</v>
      </c>
      <c r="B41" s="8" t="s">
        <v>151</v>
      </c>
      <c r="C41" s="8" t="s">
        <v>152</v>
      </c>
      <c r="D41" s="8" t="s">
        <v>153</v>
      </c>
      <c r="E41" s="8" t="s">
        <v>154</v>
      </c>
    </row>
  </sheetData>
  <dataConsolidate/>
  <mergeCells count="18">
    <mergeCell ref="A24:A30"/>
    <mergeCell ref="A32:A38"/>
    <mergeCell ref="F17:F18"/>
    <mergeCell ref="G17:G18"/>
    <mergeCell ref="H17:H18"/>
    <mergeCell ref="I17:I18"/>
    <mergeCell ref="J17:J18"/>
    <mergeCell ref="K17:L17"/>
    <mergeCell ref="A2:B2"/>
    <mergeCell ref="D2:F2"/>
    <mergeCell ref="D6:F6"/>
    <mergeCell ref="D14:D15"/>
    <mergeCell ref="E14:F15"/>
    <mergeCell ref="A17:A18"/>
    <mergeCell ref="B17:B18"/>
    <mergeCell ref="C17:C18"/>
    <mergeCell ref="D17:D18"/>
    <mergeCell ref="E17:E18"/>
  </mergeCells>
  <conditionalFormatting sqref="F19 F32:F38 F24:F30">
    <cfRule type="expression" dxfId="13" priority="7" stopIfTrue="1">
      <formula>(OR(F19&lt;H19,(F19&lt;3)*(MID(G19,1,2)="PM")))</formula>
    </cfRule>
  </conditionalFormatting>
  <conditionalFormatting sqref="G32:G38">
    <cfRule type="expression" dxfId="12" priority="8" stopIfTrue="1">
      <formula>NOT(ISBLANK(G32))*(IF((MID(C32,1,5)&lt;&gt;"Mic.5")*(G32="FDM121"),1,ABS(ISBLANK(B32)-ISBLANK(C32)))+NOT(OR(G32="PM5110",G32="PM5560",G32="FDM121")))</formula>
    </cfRule>
  </conditionalFormatting>
  <conditionalFormatting sqref="C19 C24:C30">
    <cfRule type="expression" dxfId="11" priority="9" stopIfTrue="1">
      <formula>IF(ISBLANK(B19),NOT(ISBLANK(C19)),ISBLANK(C19))</formula>
    </cfRule>
  </conditionalFormatting>
  <conditionalFormatting sqref="C21">
    <cfRule type="expression" dxfId="10" priority="10" stopIfTrue="1">
      <formula>IF(ISBLANK(B21),NOT(ISBLANK(C21)),ISBLANK(C21))</formula>
    </cfRule>
  </conditionalFormatting>
  <conditionalFormatting sqref="G19 G24:G30">
    <cfRule type="expression" dxfId="9" priority="11" stopIfTrue="1">
      <formula>NOT(ISBLANK(G19))*((ISBLANK(E19))*(G19="FDM121")+NOT(OR(G19="PM5110",G19="PM5560",G19="FDM121")))</formula>
    </cfRule>
  </conditionalFormatting>
  <conditionalFormatting sqref="I19">
    <cfRule type="expression" dxfId="8" priority="6" stopIfTrue="1">
      <formula>(I19&lt;&gt;"")*(($B$7="TN-C")+(MID(C19,5,1)&lt;&gt;"6"))</formula>
    </cfRule>
  </conditionalFormatting>
  <conditionalFormatting sqref="I24:I30">
    <cfRule type="expression" dxfId="7" priority="5" stopIfTrue="1">
      <formula>(I24&lt;&gt;"")*(($B$7="TN-C")+(MID(C24,5,3)&lt;&gt;"6.0"))</formula>
    </cfRule>
  </conditionalFormatting>
  <conditionalFormatting sqref="K21">
    <cfRule type="expression" dxfId="6" priority="4" stopIfTrue="1">
      <formula>($L$19&lt;&gt;1)*($K$21=1)</formula>
    </cfRule>
  </conditionalFormatting>
  <conditionalFormatting sqref="B32:B38">
    <cfRule type="expression" dxfId="5" priority="12" stopIfTrue="1">
      <formula>(ISERROR(VLOOKUP(B32,$Y$1:$Y$5,1,0))*(NOT(ISBLANK(B32))))</formula>
    </cfRule>
  </conditionalFormatting>
  <conditionalFormatting sqref="B19 B21 B24:B30">
    <cfRule type="expression" dxfId="4" priority="13" stopIfTrue="1">
      <formula>(ISERROR(VLOOKUP(B19,OFFSET($AB$1,0,$J$11*1,13),1,0))*(NOT(ISBLANK(B19))))</formula>
    </cfRule>
  </conditionalFormatting>
  <conditionalFormatting sqref="C32:C38">
    <cfRule type="expression" dxfId="3" priority="14" stopIfTrue="1">
      <formula>IF(B32&lt;&gt;"",ISERROR(VLOOKUP(C32,OFFSET($M$1,1,MATCH(MID(B32,1,5),$M$1:$U$1,0)-1,COUNTA(OFFSET($M$1,1,MATCH(MID(B32,1,5),$M$1:$U$1,0)-1,11,1)),1),1,0)),NOT(ISBLANK(C32)))+NOT(ISBLANK(E32))*(MID(C32,5,1)="2")</formula>
    </cfRule>
  </conditionalFormatting>
  <conditionalFormatting sqref="B10">
    <cfRule type="expression" dxfId="2" priority="3" stopIfTrue="1">
      <formula>SUMPRODUCT((MID($B$19:$B$30,1,2)="NW")*1)*(OR($B$10=800,$B$10=400))</formula>
    </cfRule>
  </conditionalFormatting>
  <conditionalFormatting sqref="F21">
    <cfRule type="expression" dxfId="1" priority="1" stopIfTrue="1">
      <formula>(OR(F21&lt;H21,(F21&lt;3)*(MID(G21,1,2)="PM")))</formula>
    </cfRule>
  </conditionalFormatting>
  <conditionalFormatting sqref="G21">
    <cfRule type="expression" dxfId="0" priority="2" stopIfTrue="1">
      <formula>NOT(ISBLANK(G21))*((ISBLANK(E21))*(G21="FDM121")+NOT(OR(G21="PM5110",G21="PM5560",G21="FDM121")))</formula>
    </cfRule>
  </conditionalFormatting>
  <dataValidations count="26">
    <dataValidation type="list" allowBlank="1" showInputMessage="1" showErrorMessage="1" sqref="C32:C38" xr:uid="{FDC8C571-8CCD-412B-9218-77CED9338523}">
      <formula1>OFFSET($M$1,1,MATCH(MID(B32,1,5),$M$1:$U$1,0)-1,COUNTA(OFFSET($M$1,1,MATCH(MID(B32,1,5),$M$1:$U$1,0)-1,11,1)),1)</formula1>
    </dataValidation>
    <dataValidation type="list" allowBlank="1" showInputMessage="1" showErrorMessage="1" sqref="G32:G38" xr:uid="{EABD48C0-E30B-4A20-9B76-3953C1F00DBF}">
      <formula1>OFFSET($T$1,1,0,IF(MID(C32,1,5)&lt;&gt;"Mic.5",2,3))</formula1>
    </dataValidation>
    <dataValidation type="list" allowBlank="1" showInputMessage="1" showErrorMessage="1" sqref="G19 G24:G30 G21" xr:uid="{D4599295-D145-4D86-89F7-D0AC228A85E0}">
      <formula1>OFFSET($S$1,1,1,IF(ISBLANK(E19),2,3),1)</formula1>
    </dataValidation>
    <dataValidation type="list" allowBlank="1" showInputMessage="1" showErrorMessage="1" sqref="B15" xr:uid="{F32A267D-D836-4F26-94E8-6077D34CA975}">
      <formula1>"Да, Нет"</formula1>
    </dataValidation>
    <dataValidation type="list" allowBlank="1" showInputMessage="1" showErrorMessage="1" sqref="H24:H30 F32:F38 F24:F30 H32:H38 H21 F21" xr:uid="{02D9E4E9-9571-45FA-BD84-72A56D655D0E}">
      <formula1>"1, 3"</formula1>
    </dataValidation>
    <dataValidation type="list" allowBlank="1" showInputMessage="1" showErrorMessage="1" sqref="H19" xr:uid="{4C851F7B-B3E7-440D-B9AC-5B4F6586A28B}">
      <formula1>"3"</formula1>
    </dataValidation>
    <dataValidation type="list" allowBlank="1" showInputMessage="1" showErrorMessage="1" sqref="C24:C30 C19" xr:uid="{CA3C4966-061C-4DAD-BBD7-2D128F301B40}">
      <formula1>OFFSET($M$2,$J$11*6,0,5-$J$11*2)</formula1>
    </dataValidation>
    <dataValidation type="list" allowBlank="1" showInputMessage="1" showErrorMessage="1" sqref="B32:B38" xr:uid="{8C826EB2-7957-4226-AF91-F9748B552ED9}">
      <formula1>$Y$1:$Y$5</formula1>
    </dataValidation>
    <dataValidation type="list" allowBlank="1" showInputMessage="1" showErrorMessage="1" sqref="F19" xr:uid="{924BC0C5-362F-4E65-94FC-B56DE9CDB661}">
      <formula1>"3, 6"</formula1>
    </dataValidation>
    <dataValidation type="list" allowBlank="1" showInputMessage="1" showErrorMessage="1" sqref="J21 I32:J38 D24:E30 D21:E21 D19:E19 D32:E38 J24:J30 J19" xr:uid="{3EA0C028-3B32-4757-A55A-9F4B3092A352}">
      <formula1>"+"</formula1>
    </dataValidation>
    <dataValidation type="list" allowBlank="1" showInputMessage="1" showErrorMessage="1" sqref="I19" xr:uid="{F9A2A07E-489A-4926-ACAD-E97FB05A7A13}">
      <formula1>"SGR,TCE"</formula1>
    </dataValidation>
    <dataValidation type="list" allowBlank="1" showInputMessage="1" showErrorMessage="1" sqref="I24:I30" xr:uid="{07DDC32F-F50F-42E4-A6A6-9C0D73D9E0B1}">
      <formula1>"TCE"</formula1>
    </dataValidation>
    <dataValidation type="list" showInputMessage="1" showErrorMessage="1" sqref="B4" xr:uid="{DF112624-236A-4B97-AC6D-8A18411BD29F}">
      <formula1>"630,800,1000,1250,1600,2000,2500"</formula1>
    </dataValidation>
    <dataValidation type="list" allowBlank="1" showInputMessage="1" showErrorMessage="1" sqref="B7" xr:uid="{9D7265D8-BAE4-4ED3-8947-E201776ED773}">
      <formula1>"TN-C,TN-S,TN-C-S"</formula1>
    </dataValidation>
    <dataValidation type="list" allowBlank="1" showInputMessage="1" showErrorMessage="1" sqref="B10" xr:uid="{1F7B3DD0-1112-4B78-AE4E-6FC69CE9E443}">
      <formula1>"400,600,800,1000"</formula1>
    </dataValidation>
    <dataValidation type="list" allowBlank="1" showInputMessage="1" showErrorMessage="1" sqref="B13" xr:uid="{32D61E18-29E6-4AD1-BF79-5F8810D3DA55}">
      <formula1>"Втычной, Фиксированный"</formula1>
    </dataValidation>
    <dataValidation type="list" allowBlank="1" showInputMessage="1" showErrorMessage="1" sqref="B14" xr:uid="{E50688EE-BC28-4941-B0FE-3DCA7C855AF4}">
      <formula1>"В центре, По краям"</formula1>
    </dataValidation>
    <dataValidation type="list" allowBlank="1" showInputMessage="1" showErrorMessage="1" sqref="B11" xr:uid="{93BDE038-DE42-44C8-9ECD-9C8DF65ED19D}">
      <formula1>"Шинопровод,Кабель"</formula1>
    </dataValidation>
    <dataValidation showInputMessage="1" showErrorMessage="1" sqref="B3" xr:uid="{7428AB33-FA7C-4601-BE68-A4B7C08497F2}"/>
    <dataValidation type="list" allowBlank="1" showInputMessage="1" showErrorMessage="1" sqref="C21" xr:uid="{9C529309-2CE1-4C90-81BC-83A737289D27}">
      <formula1>OFFSET($M$2,$J$11*6,0,3-$J$11*1)</formula1>
    </dataValidation>
    <dataValidation type="whole" allowBlank="1" showInputMessage="1" showErrorMessage="1" error="Допустим только один ввод на секцию" sqref="K19:L19" xr:uid="{1C362136-A372-410A-9D90-73C23D7CC7F1}">
      <formula1>0</formula1>
      <formula2>1</formula2>
    </dataValidation>
    <dataValidation type="whole" allowBlank="1" showInputMessage="1" showErrorMessage="1" error="Секционный выключатель может быть только один_x000a_" sqref="K21" xr:uid="{B1F0CC20-2F3E-42F8-9626-CE9158E8D568}">
      <formula1>0</formula1>
      <formula2>1</formula2>
    </dataValidation>
    <dataValidation type="whole" allowBlank="1" showInputMessage="1" showErrorMessage="1" sqref="K24:L30 K32:L38" xr:uid="{4D41F868-798F-4A0E-80C5-A10D88D27EC8}">
      <formula1>0</formula1>
      <formula2>50</formula2>
    </dataValidation>
    <dataValidation type="whole" allowBlank="1" showInputMessage="1" showErrorMessage="1" error="Должно быть целое число от 0 до 15" sqref="F3:F5" xr:uid="{1AA9FE80-0F6C-4CDD-A827-8F6D92DF3930}">
      <formula1>0</formula1>
      <formula2>15</formula2>
    </dataValidation>
    <dataValidation type="list" allowBlank="1" showInputMessage="1" showErrorMessage="1" sqref="B24:B30" xr:uid="{005A18C3-C812-462D-9148-31097B9980BB}">
      <formula1>OFFSET($AB$1,1,$J$11*1,COUNTA($AB$2:$AB$13)-COUNT($AB$2:$AB$13),1)</formula1>
    </dataValidation>
    <dataValidation type="list" allowBlank="1" showInputMessage="1" showErrorMessage="1" sqref="B21 B19" xr:uid="{6ABAA353-C620-4D19-81B0-594F1D4B9F43}">
      <formula1>OFFSET($AB$1,0,$J$11*1,COUNTA($AB$1:$AB$13)-COUNT($AB$1:$AB$13),1)</formula1>
    </dataValidation>
  </dataValidations>
  <pageMargins left="0.44" right="0.32" top="0.56999999999999995" bottom="0.64" header="0.5" footer="0.5"/>
  <pageSetup paperSize="9" scale="9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465">
              <controlPr defaultSize="0" print="0" autoFill="0" autoLine="0" autoPict="0">
                <anchor>
                  <from>
                    <xdr:col>9</xdr:col>
                    <xdr:colOff>47625</xdr:colOff>
                    <xdr:row>7</xdr:row>
                    <xdr:rowOff>142875</xdr:rowOff>
                  </from>
                  <to>
                    <xdr:col>11</xdr:col>
                    <xdr:colOff>571500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469">
              <controlPr defaultSize="0" print="0" autoFill="0" autoLine="0" autoPict="0">
                <anchor>
                  <from>
                    <xdr:col>9</xdr:col>
                    <xdr:colOff>47625</xdr:colOff>
                    <xdr:row>8</xdr:row>
                    <xdr:rowOff>161925</xdr:rowOff>
                  </from>
                  <to>
                    <xdr:col>11</xdr:col>
                    <xdr:colOff>571500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print="0" autoFill="0" autoLine="0" autoPict="0">
                <anchor>
                  <from>
                    <xdr:col>9</xdr:col>
                    <xdr:colOff>47625</xdr:colOff>
                    <xdr:row>9</xdr:row>
                    <xdr:rowOff>180975</xdr:rowOff>
                  </from>
                  <to>
                    <xdr:col>11</xdr:col>
                    <xdr:colOff>571500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MDB</vt:lpstr>
      <vt:lpstr>MDB!AC</vt:lpstr>
      <vt:lpstr>MDB!AD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Shakhov</dc:creator>
  <cp:lastModifiedBy>Alexandr Tolstov</cp:lastModifiedBy>
  <dcterms:created xsi:type="dcterms:W3CDTF">2020-07-29T09:35:49Z</dcterms:created>
  <dcterms:modified xsi:type="dcterms:W3CDTF">2020-09-15T13:51:11Z</dcterms:modified>
</cp:coreProperties>
</file>