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tomgo/Documents/Keele/Semester 3/"/>
    </mc:Choice>
  </mc:AlternateContent>
  <xr:revisionPtr revIDLastSave="0" documentId="13_ncr:1_{9DE20538-BCF5-5B48-88B9-385977E9F043}" xr6:coauthVersionLast="47" xr6:coauthVersionMax="47" xr10:uidLastSave="{00000000-0000-0000-0000-000000000000}"/>
  <bookViews>
    <workbookView xWindow="0" yWindow="500" windowWidth="25140" windowHeight="12720" tabRatio="910" activeTab="2" xr2:uid="{00000000-000D-0000-FFFF-FFFF00000000}"/>
  </bookViews>
  <sheets>
    <sheet name="Cumulativ Awards, Participation" sheetId="4" r:id="rId1"/>
    <sheet name="Trophies and POT each year" sheetId="5" r:id="rId2"/>
    <sheet name="All player stats" sheetId="7" r:id="rId3"/>
    <sheet name="Player KPI Names and desc" sheetId="16" r:id="rId4"/>
    <sheet name="Points, Odds, Ranking, Coach,HA" sheetId="2" r:id="rId5"/>
    <sheet name="2019 Records" sheetId="13" r:id="rId6"/>
    <sheet name="2019 Team Stats" sheetId="14" r:id="rId7"/>
    <sheet name="Historic Records" sheetId="9" r:id="rId8"/>
    <sheet name="Individual Points Records" sheetId="10" r:id="rId9"/>
    <sheet name="Individual Appearances Records" sheetId="11" r:id="rId10"/>
    <sheet name="Individual Tries Records" sheetId="12" r:id="rId11"/>
    <sheet name="POT Info" sheetId="19" r:id="rId12"/>
  </sheets>
  <definedNames>
    <definedName name="_xlnm._FilterDatabase" localSheetId="2" hidden="1">'All player stats'!$A$1:$BR$225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9" l="1"/>
  <c r="G25" i="9"/>
  <c r="G26" i="9"/>
  <c r="G27" i="9"/>
  <c r="G28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9" i="9"/>
  <c r="G10" i="9"/>
  <c r="G4" i="9"/>
  <c r="G5" i="9"/>
  <c r="G6" i="9"/>
  <c r="G7" i="9"/>
  <c r="G8" i="9"/>
  <c r="G3" i="9"/>
  <c r="C21" i="19" l="1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AT124" i="2" l="1"/>
  <c r="AR124" i="2"/>
  <c r="AU121" i="2"/>
  <c r="AS121" i="2"/>
  <c r="AQ120" i="2"/>
  <c r="AU118" i="2"/>
  <c r="AT118" i="2"/>
  <c r="AQ117" i="2"/>
  <c r="AU116" i="2"/>
  <c r="AT116" i="2"/>
  <c r="AV105" i="2"/>
  <c r="AU126" i="2" s="1"/>
  <c r="AV104" i="2"/>
  <c r="AU125" i="2" s="1"/>
  <c r="AV103" i="2"/>
  <c r="AU124" i="2" s="1"/>
  <c r="AT103" i="2"/>
  <c r="AV102" i="2"/>
  <c r="AU123" i="2" s="1"/>
  <c r="AT102" i="2"/>
  <c r="AV101" i="2"/>
  <c r="AU122" i="2" s="1"/>
  <c r="AT101" i="2"/>
  <c r="AS101" i="2"/>
  <c r="AV100" i="2"/>
  <c r="AR100" i="2"/>
  <c r="AV99" i="2"/>
  <c r="AU120" i="2" s="1"/>
  <c r="AV98" i="2"/>
  <c r="AU119" i="2" s="1"/>
  <c r="AT98" i="2"/>
  <c r="AV97" i="2"/>
  <c r="AS97" i="2"/>
  <c r="AV96" i="2"/>
  <c r="AU117" i="2" s="1"/>
  <c r="AV95" i="2"/>
  <c r="AT95" i="2"/>
  <c r="AV84" i="2"/>
  <c r="AT126" i="2" s="1"/>
  <c r="AU84" i="2"/>
  <c r="AT105" i="2" s="1"/>
  <c r="AS84" i="2"/>
  <c r="AR84" i="2"/>
  <c r="AV83" i="2"/>
  <c r="AT125" i="2" s="1"/>
  <c r="AU83" i="2"/>
  <c r="AT104" i="2" s="1"/>
  <c r="AV82" i="2"/>
  <c r="AU82" i="2"/>
  <c r="AS82" i="2"/>
  <c r="AR82" i="2"/>
  <c r="AQ82" i="2"/>
  <c r="AV81" i="2"/>
  <c r="AT123" i="2" s="1"/>
  <c r="AU81" i="2"/>
  <c r="AV80" i="2"/>
  <c r="AT122" i="2" s="1"/>
  <c r="AU80" i="2"/>
  <c r="AS80" i="2"/>
  <c r="AV79" i="2"/>
  <c r="AT121" i="2" s="1"/>
  <c r="AU79" i="2"/>
  <c r="AT100" i="2" s="1"/>
  <c r="AV78" i="2"/>
  <c r="AT120" i="2" s="1"/>
  <c r="AU78" i="2"/>
  <c r="AT99" i="2" s="1"/>
  <c r="AV77" i="2"/>
  <c r="AT119" i="2" s="1"/>
  <c r="AU77" i="2"/>
  <c r="AV76" i="2"/>
  <c r="AU76" i="2"/>
  <c r="AT97" i="2" s="1"/>
  <c r="AR76" i="2"/>
  <c r="AV75" i="2"/>
  <c r="AT117" i="2" s="1"/>
  <c r="AU75" i="2"/>
  <c r="AT96" i="2" s="1"/>
  <c r="AS75" i="2"/>
  <c r="AV74" i="2"/>
  <c r="AU74" i="2"/>
  <c r="AR74" i="2"/>
  <c r="AQ74" i="2"/>
  <c r="AV63" i="2"/>
  <c r="AS126" i="2" s="1"/>
  <c r="AU63" i="2"/>
  <c r="AS105" i="2" s="1"/>
  <c r="AT63" i="2"/>
  <c r="AV62" i="2"/>
  <c r="AS125" i="2" s="1"/>
  <c r="AU62" i="2"/>
  <c r="AS104" i="2" s="1"/>
  <c r="AT62" i="2"/>
  <c r="AS83" i="2" s="1"/>
  <c r="AR62" i="2"/>
  <c r="AV61" i="2"/>
  <c r="AS124" i="2" s="1"/>
  <c r="AU61" i="2"/>
  <c r="AS103" i="2" s="1"/>
  <c r="AT61" i="2"/>
  <c r="AV60" i="2"/>
  <c r="AS123" i="2" s="1"/>
  <c r="AU60" i="2"/>
  <c r="AS102" i="2" s="1"/>
  <c r="AT60" i="2"/>
  <c r="AS81" i="2" s="1"/>
  <c r="AR60" i="2"/>
  <c r="AV59" i="2"/>
  <c r="AS122" i="2" s="1"/>
  <c r="AU59" i="2"/>
  <c r="AT59" i="2"/>
  <c r="AV58" i="2"/>
  <c r="AU58" i="2"/>
  <c r="AS100" i="2" s="1"/>
  <c r="AT58" i="2"/>
  <c r="AS79" i="2" s="1"/>
  <c r="AR58" i="2"/>
  <c r="AV57" i="2"/>
  <c r="AS120" i="2" s="1"/>
  <c r="AU57" i="2"/>
  <c r="AS99" i="2" s="1"/>
  <c r="AT57" i="2"/>
  <c r="AS78" i="2" s="1"/>
  <c r="AV56" i="2"/>
  <c r="AS119" i="2" s="1"/>
  <c r="AU56" i="2"/>
  <c r="AS98" i="2" s="1"/>
  <c r="AT56" i="2"/>
  <c r="AS77" i="2" s="1"/>
  <c r="AV55" i="2"/>
  <c r="AS118" i="2" s="1"/>
  <c r="AU55" i="2"/>
  <c r="AT55" i="2"/>
  <c r="AS76" i="2" s="1"/>
  <c r="AR55" i="2"/>
  <c r="AQ55" i="2"/>
  <c r="AV54" i="2"/>
  <c r="AS117" i="2" s="1"/>
  <c r="AU54" i="2"/>
  <c r="AS96" i="2" s="1"/>
  <c r="AT54" i="2"/>
  <c r="AV53" i="2"/>
  <c r="AS116" i="2" s="1"/>
  <c r="AU53" i="2"/>
  <c r="AS95" i="2" s="1"/>
  <c r="AT53" i="2"/>
  <c r="AS74" i="2" s="1"/>
  <c r="AR53" i="2"/>
  <c r="AQ53" i="2"/>
  <c r="AV42" i="2"/>
  <c r="AR126" i="2" s="1"/>
  <c r="AU42" i="2"/>
  <c r="AR105" i="2" s="1"/>
  <c r="AT42" i="2"/>
  <c r="AS42" i="2"/>
  <c r="AR63" i="2" s="1"/>
  <c r="AQ42" i="2"/>
  <c r="AV41" i="2"/>
  <c r="AR125" i="2" s="1"/>
  <c r="AU41" i="2"/>
  <c r="AR104" i="2" s="1"/>
  <c r="AT41" i="2"/>
  <c r="AR83" i="2" s="1"/>
  <c r="AS41" i="2"/>
  <c r="AV40" i="2"/>
  <c r="AU40" i="2"/>
  <c r="AR103" i="2" s="1"/>
  <c r="AT40" i="2"/>
  <c r="AS40" i="2"/>
  <c r="AR61" i="2" s="1"/>
  <c r="AQ40" i="2"/>
  <c r="AV39" i="2"/>
  <c r="AR123" i="2" s="1"/>
  <c r="AU39" i="2"/>
  <c r="AR102" i="2" s="1"/>
  <c r="AT39" i="2"/>
  <c r="AR81" i="2" s="1"/>
  <c r="AS39" i="2"/>
  <c r="AQ39" i="2"/>
  <c r="AV38" i="2"/>
  <c r="AR122" i="2" s="1"/>
  <c r="AU38" i="2"/>
  <c r="AR101" i="2" s="1"/>
  <c r="AT38" i="2"/>
  <c r="AR80" i="2" s="1"/>
  <c r="AS38" i="2"/>
  <c r="AR59" i="2" s="1"/>
  <c r="AV37" i="2"/>
  <c r="AR121" i="2" s="1"/>
  <c r="AU37" i="2"/>
  <c r="AT37" i="2"/>
  <c r="AR79" i="2" s="1"/>
  <c r="AS37" i="2"/>
  <c r="AQ37" i="2"/>
  <c r="AV36" i="2"/>
  <c r="AR120" i="2" s="1"/>
  <c r="AU36" i="2"/>
  <c r="AR99" i="2" s="1"/>
  <c r="AT36" i="2"/>
  <c r="AR78" i="2" s="1"/>
  <c r="AS36" i="2"/>
  <c r="AR57" i="2" s="1"/>
  <c r="AV35" i="2"/>
  <c r="AR119" i="2" s="1"/>
  <c r="AU35" i="2"/>
  <c r="AR98" i="2" s="1"/>
  <c r="AT35" i="2"/>
  <c r="AR77" i="2" s="1"/>
  <c r="AS35" i="2"/>
  <c r="AR56" i="2" s="1"/>
  <c r="AQ35" i="2"/>
  <c r="AV34" i="2"/>
  <c r="AR118" i="2" s="1"/>
  <c r="AU34" i="2"/>
  <c r="AR97" i="2" s="1"/>
  <c r="AT34" i="2"/>
  <c r="AS34" i="2"/>
  <c r="AV33" i="2"/>
  <c r="AR117" i="2" s="1"/>
  <c r="AU33" i="2"/>
  <c r="AR96" i="2" s="1"/>
  <c r="AT33" i="2"/>
  <c r="AR75" i="2" s="1"/>
  <c r="AS33" i="2"/>
  <c r="AR54" i="2" s="1"/>
  <c r="AV32" i="2"/>
  <c r="AR116" i="2" s="1"/>
  <c r="AU32" i="2"/>
  <c r="AR95" i="2" s="1"/>
  <c r="AT32" i="2"/>
  <c r="AS32" i="2"/>
  <c r="AQ32" i="2"/>
  <c r="AV21" i="2"/>
  <c r="AQ126" i="2" s="1"/>
  <c r="AU21" i="2"/>
  <c r="AQ105" i="2" s="1"/>
  <c r="AT21" i="2"/>
  <c r="AQ84" i="2" s="1"/>
  <c r="AS21" i="2"/>
  <c r="AQ63" i="2" s="1"/>
  <c r="AR21" i="2"/>
  <c r="AV20" i="2"/>
  <c r="AQ125" i="2" s="1"/>
  <c r="AU20" i="2"/>
  <c r="AQ104" i="2" s="1"/>
  <c r="AT20" i="2"/>
  <c r="AQ83" i="2" s="1"/>
  <c r="AS20" i="2"/>
  <c r="AQ62" i="2" s="1"/>
  <c r="AR20" i="2"/>
  <c r="AQ41" i="2" s="1"/>
  <c r="AV19" i="2"/>
  <c r="AQ124" i="2" s="1"/>
  <c r="AU19" i="2"/>
  <c r="AQ103" i="2" s="1"/>
  <c r="AT19" i="2"/>
  <c r="AS19" i="2"/>
  <c r="AQ61" i="2" s="1"/>
  <c r="AR19" i="2"/>
  <c r="AV18" i="2"/>
  <c r="AQ123" i="2" s="1"/>
  <c r="AU18" i="2"/>
  <c r="AQ102" i="2" s="1"/>
  <c r="AT18" i="2"/>
  <c r="AQ81" i="2" s="1"/>
  <c r="AS18" i="2"/>
  <c r="AQ60" i="2" s="1"/>
  <c r="AR18" i="2"/>
  <c r="AV17" i="2"/>
  <c r="AQ122" i="2" s="1"/>
  <c r="AU17" i="2"/>
  <c r="AQ101" i="2" s="1"/>
  <c r="AT17" i="2"/>
  <c r="AQ80" i="2" s="1"/>
  <c r="AS17" i="2"/>
  <c r="AQ59" i="2" s="1"/>
  <c r="AR17" i="2"/>
  <c r="AQ38" i="2" s="1"/>
  <c r="AV16" i="2"/>
  <c r="AQ121" i="2" s="1"/>
  <c r="AU16" i="2"/>
  <c r="AQ100" i="2" s="1"/>
  <c r="AT16" i="2"/>
  <c r="AQ79" i="2" s="1"/>
  <c r="AS16" i="2"/>
  <c r="AQ58" i="2" s="1"/>
  <c r="AR16" i="2"/>
  <c r="AV15" i="2"/>
  <c r="AU15" i="2"/>
  <c r="AQ99" i="2" s="1"/>
  <c r="AT15" i="2"/>
  <c r="AQ78" i="2" s="1"/>
  <c r="AS15" i="2"/>
  <c r="AQ57" i="2" s="1"/>
  <c r="AR15" i="2"/>
  <c r="AQ36" i="2" s="1"/>
  <c r="AV14" i="2"/>
  <c r="AQ119" i="2" s="1"/>
  <c r="AU14" i="2"/>
  <c r="AQ98" i="2" s="1"/>
  <c r="AT14" i="2"/>
  <c r="AQ77" i="2" s="1"/>
  <c r="AS14" i="2"/>
  <c r="AQ56" i="2" s="1"/>
  <c r="AR14" i="2"/>
  <c r="AV13" i="2"/>
  <c r="AQ118" i="2" s="1"/>
  <c r="AU13" i="2"/>
  <c r="AQ97" i="2" s="1"/>
  <c r="AT13" i="2"/>
  <c r="AQ76" i="2" s="1"/>
  <c r="AS13" i="2"/>
  <c r="AR13" i="2"/>
  <c r="AQ34" i="2" s="1"/>
  <c r="AV12" i="2"/>
  <c r="AU12" i="2"/>
  <c r="AQ96" i="2" s="1"/>
  <c r="AT12" i="2"/>
  <c r="AQ75" i="2" s="1"/>
  <c r="AS12" i="2"/>
  <c r="AQ54" i="2" s="1"/>
  <c r="AR12" i="2"/>
  <c r="AQ33" i="2" s="1"/>
  <c r="AV11" i="2"/>
  <c r="AQ116" i="2" s="1"/>
  <c r="AU11" i="2"/>
  <c r="AQ95" i="2" s="1"/>
  <c r="AT11" i="2"/>
  <c r="AS11" i="2"/>
  <c r="AR11" i="2"/>
  <c r="G2" i="9" l="1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12" i="7"/>
  <c r="G13" i="7"/>
  <c r="G14" i="7"/>
  <c r="G15" i="7"/>
  <c r="G16" i="7"/>
  <c r="G17" i="7"/>
  <c r="G3" i="7"/>
  <c r="G4" i="7"/>
  <c r="G5" i="7"/>
  <c r="G6" i="7"/>
  <c r="G7" i="7"/>
  <c r="G8" i="7"/>
  <c r="G9" i="7"/>
  <c r="G10" i="7"/>
  <c r="G11" i="7"/>
  <c r="G2" i="7"/>
  <c r="F9" i="7"/>
  <c r="F10" i="7"/>
  <c r="F13" i="7"/>
  <c r="F15" i="7"/>
  <c r="F16" i="7"/>
  <c r="F22" i="7"/>
  <c r="F25" i="7"/>
  <c r="F27" i="7"/>
  <c r="F29" i="7"/>
  <c r="F30" i="7"/>
  <c r="F31" i="7"/>
  <c r="F33" i="7"/>
  <c r="F38" i="7"/>
  <c r="F40" i="7"/>
  <c r="F43" i="7"/>
  <c r="F46" i="7"/>
  <c r="F47" i="7"/>
  <c r="F48" i="7"/>
  <c r="F50" i="7"/>
  <c r="F53" i="7"/>
  <c r="F54" i="7"/>
  <c r="F56" i="7"/>
  <c r="F58" i="7"/>
  <c r="F59" i="7"/>
  <c r="F60" i="7"/>
  <c r="F61" i="7"/>
  <c r="F62" i="7"/>
  <c r="F64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6" i="7"/>
  <c r="F87" i="7"/>
  <c r="F88" i="7"/>
  <c r="F89" i="7"/>
  <c r="E89" i="7" s="1"/>
  <c r="F91" i="7"/>
  <c r="F93" i="7"/>
  <c r="F94" i="7"/>
  <c r="F95" i="7"/>
  <c r="F96" i="7"/>
  <c r="F97" i="7"/>
  <c r="F99" i="7"/>
  <c r="F100" i="7"/>
  <c r="F101" i="7"/>
  <c r="F102" i="7"/>
  <c r="F103" i="7"/>
  <c r="F106" i="7"/>
  <c r="F107" i="7"/>
  <c r="F108" i="7"/>
  <c r="F109" i="7"/>
  <c r="F110" i="7"/>
  <c r="F111" i="7"/>
  <c r="F112" i="7"/>
  <c r="F113" i="7"/>
  <c r="F114" i="7"/>
  <c r="F118" i="7"/>
  <c r="F119" i="7"/>
  <c r="F120" i="7"/>
  <c r="F121" i="7"/>
  <c r="E121" i="7" s="1"/>
  <c r="F122" i="7"/>
  <c r="F125" i="7"/>
  <c r="F126" i="7"/>
  <c r="F127" i="7"/>
  <c r="F128" i="7"/>
  <c r="F129" i="7"/>
  <c r="F131" i="7"/>
  <c r="F132" i="7"/>
  <c r="F133" i="7"/>
  <c r="F134" i="7"/>
  <c r="F135" i="7"/>
  <c r="F136" i="7"/>
  <c r="F137" i="7"/>
  <c r="F138" i="7"/>
  <c r="F139" i="7"/>
  <c r="F140" i="7"/>
  <c r="F141" i="7"/>
  <c r="F144" i="7"/>
  <c r="F146" i="7"/>
  <c r="F147" i="7"/>
  <c r="F148" i="7"/>
  <c r="F152" i="7"/>
  <c r="F153" i="7"/>
  <c r="F154" i="7"/>
  <c r="F155" i="7"/>
  <c r="F156" i="7"/>
  <c r="F160" i="7"/>
  <c r="F161" i="7"/>
  <c r="F163" i="7"/>
  <c r="F164" i="7"/>
  <c r="F165" i="7"/>
  <c r="F166" i="7"/>
  <c r="F168" i="7"/>
  <c r="F170" i="7"/>
  <c r="F172" i="7"/>
  <c r="F173" i="7"/>
  <c r="F174" i="7"/>
  <c r="F175" i="7"/>
  <c r="F178" i="7"/>
  <c r="F179" i="7"/>
  <c r="F182" i="7"/>
  <c r="F183" i="7"/>
  <c r="F185" i="7"/>
  <c r="F187" i="7"/>
  <c r="F188" i="7"/>
  <c r="F191" i="7"/>
  <c r="F193" i="7"/>
  <c r="F196" i="7"/>
  <c r="F197" i="7"/>
  <c r="F199" i="7"/>
  <c r="F201" i="7"/>
  <c r="F202" i="7"/>
  <c r="F203" i="7"/>
  <c r="F205" i="7"/>
  <c r="F207" i="7"/>
  <c r="F208" i="7"/>
  <c r="F209" i="7"/>
  <c r="F211" i="7"/>
  <c r="F212" i="7"/>
  <c r="F213" i="7"/>
  <c r="F214" i="7"/>
  <c r="F215" i="7"/>
  <c r="F216" i="7"/>
  <c r="F217" i="7"/>
  <c r="F218" i="7"/>
  <c r="F219" i="7"/>
  <c r="F220" i="7"/>
  <c r="F222" i="7"/>
  <c r="F223" i="7"/>
  <c r="F224" i="7"/>
  <c r="F225" i="7"/>
  <c r="F3" i="7"/>
  <c r="F4" i="7"/>
  <c r="F5" i="7"/>
  <c r="F2" i="7"/>
  <c r="AS193" i="7"/>
  <c r="AS16" i="7"/>
  <c r="AS25" i="7"/>
  <c r="AS27" i="7"/>
  <c r="AS30" i="7"/>
  <c r="AS31" i="7"/>
  <c r="AS38" i="7"/>
  <c r="AS43" i="7"/>
  <c r="AS46" i="7"/>
  <c r="AS47" i="7"/>
  <c r="AS48" i="7"/>
  <c r="AS50" i="7"/>
  <c r="AS53" i="7"/>
  <c r="AS54" i="7"/>
  <c r="AS56" i="7"/>
  <c r="AS58" i="7"/>
  <c r="AS59" i="7"/>
  <c r="AS60" i="7"/>
  <c r="AS61" i="7"/>
  <c r="AS62" i="7"/>
  <c r="AS64" i="7"/>
  <c r="AS67" i="7"/>
  <c r="AS68" i="7"/>
  <c r="AS69" i="7"/>
  <c r="AS70" i="7"/>
  <c r="AS71" i="7"/>
  <c r="AS73" i="7"/>
  <c r="AS75" i="7"/>
  <c r="AS76" i="7"/>
  <c r="AS77" i="7"/>
  <c r="AS78" i="7"/>
  <c r="AS79" i="7"/>
  <c r="AS80" i="7"/>
  <c r="AS81" i="7"/>
  <c r="AS82" i="7"/>
  <c r="AS86" i="7"/>
  <c r="AS88" i="7"/>
  <c r="AS89" i="7"/>
  <c r="AS91" i="7"/>
  <c r="AS93" i="7"/>
  <c r="AS94" i="7"/>
  <c r="AS95" i="7"/>
  <c r="AS97" i="7"/>
  <c r="AS99" i="7"/>
  <c r="AS100" i="7"/>
  <c r="AS101" i="7"/>
  <c r="AS102" i="7"/>
  <c r="AS103" i="7"/>
  <c r="AS106" i="7"/>
  <c r="AS107" i="7"/>
  <c r="AS108" i="7"/>
  <c r="AS109" i="7"/>
  <c r="AS110" i="7"/>
  <c r="AS111" i="7"/>
  <c r="AS113" i="7"/>
  <c r="AS118" i="7"/>
  <c r="AS120" i="7"/>
  <c r="AS122" i="7"/>
  <c r="AS125" i="7"/>
  <c r="AS126" i="7"/>
  <c r="AS127" i="7"/>
  <c r="AS129" i="7"/>
  <c r="AS131" i="7"/>
  <c r="AS133" i="7"/>
  <c r="AS135" i="7"/>
  <c r="AS136" i="7"/>
  <c r="AS137" i="7"/>
  <c r="AS138" i="7"/>
  <c r="AS140" i="7"/>
  <c r="AS141" i="7"/>
  <c r="AS144" i="7"/>
  <c r="AS146" i="7"/>
  <c r="AS147" i="7"/>
  <c r="AS148" i="7"/>
  <c r="AS152" i="7"/>
  <c r="AS154" i="7"/>
  <c r="AS155" i="7"/>
  <c r="AS156" i="7"/>
  <c r="AS160" i="7"/>
  <c r="AS161" i="7"/>
  <c r="AS163" i="7"/>
  <c r="AS164" i="7"/>
  <c r="AS165" i="7"/>
  <c r="AS166" i="7"/>
  <c r="AS170" i="7"/>
  <c r="AS173" i="7"/>
  <c r="AS174" i="7"/>
  <c r="AS175" i="7"/>
  <c r="AS178" i="7"/>
  <c r="AS179" i="7"/>
  <c r="AS183" i="7"/>
  <c r="AS185" i="7"/>
  <c r="AS188" i="7"/>
  <c r="AS196" i="7"/>
  <c r="AS199" i="7"/>
  <c r="AS201" i="7"/>
  <c r="AS202" i="7"/>
  <c r="AS203" i="7"/>
  <c r="AS207" i="7"/>
  <c r="AS208" i="7"/>
  <c r="AS209" i="7"/>
  <c r="AS211" i="7"/>
  <c r="AS213" i="7"/>
  <c r="AS217" i="7"/>
  <c r="AS220" i="7"/>
  <c r="AS222" i="7"/>
  <c r="AS224" i="7"/>
  <c r="AS4" i="7"/>
  <c r="AS5" i="7"/>
  <c r="AS9" i="7"/>
  <c r="AS10" i="7"/>
  <c r="AS2" i="7"/>
  <c r="W7" i="14"/>
  <c r="W6" i="14"/>
  <c r="W5" i="14"/>
  <c r="W4" i="14"/>
  <c r="W3" i="14"/>
  <c r="W2" i="14"/>
  <c r="AF126" i="2"/>
  <c r="AE126" i="2"/>
  <c r="AD126" i="2"/>
  <c r="AC126" i="2"/>
  <c r="AB126" i="2"/>
  <c r="AA126" i="2"/>
  <c r="Z126" i="2"/>
  <c r="Y126" i="2"/>
  <c r="X126" i="2"/>
  <c r="W126" i="2"/>
  <c r="AF125" i="2"/>
  <c r="AE125" i="2"/>
  <c r="AD125" i="2"/>
  <c r="AC125" i="2"/>
  <c r="AB125" i="2"/>
  <c r="AA125" i="2"/>
  <c r="Z125" i="2"/>
  <c r="Y125" i="2"/>
  <c r="X125" i="2"/>
  <c r="W125" i="2"/>
  <c r="AF124" i="2"/>
  <c r="AE124" i="2"/>
  <c r="AD124" i="2"/>
  <c r="AC124" i="2"/>
  <c r="AB124" i="2"/>
  <c r="AA124" i="2"/>
  <c r="Z124" i="2"/>
  <c r="Y124" i="2"/>
  <c r="X124" i="2"/>
  <c r="W124" i="2"/>
  <c r="AF123" i="2"/>
  <c r="AE123" i="2"/>
  <c r="AD123" i="2"/>
  <c r="AC123" i="2"/>
  <c r="AB123" i="2"/>
  <c r="AA123" i="2"/>
  <c r="Z123" i="2"/>
  <c r="Y123" i="2"/>
  <c r="X123" i="2"/>
  <c r="W123" i="2"/>
  <c r="AF122" i="2"/>
  <c r="AE122" i="2"/>
  <c r="AD122" i="2"/>
  <c r="AC122" i="2"/>
  <c r="AB122" i="2"/>
  <c r="AA122" i="2"/>
  <c r="Z122" i="2"/>
  <c r="Y122" i="2"/>
  <c r="X122" i="2"/>
  <c r="W122" i="2"/>
  <c r="AF121" i="2"/>
  <c r="AE121" i="2"/>
  <c r="AD121" i="2"/>
  <c r="AC121" i="2"/>
  <c r="AB121" i="2"/>
  <c r="AA121" i="2"/>
  <c r="Z121" i="2"/>
  <c r="Y121" i="2"/>
  <c r="X121" i="2"/>
  <c r="W121" i="2"/>
  <c r="AF120" i="2"/>
  <c r="AE120" i="2"/>
  <c r="AD120" i="2"/>
  <c r="AC120" i="2"/>
  <c r="AB120" i="2"/>
  <c r="AA120" i="2"/>
  <c r="Z120" i="2"/>
  <c r="Y120" i="2"/>
  <c r="X120" i="2"/>
  <c r="W120" i="2"/>
  <c r="AF119" i="2"/>
  <c r="AE119" i="2"/>
  <c r="AD119" i="2"/>
  <c r="AC119" i="2"/>
  <c r="AB119" i="2"/>
  <c r="AA119" i="2"/>
  <c r="Z119" i="2"/>
  <c r="Y119" i="2"/>
  <c r="X119" i="2"/>
  <c r="W119" i="2"/>
  <c r="AF118" i="2"/>
  <c r="AE118" i="2"/>
  <c r="AD118" i="2"/>
  <c r="AC118" i="2"/>
  <c r="AB118" i="2"/>
  <c r="AA118" i="2"/>
  <c r="Z118" i="2"/>
  <c r="Y118" i="2"/>
  <c r="X118" i="2"/>
  <c r="W118" i="2"/>
  <c r="AF117" i="2"/>
  <c r="AE117" i="2"/>
  <c r="AD117" i="2"/>
  <c r="AC117" i="2"/>
  <c r="AB117" i="2"/>
  <c r="AA117" i="2"/>
  <c r="Z117" i="2"/>
  <c r="Y117" i="2"/>
  <c r="X117" i="2"/>
  <c r="W117" i="2"/>
  <c r="AF116" i="2"/>
  <c r="AE116" i="2"/>
  <c r="AD116" i="2"/>
  <c r="AC116" i="2"/>
  <c r="AB116" i="2"/>
  <c r="AA116" i="2"/>
  <c r="Z116" i="2"/>
  <c r="Y116" i="2"/>
  <c r="X116" i="2"/>
  <c r="W116" i="2"/>
  <c r="AF115" i="2"/>
  <c r="AE115" i="2"/>
  <c r="AD115" i="2"/>
  <c r="AC115" i="2"/>
  <c r="AB115" i="2"/>
  <c r="AA115" i="2"/>
  <c r="Z115" i="2"/>
  <c r="Y115" i="2"/>
  <c r="X115" i="2"/>
  <c r="W115" i="2"/>
  <c r="AF114" i="2"/>
  <c r="AE114" i="2"/>
  <c r="AD114" i="2"/>
  <c r="AC114" i="2"/>
  <c r="AB114" i="2"/>
  <c r="AA114" i="2"/>
  <c r="Z114" i="2"/>
  <c r="Y114" i="2"/>
  <c r="X114" i="2"/>
  <c r="W114" i="2"/>
  <c r="AF113" i="2"/>
  <c r="AE113" i="2"/>
  <c r="AD113" i="2"/>
  <c r="AC113" i="2"/>
  <c r="AB113" i="2"/>
  <c r="AA113" i="2"/>
  <c r="Z113" i="2"/>
  <c r="Y113" i="2"/>
  <c r="X113" i="2"/>
  <c r="W113" i="2"/>
  <c r="AF112" i="2"/>
  <c r="AE112" i="2"/>
  <c r="AD112" i="2"/>
  <c r="AC112" i="2"/>
  <c r="AB112" i="2"/>
  <c r="AA112" i="2"/>
  <c r="Z112" i="2"/>
  <c r="Y112" i="2"/>
  <c r="X112" i="2"/>
  <c r="W112" i="2"/>
  <c r="AF111" i="2"/>
  <c r="AE111" i="2"/>
  <c r="AD111" i="2"/>
  <c r="AC111" i="2"/>
  <c r="AB111" i="2"/>
  <c r="AA111" i="2"/>
  <c r="Z111" i="2"/>
  <c r="Y111" i="2"/>
  <c r="X111" i="2"/>
  <c r="W111" i="2"/>
  <c r="AF110" i="2"/>
  <c r="AE110" i="2"/>
  <c r="AD110" i="2"/>
  <c r="AC110" i="2"/>
  <c r="AB110" i="2"/>
  <c r="AA110" i="2"/>
  <c r="Z110" i="2"/>
  <c r="Y110" i="2"/>
  <c r="X110" i="2"/>
  <c r="W110" i="2"/>
  <c r="AF109" i="2"/>
  <c r="AE109" i="2"/>
  <c r="AD109" i="2"/>
  <c r="AC109" i="2"/>
  <c r="AB109" i="2"/>
  <c r="AA109" i="2"/>
  <c r="Z109" i="2"/>
  <c r="Y109" i="2"/>
  <c r="X109" i="2"/>
  <c r="W109" i="2"/>
  <c r="M21" i="5"/>
  <c r="AF108" i="2"/>
  <c r="AE108" i="2"/>
  <c r="AD108" i="2"/>
  <c r="AC108" i="2"/>
  <c r="AD105" i="2"/>
  <c r="AC105" i="2"/>
  <c r="AD104" i="2"/>
  <c r="AC104" i="2"/>
  <c r="AD103" i="2"/>
  <c r="AC103" i="2"/>
  <c r="AD102" i="2"/>
  <c r="AC102" i="2"/>
  <c r="AD101" i="2"/>
  <c r="AC101" i="2"/>
  <c r="AD100" i="2"/>
  <c r="AC100" i="2"/>
  <c r="AD99" i="2"/>
  <c r="AC99" i="2"/>
  <c r="AD98" i="2"/>
  <c r="AC98" i="2"/>
  <c r="AD97" i="2"/>
  <c r="AC97" i="2"/>
  <c r="AD96" i="2"/>
  <c r="AC96" i="2"/>
  <c r="AD95" i="2"/>
  <c r="AC95" i="2"/>
  <c r="AD94" i="2"/>
  <c r="AC94" i="2"/>
  <c r="AD93" i="2"/>
  <c r="AC93" i="2"/>
  <c r="AD92" i="2"/>
  <c r="AC92" i="2"/>
  <c r="AD91" i="2"/>
  <c r="AC91" i="2"/>
  <c r="AD90" i="2"/>
  <c r="AC90" i="2"/>
  <c r="AD89" i="2"/>
  <c r="AC89" i="2"/>
  <c r="AD88" i="2"/>
  <c r="AC88" i="2"/>
  <c r="AD87" i="2"/>
  <c r="AC87" i="2"/>
  <c r="AB108" i="2"/>
  <c r="AA108" i="2"/>
  <c r="AB105" i="2"/>
  <c r="AA105" i="2"/>
  <c r="AB104" i="2"/>
  <c r="AA104" i="2"/>
  <c r="AB103" i="2"/>
  <c r="AA103" i="2"/>
  <c r="AB102" i="2"/>
  <c r="AA102" i="2"/>
  <c r="AB101" i="2"/>
  <c r="AA101" i="2"/>
  <c r="AB100" i="2"/>
  <c r="AA100" i="2"/>
  <c r="AB99" i="2"/>
  <c r="AA99" i="2"/>
  <c r="AB98" i="2"/>
  <c r="AA98" i="2"/>
  <c r="AB97" i="2"/>
  <c r="AA97" i="2"/>
  <c r="AB96" i="2"/>
  <c r="AA96" i="2"/>
  <c r="AB95" i="2"/>
  <c r="AA95" i="2"/>
  <c r="AB94" i="2"/>
  <c r="AA94" i="2"/>
  <c r="AB93" i="2"/>
  <c r="AA93" i="2"/>
  <c r="AB92" i="2"/>
  <c r="AA92" i="2"/>
  <c r="AB91" i="2"/>
  <c r="AA91" i="2"/>
  <c r="AB90" i="2"/>
  <c r="AA90" i="2"/>
  <c r="AB89" i="2"/>
  <c r="AA89" i="2"/>
  <c r="AB88" i="2"/>
  <c r="AA88" i="2"/>
  <c r="AB87" i="2"/>
  <c r="AA87" i="2"/>
  <c r="AB84" i="2"/>
  <c r="AA84" i="2"/>
  <c r="AB83" i="2"/>
  <c r="AA83" i="2"/>
  <c r="AB82" i="2"/>
  <c r="AA82" i="2"/>
  <c r="AB81" i="2"/>
  <c r="AA81" i="2"/>
  <c r="AB80" i="2"/>
  <c r="AA80" i="2"/>
  <c r="AB79" i="2"/>
  <c r="AA79" i="2"/>
  <c r="AB78" i="2"/>
  <c r="AA78" i="2"/>
  <c r="AB77" i="2"/>
  <c r="AA77" i="2"/>
  <c r="AB76" i="2"/>
  <c r="AA76" i="2"/>
  <c r="AB75" i="2"/>
  <c r="AA75" i="2"/>
  <c r="AB74" i="2"/>
  <c r="AA74" i="2"/>
  <c r="AB73" i="2"/>
  <c r="AA73" i="2"/>
  <c r="AB72" i="2"/>
  <c r="AA72" i="2"/>
  <c r="AB71" i="2"/>
  <c r="AA71" i="2"/>
  <c r="AB70" i="2"/>
  <c r="AA70" i="2"/>
  <c r="AB69" i="2"/>
  <c r="AA69" i="2"/>
  <c r="AB68" i="2"/>
  <c r="AA68" i="2"/>
  <c r="AB67" i="2"/>
  <c r="AA67" i="2"/>
  <c r="AB66" i="2"/>
  <c r="AA66" i="2"/>
  <c r="Z108" i="2"/>
  <c r="Y108" i="2"/>
  <c r="Z105" i="2"/>
  <c r="Y105" i="2"/>
  <c r="Z104" i="2"/>
  <c r="Y104" i="2"/>
  <c r="Z103" i="2"/>
  <c r="Y103" i="2"/>
  <c r="Z102" i="2"/>
  <c r="Y102" i="2"/>
  <c r="Z101" i="2"/>
  <c r="Y101" i="2"/>
  <c r="Z100" i="2"/>
  <c r="Y100" i="2"/>
  <c r="Z99" i="2"/>
  <c r="Y99" i="2"/>
  <c r="Z98" i="2"/>
  <c r="Y98" i="2"/>
  <c r="Z97" i="2"/>
  <c r="Y97" i="2"/>
  <c r="Z96" i="2"/>
  <c r="Y96" i="2"/>
  <c r="Z95" i="2"/>
  <c r="Y95" i="2"/>
  <c r="Z94" i="2"/>
  <c r="Y94" i="2"/>
  <c r="Z93" i="2"/>
  <c r="Y93" i="2"/>
  <c r="Z92" i="2"/>
  <c r="Y92" i="2"/>
  <c r="Z91" i="2"/>
  <c r="Y91" i="2"/>
  <c r="Z90" i="2"/>
  <c r="Y90" i="2"/>
  <c r="Z89" i="2"/>
  <c r="Y89" i="2"/>
  <c r="Z88" i="2"/>
  <c r="Y88" i="2"/>
  <c r="Z87" i="2"/>
  <c r="Y87" i="2"/>
  <c r="Z84" i="2"/>
  <c r="Y84" i="2"/>
  <c r="Z83" i="2"/>
  <c r="Y83" i="2"/>
  <c r="Z82" i="2"/>
  <c r="Y82" i="2"/>
  <c r="Z81" i="2"/>
  <c r="Y81" i="2"/>
  <c r="Z80" i="2"/>
  <c r="Y80" i="2"/>
  <c r="Z79" i="2"/>
  <c r="Y79" i="2"/>
  <c r="Z78" i="2"/>
  <c r="Y78" i="2"/>
  <c r="Z77" i="2"/>
  <c r="Y77" i="2"/>
  <c r="Z76" i="2"/>
  <c r="Y76" i="2"/>
  <c r="Z75" i="2"/>
  <c r="Y75" i="2"/>
  <c r="Z74" i="2"/>
  <c r="Y74" i="2"/>
  <c r="Z73" i="2"/>
  <c r="Y73" i="2"/>
  <c r="Z72" i="2"/>
  <c r="Y72" i="2"/>
  <c r="Z71" i="2"/>
  <c r="Y71" i="2"/>
  <c r="Z70" i="2"/>
  <c r="Y70" i="2"/>
  <c r="Z69" i="2"/>
  <c r="Y69" i="2"/>
  <c r="Z68" i="2"/>
  <c r="Y68" i="2"/>
  <c r="Z67" i="2"/>
  <c r="Y67" i="2"/>
  <c r="Z66" i="2"/>
  <c r="Y66" i="2"/>
  <c r="Z63" i="2"/>
  <c r="Y63" i="2"/>
  <c r="Z62" i="2"/>
  <c r="Y62" i="2"/>
  <c r="Z61" i="2"/>
  <c r="Y61" i="2"/>
  <c r="Z60" i="2"/>
  <c r="Y60" i="2"/>
  <c r="Z59" i="2"/>
  <c r="Y59" i="2"/>
  <c r="Z58" i="2"/>
  <c r="Y58" i="2"/>
  <c r="Z57" i="2"/>
  <c r="Y57" i="2"/>
  <c r="Z56" i="2"/>
  <c r="Y56" i="2"/>
  <c r="Z55" i="2"/>
  <c r="Y55" i="2"/>
  <c r="Z54" i="2"/>
  <c r="Y54" i="2"/>
  <c r="Z53" i="2"/>
  <c r="Y53" i="2"/>
  <c r="Z52" i="2"/>
  <c r="Y52" i="2"/>
  <c r="Z51" i="2"/>
  <c r="Y51" i="2"/>
  <c r="Z50" i="2"/>
  <c r="Y50" i="2"/>
  <c r="Z49" i="2"/>
  <c r="Y49" i="2"/>
  <c r="Z48" i="2"/>
  <c r="Y48" i="2"/>
  <c r="Z47" i="2"/>
  <c r="Y47" i="2"/>
  <c r="Z46" i="2"/>
  <c r="Y46" i="2"/>
  <c r="Z45" i="2"/>
  <c r="Y45" i="2"/>
  <c r="X108" i="2"/>
  <c r="W108" i="2"/>
  <c r="X105" i="2"/>
  <c r="W105" i="2"/>
  <c r="X104" i="2"/>
  <c r="W104" i="2"/>
  <c r="X103" i="2"/>
  <c r="W103" i="2"/>
  <c r="X102" i="2"/>
  <c r="W102" i="2"/>
  <c r="X101" i="2"/>
  <c r="W101" i="2"/>
  <c r="X100" i="2"/>
  <c r="W100" i="2"/>
  <c r="X99" i="2"/>
  <c r="W99" i="2"/>
  <c r="X98" i="2"/>
  <c r="W98" i="2"/>
  <c r="X97" i="2"/>
  <c r="W97" i="2"/>
  <c r="X96" i="2"/>
  <c r="W96" i="2"/>
  <c r="X95" i="2"/>
  <c r="W95" i="2"/>
  <c r="X94" i="2"/>
  <c r="W94" i="2"/>
  <c r="X93" i="2"/>
  <c r="W93" i="2"/>
  <c r="X92" i="2"/>
  <c r="W92" i="2"/>
  <c r="X91" i="2"/>
  <c r="W91" i="2"/>
  <c r="X90" i="2"/>
  <c r="W90" i="2"/>
  <c r="X89" i="2"/>
  <c r="W89" i="2"/>
  <c r="X88" i="2"/>
  <c r="W88" i="2"/>
  <c r="X87" i="2"/>
  <c r="W87" i="2"/>
  <c r="X84" i="2"/>
  <c r="W84" i="2"/>
  <c r="X83" i="2"/>
  <c r="W83" i="2"/>
  <c r="X82" i="2"/>
  <c r="W82" i="2"/>
  <c r="X81" i="2"/>
  <c r="W81" i="2"/>
  <c r="X80" i="2"/>
  <c r="W80" i="2"/>
  <c r="X79" i="2"/>
  <c r="W79" i="2"/>
  <c r="X78" i="2"/>
  <c r="W78" i="2"/>
  <c r="X77" i="2"/>
  <c r="W77" i="2"/>
  <c r="X76" i="2"/>
  <c r="W76" i="2"/>
  <c r="X75" i="2"/>
  <c r="W75" i="2"/>
  <c r="X74" i="2"/>
  <c r="W74" i="2"/>
  <c r="X73" i="2"/>
  <c r="W73" i="2"/>
  <c r="X72" i="2"/>
  <c r="W72" i="2"/>
  <c r="X71" i="2"/>
  <c r="W71" i="2"/>
  <c r="X70" i="2"/>
  <c r="W70" i="2"/>
  <c r="X69" i="2"/>
  <c r="W69" i="2"/>
  <c r="X68" i="2"/>
  <c r="W68" i="2"/>
  <c r="X67" i="2"/>
  <c r="W67" i="2"/>
  <c r="X66" i="2"/>
  <c r="W66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O22" i="2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3" i="7"/>
  <c r="X4" i="7"/>
  <c r="X5" i="7"/>
  <c r="X6" i="7"/>
  <c r="X7" i="7"/>
  <c r="X8" i="7"/>
  <c r="X9" i="7"/>
  <c r="X10" i="7"/>
  <c r="X2" i="7"/>
  <c r="E61" i="7" l="1"/>
  <c r="E93" i="7"/>
  <c r="E125" i="7"/>
  <c r="E199" i="7"/>
  <c r="E183" i="7"/>
  <c r="E170" i="7"/>
  <c r="E144" i="7"/>
  <c r="E112" i="7"/>
  <c r="E80" i="7"/>
  <c r="E72" i="7"/>
  <c r="E48" i="7"/>
  <c r="E10" i="7"/>
  <c r="E127" i="7"/>
  <c r="E78" i="7"/>
  <c r="E70" i="7"/>
  <c r="E46" i="7"/>
  <c r="E95" i="7"/>
  <c r="E208" i="7"/>
  <c r="E136" i="7"/>
  <c r="E64" i="7"/>
  <c r="E187" i="7"/>
  <c r="E147" i="7"/>
  <c r="E139" i="7"/>
  <c r="E131" i="7"/>
  <c r="E99" i="7"/>
  <c r="E43" i="7"/>
  <c r="E185" i="7"/>
  <c r="E94" i="7"/>
  <c r="E134" i="7"/>
  <c r="E102" i="7"/>
  <c r="E30" i="7"/>
  <c r="E203" i="7"/>
  <c r="E179" i="7"/>
  <c r="E163" i="7"/>
  <c r="E107" i="7"/>
  <c r="E75" i="7"/>
  <c r="E67" i="7"/>
  <c r="E59" i="7"/>
  <c r="E27" i="7"/>
  <c r="E110" i="7"/>
  <c r="E126" i="7"/>
  <c r="E62" i="7"/>
  <c r="E156" i="7"/>
  <c r="E13" i="7"/>
  <c r="E155" i="7"/>
  <c r="E91" i="7"/>
  <c r="E196" i="7"/>
  <c r="E140" i="7"/>
  <c r="E132" i="7"/>
  <c r="E100" i="7"/>
  <c r="E201" i="7"/>
  <c r="E113" i="7"/>
  <c r="E81" i="7"/>
  <c r="E73" i="7"/>
  <c r="E212" i="7"/>
  <c r="E172" i="7"/>
  <c r="E216" i="7"/>
  <c r="E160" i="7"/>
  <c r="E120" i="7"/>
  <c r="E88" i="7"/>
  <c r="E220" i="7"/>
  <c r="E207" i="7"/>
  <c r="E135" i="7"/>
  <c r="E103" i="7"/>
  <c r="E31" i="7"/>
  <c r="E219" i="7"/>
  <c r="E15" i="7"/>
  <c r="E213" i="7"/>
  <c r="E205" i="7"/>
  <c r="E197" i="7"/>
  <c r="E173" i="7"/>
  <c r="E165" i="7"/>
  <c r="E141" i="7"/>
  <c r="E133" i="7"/>
  <c r="E109" i="7"/>
  <c r="E101" i="7"/>
  <c r="E77" i="7"/>
  <c r="E69" i="7"/>
  <c r="E53" i="7"/>
  <c r="E29" i="7"/>
  <c r="E188" i="7"/>
  <c r="E164" i="7"/>
  <c r="E148" i="7"/>
  <c r="E108" i="7"/>
  <c r="E76" i="7"/>
  <c r="E68" i="7"/>
  <c r="E60" i="7"/>
  <c r="E5" i="7"/>
  <c r="E218" i="7"/>
  <c r="E202" i="7"/>
  <c r="E178" i="7"/>
  <c r="E154" i="7"/>
  <c r="E146" i="7"/>
  <c r="E138" i="7"/>
  <c r="E122" i="7"/>
  <c r="E114" i="7"/>
  <c r="E106" i="7"/>
  <c r="E82" i="7"/>
  <c r="E74" i="7"/>
  <c r="E58" i="7"/>
  <c r="E50" i="7"/>
  <c r="E2" i="7"/>
  <c r="E4" i="7"/>
  <c r="E225" i="7"/>
  <c r="E217" i="7"/>
  <c r="E209" i="7"/>
  <c r="E193" i="7"/>
  <c r="E161" i="7"/>
  <c r="E153" i="7"/>
  <c r="E137" i="7"/>
  <c r="E129" i="7"/>
  <c r="E97" i="7"/>
  <c r="E33" i="7"/>
  <c r="E25" i="7"/>
  <c r="E3" i="7"/>
  <c r="E224" i="7"/>
  <c r="E168" i="7"/>
  <c r="E152" i="7"/>
  <c r="E128" i="7"/>
  <c r="E96" i="7"/>
  <c r="E56" i="7"/>
  <c r="E40" i="7"/>
  <c r="E223" i="7"/>
  <c r="E215" i="7"/>
  <c r="E191" i="7"/>
  <c r="E175" i="7"/>
  <c r="E119" i="7"/>
  <c r="E111" i="7"/>
  <c r="E87" i="7"/>
  <c r="E79" i="7"/>
  <c r="E71" i="7"/>
  <c r="E47" i="7"/>
  <c r="E211" i="7"/>
  <c r="E9" i="7"/>
  <c r="E16" i="7"/>
  <c r="E222" i="7"/>
  <c r="E214" i="7"/>
  <c r="E182" i="7"/>
  <c r="E174" i="7"/>
  <c r="E166" i="7"/>
  <c r="E118" i="7"/>
  <c r="E86" i="7"/>
  <c r="E54" i="7"/>
  <c r="E38" i="7"/>
  <c r="E22" i="7"/>
  <c r="Q106" i="2"/>
  <c r="P127" i="2" s="1"/>
  <c r="Q105" i="2"/>
  <c r="P126" i="2" s="1"/>
  <c r="Q104" i="2"/>
  <c r="P125" i="2" s="1"/>
  <c r="Q103" i="2"/>
  <c r="P124" i="2" s="1"/>
  <c r="Q102" i="2"/>
  <c r="P123" i="2" s="1"/>
  <c r="Q101" i="2"/>
  <c r="P122" i="2" s="1"/>
  <c r="Q100" i="2"/>
  <c r="P121" i="2" s="1"/>
  <c r="Q99" i="2"/>
  <c r="P120" i="2" s="1"/>
  <c r="Q98" i="2"/>
  <c r="P119" i="2" s="1"/>
  <c r="Q97" i="2"/>
  <c r="P118" i="2" s="1"/>
  <c r="Q96" i="2"/>
  <c r="P117" i="2" s="1"/>
  <c r="P85" i="2"/>
  <c r="O106" i="2" s="1"/>
  <c r="Q85" i="2"/>
  <c r="O127" i="2" s="1"/>
  <c r="Q84" i="2"/>
  <c r="O126" i="2" s="1"/>
  <c r="P84" i="2"/>
  <c r="O105" i="2" s="1"/>
  <c r="Q83" i="2"/>
  <c r="O125" i="2" s="1"/>
  <c r="P83" i="2"/>
  <c r="O104" i="2" s="1"/>
  <c r="P82" i="2"/>
  <c r="O103" i="2" s="1"/>
  <c r="Q82" i="2"/>
  <c r="O124" i="2" s="1"/>
  <c r="P81" i="2"/>
  <c r="O102" i="2" s="1"/>
  <c r="Q81" i="2"/>
  <c r="O123" i="2" s="1"/>
  <c r="Q80" i="2"/>
  <c r="O122" i="2" s="1"/>
  <c r="P80" i="2"/>
  <c r="O101" i="2" s="1"/>
  <c r="Q79" i="2"/>
  <c r="O121" i="2" s="1"/>
  <c r="P79" i="2"/>
  <c r="O100" i="2" s="1"/>
  <c r="Q78" i="2"/>
  <c r="O120" i="2" s="1"/>
  <c r="P78" i="2"/>
  <c r="O99" i="2" s="1"/>
  <c r="Q77" i="2"/>
  <c r="O119" i="2" s="1"/>
  <c r="P77" i="2"/>
  <c r="O98" i="2" s="1"/>
  <c r="Q76" i="2"/>
  <c r="O118" i="2" s="1"/>
  <c r="P76" i="2"/>
  <c r="O97" i="2" s="1"/>
  <c r="Q75" i="2"/>
  <c r="O117" i="2" s="1"/>
  <c r="P75" i="2"/>
  <c r="O96" i="2" s="1"/>
  <c r="Q64" i="2"/>
  <c r="N127" i="2" s="1"/>
  <c r="P64" i="2"/>
  <c r="N106" i="2" s="1"/>
  <c r="O64" i="2"/>
  <c r="N85" i="2" s="1"/>
  <c r="Q63" i="2"/>
  <c r="N126" i="2" s="1"/>
  <c r="P63" i="2"/>
  <c r="N105" i="2" s="1"/>
  <c r="O63" i="2"/>
  <c r="N84" i="2" s="1"/>
  <c r="Q62" i="2"/>
  <c r="N125" i="2" s="1"/>
  <c r="P62" i="2"/>
  <c r="N104" i="2" s="1"/>
  <c r="O62" i="2"/>
  <c r="N83" i="2" s="1"/>
  <c r="Q61" i="2"/>
  <c r="N124" i="2" s="1"/>
  <c r="P61" i="2"/>
  <c r="N103" i="2" s="1"/>
  <c r="O61" i="2"/>
  <c r="N82" i="2" s="1"/>
  <c r="Q60" i="2"/>
  <c r="N123" i="2" s="1"/>
  <c r="P60" i="2"/>
  <c r="N102" i="2" s="1"/>
  <c r="O60" i="2"/>
  <c r="N81" i="2" s="1"/>
  <c r="Q59" i="2"/>
  <c r="N122" i="2" s="1"/>
  <c r="P59" i="2"/>
  <c r="N101" i="2" s="1"/>
  <c r="O59" i="2"/>
  <c r="N80" i="2" s="1"/>
  <c r="Q58" i="2"/>
  <c r="N121" i="2" s="1"/>
  <c r="P58" i="2"/>
  <c r="N100" i="2" s="1"/>
  <c r="O58" i="2"/>
  <c r="N79" i="2" s="1"/>
  <c r="Q57" i="2"/>
  <c r="N120" i="2" s="1"/>
  <c r="P57" i="2"/>
  <c r="N99" i="2" s="1"/>
  <c r="O57" i="2"/>
  <c r="N78" i="2" s="1"/>
  <c r="Q56" i="2"/>
  <c r="N119" i="2" s="1"/>
  <c r="P56" i="2"/>
  <c r="N98" i="2" s="1"/>
  <c r="O56" i="2"/>
  <c r="N77" i="2" s="1"/>
  <c r="Q55" i="2"/>
  <c r="N118" i="2" s="1"/>
  <c r="P55" i="2"/>
  <c r="N97" i="2" s="1"/>
  <c r="O55" i="2"/>
  <c r="N76" i="2" s="1"/>
  <c r="Q43" i="2"/>
  <c r="M127" i="2" s="1"/>
  <c r="P43" i="2"/>
  <c r="M106" i="2" s="1"/>
  <c r="O43" i="2"/>
  <c r="M85" i="2" s="1"/>
  <c r="N43" i="2"/>
  <c r="M64" i="2" s="1"/>
  <c r="Q42" i="2"/>
  <c r="M126" i="2" s="1"/>
  <c r="P42" i="2"/>
  <c r="M105" i="2" s="1"/>
  <c r="O42" i="2"/>
  <c r="M84" i="2" s="1"/>
  <c r="N42" i="2"/>
  <c r="M63" i="2" s="1"/>
  <c r="Q41" i="2"/>
  <c r="M125" i="2" s="1"/>
  <c r="P41" i="2"/>
  <c r="M104" i="2" s="1"/>
  <c r="O41" i="2"/>
  <c r="M83" i="2" s="1"/>
  <c r="N41" i="2"/>
  <c r="M62" i="2" s="1"/>
  <c r="Q40" i="2"/>
  <c r="M124" i="2" s="1"/>
  <c r="P40" i="2"/>
  <c r="M103" i="2" s="1"/>
  <c r="O40" i="2"/>
  <c r="M82" i="2" s="1"/>
  <c r="N40" i="2"/>
  <c r="M61" i="2" s="1"/>
  <c r="Q39" i="2"/>
  <c r="M123" i="2" s="1"/>
  <c r="P39" i="2"/>
  <c r="M102" i="2" s="1"/>
  <c r="O39" i="2"/>
  <c r="M81" i="2" s="1"/>
  <c r="N39" i="2"/>
  <c r="M60" i="2" s="1"/>
  <c r="Q38" i="2"/>
  <c r="M122" i="2" s="1"/>
  <c r="P38" i="2"/>
  <c r="M101" i="2" s="1"/>
  <c r="O38" i="2"/>
  <c r="M80" i="2" s="1"/>
  <c r="N38" i="2"/>
  <c r="M59" i="2" s="1"/>
  <c r="Q37" i="2"/>
  <c r="M121" i="2" s="1"/>
  <c r="P37" i="2"/>
  <c r="M100" i="2" s="1"/>
  <c r="O37" i="2"/>
  <c r="M79" i="2" s="1"/>
  <c r="N37" i="2"/>
  <c r="M58" i="2" s="1"/>
  <c r="Q36" i="2"/>
  <c r="M120" i="2" s="1"/>
  <c r="P36" i="2"/>
  <c r="M99" i="2" s="1"/>
  <c r="O36" i="2"/>
  <c r="M78" i="2" s="1"/>
  <c r="N36" i="2"/>
  <c r="M57" i="2" s="1"/>
  <c r="Q35" i="2"/>
  <c r="M119" i="2" s="1"/>
  <c r="P35" i="2"/>
  <c r="M98" i="2" s="1"/>
  <c r="O35" i="2"/>
  <c r="M77" i="2" s="1"/>
  <c r="N35" i="2"/>
  <c r="M56" i="2" s="1"/>
  <c r="Q34" i="2"/>
  <c r="M118" i="2" s="1"/>
  <c r="P34" i="2"/>
  <c r="M97" i="2" s="1"/>
  <c r="O34" i="2"/>
  <c r="M76" i="2" s="1"/>
  <c r="N34" i="2"/>
  <c r="M55" i="2" s="1"/>
  <c r="L85" i="2"/>
  <c r="Q22" i="2"/>
  <c r="L127" i="2" s="1"/>
  <c r="P22" i="2"/>
  <c r="L106" i="2" s="1"/>
  <c r="N22" i="2"/>
  <c r="L64" i="2" s="1"/>
  <c r="M22" i="2"/>
  <c r="L43" i="2" s="1"/>
  <c r="Q21" i="2"/>
  <c r="L126" i="2" s="1"/>
  <c r="P21" i="2"/>
  <c r="L105" i="2" s="1"/>
  <c r="O21" i="2"/>
  <c r="L84" i="2" s="1"/>
  <c r="N21" i="2"/>
  <c r="L63" i="2" s="1"/>
  <c r="M21" i="2"/>
  <c r="L42" i="2" s="1"/>
  <c r="M20" i="2"/>
  <c r="L41" i="2" s="1"/>
  <c r="Q20" i="2"/>
  <c r="L125" i="2" s="1"/>
  <c r="P20" i="2"/>
  <c r="L104" i="2" s="1"/>
  <c r="O20" i="2"/>
  <c r="L83" i="2" s="1"/>
  <c r="N20" i="2"/>
  <c r="L62" i="2" s="1"/>
  <c r="Q19" i="2"/>
  <c r="L124" i="2" s="1"/>
  <c r="P19" i="2"/>
  <c r="L103" i="2" s="1"/>
  <c r="O19" i="2"/>
  <c r="L82" i="2" s="1"/>
  <c r="N19" i="2"/>
  <c r="L61" i="2" s="1"/>
  <c r="M19" i="2"/>
  <c r="L40" i="2" s="1"/>
  <c r="Q18" i="2"/>
  <c r="L123" i="2" s="1"/>
  <c r="P18" i="2"/>
  <c r="L102" i="2" s="1"/>
  <c r="O18" i="2"/>
  <c r="L81" i="2" s="1"/>
  <c r="N18" i="2"/>
  <c r="L60" i="2" s="1"/>
  <c r="M18" i="2"/>
  <c r="L39" i="2" s="1"/>
  <c r="Q17" i="2"/>
  <c r="L122" i="2" s="1"/>
  <c r="P17" i="2"/>
  <c r="L101" i="2" s="1"/>
  <c r="O17" i="2"/>
  <c r="L80" i="2" s="1"/>
  <c r="N17" i="2"/>
  <c r="L59" i="2" s="1"/>
  <c r="M17" i="2"/>
  <c r="L38" i="2" s="1"/>
  <c r="Q16" i="2"/>
  <c r="L121" i="2" s="1"/>
  <c r="P16" i="2"/>
  <c r="L100" i="2" s="1"/>
  <c r="O16" i="2"/>
  <c r="L79" i="2" s="1"/>
  <c r="N16" i="2"/>
  <c r="L58" i="2" s="1"/>
  <c r="M16" i="2"/>
  <c r="L37" i="2" s="1"/>
  <c r="Q15" i="2"/>
  <c r="L120" i="2" s="1"/>
  <c r="P15" i="2"/>
  <c r="L99" i="2" s="1"/>
  <c r="O15" i="2"/>
  <c r="L78" i="2" s="1"/>
  <c r="N15" i="2"/>
  <c r="L57" i="2" s="1"/>
  <c r="M15" i="2"/>
  <c r="L36" i="2" s="1"/>
  <c r="Q14" i="2"/>
  <c r="L119" i="2" s="1"/>
  <c r="P14" i="2"/>
  <c r="L98" i="2" s="1"/>
  <c r="O14" i="2"/>
  <c r="L77" i="2" s="1"/>
  <c r="N14" i="2"/>
  <c r="L56" i="2" s="1"/>
  <c r="M14" i="2"/>
  <c r="L35" i="2" s="1"/>
  <c r="Q13" i="2"/>
  <c r="L118" i="2" s="1"/>
  <c r="P13" i="2"/>
  <c r="L97" i="2" s="1"/>
  <c r="O13" i="2"/>
  <c r="L76" i="2" s="1"/>
  <c r="N13" i="2"/>
  <c r="L55" i="2" s="1"/>
  <c r="M13" i="2"/>
  <c r="L34" i="2" s="1"/>
  <c r="Q12" i="2"/>
  <c r="L117" i="2" s="1"/>
  <c r="P12" i="2"/>
  <c r="L96" i="2" s="1"/>
  <c r="O12" i="2"/>
  <c r="L75" i="2" s="1"/>
  <c r="N12" i="2"/>
  <c r="L54" i="2" s="1"/>
  <c r="M12" i="2"/>
  <c r="L33" i="2" s="1"/>
  <c r="Q54" i="2"/>
  <c r="N117" i="2" s="1"/>
  <c r="P54" i="2"/>
  <c r="N96" i="2" s="1"/>
  <c r="O54" i="2"/>
  <c r="N75" i="2" s="1"/>
  <c r="Q33" i="2"/>
  <c r="M117" i="2" s="1"/>
  <c r="P33" i="2"/>
  <c r="M96" i="2" s="1"/>
  <c r="O33" i="2"/>
  <c r="M75" i="2" s="1"/>
  <c r="N33" i="2"/>
  <c r="M54" i="2" s="1"/>
  <c r="L7" i="4"/>
  <c r="K7" i="4"/>
  <c r="F7" i="4"/>
  <c r="L6" i="4"/>
  <c r="K6" i="4"/>
  <c r="F6" i="4"/>
  <c r="L5" i="4"/>
  <c r="K5" i="4"/>
  <c r="F5" i="4"/>
  <c r="L4" i="4"/>
  <c r="K4" i="4"/>
  <c r="L3" i="4"/>
  <c r="K3" i="4"/>
  <c r="L2" i="4"/>
  <c r="K2" i="4"/>
</calcChain>
</file>

<file path=xl/sharedStrings.xml><?xml version="1.0" encoding="utf-8"?>
<sst xmlns="http://schemas.openxmlformats.org/spreadsheetml/2006/main" count="2492" uniqueCount="947">
  <si>
    <t>Outright Wins</t>
  </si>
  <si>
    <t>England</t>
  </si>
  <si>
    <t>France</t>
  </si>
  <si>
    <t>Ireland</t>
  </si>
  <si>
    <t>Italy</t>
  </si>
  <si>
    <t>Scotland</t>
  </si>
  <si>
    <t>Wales</t>
  </si>
  <si>
    <t>Grand Slams</t>
  </si>
  <si>
    <t>Triple Crown</t>
  </si>
  <si>
    <t>Triple Crowns</t>
  </si>
  <si>
    <t>NA</t>
  </si>
  <si>
    <t>Wooden Spoons</t>
  </si>
  <si>
    <t>Wooden Spoon</t>
  </si>
  <si>
    <t>% of population registered for World Rugby</t>
  </si>
  <si>
    <t>Population</t>
  </si>
  <si>
    <t>Total players</t>
  </si>
  <si>
    <t>Registered Players</t>
  </si>
  <si>
    <t>% of population that play rugby</t>
  </si>
  <si>
    <t> England</t>
  </si>
  <si>
    <t> Scotland</t>
  </si>
  <si>
    <t> Ireland</t>
  </si>
  <si>
    <t> Italy</t>
  </si>
  <si>
    <t> France</t>
  </si>
  <si>
    <t> Wales</t>
  </si>
  <si>
    <t>Champions</t>
  </si>
  <si>
    <t>Year</t>
  </si>
  <si>
    <t>Grand Slam</t>
  </si>
  <si>
    <t>Calcutta Cup</t>
  </si>
  <si>
    <t>Millenium Trophy</t>
  </si>
  <si>
    <t>Centanary Quaich</t>
  </si>
  <si>
    <t>Giuseppe Garibaldi Trophy</t>
  </si>
  <si>
    <t>Auld Alliance Trophy</t>
  </si>
  <si>
    <t>Doddie Weir Trophy</t>
  </si>
  <si>
    <t>Country</t>
  </si>
  <si>
    <t xml:space="preserve">France </t>
  </si>
  <si>
    <t xml:space="preserve">England </t>
  </si>
  <si>
    <t>Heineken Cup Wins</t>
  </si>
  <si>
    <t>Points For Last Year</t>
  </si>
  <si>
    <t>Points Against Last Year</t>
  </si>
  <si>
    <t>PA Last Year</t>
  </si>
  <si>
    <t>PF Last Year</t>
  </si>
  <si>
    <t>TF Last Year</t>
  </si>
  <si>
    <t>TA Last Year</t>
  </si>
  <si>
    <t>Odds Last Year Vs England</t>
  </si>
  <si>
    <t>Odds Last Year Vs France</t>
  </si>
  <si>
    <t>Odds Last Year Vs Ireland</t>
  </si>
  <si>
    <t>Odds Last Year Vs Italy</t>
  </si>
  <si>
    <t>Odds Last Year Vs Scotland</t>
  </si>
  <si>
    <t>Odds Last Year Vs Wales</t>
  </si>
  <si>
    <t>Position Last Year</t>
  </si>
  <si>
    <t>Diff Last Year</t>
  </si>
  <si>
    <t>TB Last Year</t>
  </si>
  <si>
    <t>LB Last Year</t>
  </si>
  <si>
    <t>Pts Last Year</t>
  </si>
  <si>
    <t>World Ranking at beginning of year</t>
  </si>
  <si>
    <t>Position this year</t>
  </si>
  <si>
    <t>Clive Woodward</t>
  </si>
  <si>
    <t>Andy Robinson</t>
  </si>
  <si>
    <t>Brian Ashton</t>
  </si>
  <si>
    <t>Martin Johnson</t>
  </si>
  <si>
    <t>Head Coaches Tenure going into Tournament in years</t>
  </si>
  <si>
    <t>Head Coach</t>
  </si>
  <si>
    <t>Stuart Lancaster</t>
  </si>
  <si>
    <t>Eddie Jones</t>
  </si>
  <si>
    <t>Bernard Laporte</t>
  </si>
  <si>
    <t>Marc Lièvremont</t>
  </si>
  <si>
    <t>Philippe Saint-André</t>
  </si>
  <si>
    <t>Guy Novès</t>
  </si>
  <si>
    <t>Jacques Brunel</t>
  </si>
  <si>
    <t>Fabien Galthié</t>
  </si>
  <si>
    <t>Warren Gatland</t>
  </si>
  <si>
    <t>Eddie O'Sullivan</t>
  </si>
  <si>
    <t>Declan Kidney</t>
  </si>
  <si>
    <t>Joe Schmidt</t>
  </si>
  <si>
    <t>Andy farrell</t>
  </si>
  <si>
    <t>Brad Johnstone</t>
  </si>
  <si>
    <t>John Kirwan</t>
  </si>
  <si>
    <t>Pierre Berbizier</t>
  </si>
  <si>
    <t>Nick Mallett</t>
  </si>
  <si>
    <t>Conor O'Shea</t>
  </si>
  <si>
    <t>Franco Smith</t>
  </si>
  <si>
    <t>Ian McGeechan</t>
  </si>
  <si>
    <t>Matt Williams</t>
  </si>
  <si>
    <t>Frank Hadden</t>
  </si>
  <si>
    <t>Scott Johnson</t>
  </si>
  <si>
    <t>Vern Cotter</t>
  </si>
  <si>
    <t>Gregor Townsend</t>
  </si>
  <si>
    <t>Graham Henry</t>
  </si>
  <si>
    <t>Steve Hansen</t>
  </si>
  <si>
    <t>Mike Ruddock</t>
  </si>
  <si>
    <t>Gareth Jenkins</t>
  </si>
  <si>
    <t>Rob Howley</t>
  </si>
  <si>
    <t>Wayne Pivac</t>
  </si>
  <si>
    <t>Player</t>
  </si>
  <si>
    <t>Max Deegan</t>
  </si>
  <si>
    <t>Caelan Doris</t>
  </si>
  <si>
    <t>Ultan Dillane</t>
  </si>
  <si>
    <t>Tadhg Furlong</t>
  </si>
  <si>
    <t>Cian Healy</t>
  </si>
  <si>
    <t>Dave Heffernan</t>
  </si>
  <si>
    <t>Iain Henderson</t>
  </si>
  <si>
    <t>Rob Herring</t>
  </si>
  <si>
    <t>Ronan Kelleher</t>
  </si>
  <si>
    <t>Dave Kilcoyne</t>
  </si>
  <si>
    <t>Jack McGrath</t>
  </si>
  <si>
    <t>Jack O’Donoghue</t>
  </si>
  <si>
    <t>Peter O’Mahony</t>
  </si>
  <si>
    <t>Tom O’Toole</t>
  </si>
  <si>
    <t>Andrew Porter</t>
  </si>
  <si>
    <t>James Ryan</t>
  </si>
  <si>
    <t>CJ Stander</t>
  </si>
  <si>
    <t>Devin Toner</t>
  </si>
  <si>
    <t>Josh van der Flier</t>
  </si>
  <si>
    <t>Position</t>
  </si>
  <si>
    <t>Forward</t>
  </si>
  <si>
    <t>Back</t>
  </si>
  <si>
    <t>Will Addison</t>
  </si>
  <si>
    <t>Bundee Aki</t>
  </si>
  <si>
    <t>Billy Burns</t>
  </si>
  <si>
    <t>Ross Byrne</t>
  </si>
  <si>
    <t>Andrew Conway</t>
  </si>
  <si>
    <t>John Cooney</t>
  </si>
  <si>
    <t>Keith Earls</t>
  </si>
  <si>
    <t>Chris Farrell</t>
  </si>
  <si>
    <t>Robbie Henshaw</t>
  </si>
  <si>
    <t>Dave Kearney</t>
  </si>
  <si>
    <t>Jordan Larmour</t>
  </si>
  <si>
    <t>Luke McGrath</t>
  </si>
  <si>
    <t>Conor Murray</t>
  </si>
  <si>
    <t>Garry Ringrose</t>
  </si>
  <si>
    <t>Jonathan Sexton</t>
  </si>
  <si>
    <t>Jacob Stockdale</t>
  </si>
  <si>
    <t>Dorian Aldegheri</t>
  </si>
  <si>
    <t>Cyril Baille</t>
  </si>
  <si>
    <t>Demba Bamba</t>
  </si>
  <si>
    <t>Camille Chat</t>
  </si>
  <si>
    <t>Anthony Etrillard</t>
  </si>
  <si>
    <t>Jean-Baptiste Gros</t>
  </si>
  <si>
    <t>Mohamed Haouas</t>
  </si>
  <si>
    <t>Julien Marchand</t>
  </si>
  <si>
    <t>Jefferson Poirot</t>
  </si>
  <si>
    <t>Cyril Cazeaux</t>
  </si>
  <si>
    <t>Killian Geraci</t>
  </si>
  <si>
    <t>Bernard Le Roux</t>
  </si>
  <si>
    <t>Boris Palu</t>
  </si>
  <si>
    <t>Romain Taofifenua</t>
  </si>
  <si>
    <t>Paul Willemse</t>
  </si>
  <si>
    <t>Gregory Alldritt</t>
  </si>
  <si>
    <t>Dylan Cretin</t>
  </si>
  <si>
    <t>Francois Cros</t>
  </si>
  <si>
    <t>Alexandre Fischer</t>
  </si>
  <si>
    <t>Sekou Macalou</t>
  </si>
  <si>
    <t>Charles Ollivon</t>
  </si>
  <si>
    <t>Selevasio Tolofua</t>
  </si>
  <si>
    <t>Cameron Woki</t>
  </si>
  <si>
    <t>Antoine Dupont</t>
  </si>
  <si>
    <t>Maxime Lucu</t>
  </si>
  <si>
    <t>Baptiste Serin</t>
  </si>
  <si>
    <t>Louis Carbonel</t>
  </si>
  <si>
    <t>Matthieu Jalibert</t>
  </si>
  <si>
    <t>Romain Ntamack</t>
  </si>
  <si>
    <t>Gael Fickou</t>
  </si>
  <si>
    <t>Julien Heriteau</t>
  </si>
  <si>
    <t>Virimi Vakatawa</t>
  </si>
  <si>
    <t>Arthur Vincent</t>
  </si>
  <si>
    <t>Gervais Cordin</t>
  </si>
  <si>
    <t>Lester Etien</t>
  </si>
  <si>
    <t>Gabriel Ngandebe</t>
  </si>
  <si>
    <t>Damian Penaud</t>
  </si>
  <si>
    <t>Vincent Rattez</t>
  </si>
  <si>
    <t>Teddy Thomas</t>
  </si>
  <si>
    <t>Anthony Bouthier</t>
  </si>
  <si>
    <t>Kylan Hamdaoui</t>
  </si>
  <si>
    <t>Thomas Ramos</t>
  </si>
  <si>
    <t>Simon Berghan</t>
  </si>
  <si>
    <t>Jamie Bhatti</t>
  </si>
  <si>
    <t>Magnus Bradbury</t>
  </si>
  <si>
    <t>Fraser Brown</t>
  </si>
  <si>
    <t>Alex Craig</t>
  </si>
  <si>
    <t>Luke Crosbie</t>
  </si>
  <si>
    <t>Scott Cummings</t>
  </si>
  <si>
    <t>Allan Dell</t>
  </si>
  <si>
    <t>Cornell du Preez</t>
  </si>
  <si>
    <t>Zander Fagerson</t>
  </si>
  <si>
    <t>Grant Gilchrist</t>
  </si>
  <si>
    <t>Tom Gordon</t>
  </si>
  <si>
    <t>Jonny Gray</t>
  </si>
  <si>
    <t>Nick Haining</t>
  </si>
  <si>
    <t>Stuart McInally</t>
  </si>
  <si>
    <t>Willem Nel</t>
  </si>
  <si>
    <t>Jamie Ritchie</t>
  </si>
  <si>
    <t>Rory Sutherland</t>
  </si>
  <si>
    <t>Ben Toolis</t>
  </si>
  <si>
    <t>George Turner</t>
  </si>
  <si>
    <t>Hamish Watson</t>
  </si>
  <si>
    <t>Darcy Graham</t>
  </si>
  <si>
    <t>Chris Harris</t>
  </si>
  <si>
    <t>Adam Hastings</t>
  </si>
  <si>
    <t>Stuart Hogg</t>
  </si>
  <si>
    <t>George Horne</t>
  </si>
  <si>
    <t>Rory Hutchinson</t>
  </si>
  <si>
    <t>Sam Johnson</t>
  </si>
  <si>
    <t>Huw Jones</t>
  </si>
  <si>
    <t>Blair Kinghorn</t>
  </si>
  <si>
    <t>Sean Maitland</t>
  </si>
  <si>
    <t>Byron McGuigan</t>
  </si>
  <si>
    <t>Ali Price</t>
  </si>
  <si>
    <t>Henry Pyrgos</t>
  </si>
  <si>
    <t>Finn Russell</t>
  </si>
  <si>
    <t>Matt Scott</t>
  </si>
  <si>
    <t>Kyle Steyn</t>
  </si>
  <si>
    <t>Ratu Tagive</t>
  </si>
  <si>
    <t>Rhys Carre</t>
  </si>
  <si>
    <t>Rob Evans</t>
  </si>
  <si>
    <t>Wyn Jones</t>
  </si>
  <si>
    <t>Elliot Dee</t>
  </si>
  <si>
    <t>Ryan Elias</t>
  </si>
  <si>
    <t>Ken Owens</t>
  </si>
  <si>
    <t>Leon Brown</t>
  </si>
  <si>
    <t>WillGriff John</t>
  </si>
  <si>
    <t>Dillon Lewis</t>
  </si>
  <si>
    <t>Jake Ball</t>
  </si>
  <si>
    <t>Adam Beard</t>
  </si>
  <si>
    <t>Seb Davies</t>
  </si>
  <si>
    <t>Alun Wyn Jones</t>
  </si>
  <si>
    <t>Will Rowlands</t>
  </si>
  <si>
    <t>Cory Hill</t>
  </si>
  <si>
    <t>Aaron Shingler</t>
  </si>
  <si>
    <t>Aaron Wainwright</t>
  </si>
  <si>
    <t>Taulupe Faletau</t>
  </si>
  <si>
    <t>Ross Moriarty</t>
  </si>
  <si>
    <t>Josh Navidi</t>
  </si>
  <si>
    <t>Justin Tipuric</t>
  </si>
  <si>
    <t>Gareth Davies</t>
  </si>
  <si>
    <t>Rhys Webb</t>
  </si>
  <si>
    <t>Tomos Williams</t>
  </si>
  <si>
    <t>Dan Biggar</t>
  </si>
  <si>
    <t>Owen Williams</t>
  </si>
  <si>
    <t>Jarrod Evans</t>
  </si>
  <si>
    <t>Hadleigh Parkes</t>
  </si>
  <si>
    <t>Nick Tompkins</t>
  </si>
  <si>
    <t>Owen Watkin</t>
  </si>
  <si>
    <t>George North</t>
  </si>
  <si>
    <t>Josh Adams</t>
  </si>
  <si>
    <t>Owen Lane</t>
  </si>
  <si>
    <t>Johnny McNicholl</t>
  </si>
  <si>
    <t>Louis Rees-Zammit</t>
  </si>
  <si>
    <t>Jonah Holmes</t>
  </si>
  <si>
    <t>Leigh Halfpenny</t>
  </si>
  <si>
    <t>Liam Williams</t>
  </si>
  <si>
    <t>Caps</t>
  </si>
  <si>
    <t>Tries</t>
  </si>
  <si>
    <t>% wins</t>
  </si>
  <si>
    <t>Position Detailed</t>
  </si>
  <si>
    <t>Prop</t>
  </si>
  <si>
    <t>Years Active in Six Nations</t>
  </si>
  <si>
    <t>2019-2019</t>
  </si>
  <si>
    <t>2017-2017</t>
  </si>
  <si>
    <t>2016-2019</t>
  </si>
  <si>
    <t>Hooker</t>
  </si>
  <si>
    <t>Born</t>
  </si>
  <si>
    <t>August 4, 1993</t>
  </si>
  <si>
    <t> September 15, 1993</t>
  </si>
  <si>
    <t>March 17, 1998</t>
  </si>
  <si>
    <t>December 18, 1995</t>
  </si>
  <si>
    <t>March 21, 1993</t>
  </si>
  <si>
    <t>May 29, 1999</t>
  </si>
  <si>
    <t>June 9, 1994</t>
  </si>
  <si>
    <t>May 10, 1995</t>
  </si>
  <si>
    <t>November 1, 1992</t>
  </si>
  <si>
    <t> February 10, 1995</t>
  </si>
  <si>
    <t>Lock, Flanker</t>
  </si>
  <si>
    <t>March 25, 1999</t>
  </si>
  <si>
    <t>June 4, 1989</t>
  </si>
  <si>
    <t>Back-row</t>
  </si>
  <si>
    <t>2014-2018</t>
  </si>
  <si>
    <t>February 4, 1996</t>
  </si>
  <si>
    <t>2013-2018</t>
  </si>
  <si>
    <t>September 14, 1990</t>
  </si>
  <si>
    <t>Lock</t>
  </si>
  <si>
    <t>November 13, 1992</t>
  </si>
  <si>
    <t>March 23, 1997</t>
  </si>
  <si>
    <t>Flanker, No. 8</t>
  </si>
  <si>
    <t>May 4, 1997</t>
  </si>
  <si>
    <t>Flanker</t>
  </si>
  <si>
    <t>March 25, 1994</t>
  </si>
  <si>
    <t>January 19, 1998</t>
  </si>
  <si>
    <t>April 20, 1995</t>
  </si>
  <si>
    <t>May 11, 1993</t>
  </si>
  <si>
    <t>May 31, 1997</t>
  </si>
  <si>
    <t>November 7, 1998</t>
  </si>
  <si>
    <t>November 15, 1996</t>
  </si>
  <si>
    <t>Scrum-half</t>
  </si>
  <si>
    <t>2017-2019</t>
  </si>
  <si>
    <t>January 12, 1993</t>
  </si>
  <si>
    <t>June 20, 1994</t>
  </si>
  <si>
    <t>February 4, 1999</t>
  </si>
  <si>
    <t>Fly-half</t>
  </si>
  <si>
    <t>2018-2018</t>
  </si>
  <si>
    <t>November 6, 1998</t>
  </si>
  <si>
    <t>May 1, 1999</t>
  </si>
  <si>
    <t>2013-2019</t>
  </si>
  <si>
    <t>Centre</t>
  </si>
  <si>
    <t>March 26, 1994</t>
  </si>
  <si>
    <t>September 12, 1994</t>
  </si>
  <si>
    <t>May 1, 1992</t>
  </si>
  <si>
    <t>2016-2018</t>
  </si>
  <si>
    <t>September 30, 1999</t>
  </si>
  <si>
    <t>December 10, 1998</t>
  </si>
  <si>
    <t>Fullback, Wing</t>
  </si>
  <si>
    <t>June 21, 1995</t>
  </si>
  <si>
    <t>Wing</t>
  </si>
  <si>
    <t>March 30, 1997</t>
  </si>
  <si>
    <t>September 25, 1996</t>
  </si>
  <si>
    <t>March 24, 1992</t>
  </si>
  <si>
    <t>Fullback</t>
  </si>
  <si>
    <t>September 18, 1993</t>
  </si>
  <si>
    <t>2015-2018</t>
  </si>
  <si>
    <t>June 19, 1992</t>
  </si>
  <si>
    <t>Fullback, Fly-half</t>
  </si>
  <si>
    <t>April 15, 1994</t>
  </si>
  <si>
    <t>July 23, 1995</t>
  </si>
  <si>
    <t>October 1, 1996</t>
  </si>
  <si>
    <t>April 2, 1998</t>
  </si>
  <si>
    <t>No. 8</t>
  </si>
  <si>
    <t>November 9, 1993</t>
  </si>
  <si>
    <t>November 14, 1992</t>
  </si>
  <si>
    <t>October 7, 1987</t>
  </si>
  <si>
    <t>2010-2019</t>
  </si>
  <si>
    <t>January 31, 1991</t>
  </si>
  <si>
    <t>February 21, 1992</t>
  </si>
  <si>
    <t>April 27, 1990</t>
  </si>
  <si>
    <t>January 24, 1998</t>
  </si>
  <si>
    <t>December 14, 1988</t>
  </si>
  <si>
    <t>October 11, 1989</t>
  </si>
  <si>
    <t>2014-2019</t>
  </si>
  <si>
    <t>February 8, 1994</t>
  </si>
  <si>
    <t>September 17, 1989</t>
  </si>
  <si>
    <t>2012-2019</t>
  </si>
  <si>
    <t>September 23, 1998</t>
  </si>
  <si>
    <t>2018-2019</t>
  </si>
  <si>
    <t>July 24, 1996</t>
  </si>
  <si>
    <t>January 16, 1996</t>
  </si>
  <si>
    <t>April 5, 1990</t>
  </si>
  <si>
    <t>June 29, 1986</t>
  </si>
  <si>
    <t>April 25, 1993</t>
  </si>
  <si>
    <t>August 20, 1992</t>
  </si>
  <si>
    <t>Utility back</t>
  </si>
  <si>
    <t>April 7, 1990</t>
  </si>
  <si>
    <t>June 13, 1994</t>
  </si>
  <si>
    <t>April 8, 1995</t>
  </si>
  <si>
    <t>July 11, 1991</t>
  </si>
  <si>
    <t>May 1, 1990</t>
  </si>
  <si>
    <t>October 2, 1987</t>
  </si>
  <si>
    <t>March 16, 1993</t>
  </si>
  <si>
    <t>June 12, 1993</t>
  </si>
  <si>
    <t>Fullback, Centre</t>
  </si>
  <si>
    <t>2015-2019</t>
  </si>
  <si>
    <t>2014-2016</t>
  </si>
  <si>
    <t>June 19, 1989</t>
  </si>
  <si>
    <t>June 10, 1997</t>
  </si>
  <si>
    <t> February 3, 1993</t>
  </si>
  <si>
    <t>April 20, 1989</t>
  </si>
  <si>
    <t>January 26, 1995</t>
  </si>
  <si>
    <t>July 11, 1985</t>
  </si>
  <si>
    <t>April 3, 1996</t>
  </si>
  <si>
    <t>December 7, 1990</t>
  </si>
  <si>
    <t>September 8, 1993</t>
  </si>
  <si>
    <t>August 23, 1995</t>
  </si>
  <si>
    <t>June 20, 1989</t>
  </si>
  <si>
    <t>April 26, 1997</t>
  </si>
  <si>
    <t>April 22, 1997</t>
  </si>
  <si>
    <t>December 3, 1996</t>
  </si>
  <si>
    <t>March 16, 1992</t>
  </si>
  <si>
    <t>March 23, 1991</t>
  </si>
  <si>
    <t>2017-2018</t>
  </si>
  <si>
    <t>January 19, 1996</t>
  </si>
  <si>
    <t>August 9, 1990</t>
  </si>
  <si>
    <t>January 30, 1997</t>
  </si>
  <si>
    <t>March 14, 1994</t>
  </si>
  <si>
    <t>September 1, 1990</t>
  </si>
  <si>
    <t>April 30, 1986</t>
  </si>
  <si>
    <t>August 16, 1996</t>
  </si>
  <si>
    <t>August 24, 1992</t>
  </si>
  <si>
    <t>2016-2016</t>
  </si>
  <si>
    <t>March 31, 1992</t>
  </si>
  <si>
    <t>October 8, 1992</t>
  </si>
  <si>
    <t>October 15, 1991</t>
  </si>
  <si>
    <t>June 21, 1997</t>
  </si>
  <si>
    <t>December 28, 1990</t>
  </si>
  <si>
    <t>October 5, 1996</t>
  </si>
  <si>
    <t>June 24, 1992</t>
  </si>
  <si>
    <t>May 12, 1995</t>
  </si>
  <si>
    <t>January 29, 1996</t>
  </si>
  <si>
    <t>June 19, 1993</t>
  </si>
  <si>
    <t>December 17, 1993</t>
  </si>
  <si>
    <t>January 18, 1997</t>
  </si>
  <si>
    <t>September 14, 1988</t>
  </si>
  <si>
    <t>August 20, 1989</t>
  </si>
  <si>
    <t>May 12, 1993</t>
  </si>
  <si>
    <t>July 9, 1989</t>
  </si>
  <si>
    <t>2013-2017</t>
  </si>
  <si>
    <t>September 23, 1992</t>
  </si>
  <si>
    <t>September 30, 1990</t>
  </si>
  <si>
    <t>2012-2017</t>
  </si>
  <si>
    <t>January 29, 1994</t>
  </si>
  <si>
    <t>Wing, Centre</t>
  </si>
  <si>
    <t>April 8, 1991</t>
  </si>
  <si>
    <t>February 8, 1998</t>
  </si>
  <si>
    <t>April 14, 1992</t>
  </si>
  <si>
    <t>February 26, 1992</t>
  </si>
  <si>
    <t>March 7, 1994</t>
  </si>
  <si>
    <t>January 7, 1995</t>
  </si>
  <si>
    <t>January 3, 1987</t>
  </si>
  <si>
    <t>October 26, 1996</t>
  </si>
  <si>
    <t>December 4, 1992</t>
  </si>
  <si>
    <t>January 4, 1996</t>
  </si>
  <si>
    <t>June 21, 1991</t>
  </si>
  <si>
    <t>January 7, 1996</t>
  </si>
  <si>
    <t>May 17, 1996</t>
  </si>
  <si>
    <t>September 19, 1985</t>
  </si>
  <si>
    <t>2007-2019</t>
  </si>
  <si>
    <t>September 19, 1991</t>
  </si>
  <si>
    <t>February 10, 1992</t>
  </si>
  <si>
    <t>August 7, 1987</t>
  </si>
  <si>
    <t>2012-2018</t>
  </si>
  <si>
    <t>September 25, 1997</t>
  </si>
  <si>
    <t>November 12, 1990</t>
  </si>
  <si>
    <t>April 18, 1994</t>
  </si>
  <si>
    <t>December 30, 1990</t>
  </si>
  <si>
    <t>August 6, 1989</t>
  </si>
  <si>
    <t>August 18, 1990</t>
  </si>
  <si>
    <t>December 9, 1988</t>
  </si>
  <si>
    <t>January 1, 1995</t>
  </si>
  <si>
    <t>October 16, 1989</t>
  </si>
  <si>
    <t>February 27, 1992</t>
  </si>
  <si>
    <t>July 25, 1996</t>
  </si>
  <si>
    <t>October 5, 1987</t>
  </si>
  <si>
    <t>February 16, 1995</t>
  </si>
  <si>
    <t>October 12, 1996</t>
  </si>
  <si>
    <t>April 13, 1992</t>
  </si>
  <si>
    <t>2011-2019</t>
  </si>
  <si>
    <t>April 21, 1995</t>
  </si>
  <si>
    <t>December 20, 1997</t>
  </si>
  <si>
    <t>September 24, 1990</t>
  </si>
  <si>
    <t>February 2, 2001</t>
  </si>
  <si>
    <t>July 24, 1992</t>
  </si>
  <si>
    <t>December 22, 1988</t>
  </si>
  <si>
    <t>2009-2018</t>
  </si>
  <si>
    <t>April 9, 1991</t>
  </si>
  <si>
    <t>Played in Six Nations Before</t>
  </si>
  <si>
    <t>108</t>
  </si>
  <si>
    <t>123</t>
  </si>
  <si>
    <t>118</t>
  </si>
  <si>
    <t xml:space="preserve">95 </t>
  </si>
  <si>
    <t>106</t>
  </si>
  <si>
    <t>109</t>
  </si>
  <si>
    <t>111</t>
  </si>
  <si>
    <t>101</t>
  </si>
  <si>
    <t>103</t>
  </si>
  <si>
    <t>100</t>
  </si>
  <si>
    <t>105</t>
  </si>
  <si>
    <t xml:space="preserve">79 </t>
  </si>
  <si>
    <t xml:space="preserve">88 </t>
  </si>
  <si>
    <t xml:space="preserve">73 </t>
  </si>
  <si>
    <t xml:space="preserve">96 </t>
  </si>
  <si>
    <t xml:space="preserve">74 </t>
  </si>
  <si>
    <t xml:space="preserve">86 </t>
  </si>
  <si>
    <t>104</t>
  </si>
  <si>
    <t>113</t>
  </si>
  <si>
    <t xml:space="preserve">99 </t>
  </si>
  <si>
    <t>102</t>
  </si>
  <si>
    <t>Weight In KG</t>
  </si>
  <si>
    <t>Height In Metres</t>
  </si>
  <si>
    <t>Forward Or Back</t>
  </si>
  <si>
    <t>Six Nations Matches</t>
  </si>
  <si>
    <t>Six Nations Start</t>
  </si>
  <si>
    <t>Six Nations Sub</t>
  </si>
  <si>
    <t>Six Nations Pts</t>
  </si>
  <si>
    <t>Six Nations Tries</t>
  </si>
  <si>
    <t>Six Nations Conv</t>
  </si>
  <si>
    <t>Six Nations Drop</t>
  </si>
  <si>
    <t>Six Nations Won</t>
  </si>
  <si>
    <t>Six Nations Lost</t>
  </si>
  <si>
    <t>Six Nations Draw</t>
  </si>
  <si>
    <t>Heineken Cup Runner Ups</t>
  </si>
  <si>
    <t>Won Heineken Cup Last Year</t>
  </si>
  <si>
    <t>RPI Score</t>
  </si>
  <si>
    <t>Club</t>
  </si>
  <si>
    <t>Toulouse</t>
  </si>
  <si>
    <t>Brive</t>
  </si>
  <si>
    <t>Racing 92</t>
  </si>
  <si>
    <t>Touloun</t>
  </si>
  <si>
    <t>Bordeaux</t>
  </si>
  <si>
    <t>Grenoble</t>
  </si>
  <si>
    <t>Montpellier</t>
  </si>
  <si>
    <t>La Rochelle</t>
  </si>
  <si>
    <t>Lyon</t>
  </si>
  <si>
    <t>Castres</t>
  </si>
  <si>
    <t>Stade Francais</t>
  </si>
  <si>
    <t>Agen</t>
  </si>
  <si>
    <t>Clermont</t>
  </si>
  <si>
    <t>Leinster</t>
  </si>
  <si>
    <t>Connacht</t>
  </si>
  <si>
    <t>Ulster</t>
  </si>
  <si>
    <t>Munster</t>
  </si>
  <si>
    <t>Edinburgh</t>
  </si>
  <si>
    <t>Glasgow</t>
  </si>
  <si>
    <t>Gloucester</t>
  </si>
  <si>
    <t>Worcester</t>
  </si>
  <si>
    <t>Northampton</t>
  </si>
  <si>
    <t>Saracens</t>
  </si>
  <si>
    <t>Sale</t>
  </si>
  <si>
    <t>Cardiff Blues</t>
  </si>
  <si>
    <t>Scarlets</t>
  </si>
  <si>
    <t>Gwent Dragons</t>
  </si>
  <si>
    <t xml:space="preserve">Sale </t>
  </si>
  <si>
    <t>Ospreys</t>
  </si>
  <si>
    <t>Wasps</t>
  </si>
  <si>
    <t>Bath</t>
  </si>
  <si>
    <t>Leicester</t>
  </si>
  <si>
    <t>Attacking Measures Line Breaks, beaten defenders, won penalties and successful offloads</t>
  </si>
  <si>
    <t>Territorial Kick Meters measures territory gained from a kick</t>
  </si>
  <si>
    <t>Try Saver Measures last defender tackles made by the fullback</t>
  </si>
  <si>
    <t>Influence</t>
  </si>
  <si>
    <t>Attacking</t>
  </si>
  <si>
    <t>Territorial Kick Meters</t>
  </si>
  <si>
    <t>Try Saver</t>
  </si>
  <si>
    <t>Scrum Score</t>
  </si>
  <si>
    <t>Lineout Score</t>
  </si>
  <si>
    <t>Jackal measures possesion won from tackled player</t>
  </si>
  <si>
    <t>Jackal</t>
  </si>
  <si>
    <t>LineOut Take measures Lineouts thrown by a jumpers own team and attributed to the jumper that successfully takes the ball</t>
  </si>
  <si>
    <t>LineOut Take</t>
  </si>
  <si>
    <t>LineOut Steal</t>
  </si>
  <si>
    <t>Snaffle measures loose balls collected from open play</t>
  </si>
  <si>
    <t>Tackle Turnover</t>
  </si>
  <si>
    <t>Snaffle</t>
  </si>
  <si>
    <t>Pass Complete</t>
  </si>
  <si>
    <t>Mark</t>
  </si>
  <si>
    <t>Defensive Catch</t>
  </si>
  <si>
    <t>Goal Success</t>
  </si>
  <si>
    <t>Break</t>
  </si>
  <si>
    <t>Break measures line breaks specifically</t>
  </si>
  <si>
    <t>Luke Cowan-Dickie</t>
  </si>
  <si>
    <t>Tom Curry</t>
  </si>
  <si>
    <t>Charlie Ewels</t>
  </si>
  <si>
    <t>Ellis Genge</t>
  </si>
  <si>
    <t>Jamie George</t>
  </si>
  <si>
    <t>Ted Hill</t>
  </si>
  <si>
    <t>Maro Itoje</t>
  </si>
  <si>
    <t>George Kruis</t>
  </si>
  <si>
    <t>Joe Launchbury</t>
  </si>
  <si>
    <t>Courtney Lawes</t>
  </si>
  <si>
    <t>Lewis Ludlam</t>
  </si>
  <si>
    <t>Joe Marler</t>
  </si>
  <si>
    <t>Kyle Sinckler</t>
  </si>
  <si>
    <t>Sam Underhill</t>
  </si>
  <si>
    <t>Mako Vunipola</t>
  </si>
  <si>
    <t>Harry Williams</t>
  </si>
  <si>
    <t>Tom Dunn</t>
  </si>
  <si>
    <t>Ben Earl</t>
  </si>
  <si>
    <t>Alex Moon</t>
  </si>
  <si>
    <t>Will Stuart</t>
  </si>
  <si>
    <t>Elliot Daly</t>
  </si>
  <si>
    <t>Ollie Devoto</t>
  </si>
  <si>
    <t>Owen Farrell</t>
  </si>
  <si>
    <t>George Ford</t>
  </si>
  <si>
    <t>Willi Heinz</t>
  </si>
  <si>
    <t>Jonathan Joseph</t>
  </si>
  <si>
    <t>Jonny May</t>
  </si>
  <si>
    <t>Manu Tuilagi</t>
  </si>
  <si>
    <t>Anthony Watson</t>
  </si>
  <si>
    <t>Ben Youngs</t>
  </si>
  <si>
    <t>Alex Mitchell</t>
  </si>
  <si>
    <t>Josh Hodge</t>
  </si>
  <si>
    <t>June 20, 1993</t>
  </si>
  <si>
    <t>Exeter Chiefs</t>
  </si>
  <si>
    <t>June 15, 1998</t>
  </si>
  <si>
    <t>November 12, 1992</t>
  </si>
  <si>
    <t>January 7, 1998</t>
  </si>
  <si>
    <t>June 29, 1995</t>
  </si>
  <si>
    <t>October 20, 1990</t>
  </si>
  <si>
    <t>March 26, 1999</t>
  </si>
  <si>
    <t>Lock, Back-row</t>
  </si>
  <si>
    <t>October 28, 1994</t>
  </si>
  <si>
    <t>February 22, 1990</t>
  </si>
  <si>
    <t>April 12, 1991</t>
  </si>
  <si>
    <t>February 23, 1989</t>
  </si>
  <si>
    <t>December 8, 1995</t>
  </si>
  <si>
    <t>July 7, 1990</t>
  </si>
  <si>
    <t>Harlequins</t>
  </si>
  <si>
    <t>September 6, 1996</t>
  </si>
  <si>
    <t>March 30, 1993</t>
  </si>
  <si>
    <t>July 12, 1996</t>
  </si>
  <si>
    <t>July 22, 1996</t>
  </si>
  <si>
    <t>January 14, 1991</t>
  </si>
  <si>
    <t>October 1, 1991</t>
  </si>
  <si>
    <t>Utility Back</t>
  </si>
  <si>
    <t>October 1, 1992</t>
  </si>
  <si>
    <t>September 22, 1993</t>
  </si>
  <si>
    <t>Fraser Dingwall</t>
  </si>
  <si>
    <t>George Furbank</t>
  </si>
  <si>
    <t>Ollie Thorley</t>
  </si>
  <si>
    <t>Jacob Umaga</t>
  </si>
  <si>
    <t>April 7, 1999</t>
  </si>
  <si>
    <t>September 24, 1991</t>
  </si>
  <si>
    <t>October 17, 1996</t>
  </si>
  <si>
    <t>November 24, 1986</t>
  </si>
  <si>
    <t>May 21, 1991</t>
  </si>
  <si>
    <t>April 1, 1990</t>
  </si>
  <si>
    <t>September 11, 1996</t>
  </si>
  <si>
    <t>May 18, 1991</t>
  </si>
  <si>
    <t>July 8, 1998</t>
  </si>
  <si>
    <t>February 26, 1994</t>
  </si>
  <si>
    <t>September 5, 1989</t>
  </si>
  <si>
    <t>May 25, 1997</t>
  </si>
  <si>
    <t>May 23, 2000</t>
  </si>
  <si>
    <t>Pietro Ceccarelli</t>
  </si>
  <si>
    <t>Danilo Fischetti</t>
  </si>
  <si>
    <t>Andrea Lovotti</t>
  </si>
  <si>
    <t>Marco Riccioni</t>
  </si>
  <si>
    <t>Giosuè Zilocchi</t>
  </si>
  <si>
    <t>Luca Bigi</t>
  </si>
  <si>
    <t>Oliviero Fabiani</t>
  </si>
  <si>
    <t>Federico Zani</t>
  </si>
  <si>
    <t>Dean Budd</t>
  </si>
  <si>
    <t>Niccolò Cannone</t>
  </si>
  <si>
    <t>Federico Ruzza</t>
  </si>
  <si>
    <t>David Sisi</t>
  </si>
  <si>
    <t>Alessandro Zanni</t>
  </si>
  <si>
    <t>Marco Lazzaroni</t>
  </si>
  <si>
    <t>Giovanni Licata</t>
  </si>
  <si>
    <t>Johan Meyer</t>
  </si>
  <si>
    <t>Sebastian Negri</t>
  </si>
  <si>
    <t>Jake Polledri</t>
  </si>
  <si>
    <t>Abraham Steyn</t>
  </si>
  <si>
    <t>Callum Braley</t>
  </si>
  <si>
    <t>Guglielmo Palazzani</t>
  </si>
  <si>
    <t>Marcello Violi</t>
  </si>
  <si>
    <t>Tommaso Allan</t>
  </si>
  <si>
    <t>Carlo Canna</t>
  </si>
  <si>
    <t>Giulio Bisegni</t>
  </si>
  <si>
    <t>Tommaso Boni</t>
  </si>
  <si>
    <t>Luca Morisi</t>
  </si>
  <si>
    <t>Alberto Sgarbi</t>
  </si>
  <si>
    <t>Mattia Bellini</t>
  </si>
  <si>
    <t>Tommaso Benvenuti</t>
  </si>
  <si>
    <t>Michelangelo Biondelli</t>
  </si>
  <si>
    <t>Jayden Hayward</t>
  </si>
  <si>
    <t>Matteo Minozzi</t>
  </si>
  <si>
    <t>Edoardo Padovani</t>
  </si>
  <si>
    <t>Leonardo Sarto</t>
  </si>
  <si>
    <t>2016-2017</t>
  </si>
  <si>
    <t>February 16, 1992</t>
  </si>
  <si>
    <t xml:space="preserve">Edinburgh </t>
  </si>
  <si>
    <t>January 26, 1998</t>
  </si>
  <si>
    <t>Zebre</t>
  </si>
  <si>
    <t>July 28, 1989</t>
  </si>
  <si>
    <t>October 19, 1997</t>
  </si>
  <si>
    <t>Benetton</t>
  </si>
  <si>
    <t>January 15, 1997</t>
  </si>
  <si>
    <t>April 19, 1991</t>
  </si>
  <si>
    <t>July 13, 1990</t>
  </si>
  <si>
    <t>April 9, 1989</t>
  </si>
  <si>
    <t>July 31, 1986</t>
  </si>
  <si>
    <t>Prop, Lock</t>
  </si>
  <si>
    <t>May 17, 1998</t>
  </si>
  <si>
    <t>August 4, 1994</t>
  </si>
  <si>
    <t>February 5, 1993</t>
  </si>
  <si>
    <t>2006-2019</t>
  </si>
  <si>
    <t>January 31, 1984</t>
  </si>
  <si>
    <t>May 18, 1995</t>
  </si>
  <si>
    <t>February 18, 1997</t>
  </si>
  <si>
    <t>February 26, 1993</t>
  </si>
  <si>
    <t>June 30, 1994</t>
  </si>
  <si>
    <t>November 8, 1995</t>
  </si>
  <si>
    <t>May 2, 1992</t>
  </si>
  <si>
    <t>March 20, 1994</t>
  </si>
  <si>
    <t>April 11, 1991</t>
  </si>
  <si>
    <t>October 11, 1993</t>
  </si>
  <si>
    <t>April 26, 1993</t>
  </si>
  <si>
    <t>August 25, 1992</t>
  </si>
  <si>
    <t>April 4, 1992</t>
  </si>
  <si>
    <t>January 15, 1993</t>
  </si>
  <si>
    <t>February 22, 1991</t>
  </si>
  <si>
    <t>2008-2014</t>
  </si>
  <si>
    <t>November 26, 1986</t>
  </si>
  <si>
    <t>December 12, 1990</t>
  </si>
  <si>
    <t>Fullback, Centre, Fly-half</t>
  </si>
  <si>
    <t>May 15, 1998</t>
  </si>
  <si>
    <t>February 11, 1987</t>
  </si>
  <si>
    <t>June 4, 1996</t>
  </si>
  <si>
    <t>May 15, 1993</t>
  </si>
  <si>
    <t>January 15, 1992</t>
  </si>
  <si>
    <t>Six Nations Penalties</t>
  </si>
  <si>
    <t>Scrum score measures scrums won, attributed to each player involved</t>
  </si>
  <si>
    <t>Lineout score measures lineouts won attributed to those involved in the lineout</t>
  </si>
  <si>
    <t xml:space="preserve">Lineout steal measures lineouts thrown by the opposition and attributed to the jumper that steals possession </t>
  </si>
  <si>
    <t>Pass complete measures success passes</t>
  </si>
  <si>
    <t>Mark measures the 'mark' call made by a fullback following a catch behind the 22 metre line</t>
  </si>
  <si>
    <t>Defensive catch measures balls caught from an opposition kick</t>
  </si>
  <si>
    <t>Goal success measures successful conversions and penalty kicks</t>
  </si>
  <si>
    <t>Influence measure the impact of a player 2 minutes prior to a winning moment. If they are involved in a play 2 minutes prior to a winning moment then this rating climbs</t>
  </si>
  <si>
    <t xml:space="preserve">Ireland </t>
  </si>
  <si>
    <t xml:space="preserve">Wales </t>
  </si>
  <si>
    <t xml:space="preserve">Win/Lose vs England </t>
  </si>
  <si>
    <t xml:space="preserve">Win/Lose vs France </t>
  </si>
  <si>
    <t xml:space="preserve">Win/Lose vs Ireland </t>
  </si>
  <si>
    <t xml:space="preserve">Win/Lose vs Italy  </t>
  </si>
  <si>
    <t xml:space="preserve">Win/Lose vs Scotland </t>
  </si>
  <si>
    <t xml:space="preserve">Win/Lose vs Wales </t>
  </si>
  <si>
    <t>Home/Away vs England</t>
  </si>
  <si>
    <t>Home/Away vs France</t>
  </si>
  <si>
    <t>Home/Away vs Ireland</t>
  </si>
  <si>
    <t>Home/Away vs Italy</t>
  </si>
  <si>
    <t>Home/Away vs Scotland</t>
  </si>
  <si>
    <t>Home/Away vs Wales</t>
  </si>
  <si>
    <t>Player of the tournament</t>
  </si>
  <si>
    <t>Gordon D'arcy</t>
  </si>
  <si>
    <t>Martyn Williams</t>
  </si>
  <si>
    <t>Shane Williams</t>
  </si>
  <si>
    <t>Brian O'Driscoll</t>
  </si>
  <si>
    <t>Tommy Bowe</t>
  </si>
  <si>
    <t>Andrea Masi</t>
  </si>
  <si>
    <t>Dan Lydiate</t>
  </si>
  <si>
    <t>Mike Brown</t>
  </si>
  <si>
    <t>Paul O'Connell</t>
  </si>
  <si>
    <t>POT Starts</t>
  </si>
  <si>
    <t>POT Subs</t>
  </si>
  <si>
    <t>POT Points</t>
  </si>
  <si>
    <t>POT Tries</t>
  </si>
  <si>
    <t>POT Conversions</t>
  </si>
  <si>
    <t>POT Penalty goals scored</t>
  </si>
  <si>
    <t>POT Drop goals scored</t>
  </si>
  <si>
    <t>POT Won</t>
  </si>
  <si>
    <t>POT Lost</t>
  </si>
  <si>
    <t>POT Draw</t>
  </si>
  <si>
    <t>POT % win</t>
  </si>
  <si>
    <t>Value</t>
  </si>
  <si>
    <t>Ronan O'Gara</t>
  </si>
  <si>
    <t>Record Name</t>
  </si>
  <si>
    <t>Record Value</t>
  </si>
  <si>
    <t>Career scoring record points</t>
  </si>
  <si>
    <t>Individual points in one match</t>
  </si>
  <si>
    <t xml:space="preserve">Individual points in one season </t>
  </si>
  <si>
    <t xml:space="preserve">Jonny Wilkinson </t>
  </si>
  <si>
    <t>Tries in a match</t>
  </si>
  <si>
    <t>George Lindsay</t>
  </si>
  <si>
    <t>Cyril Lowe</t>
  </si>
  <si>
    <t>England/Scotland</t>
  </si>
  <si>
    <t>Sergio Parisse</t>
  </si>
  <si>
    <t>Match appearances</t>
  </si>
  <si>
    <t>Most points scored in one match</t>
  </si>
  <si>
    <t>Most points in a season</t>
  </si>
  <si>
    <t>Longest time without conceding a try(minutes)</t>
  </si>
  <si>
    <t>Most conversions in a match</t>
  </si>
  <si>
    <t>Most conversions in a Season</t>
  </si>
  <si>
    <t>Most conversions in a career</t>
  </si>
  <si>
    <t>England/Ireland</t>
  </si>
  <si>
    <t>Johny Wilkinson/Paddy Jackson</t>
  </si>
  <si>
    <t>Johny Wilkinson</t>
  </si>
  <si>
    <t>1991-2011</t>
  </si>
  <si>
    <t>2000-2013</t>
  </si>
  <si>
    <t>2000-2014</t>
  </si>
  <si>
    <t>2004-2019</t>
  </si>
  <si>
    <t>Total Career tries</t>
  </si>
  <si>
    <t>Player Name</t>
  </si>
  <si>
    <t>Points</t>
  </si>
  <si>
    <t>Nation</t>
  </si>
  <si>
    <t>Jonny Wilkinson</t>
  </si>
  <si>
    <t>Stephen Jones</t>
  </si>
  <si>
    <t>Neil Jenkins</t>
  </si>
  <si>
    <t>Chris Paterson</t>
  </si>
  <si>
    <t>Greig Laidlaw</t>
  </si>
  <si>
    <t>Gavin Hastings</t>
  </si>
  <si>
    <t>David Humphreys</t>
  </si>
  <si>
    <t xml:space="preserve"> Ireland</t>
  </si>
  <si>
    <t xml:space="preserve"> England</t>
  </si>
  <si>
    <t xml:space="preserve"> Wales</t>
  </si>
  <si>
    <t xml:space="preserve"> Scotland</t>
  </si>
  <si>
    <t>Starts</t>
  </si>
  <si>
    <t>Time span</t>
  </si>
  <si>
    <t xml:space="preserve"> Italy</t>
  </si>
  <si>
    <t>2004–2019</t>
  </si>
  <si>
    <t>2000–2014</t>
  </si>
  <si>
    <t>Rory Best</t>
  </si>
  <si>
    <t>2006–2019</t>
  </si>
  <si>
    <t>2000–2013</t>
  </si>
  <si>
    <t>Martin Castrogiovanni</t>
  </si>
  <si>
    <t>2003–2016</t>
  </si>
  <si>
    <t>Mike Gibson</t>
  </si>
  <si>
    <t>1964–1979</t>
  </si>
  <si>
    <t>Gethin Jenkins</t>
  </si>
  <si>
    <t>Ross Ford</t>
  </si>
  <si>
    <t>2006–2017</t>
  </si>
  <si>
    <t>John Hayes</t>
  </si>
  <si>
    <t>2000–2010</t>
  </si>
  <si>
    <t>Jason Leonard</t>
  </si>
  <si>
    <t>1991–2004</t>
  </si>
  <si>
    <t>Leonardo Ghiraldini</t>
  </si>
  <si>
    <t>2007–2019</t>
  </si>
  <si>
    <t>Willie John McBride</t>
  </si>
  <si>
    <t>1962–1975</t>
  </si>
  <si>
    <t>2000–2011</t>
  </si>
  <si>
    <t>Marco Bortolami</t>
  </si>
  <si>
    <t>2002–2015</t>
  </si>
  <si>
    <t>1998–2010</t>
  </si>
  <si>
    <t>Philippe Sella</t>
  </si>
  <si>
    <t xml:space="preserve"> France</t>
  </si>
  <si>
    <t>1983–1995</t>
  </si>
  <si>
    <t>Rory Underwood</t>
  </si>
  <si>
    <t>1984–1996</t>
  </si>
  <si>
    <t>Ian Smith</t>
  </si>
  <si>
    <t>Gareth Edwards</t>
  </si>
  <si>
    <t>Most points by a losing team</t>
  </si>
  <si>
    <t>England/Italy</t>
  </si>
  <si>
    <t>Most points in one match</t>
  </si>
  <si>
    <t>Most points in a drawn match</t>
  </si>
  <si>
    <t>Biggest winning margin</t>
  </si>
  <si>
    <t>Biggest away winning margin</t>
  </si>
  <si>
    <t>Most points conceded in a season</t>
  </si>
  <si>
    <t>Fewest points scored in a season</t>
  </si>
  <si>
    <t>Fewwest points conceded in a season</t>
  </si>
  <si>
    <t>Most Tries scored in one season</t>
  </si>
  <si>
    <t>Most Tries conceded in one season</t>
  </si>
  <si>
    <t>Fewest tries scored in one season</t>
  </si>
  <si>
    <t>Fewest tries conceded in a six nations season</t>
  </si>
  <si>
    <t>Biggest points difference in a season</t>
  </si>
  <si>
    <t xml:space="preserve">Weakest points difference in a season </t>
  </si>
  <si>
    <t>Most tries in a season for all teams</t>
  </si>
  <si>
    <t>England Under 20's</t>
  </si>
  <si>
    <t>Alessandro Troncon</t>
  </si>
  <si>
    <t>Most Points</t>
  </si>
  <si>
    <t>2019 Record</t>
  </si>
  <si>
    <t>Most Tries</t>
  </si>
  <si>
    <t>Johny May</t>
  </si>
  <si>
    <t>Most Try Assists</t>
  </si>
  <si>
    <t>Most conversions</t>
  </si>
  <si>
    <t>Most penalties scored</t>
  </si>
  <si>
    <t>Gareth Anscombe</t>
  </si>
  <si>
    <t>Most passes</t>
  </si>
  <si>
    <t>Connor Murray</t>
  </si>
  <si>
    <t>Most carries</t>
  </si>
  <si>
    <t>Billy Vunipola</t>
  </si>
  <si>
    <t>Metres Gained</t>
  </si>
  <si>
    <t>Most Metres Gained</t>
  </si>
  <si>
    <t>Most clean Breaks</t>
  </si>
  <si>
    <t>Henry Slade</t>
  </si>
  <si>
    <t>Most defenders Beaten</t>
  </si>
  <si>
    <t>Most tackles</t>
  </si>
  <si>
    <t>Most Turnovers won</t>
  </si>
  <si>
    <t>Mathieu Bastareaud</t>
  </si>
  <si>
    <t>Most offloads</t>
  </si>
  <si>
    <t>Most kicks from hand</t>
  </si>
  <si>
    <t>Peter O'Mahoney</t>
  </si>
  <si>
    <t>Most Lineouts Won</t>
  </si>
  <si>
    <t>Fewest Points conceded</t>
  </si>
  <si>
    <t xml:space="preserve">Italy </t>
  </si>
  <si>
    <t xml:space="preserve">Scotland </t>
  </si>
  <si>
    <t>Conversions</t>
  </si>
  <si>
    <t>Penalty Goals</t>
  </si>
  <si>
    <t>Drop Goals</t>
  </si>
  <si>
    <t>Carries</t>
  </si>
  <si>
    <t>Defenders Beaten</t>
  </si>
  <si>
    <t>Clean Breaks</t>
  </si>
  <si>
    <t>Interceptions</t>
  </si>
  <si>
    <t>Passes Made</t>
  </si>
  <si>
    <t>Off Loads Made</t>
  </si>
  <si>
    <t>Tackles Made</t>
  </si>
  <si>
    <t>Missed Tackles</t>
  </si>
  <si>
    <t>Turnovers Won</t>
  </si>
  <si>
    <t>Turnovers Conceded</t>
  </si>
  <si>
    <t>Penalties Conceded</t>
  </si>
  <si>
    <t>Successful Lineout Takes</t>
  </si>
  <si>
    <t>Stolen Lineouts</t>
  </si>
  <si>
    <t>Yellow</t>
  </si>
  <si>
    <t>Red cards</t>
  </si>
  <si>
    <t>Metres per carry</t>
  </si>
  <si>
    <t>Fewest Tries Conceded</t>
  </si>
  <si>
    <t>2019 Carries</t>
  </si>
  <si>
    <t>2019 Minutes Played</t>
  </si>
  <si>
    <t>2019 Points</t>
  </si>
  <si>
    <t xml:space="preserve">2019 Tries </t>
  </si>
  <si>
    <t>2019 Try assists</t>
  </si>
  <si>
    <t>2019 Conversions</t>
  </si>
  <si>
    <t>2019 Penalty Goals</t>
  </si>
  <si>
    <t>2019 Drop Goals</t>
  </si>
  <si>
    <t>2019 Defenders Beaten</t>
  </si>
  <si>
    <t>2019 Clean Breaks</t>
  </si>
  <si>
    <t>2019 Gain Line Successes</t>
  </si>
  <si>
    <t>2019 Interceptions</t>
  </si>
  <si>
    <t>2019 Passes Made</t>
  </si>
  <si>
    <t>2019 Off Loads Made</t>
  </si>
  <si>
    <t>2019 Tackles Made</t>
  </si>
  <si>
    <t>2019 Missed Tackles</t>
  </si>
  <si>
    <t>2019 Turnovers Won</t>
  </si>
  <si>
    <t>2019 Turnovers Conceded</t>
  </si>
  <si>
    <t>2019 Handling Errors</t>
  </si>
  <si>
    <t>2019 Penalties Conceded</t>
  </si>
  <si>
    <t>2019 Kicks from hand</t>
  </si>
  <si>
    <t>2019 Kicks Caught</t>
  </si>
  <si>
    <t>2019 Successful Lineout Takes</t>
  </si>
  <si>
    <t>2019 Stolen Lineouts</t>
  </si>
  <si>
    <t>2019 Yellow Cards</t>
  </si>
  <si>
    <t>2019 Red Cards</t>
  </si>
  <si>
    <t>POT Matches Played</t>
  </si>
  <si>
    <t>First Year in Six Nations</t>
  </si>
  <si>
    <t>Most recent Year Six Nations</t>
  </si>
  <si>
    <t>Career Span start</t>
  </si>
  <si>
    <t>Career Span end</t>
  </si>
  <si>
    <t>Years Played in Six Nations</t>
  </si>
  <si>
    <t>Year Start</t>
  </si>
  <si>
    <t>Year End</t>
  </si>
  <si>
    <t>2001-2017</t>
  </si>
  <si>
    <t xml:space="preserve">KPI Name </t>
  </si>
  <si>
    <t>KPI Decription</t>
  </si>
  <si>
    <t>Lineout Take</t>
  </si>
  <si>
    <t>Lineout Steal</t>
  </si>
  <si>
    <t>Tackle Turnover measures  possesion turned over from a tackle, attributed to the flanker that made the tackle</t>
  </si>
  <si>
    <t>RPI</t>
  </si>
  <si>
    <t xml:space="preserve">RPI score is a rating system for players based on ELO system for chess. RPI score focuses on individual skills and match winning moments. Using a combination of demand forecasting, survival analysis and and concepts freom statistical process control we can quantify the impact of a players moments on the overall outcome of a match
</t>
  </si>
  <si>
    <t>PF This Year</t>
  </si>
  <si>
    <t>PA This Year</t>
  </si>
  <si>
    <t>Diff This Year</t>
  </si>
  <si>
    <t>TF This Year</t>
  </si>
  <si>
    <t>TA This Year</t>
  </si>
  <si>
    <t>TB This Year</t>
  </si>
  <si>
    <t>LB This Year</t>
  </si>
  <si>
    <t>Pts This Year</t>
  </si>
  <si>
    <t>Odds This Year Vs England</t>
  </si>
  <si>
    <t>Odds This Year Vs France</t>
  </si>
  <si>
    <t>Odds This Year Vs Ireland</t>
  </si>
  <si>
    <t>Odds This Year Vs Italy</t>
  </si>
  <si>
    <t>Odds This Year Vs Scotland</t>
  </si>
  <si>
    <t>Odds This Year Vs Wales</t>
  </si>
  <si>
    <t>Inside Centre</t>
  </si>
  <si>
    <t>Outside Centre</t>
  </si>
  <si>
    <t>POT Position</t>
  </si>
  <si>
    <t>POT Country</t>
  </si>
  <si>
    <t>Right Wing</t>
  </si>
  <si>
    <t xml:space="preserve">Fullback </t>
  </si>
  <si>
    <t>Player of the tournament height in metres</t>
  </si>
  <si>
    <t>Player of the tournament Weight in KG</t>
  </si>
  <si>
    <t>Years</t>
  </si>
  <si>
    <t>Meters Per Carry</t>
  </si>
  <si>
    <t>Meters Gained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</si>
</sst>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0" fillId="0" borderId="0" xfId="0" applyNumberFormat="1"/>
    <xf numFmtId="1" fontId="0" fillId="0" borderId="0" xfId="0" applyNumberFormat="1" applyAlignment="1">
      <alignment horizont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15" fontId="3" fillId="0" borderId="0" xfId="0" applyNumberFormat="1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2012_Six_Nations_Championship" TargetMode="External"/><Relationship Id="rId13" Type="http://schemas.openxmlformats.org/officeDocument/2006/relationships/hyperlink" Target="https://en.wikipedia.org/wiki/2007_Six_Nations_Championship" TargetMode="External"/><Relationship Id="rId18" Type="http://schemas.openxmlformats.org/officeDocument/2006/relationships/hyperlink" Target="https://en.wikipedia.org/wiki/2002_Six_Nations_Championship" TargetMode="External"/><Relationship Id="rId3" Type="http://schemas.openxmlformats.org/officeDocument/2006/relationships/hyperlink" Target="https://en.wikipedia.org/wiki/2017_Six_Nations_Championship" TargetMode="External"/><Relationship Id="rId7" Type="http://schemas.openxmlformats.org/officeDocument/2006/relationships/hyperlink" Target="https://en.wikipedia.org/wiki/2013_Six_Nations_Championship" TargetMode="External"/><Relationship Id="rId12" Type="http://schemas.openxmlformats.org/officeDocument/2006/relationships/hyperlink" Target="https://en.wikipedia.org/wiki/2008_Six_Nations_Championship" TargetMode="External"/><Relationship Id="rId17" Type="http://schemas.openxmlformats.org/officeDocument/2006/relationships/hyperlink" Target="https://en.wikipedia.org/wiki/2003_Six_Nations_Championship" TargetMode="External"/><Relationship Id="rId2" Type="http://schemas.openxmlformats.org/officeDocument/2006/relationships/hyperlink" Target="https://en.wikipedia.org/wiki/2018_Six_Nations_Championship" TargetMode="External"/><Relationship Id="rId16" Type="http://schemas.openxmlformats.org/officeDocument/2006/relationships/hyperlink" Target="https://en.wikipedia.org/wiki/2004_Six_Nations_Championship" TargetMode="External"/><Relationship Id="rId20" Type="http://schemas.openxmlformats.org/officeDocument/2006/relationships/hyperlink" Target="https://en.wikipedia.org/wiki/2000_Six_Nations_Championship" TargetMode="External"/><Relationship Id="rId1" Type="http://schemas.openxmlformats.org/officeDocument/2006/relationships/hyperlink" Target="https://en.wikipedia.org/wiki/2019_Six_Nations_Championship" TargetMode="External"/><Relationship Id="rId6" Type="http://schemas.openxmlformats.org/officeDocument/2006/relationships/hyperlink" Target="https://en.wikipedia.org/wiki/2014_Six_Nations_Championship" TargetMode="External"/><Relationship Id="rId11" Type="http://schemas.openxmlformats.org/officeDocument/2006/relationships/hyperlink" Target="https://en.wikipedia.org/wiki/2009_Six_Nations_Championship" TargetMode="External"/><Relationship Id="rId5" Type="http://schemas.openxmlformats.org/officeDocument/2006/relationships/hyperlink" Target="https://en.wikipedia.org/wiki/2015_Six_Nations_Championship" TargetMode="External"/><Relationship Id="rId15" Type="http://schemas.openxmlformats.org/officeDocument/2006/relationships/hyperlink" Target="https://en.wikipedia.org/wiki/2005_Six_Nations_Championship" TargetMode="External"/><Relationship Id="rId10" Type="http://schemas.openxmlformats.org/officeDocument/2006/relationships/hyperlink" Target="https://en.wikipedia.org/wiki/2010_Six_Nations_Championship" TargetMode="External"/><Relationship Id="rId19" Type="http://schemas.openxmlformats.org/officeDocument/2006/relationships/hyperlink" Target="https://en.wikipedia.org/wiki/2001_Six_Nations_Championship" TargetMode="External"/><Relationship Id="rId4" Type="http://schemas.openxmlformats.org/officeDocument/2006/relationships/hyperlink" Target="https://en.wikipedia.org/wiki/2016_Six_Nations_Championship" TargetMode="External"/><Relationship Id="rId9" Type="http://schemas.openxmlformats.org/officeDocument/2006/relationships/hyperlink" Target="https://en.wikipedia.org/wiki/2011_Six_Nations_Championship" TargetMode="External"/><Relationship Id="rId14" Type="http://schemas.openxmlformats.org/officeDocument/2006/relationships/hyperlink" Target="https://en.wikipedia.org/wiki/2006_Six_Nations_Championship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Ireland_national_rugby_union_team" TargetMode="External"/><Relationship Id="rId21" Type="http://schemas.openxmlformats.org/officeDocument/2006/relationships/hyperlink" Target="https://en.wikipedia.org/wiki/Italy_national_rugby_union_team" TargetMode="External"/><Relationship Id="rId42" Type="http://schemas.openxmlformats.org/officeDocument/2006/relationships/hyperlink" Target="https://en.wikipedia.org/wiki/Ireland_national_rugby_union_team" TargetMode="External"/><Relationship Id="rId63" Type="http://schemas.openxmlformats.org/officeDocument/2006/relationships/hyperlink" Target="https://en.wikipedia.org/wiki/England_national_rugby_union_team" TargetMode="External"/><Relationship Id="rId84" Type="http://schemas.openxmlformats.org/officeDocument/2006/relationships/hyperlink" Target="https://en.wikipedia.org/wiki/Ireland_national_rugby_union_team" TargetMode="External"/><Relationship Id="rId138" Type="http://schemas.openxmlformats.org/officeDocument/2006/relationships/hyperlink" Target="https://en.wikipedia.org/wiki/2003_Six_Nations_Championship" TargetMode="External"/><Relationship Id="rId159" Type="http://schemas.openxmlformats.org/officeDocument/2006/relationships/printerSettings" Target="../printerSettings/printerSettings1.bin"/><Relationship Id="rId107" Type="http://schemas.openxmlformats.org/officeDocument/2006/relationships/hyperlink" Target="https://en.wikipedia.org/wiki/2007_Six_Nations_Championship" TargetMode="External"/><Relationship Id="rId11" Type="http://schemas.openxmlformats.org/officeDocument/2006/relationships/hyperlink" Target="https://en.wikipedia.org/wiki/Italy_national_rugby_union_team" TargetMode="External"/><Relationship Id="rId32" Type="http://schemas.openxmlformats.org/officeDocument/2006/relationships/hyperlink" Target="https://en.wikipedia.org/wiki/England_national_rugby_union_team" TargetMode="External"/><Relationship Id="rId53" Type="http://schemas.openxmlformats.org/officeDocument/2006/relationships/hyperlink" Target="https://en.wikipedia.org/wiki/Italy_national_rugby_union_team" TargetMode="External"/><Relationship Id="rId74" Type="http://schemas.openxmlformats.org/officeDocument/2006/relationships/hyperlink" Target="https://en.wikipedia.org/wiki/2011_Six_Nations_Championship" TargetMode="External"/><Relationship Id="rId128" Type="http://schemas.openxmlformats.org/officeDocument/2006/relationships/hyperlink" Target="https://en.wikipedia.org/wiki/France_national_rugby_union_team" TargetMode="External"/><Relationship Id="rId149" Type="http://schemas.openxmlformats.org/officeDocument/2006/relationships/hyperlink" Target="https://en.wikipedia.org/wiki/Ireland_national_rugby_union_team" TargetMode="External"/><Relationship Id="rId5" Type="http://schemas.openxmlformats.org/officeDocument/2006/relationships/hyperlink" Target="https://en.wikipedia.org/wiki/England_national_rugby_union_team" TargetMode="External"/><Relationship Id="rId95" Type="http://schemas.openxmlformats.org/officeDocument/2006/relationships/hyperlink" Target="https://en.wikipedia.org/wiki/Scotland_national_rugby_union_team" TargetMode="External"/><Relationship Id="rId22" Type="http://schemas.openxmlformats.org/officeDocument/2006/relationships/hyperlink" Target="https://en.wikipedia.org/wiki/France_national_rugby_union_team" TargetMode="External"/><Relationship Id="rId43" Type="http://schemas.openxmlformats.org/officeDocument/2006/relationships/hyperlink" Target="https://en.wikipedia.org/wiki/2015_Six_Nations_Championship" TargetMode="External"/><Relationship Id="rId64" Type="http://schemas.openxmlformats.org/officeDocument/2006/relationships/hyperlink" Target="https://en.wikipedia.org/wiki/Wales_national_rugby_union_team" TargetMode="External"/><Relationship Id="rId118" Type="http://schemas.openxmlformats.org/officeDocument/2006/relationships/hyperlink" Target="https://en.wikipedia.org/wiki/England_national_rugby_union_team" TargetMode="External"/><Relationship Id="rId139" Type="http://schemas.openxmlformats.org/officeDocument/2006/relationships/hyperlink" Target="https://en.wikipedia.org/wiki/Italy_national_rugby_union_team" TargetMode="External"/><Relationship Id="rId80" Type="http://schemas.openxmlformats.org/officeDocument/2006/relationships/hyperlink" Target="https://en.wikipedia.org/wiki/France_national_rugby_union_team" TargetMode="External"/><Relationship Id="rId85" Type="http://schemas.openxmlformats.org/officeDocument/2006/relationships/hyperlink" Target="https://en.wikipedia.org/wiki/Ireland_national_rugby_union_team" TargetMode="External"/><Relationship Id="rId150" Type="http://schemas.openxmlformats.org/officeDocument/2006/relationships/hyperlink" Target="https://en.wikipedia.org/wiki/England_national_rugby_union_team" TargetMode="External"/><Relationship Id="rId155" Type="http://schemas.openxmlformats.org/officeDocument/2006/relationships/hyperlink" Target="https://en.wikipedia.org/wiki/England_national_rugby_union_team" TargetMode="External"/><Relationship Id="rId12" Type="http://schemas.openxmlformats.org/officeDocument/2006/relationships/hyperlink" Target="https://en.wikipedia.org/wiki/Scotland_national_rugby_union_team" TargetMode="External"/><Relationship Id="rId17" Type="http://schemas.openxmlformats.org/officeDocument/2006/relationships/hyperlink" Target="https://en.wikipedia.org/wiki/Ireland_national_rugby_union_team" TargetMode="External"/><Relationship Id="rId33" Type="http://schemas.openxmlformats.org/officeDocument/2006/relationships/hyperlink" Target="https://en.wikipedia.org/wiki/England_national_rugby_union_team" TargetMode="External"/><Relationship Id="rId38" Type="http://schemas.openxmlformats.org/officeDocument/2006/relationships/hyperlink" Target="https://en.wikipedia.org/wiki/France_national_rugby_union_team" TargetMode="External"/><Relationship Id="rId59" Type="http://schemas.openxmlformats.org/officeDocument/2006/relationships/hyperlink" Target="https://en.wikipedia.org/wiki/Scotland_national_rugby_union_team" TargetMode="External"/><Relationship Id="rId103" Type="http://schemas.openxmlformats.org/officeDocument/2006/relationships/hyperlink" Target="https://en.wikipedia.org/wiki/Ireland_national_rugby_union_team" TargetMode="External"/><Relationship Id="rId108" Type="http://schemas.openxmlformats.org/officeDocument/2006/relationships/hyperlink" Target="https://en.wikipedia.org/wiki/Italy_national_rugby_union_team" TargetMode="External"/><Relationship Id="rId124" Type="http://schemas.openxmlformats.org/officeDocument/2006/relationships/hyperlink" Target="https://en.wikipedia.org/wiki/Ireland_national_rugby_union_team" TargetMode="External"/><Relationship Id="rId129" Type="http://schemas.openxmlformats.org/officeDocument/2006/relationships/hyperlink" Target="https://en.wikipedia.org/wiki/France_national_rugby_union_team" TargetMode="External"/><Relationship Id="rId54" Type="http://schemas.openxmlformats.org/officeDocument/2006/relationships/hyperlink" Target="https://en.wikipedia.org/wiki/Scotland_national_rugby_union_team" TargetMode="External"/><Relationship Id="rId70" Type="http://schemas.openxmlformats.org/officeDocument/2006/relationships/hyperlink" Target="https://en.wikipedia.org/wiki/Ireland_national_rugby_union_team" TargetMode="External"/><Relationship Id="rId75" Type="http://schemas.openxmlformats.org/officeDocument/2006/relationships/hyperlink" Target="https://en.wikipedia.org/wiki/Italy_national_rugby_union_team" TargetMode="External"/><Relationship Id="rId91" Type="http://schemas.openxmlformats.org/officeDocument/2006/relationships/hyperlink" Target="https://en.wikipedia.org/wiki/Italy_national_rugby_union_team" TargetMode="External"/><Relationship Id="rId96" Type="http://schemas.openxmlformats.org/officeDocument/2006/relationships/hyperlink" Target="https://en.wikipedia.org/wiki/Wales_national_rugby_union_team" TargetMode="External"/><Relationship Id="rId140" Type="http://schemas.openxmlformats.org/officeDocument/2006/relationships/hyperlink" Target="https://en.wikipedia.org/wiki/Ireland_national_rugby_union_team" TargetMode="External"/><Relationship Id="rId145" Type="http://schemas.openxmlformats.org/officeDocument/2006/relationships/hyperlink" Target="https://en.wikipedia.org/wiki/France_national_rugby_union_team" TargetMode="External"/><Relationship Id="rId1" Type="http://schemas.openxmlformats.org/officeDocument/2006/relationships/hyperlink" Target="https://en.wikipedia.org/wiki/2019_Six_Nations_Championship" TargetMode="External"/><Relationship Id="rId6" Type="http://schemas.openxmlformats.org/officeDocument/2006/relationships/hyperlink" Target="https://en.wikipedia.org/wiki/Ireland_national_rugby_union_team" TargetMode="External"/><Relationship Id="rId23" Type="http://schemas.openxmlformats.org/officeDocument/2006/relationships/hyperlink" Target="https://en.wikipedia.org/wiki/Scotland_national_rugby_union_team" TargetMode="External"/><Relationship Id="rId28" Type="http://schemas.openxmlformats.org/officeDocument/2006/relationships/hyperlink" Target="https://en.wikipedia.org/wiki/Italy_national_rugby_union_team" TargetMode="External"/><Relationship Id="rId49" Type="http://schemas.openxmlformats.org/officeDocument/2006/relationships/hyperlink" Target="https://en.wikipedia.org/wiki/England_national_rugby_union_team" TargetMode="External"/><Relationship Id="rId114" Type="http://schemas.openxmlformats.org/officeDocument/2006/relationships/hyperlink" Target="https://en.wikipedia.org/wiki/2006_Six_Nations_Championship" TargetMode="External"/><Relationship Id="rId119" Type="http://schemas.openxmlformats.org/officeDocument/2006/relationships/hyperlink" Target="https://en.wikipedia.org/wiki/Wales_national_rugby_union_team" TargetMode="External"/><Relationship Id="rId44" Type="http://schemas.openxmlformats.org/officeDocument/2006/relationships/hyperlink" Target="https://en.wikipedia.org/wiki/Italy_national_rugby_union_team" TargetMode="External"/><Relationship Id="rId60" Type="http://schemas.openxmlformats.org/officeDocument/2006/relationships/hyperlink" Target="https://en.wikipedia.org/wiki/France_national_rugby_union_team" TargetMode="External"/><Relationship Id="rId65" Type="http://schemas.openxmlformats.org/officeDocument/2006/relationships/hyperlink" Target="https://en.wikipedia.org/wiki/Wales_national_rugby_union_team" TargetMode="External"/><Relationship Id="rId81" Type="http://schemas.openxmlformats.org/officeDocument/2006/relationships/hyperlink" Target="https://en.wikipedia.org/wiki/2010_Six_Nations_Championship" TargetMode="External"/><Relationship Id="rId86" Type="http://schemas.openxmlformats.org/officeDocument/2006/relationships/hyperlink" Target="https://en.wikipedia.org/wiki/England_national_rugby_union_team" TargetMode="External"/><Relationship Id="rId130" Type="http://schemas.openxmlformats.org/officeDocument/2006/relationships/hyperlink" Target="https://en.wikipedia.org/wiki/2004_Six_Nations_Championship" TargetMode="External"/><Relationship Id="rId135" Type="http://schemas.openxmlformats.org/officeDocument/2006/relationships/hyperlink" Target="https://en.wikipedia.org/wiki/England_national_rugby_union_team" TargetMode="External"/><Relationship Id="rId151" Type="http://schemas.openxmlformats.org/officeDocument/2006/relationships/hyperlink" Target="https://en.wikipedia.org/wiki/England_national_rugby_union_team" TargetMode="External"/><Relationship Id="rId156" Type="http://schemas.openxmlformats.org/officeDocument/2006/relationships/hyperlink" Target="https://en.wikipedia.org/wiki/Scotland_national_rugby_union_team" TargetMode="External"/><Relationship Id="rId13" Type="http://schemas.openxmlformats.org/officeDocument/2006/relationships/hyperlink" Target="https://en.wikipedia.org/wiki/France_national_rugby_union_team" TargetMode="External"/><Relationship Id="rId18" Type="http://schemas.openxmlformats.org/officeDocument/2006/relationships/hyperlink" Target="https://en.wikipedia.org/wiki/Ireland_national_rugby_union_team" TargetMode="External"/><Relationship Id="rId39" Type="http://schemas.openxmlformats.org/officeDocument/2006/relationships/hyperlink" Target="https://en.wikipedia.org/wiki/Ireland_national_rugby_union_team" TargetMode="External"/><Relationship Id="rId109" Type="http://schemas.openxmlformats.org/officeDocument/2006/relationships/hyperlink" Target="https://en.wikipedia.org/wiki/Ireland_national_rugby_union_team" TargetMode="External"/><Relationship Id="rId34" Type="http://schemas.openxmlformats.org/officeDocument/2006/relationships/hyperlink" Target="https://en.wikipedia.org/wiki/England_national_rugby_union_team" TargetMode="External"/><Relationship Id="rId50" Type="http://schemas.openxmlformats.org/officeDocument/2006/relationships/hyperlink" Target="https://en.wikipedia.org/wiki/Ireland_national_rugby_union_team" TargetMode="External"/><Relationship Id="rId55" Type="http://schemas.openxmlformats.org/officeDocument/2006/relationships/hyperlink" Target="https://en.wikipedia.org/wiki/England_national_rugby_union_team" TargetMode="External"/><Relationship Id="rId76" Type="http://schemas.openxmlformats.org/officeDocument/2006/relationships/hyperlink" Target="https://en.wikipedia.org/wiki/France_national_rugby_union_team" TargetMode="External"/><Relationship Id="rId97" Type="http://schemas.openxmlformats.org/officeDocument/2006/relationships/hyperlink" Target="https://en.wikipedia.org/wiki/Wales_national_rugby_union_team" TargetMode="External"/><Relationship Id="rId104" Type="http://schemas.openxmlformats.org/officeDocument/2006/relationships/hyperlink" Target="https://en.wikipedia.org/wiki/England_national_rugby_union_team" TargetMode="External"/><Relationship Id="rId120" Type="http://schemas.openxmlformats.org/officeDocument/2006/relationships/hyperlink" Target="https://en.wikipedia.org/wiki/Wales_national_rugby_union_team" TargetMode="External"/><Relationship Id="rId125" Type="http://schemas.openxmlformats.org/officeDocument/2006/relationships/hyperlink" Target="https://en.wikipedia.org/wiki/Ireland_national_rugby_union_team" TargetMode="External"/><Relationship Id="rId141" Type="http://schemas.openxmlformats.org/officeDocument/2006/relationships/hyperlink" Target="https://en.wikipedia.org/wiki/England_national_rugby_union_team" TargetMode="External"/><Relationship Id="rId146" Type="http://schemas.openxmlformats.org/officeDocument/2006/relationships/hyperlink" Target="https://en.wikipedia.org/wiki/2002_Six_Nations_Championship" TargetMode="External"/><Relationship Id="rId7" Type="http://schemas.openxmlformats.org/officeDocument/2006/relationships/hyperlink" Target="https://en.wikipedia.org/wiki/France_national_rugby_union_team" TargetMode="External"/><Relationship Id="rId71" Type="http://schemas.openxmlformats.org/officeDocument/2006/relationships/hyperlink" Target="https://en.wikipedia.org/wiki/Ireland_national_rugby_union_team" TargetMode="External"/><Relationship Id="rId92" Type="http://schemas.openxmlformats.org/officeDocument/2006/relationships/hyperlink" Target="https://en.wikipedia.org/wiki/France_national_rugby_union_team" TargetMode="External"/><Relationship Id="rId2" Type="http://schemas.openxmlformats.org/officeDocument/2006/relationships/hyperlink" Target="https://en.wikipedia.org/wiki/Wales_national_rugby_union_team" TargetMode="External"/><Relationship Id="rId29" Type="http://schemas.openxmlformats.org/officeDocument/2006/relationships/hyperlink" Target="https://en.wikipedia.org/wiki/France_national_rugby_union_team" TargetMode="External"/><Relationship Id="rId24" Type="http://schemas.openxmlformats.org/officeDocument/2006/relationships/hyperlink" Target="https://en.wikipedia.org/wiki/Ireland_national_rugby_union_team" TargetMode="External"/><Relationship Id="rId40" Type="http://schemas.openxmlformats.org/officeDocument/2006/relationships/hyperlink" Target="https://en.wikipedia.org/wiki/Ireland_national_rugby_union_team" TargetMode="External"/><Relationship Id="rId45" Type="http://schemas.openxmlformats.org/officeDocument/2006/relationships/hyperlink" Target="https://en.wikipedia.org/wiki/France_national_rugby_union_team" TargetMode="External"/><Relationship Id="rId66" Type="http://schemas.openxmlformats.org/officeDocument/2006/relationships/hyperlink" Target="https://en.wikipedia.org/wiki/Wales_national_rugby_union_team" TargetMode="External"/><Relationship Id="rId87" Type="http://schemas.openxmlformats.org/officeDocument/2006/relationships/hyperlink" Target="https://en.wikipedia.org/wiki/Ireland_national_rugby_union_team" TargetMode="External"/><Relationship Id="rId110" Type="http://schemas.openxmlformats.org/officeDocument/2006/relationships/hyperlink" Target="https://en.wikipedia.org/wiki/Ireland_national_rugby_union_team" TargetMode="External"/><Relationship Id="rId115" Type="http://schemas.openxmlformats.org/officeDocument/2006/relationships/hyperlink" Target="https://en.wikipedia.org/wiki/Italy_national_rugby_union_team" TargetMode="External"/><Relationship Id="rId131" Type="http://schemas.openxmlformats.org/officeDocument/2006/relationships/hyperlink" Target="https://en.wikipedia.org/wiki/Wales_national_rugby_union_team" TargetMode="External"/><Relationship Id="rId136" Type="http://schemas.openxmlformats.org/officeDocument/2006/relationships/hyperlink" Target="https://en.wikipedia.org/wiki/England_national_rugby_union_team" TargetMode="External"/><Relationship Id="rId157" Type="http://schemas.openxmlformats.org/officeDocument/2006/relationships/hyperlink" Target="https://en.wikipedia.org/wiki/England_national_rugby_union_team" TargetMode="External"/><Relationship Id="rId61" Type="http://schemas.openxmlformats.org/officeDocument/2006/relationships/hyperlink" Target="https://en.wikipedia.org/wiki/Ireland_national_rugby_union_team" TargetMode="External"/><Relationship Id="rId82" Type="http://schemas.openxmlformats.org/officeDocument/2006/relationships/hyperlink" Target="https://en.wikipedia.org/wiki/Italy_national_rugby_union_team" TargetMode="External"/><Relationship Id="rId152" Type="http://schemas.openxmlformats.org/officeDocument/2006/relationships/hyperlink" Target="https://en.wikipedia.org/wiki/2001_Six_Nations_Championship" TargetMode="External"/><Relationship Id="rId19" Type="http://schemas.openxmlformats.org/officeDocument/2006/relationships/hyperlink" Target="https://en.wikipedia.org/wiki/Ireland_national_rugby_union_team" TargetMode="External"/><Relationship Id="rId14" Type="http://schemas.openxmlformats.org/officeDocument/2006/relationships/hyperlink" Target="https://en.wikipedia.org/wiki/Ireland_national_rugby_union_team" TargetMode="External"/><Relationship Id="rId30" Type="http://schemas.openxmlformats.org/officeDocument/2006/relationships/hyperlink" Target="https://en.wikipedia.org/wiki/Ireland_national_rugby_union_team" TargetMode="External"/><Relationship Id="rId35" Type="http://schemas.openxmlformats.org/officeDocument/2006/relationships/hyperlink" Target="https://en.wikipedia.org/wiki/England_national_rugby_union_team" TargetMode="External"/><Relationship Id="rId56" Type="http://schemas.openxmlformats.org/officeDocument/2006/relationships/hyperlink" Target="https://en.wikipedia.org/wiki/England_national_rugby_union_team" TargetMode="External"/><Relationship Id="rId77" Type="http://schemas.openxmlformats.org/officeDocument/2006/relationships/hyperlink" Target="https://en.wikipedia.org/wiki/Scotland_national_rugby_union_team" TargetMode="External"/><Relationship Id="rId100" Type="http://schemas.openxmlformats.org/officeDocument/2006/relationships/hyperlink" Target="https://en.wikipedia.org/wiki/Scotland_national_rugby_union_team" TargetMode="External"/><Relationship Id="rId105" Type="http://schemas.openxmlformats.org/officeDocument/2006/relationships/hyperlink" Target="https://en.wikipedia.org/wiki/Ireland_national_rugby_union_team" TargetMode="External"/><Relationship Id="rId126" Type="http://schemas.openxmlformats.org/officeDocument/2006/relationships/hyperlink" Target="https://en.wikipedia.org/wiki/England_national_rugby_union_team" TargetMode="External"/><Relationship Id="rId147" Type="http://schemas.openxmlformats.org/officeDocument/2006/relationships/hyperlink" Target="https://en.wikipedia.org/wiki/Italy_national_rugby_union_team" TargetMode="External"/><Relationship Id="rId8" Type="http://schemas.openxmlformats.org/officeDocument/2006/relationships/hyperlink" Target="https://en.wikipedia.org/wiki/France_national_rugby_union_team" TargetMode="External"/><Relationship Id="rId51" Type="http://schemas.openxmlformats.org/officeDocument/2006/relationships/hyperlink" Target="https://en.wikipedia.org/wiki/2014_Six_Nations_Championship" TargetMode="External"/><Relationship Id="rId72" Type="http://schemas.openxmlformats.org/officeDocument/2006/relationships/hyperlink" Target="https://en.wikipedia.org/wiki/England_national_rugby_union_team" TargetMode="External"/><Relationship Id="rId93" Type="http://schemas.openxmlformats.org/officeDocument/2006/relationships/hyperlink" Target="https://en.wikipedia.org/wiki/Ireland_national_rugby_union_team" TargetMode="External"/><Relationship Id="rId98" Type="http://schemas.openxmlformats.org/officeDocument/2006/relationships/hyperlink" Target="https://en.wikipedia.org/wiki/Wales_national_rugby_union_team" TargetMode="External"/><Relationship Id="rId121" Type="http://schemas.openxmlformats.org/officeDocument/2006/relationships/hyperlink" Target="https://en.wikipedia.org/wiki/Wales_national_rugby_union_team" TargetMode="External"/><Relationship Id="rId142" Type="http://schemas.openxmlformats.org/officeDocument/2006/relationships/hyperlink" Target="https://en.wikipedia.org/wiki/England_national_rugby_union_team" TargetMode="External"/><Relationship Id="rId3" Type="http://schemas.openxmlformats.org/officeDocument/2006/relationships/hyperlink" Target="https://en.wikipedia.org/wiki/Wales_national_rugby_union_team" TargetMode="External"/><Relationship Id="rId25" Type="http://schemas.openxmlformats.org/officeDocument/2006/relationships/hyperlink" Target="https://en.wikipedia.org/wiki/England_national_rugby_union_team" TargetMode="External"/><Relationship Id="rId46" Type="http://schemas.openxmlformats.org/officeDocument/2006/relationships/hyperlink" Target="https://en.wikipedia.org/wiki/Ireland_national_rugby_union_team" TargetMode="External"/><Relationship Id="rId67" Type="http://schemas.openxmlformats.org/officeDocument/2006/relationships/hyperlink" Target="https://en.wikipedia.org/wiki/2012_Six_Nations_Championship" TargetMode="External"/><Relationship Id="rId116" Type="http://schemas.openxmlformats.org/officeDocument/2006/relationships/hyperlink" Target="https://en.wikipedia.org/wiki/Ireland_national_rugby_union_team" TargetMode="External"/><Relationship Id="rId137" Type="http://schemas.openxmlformats.org/officeDocument/2006/relationships/hyperlink" Target="https://en.wikipedia.org/wiki/England_national_rugby_union_team" TargetMode="External"/><Relationship Id="rId158" Type="http://schemas.openxmlformats.org/officeDocument/2006/relationships/hyperlink" Target="https://en.wikipedia.org/wiki/2000_Six_Nations_Championship" TargetMode="External"/><Relationship Id="rId20" Type="http://schemas.openxmlformats.org/officeDocument/2006/relationships/hyperlink" Target="https://en.wikipedia.org/wiki/2018_Six_Nations_Championship" TargetMode="External"/><Relationship Id="rId41" Type="http://schemas.openxmlformats.org/officeDocument/2006/relationships/hyperlink" Target="https://en.wikipedia.org/wiki/England_national_rugby_union_team" TargetMode="External"/><Relationship Id="rId62" Type="http://schemas.openxmlformats.org/officeDocument/2006/relationships/hyperlink" Target="https://en.wikipedia.org/wiki/England_national_rugby_union_team" TargetMode="External"/><Relationship Id="rId83" Type="http://schemas.openxmlformats.org/officeDocument/2006/relationships/hyperlink" Target="https://en.wikipedia.org/wiki/France_national_rugby_union_team" TargetMode="External"/><Relationship Id="rId88" Type="http://schemas.openxmlformats.org/officeDocument/2006/relationships/hyperlink" Target="https://en.wikipedia.org/wiki/Ireland_national_rugby_union_team" TargetMode="External"/><Relationship Id="rId111" Type="http://schemas.openxmlformats.org/officeDocument/2006/relationships/hyperlink" Target="https://en.wikipedia.org/wiki/Scotland_national_rugby_union_team" TargetMode="External"/><Relationship Id="rId132" Type="http://schemas.openxmlformats.org/officeDocument/2006/relationships/hyperlink" Target="https://en.wikipedia.org/wiki/Ireland_national_rugby_union_team" TargetMode="External"/><Relationship Id="rId153" Type="http://schemas.openxmlformats.org/officeDocument/2006/relationships/hyperlink" Target="https://en.wikipedia.org/wiki/Italy_national_rugby_union_team" TargetMode="External"/><Relationship Id="rId15" Type="http://schemas.openxmlformats.org/officeDocument/2006/relationships/hyperlink" Target="https://en.wikipedia.org/wiki/Ireland_national_rugby_union_team" TargetMode="External"/><Relationship Id="rId36" Type="http://schemas.openxmlformats.org/officeDocument/2006/relationships/hyperlink" Target="https://en.wikipedia.org/wiki/2016_Six_Nations_Championship" TargetMode="External"/><Relationship Id="rId57" Type="http://schemas.openxmlformats.org/officeDocument/2006/relationships/hyperlink" Target="https://en.wikipedia.org/wiki/Wales_national_rugby_union_team" TargetMode="External"/><Relationship Id="rId106" Type="http://schemas.openxmlformats.org/officeDocument/2006/relationships/hyperlink" Target="https://en.wikipedia.org/wiki/France_national_rugby_union_team" TargetMode="External"/><Relationship Id="rId127" Type="http://schemas.openxmlformats.org/officeDocument/2006/relationships/hyperlink" Target="https://en.wikipedia.org/wiki/Ireland_national_rugby_union_team" TargetMode="External"/><Relationship Id="rId10" Type="http://schemas.openxmlformats.org/officeDocument/2006/relationships/hyperlink" Target="https://en.wikipedia.org/wiki/Italy_national_rugby_union_team" TargetMode="External"/><Relationship Id="rId31" Type="http://schemas.openxmlformats.org/officeDocument/2006/relationships/hyperlink" Target="https://en.wikipedia.org/wiki/England_national_rugby_union_team" TargetMode="External"/><Relationship Id="rId52" Type="http://schemas.openxmlformats.org/officeDocument/2006/relationships/hyperlink" Target="https://en.wikipedia.org/wiki/France_national_rugby_union_team" TargetMode="External"/><Relationship Id="rId73" Type="http://schemas.openxmlformats.org/officeDocument/2006/relationships/hyperlink" Target="https://en.wikipedia.org/wiki/England_national_rugby_union_team" TargetMode="External"/><Relationship Id="rId78" Type="http://schemas.openxmlformats.org/officeDocument/2006/relationships/hyperlink" Target="https://en.wikipedia.org/wiki/Ireland_national_rugby_union_team" TargetMode="External"/><Relationship Id="rId94" Type="http://schemas.openxmlformats.org/officeDocument/2006/relationships/hyperlink" Target="https://en.wikipedia.org/wiki/England_national_rugby_union_team" TargetMode="External"/><Relationship Id="rId99" Type="http://schemas.openxmlformats.org/officeDocument/2006/relationships/hyperlink" Target="https://en.wikipedia.org/wiki/2008_Six_Nations_Championship" TargetMode="External"/><Relationship Id="rId101" Type="http://schemas.openxmlformats.org/officeDocument/2006/relationships/hyperlink" Target="https://en.wikipedia.org/wiki/France_national_rugby_union_team" TargetMode="External"/><Relationship Id="rId122" Type="http://schemas.openxmlformats.org/officeDocument/2006/relationships/hyperlink" Target="https://en.wikipedia.org/wiki/2005_Six_Nations_Championship" TargetMode="External"/><Relationship Id="rId143" Type="http://schemas.openxmlformats.org/officeDocument/2006/relationships/hyperlink" Target="https://en.wikipedia.org/wiki/England_national_rugby_union_team" TargetMode="External"/><Relationship Id="rId148" Type="http://schemas.openxmlformats.org/officeDocument/2006/relationships/hyperlink" Target="https://en.wikipedia.org/wiki/Scotland_national_rugby_union_team" TargetMode="External"/><Relationship Id="rId4" Type="http://schemas.openxmlformats.org/officeDocument/2006/relationships/hyperlink" Target="https://en.wikipedia.org/wiki/Wales_national_rugby_union_team" TargetMode="External"/><Relationship Id="rId9" Type="http://schemas.openxmlformats.org/officeDocument/2006/relationships/hyperlink" Target="https://en.wikipedia.org/wiki/Wales_national_rugby_union_team" TargetMode="External"/><Relationship Id="rId26" Type="http://schemas.openxmlformats.org/officeDocument/2006/relationships/hyperlink" Target="https://en.wikipedia.org/wiki/England_national_rugby_union_team" TargetMode="External"/><Relationship Id="rId47" Type="http://schemas.openxmlformats.org/officeDocument/2006/relationships/hyperlink" Target="https://en.wikipedia.org/wiki/England_national_rugby_union_team" TargetMode="External"/><Relationship Id="rId68" Type="http://schemas.openxmlformats.org/officeDocument/2006/relationships/hyperlink" Target="https://en.wikipedia.org/wiki/Italy_national_rugby_union_team" TargetMode="External"/><Relationship Id="rId89" Type="http://schemas.openxmlformats.org/officeDocument/2006/relationships/hyperlink" Target="https://en.wikipedia.org/wiki/Ireland_national_rugby_union_team" TargetMode="External"/><Relationship Id="rId112" Type="http://schemas.openxmlformats.org/officeDocument/2006/relationships/hyperlink" Target="https://en.wikipedia.org/wiki/Ireland_national_rugby_union_team" TargetMode="External"/><Relationship Id="rId133" Type="http://schemas.openxmlformats.org/officeDocument/2006/relationships/hyperlink" Target="https://en.wikipedia.org/wiki/England_national_rugby_union_team" TargetMode="External"/><Relationship Id="rId154" Type="http://schemas.openxmlformats.org/officeDocument/2006/relationships/hyperlink" Target="https://en.wikipedia.org/wiki/Ireland_national_rugby_union_team" TargetMode="External"/><Relationship Id="rId16" Type="http://schemas.openxmlformats.org/officeDocument/2006/relationships/hyperlink" Target="https://en.wikipedia.org/wiki/Scotland_national_rugby_union_team" TargetMode="External"/><Relationship Id="rId37" Type="http://schemas.openxmlformats.org/officeDocument/2006/relationships/hyperlink" Target="https://en.wikipedia.org/wiki/Scotland_national_rugby_union_team" TargetMode="External"/><Relationship Id="rId58" Type="http://schemas.openxmlformats.org/officeDocument/2006/relationships/hyperlink" Target="https://en.wikipedia.org/wiki/2013_Six_Nations_Championship" TargetMode="External"/><Relationship Id="rId79" Type="http://schemas.openxmlformats.org/officeDocument/2006/relationships/hyperlink" Target="https://en.wikipedia.org/wiki/France_national_rugby_union_team" TargetMode="External"/><Relationship Id="rId102" Type="http://schemas.openxmlformats.org/officeDocument/2006/relationships/hyperlink" Target="https://en.wikipedia.org/wiki/Ireland_national_rugby_union_team" TargetMode="External"/><Relationship Id="rId123" Type="http://schemas.openxmlformats.org/officeDocument/2006/relationships/hyperlink" Target="https://en.wikipedia.org/wiki/Scotland_national_rugby_union_team" TargetMode="External"/><Relationship Id="rId144" Type="http://schemas.openxmlformats.org/officeDocument/2006/relationships/hyperlink" Target="https://en.wikipedia.org/wiki/France_national_rugby_union_team" TargetMode="External"/><Relationship Id="rId90" Type="http://schemas.openxmlformats.org/officeDocument/2006/relationships/hyperlink" Target="https://en.wikipedia.org/wiki/2009_Six_Nations_Championship" TargetMode="External"/><Relationship Id="rId27" Type="http://schemas.openxmlformats.org/officeDocument/2006/relationships/hyperlink" Target="https://en.wikipedia.org/wiki/2017_Six_Nations_Championship" TargetMode="External"/><Relationship Id="rId48" Type="http://schemas.openxmlformats.org/officeDocument/2006/relationships/hyperlink" Target="https://en.wikipedia.org/wiki/England_national_rugby_union_team" TargetMode="External"/><Relationship Id="rId69" Type="http://schemas.openxmlformats.org/officeDocument/2006/relationships/hyperlink" Target="https://en.wikipedia.org/wiki/Italy_national_rugby_union_team" TargetMode="External"/><Relationship Id="rId113" Type="http://schemas.openxmlformats.org/officeDocument/2006/relationships/hyperlink" Target="https://en.wikipedia.org/wiki/France_national_rugby_union_team" TargetMode="External"/><Relationship Id="rId134" Type="http://schemas.openxmlformats.org/officeDocument/2006/relationships/hyperlink" Target="https://en.wikipedia.org/wiki/England_national_rugby_union_tea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workbookViewId="0">
      <selection activeCell="E11" sqref="E11"/>
    </sheetView>
  </sheetViews>
  <sheetFormatPr baseColWidth="10" defaultColWidth="8.83203125" defaultRowHeight="15" x14ac:dyDescent="0.2"/>
  <cols>
    <col min="2" max="2" width="12.5" bestFit="1" customWidth="1"/>
    <col min="3" max="3" width="11.33203125" bestFit="1" customWidth="1"/>
    <col min="4" max="4" width="12.33203125" bestFit="1" customWidth="1"/>
    <col min="5" max="5" width="14.6640625" bestFit="1" customWidth="1"/>
    <col min="6" max="6" width="17.33203125" bestFit="1" customWidth="1"/>
    <col min="7" max="7" width="22.83203125" bestFit="1" customWidth="1"/>
    <col min="8" max="8" width="11.5" bestFit="1" customWidth="1"/>
    <col min="9" max="9" width="16.1640625" bestFit="1" customWidth="1"/>
    <col min="10" max="11" width="37.6640625" bestFit="1" customWidth="1"/>
    <col min="12" max="12" width="27.5" bestFit="1" customWidth="1"/>
    <col min="13" max="14" width="20.83203125" bestFit="1" customWidth="1"/>
    <col min="15" max="15" width="16.33203125" bestFit="1" customWidth="1"/>
  </cols>
  <sheetData>
    <row r="1" spans="1:16" x14ac:dyDescent="0.2">
      <c r="A1" s="3" t="s">
        <v>33</v>
      </c>
      <c r="B1" s="3" t="s">
        <v>0</v>
      </c>
      <c r="C1" s="3" t="s">
        <v>7</v>
      </c>
      <c r="D1" s="3" t="s">
        <v>9</v>
      </c>
      <c r="E1" s="3" t="s">
        <v>11</v>
      </c>
      <c r="F1" s="3" t="s">
        <v>36</v>
      </c>
      <c r="G1" s="3" t="s">
        <v>485</v>
      </c>
      <c r="H1" s="3" t="s">
        <v>14</v>
      </c>
      <c r="I1" s="3" t="s">
        <v>15</v>
      </c>
      <c r="J1" s="3" t="s">
        <v>16</v>
      </c>
      <c r="K1" s="3" t="s">
        <v>13</v>
      </c>
      <c r="L1" s="3" t="s">
        <v>17</v>
      </c>
      <c r="M1" s="3" t="s">
        <v>37</v>
      </c>
      <c r="N1" s="3" t="s">
        <v>38</v>
      </c>
      <c r="O1" s="3"/>
      <c r="P1" s="3"/>
    </row>
    <row r="2" spans="1:16" x14ac:dyDescent="0.2">
      <c r="A2" s="1" t="s">
        <v>1</v>
      </c>
      <c r="B2" s="1">
        <v>6</v>
      </c>
      <c r="C2" s="1">
        <v>2</v>
      </c>
      <c r="D2" s="1">
        <v>4</v>
      </c>
      <c r="E2" s="1">
        <v>0</v>
      </c>
      <c r="F2" s="1">
        <v>8</v>
      </c>
      <c r="G2" s="1">
        <v>5</v>
      </c>
      <c r="H2" s="1">
        <v>55270000</v>
      </c>
      <c r="I2" s="2">
        <v>2139604</v>
      </c>
      <c r="J2" s="2">
        <v>382154</v>
      </c>
      <c r="K2" s="1">
        <f t="shared" ref="K2:K7" si="0">(J2/H2)*100</f>
        <v>0.69143115614257278</v>
      </c>
      <c r="L2" s="1">
        <f t="shared" ref="L2:L7" si="1">(I2/H2)*100</f>
        <v>3.8711850913696404</v>
      </c>
      <c r="M2" s="1">
        <v>184</v>
      </c>
      <c r="N2" s="1">
        <v>101</v>
      </c>
    </row>
    <row r="3" spans="1:16" x14ac:dyDescent="0.2">
      <c r="A3" s="1" t="s">
        <v>2</v>
      </c>
      <c r="B3" s="1">
        <v>5</v>
      </c>
      <c r="C3" s="1">
        <v>3</v>
      </c>
      <c r="D3" s="1">
        <v>0</v>
      </c>
      <c r="E3" s="1">
        <v>1</v>
      </c>
      <c r="F3" s="1">
        <v>6</v>
      </c>
      <c r="G3" s="1">
        <v>14</v>
      </c>
      <c r="H3" s="1">
        <v>66600000</v>
      </c>
      <c r="I3" s="2">
        <v>634028</v>
      </c>
      <c r="J3" s="2">
        <v>542242</v>
      </c>
      <c r="K3" s="1">
        <f t="shared" si="0"/>
        <v>0.81417717717717719</v>
      </c>
      <c r="L3" s="1">
        <f t="shared" si="1"/>
        <v>0.95199399399399398</v>
      </c>
      <c r="M3" s="1">
        <v>93</v>
      </c>
      <c r="N3" s="1">
        <v>118</v>
      </c>
    </row>
    <row r="4" spans="1:16" x14ac:dyDescent="0.2">
      <c r="A4" s="1" t="s">
        <v>3</v>
      </c>
      <c r="B4" s="1">
        <v>4</v>
      </c>
      <c r="C4" s="1">
        <v>2</v>
      </c>
      <c r="D4" s="1">
        <v>5</v>
      </c>
      <c r="E4" s="1">
        <v>0</v>
      </c>
      <c r="F4" s="1">
        <v>6</v>
      </c>
      <c r="G4" s="1">
        <v>4</v>
      </c>
      <c r="H4" s="1">
        <v>4726000</v>
      </c>
      <c r="I4" s="2">
        <v>190422</v>
      </c>
      <c r="J4" s="2">
        <v>101922</v>
      </c>
      <c r="K4" s="1">
        <f t="shared" si="0"/>
        <v>2.156622936944562</v>
      </c>
      <c r="L4" s="1">
        <f t="shared" si="1"/>
        <v>4.029242488362252</v>
      </c>
      <c r="M4" s="1">
        <v>101</v>
      </c>
      <c r="N4" s="1">
        <v>100</v>
      </c>
    </row>
    <row r="5" spans="1:16" x14ac:dyDescent="0.2">
      <c r="A5" s="1" t="s">
        <v>4</v>
      </c>
      <c r="B5" s="1">
        <v>0</v>
      </c>
      <c r="C5" s="1">
        <v>0</v>
      </c>
      <c r="D5" s="1">
        <v>0</v>
      </c>
      <c r="E5" s="1">
        <v>14</v>
      </c>
      <c r="F5" s="1">
        <f t="shared" ref="F5:F7" si="2">COUNTIF($M$26:$M$45,A5)</f>
        <v>0</v>
      </c>
      <c r="G5" s="1">
        <v>0</v>
      </c>
      <c r="H5" s="1">
        <v>60670000</v>
      </c>
      <c r="I5" s="2">
        <v>88232</v>
      </c>
      <c r="J5" s="2">
        <v>87211</v>
      </c>
      <c r="K5" s="1">
        <f t="shared" si="0"/>
        <v>0.14374649744519533</v>
      </c>
      <c r="L5" s="1">
        <f t="shared" si="1"/>
        <v>0.14542937201252679</v>
      </c>
      <c r="M5" s="1">
        <v>79</v>
      </c>
      <c r="N5" s="1">
        <v>167</v>
      </c>
    </row>
    <row r="6" spans="1:16" x14ac:dyDescent="0.2">
      <c r="A6" s="1" t="s">
        <v>5</v>
      </c>
      <c r="B6" s="1">
        <v>0</v>
      </c>
      <c r="C6" s="1">
        <v>0</v>
      </c>
      <c r="D6" s="1">
        <v>0</v>
      </c>
      <c r="E6" s="1">
        <v>4</v>
      </c>
      <c r="F6" s="1">
        <f t="shared" si="2"/>
        <v>0</v>
      </c>
      <c r="G6" s="1">
        <v>0</v>
      </c>
      <c r="H6" s="1">
        <v>5405000</v>
      </c>
      <c r="I6" s="2">
        <v>164191</v>
      </c>
      <c r="J6" s="2">
        <v>49265</v>
      </c>
      <c r="K6" s="1">
        <f t="shared" si="0"/>
        <v>0.91147086031452362</v>
      </c>
      <c r="L6" s="1">
        <f t="shared" si="1"/>
        <v>3.0377613320999077</v>
      </c>
      <c r="M6" s="1">
        <v>105</v>
      </c>
      <c r="N6" s="1">
        <v>125</v>
      </c>
    </row>
    <row r="7" spans="1:16" x14ac:dyDescent="0.2">
      <c r="A7" s="1" t="s">
        <v>6</v>
      </c>
      <c r="B7" s="1">
        <v>5</v>
      </c>
      <c r="C7" s="1">
        <v>4</v>
      </c>
      <c r="D7" s="1">
        <v>4</v>
      </c>
      <c r="E7" s="1">
        <v>1</v>
      </c>
      <c r="F7" s="1">
        <f t="shared" si="2"/>
        <v>0</v>
      </c>
      <c r="G7" s="1">
        <v>1</v>
      </c>
      <c r="H7" s="1">
        <v>3113000</v>
      </c>
      <c r="I7" s="2">
        <v>83120</v>
      </c>
      <c r="J7" s="2">
        <v>83120</v>
      </c>
      <c r="K7" s="1">
        <f t="shared" si="0"/>
        <v>2.6700931577256668</v>
      </c>
      <c r="L7" s="1">
        <f t="shared" si="1"/>
        <v>2.6700931577256668</v>
      </c>
      <c r="M7" s="1">
        <v>114</v>
      </c>
      <c r="N7" s="1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2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19.5" bestFit="1" customWidth="1"/>
    <col min="2" max="2" width="4.83203125" customWidth="1"/>
    <col min="3" max="3" width="5.6640625" customWidth="1"/>
    <col min="4" max="4" width="8.33203125" bestFit="1" customWidth="1"/>
    <col min="5" max="5" width="9.83203125" bestFit="1" customWidth="1"/>
    <col min="6" max="7" width="15.5" bestFit="1" customWidth="1"/>
    <col min="8" max="11" width="23.5" bestFit="1" customWidth="1"/>
    <col min="12" max="13" width="14.1640625" bestFit="1" customWidth="1"/>
  </cols>
  <sheetData>
    <row r="1" spans="1:7" x14ac:dyDescent="0.2">
      <c r="A1" s="3" t="s">
        <v>767</v>
      </c>
      <c r="B1" s="3" t="s">
        <v>250</v>
      </c>
      <c r="C1" s="3" t="s">
        <v>781</v>
      </c>
      <c r="D1" s="3" t="s">
        <v>769</v>
      </c>
      <c r="E1" s="3" t="s">
        <v>782</v>
      </c>
      <c r="F1" s="3" t="s">
        <v>909</v>
      </c>
      <c r="G1" s="3" t="s">
        <v>910</v>
      </c>
    </row>
    <row r="2" spans="1:7" x14ac:dyDescent="0.2">
      <c r="A2" s="1" t="s">
        <v>751</v>
      </c>
      <c r="B2" s="1">
        <v>69</v>
      </c>
      <c r="C2" s="1">
        <v>69</v>
      </c>
      <c r="D2" s="1" t="s">
        <v>783</v>
      </c>
      <c r="E2" s="1" t="s">
        <v>784</v>
      </c>
      <c r="F2" t="str">
        <f>LEFT(E2,4)</f>
        <v>2004</v>
      </c>
      <c r="G2" t="str">
        <f>RIGHT(E2,4)</f>
        <v>2019</v>
      </c>
    </row>
    <row r="3" spans="1:7" x14ac:dyDescent="0.2">
      <c r="A3" s="1" t="s">
        <v>722</v>
      </c>
      <c r="B3" s="1">
        <v>65</v>
      </c>
      <c r="C3" s="1">
        <v>65</v>
      </c>
      <c r="D3" s="1" t="s">
        <v>777</v>
      </c>
      <c r="E3" s="1" t="s">
        <v>785</v>
      </c>
      <c r="F3" t="str">
        <f t="shared" ref="F3:F22" si="0">LEFT(E3,4)</f>
        <v>2000</v>
      </c>
      <c r="G3" t="str">
        <f t="shared" ref="G3:G22" si="1">RIGHT(E3,4)</f>
        <v>2014</v>
      </c>
    </row>
    <row r="4" spans="1:7" x14ac:dyDescent="0.2">
      <c r="A4" s="1" t="s">
        <v>786</v>
      </c>
      <c r="B4" s="1">
        <v>64</v>
      </c>
      <c r="C4" s="1">
        <v>55</v>
      </c>
      <c r="D4" s="1" t="s">
        <v>777</v>
      </c>
      <c r="E4" s="1" t="s">
        <v>787</v>
      </c>
      <c r="F4" t="str">
        <f t="shared" si="0"/>
        <v>2006</v>
      </c>
      <c r="G4" t="str">
        <f t="shared" si="1"/>
        <v>2019</v>
      </c>
    </row>
    <row r="5" spans="1:7" x14ac:dyDescent="0.2">
      <c r="A5" s="1" t="s">
        <v>740</v>
      </c>
      <c r="B5" s="1">
        <v>63</v>
      </c>
      <c r="C5" s="1">
        <v>41</v>
      </c>
      <c r="D5" s="1" t="s">
        <v>777</v>
      </c>
      <c r="E5" s="1" t="s">
        <v>788</v>
      </c>
      <c r="F5" t="str">
        <f t="shared" si="0"/>
        <v>2000</v>
      </c>
      <c r="G5" t="str">
        <f t="shared" si="1"/>
        <v>2013</v>
      </c>
    </row>
    <row r="6" spans="1:7" x14ac:dyDescent="0.2">
      <c r="A6" s="1" t="s">
        <v>789</v>
      </c>
      <c r="B6" s="1">
        <v>60</v>
      </c>
      <c r="C6" s="1">
        <v>44</v>
      </c>
      <c r="D6" s="1" t="s">
        <v>783</v>
      </c>
      <c r="E6" s="1" t="s">
        <v>790</v>
      </c>
      <c r="F6" t="str">
        <f t="shared" si="0"/>
        <v>2003</v>
      </c>
      <c r="G6" t="str">
        <f t="shared" si="1"/>
        <v>2016</v>
      </c>
    </row>
    <row r="7" spans="1:7" x14ac:dyDescent="0.2">
      <c r="A7" s="1" t="s">
        <v>791</v>
      </c>
      <c r="B7" s="1">
        <v>56</v>
      </c>
      <c r="C7" s="1">
        <v>56</v>
      </c>
      <c r="D7" s="1" t="s">
        <v>777</v>
      </c>
      <c r="E7" s="1" t="s">
        <v>792</v>
      </c>
      <c r="F7" t="str">
        <f t="shared" si="0"/>
        <v>1964</v>
      </c>
      <c r="G7" t="str">
        <f t="shared" si="1"/>
        <v>1979</v>
      </c>
    </row>
    <row r="8" spans="1:7" x14ac:dyDescent="0.2">
      <c r="A8" s="1" t="s">
        <v>793</v>
      </c>
      <c r="B8" s="1">
        <v>56</v>
      </c>
      <c r="C8" s="1">
        <v>38</v>
      </c>
      <c r="D8" s="1" t="s">
        <v>779</v>
      </c>
      <c r="E8" s="1" t="s">
        <v>790</v>
      </c>
      <c r="F8" t="str">
        <f t="shared" si="0"/>
        <v>2003</v>
      </c>
      <c r="G8" t="str">
        <f t="shared" si="1"/>
        <v>2016</v>
      </c>
    </row>
    <row r="9" spans="1:7" x14ac:dyDescent="0.2">
      <c r="A9" s="1" t="s">
        <v>794</v>
      </c>
      <c r="B9" s="1">
        <v>55</v>
      </c>
      <c r="C9" s="1">
        <v>42</v>
      </c>
      <c r="D9" s="1" t="s">
        <v>780</v>
      </c>
      <c r="E9" s="1" t="s">
        <v>795</v>
      </c>
      <c r="F9" t="str">
        <f t="shared" si="0"/>
        <v>2006</v>
      </c>
      <c r="G9" t="str">
        <f t="shared" si="1"/>
        <v>2017</v>
      </c>
    </row>
    <row r="10" spans="1:7" x14ac:dyDescent="0.2">
      <c r="A10" s="1" t="s">
        <v>796</v>
      </c>
      <c r="B10" s="1">
        <v>54</v>
      </c>
      <c r="C10" s="1">
        <v>54</v>
      </c>
      <c r="D10" s="1" t="s">
        <v>777</v>
      </c>
      <c r="E10" s="1" t="s">
        <v>797</v>
      </c>
      <c r="F10" t="str">
        <f t="shared" si="0"/>
        <v>2000</v>
      </c>
      <c r="G10" t="str">
        <f t="shared" si="1"/>
        <v>2010</v>
      </c>
    </row>
    <row r="11" spans="1:7" x14ac:dyDescent="0.2">
      <c r="A11" s="1" t="s">
        <v>798</v>
      </c>
      <c r="B11" s="1">
        <v>54</v>
      </c>
      <c r="C11" s="1">
        <v>49</v>
      </c>
      <c r="D11" s="1" t="s">
        <v>778</v>
      </c>
      <c r="E11" s="1" t="s">
        <v>799</v>
      </c>
      <c r="F11" t="str">
        <f t="shared" si="0"/>
        <v>1991</v>
      </c>
      <c r="G11" t="str">
        <f t="shared" si="1"/>
        <v>2004</v>
      </c>
    </row>
    <row r="12" spans="1:7" x14ac:dyDescent="0.2">
      <c r="A12" s="1" t="s">
        <v>800</v>
      </c>
      <c r="B12" s="1">
        <v>53</v>
      </c>
      <c r="C12" s="1">
        <v>47</v>
      </c>
      <c r="D12" s="1" t="s">
        <v>783</v>
      </c>
      <c r="E12" s="1" t="s">
        <v>801</v>
      </c>
      <c r="F12" t="str">
        <f t="shared" si="0"/>
        <v>2007</v>
      </c>
      <c r="G12" t="str">
        <f t="shared" si="1"/>
        <v>2019</v>
      </c>
    </row>
    <row r="13" spans="1:7" x14ac:dyDescent="0.2">
      <c r="A13" s="1" t="s">
        <v>224</v>
      </c>
      <c r="B13" s="1">
        <v>53</v>
      </c>
      <c r="C13" s="1">
        <v>51</v>
      </c>
      <c r="D13" s="1" t="s">
        <v>779</v>
      </c>
      <c r="E13" s="1" t="s">
        <v>801</v>
      </c>
      <c r="F13" t="str">
        <f t="shared" si="0"/>
        <v>2007</v>
      </c>
      <c r="G13" t="str">
        <f t="shared" si="1"/>
        <v>2019</v>
      </c>
    </row>
    <row r="14" spans="1:7" x14ac:dyDescent="0.2">
      <c r="A14" s="1" t="s">
        <v>802</v>
      </c>
      <c r="B14" s="1">
        <v>53</v>
      </c>
      <c r="C14" s="1">
        <v>53</v>
      </c>
      <c r="D14" s="1" t="s">
        <v>777</v>
      </c>
      <c r="E14" s="1" t="s">
        <v>803</v>
      </c>
      <c r="F14" t="str">
        <f t="shared" si="0"/>
        <v>1962</v>
      </c>
      <c r="G14" t="str">
        <f t="shared" si="1"/>
        <v>1975</v>
      </c>
    </row>
    <row r="15" spans="1:7" x14ac:dyDescent="0.2">
      <c r="A15" s="1" t="s">
        <v>773</v>
      </c>
      <c r="B15" s="1">
        <v>53</v>
      </c>
      <c r="C15" s="1">
        <v>49</v>
      </c>
      <c r="D15" s="1" t="s">
        <v>780</v>
      </c>
      <c r="E15" s="1" t="s">
        <v>804</v>
      </c>
      <c r="F15" t="str">
        <f t="shared" si="0"/>
        <v>2000</v>
      </c>
      <c r="G15" t="str">
        <f t="shared" si="1"/>
        <v>2011</v>
      </c>
    </row>
    <row r="16" spans="1:7" x14ac:dyDescent="0.2">
      <c r="A16" s="1" t="s">
        <v>630</v>
      </c>
      <c r="B16" s="1">
        <v>52</v>
      </c>
      <c r="C16" s="1">
        <v>43</v>
      </c>
      <c r="D16" s="1" t="s">
        <v>783</v>
      </c>
      <c r="E16" s="1" t="s">
        <v>787</v>
      </c>
      <c r="F16" t="str">
        <f t="shared" si="0"/>
        <v>2006</v>
      </c>
      <c r="G16" t="str">
        <f t="shared" si="1"/>
        <v>2019</v>
      </c>
    </row>
    <row r="17" spans="1:7" x14ac:dyDescent="0.2">
      <c r="A17" s="1" t="s">
        <v>805</v>
      </c>
      <c r="B17" s="1">
        <v>51</v>
      </c>
      <c r="C17" s="1">
        <v>44</v>
      </c>
      <c r="D17" s="1" t="s">
        <v>783</v>
      </c>
      <c r="E17" s="1" t="s">
        <v>806</v>
      </c>
      <c r="F17" t="str">
        <f t="shared" si="0"/>
        <v>2002</v>
      </c>
      <c r="G17" t="str">
        <f t="shared" si="1"/>
        <v>2015</v>
      </c>
    </row>
    <row r="18" spans="1:7" x14ac:dyDescent="0.2">
      <c r="A18" s="1" t="s">
        <v>727</v>
      </c>
      <c r="B18" s="1">
        <v>51</v>
      </c>
      <c r="C18" s="1">
        <v>47</v>
      </c>
      <c r="D18" s="1" t="s">
        <v>777</v>
      </c>
      <c r="E18" s="1" t="s">
        <v>806</v>
      </c>
      <c r="F18" t="str">
        <f t="shared" si="0"/>
        <v>2002</v>
      </c>
      <c r="G18" t="str">
        <f t="shared" si="1"/>
        <v>2015</v>
      </c>
    </row>
    <row r="19" spans="1:7" x14ac:dyDescent="0.2">
      <c r="A19" s="1" t="s">
        <v>720</v>
      </c>
      <c r="B19" s="1">
        <v>51</v>
      </c>
      <c r="C19" s="1">
        <v>48</v>
      </c>
      <c r="D19" s="1" t="s">
        <v>779</v>
      </c>
      <c r="E19" s="1" t="s">
        <v>807</v>
      </c>
      <c r="F19" t="str">
        <f t="shared" si="0"/>
        <v>1998</v>
      </c>
      <c r="G19" t="str">
        <f t="shared" si="1"/>
        <v>2010</v>
      </c>
    </row>
    <row r="20" spans="1:7" x14ac:dyDescent="0.2">
      <c r="A20" s="1" t="s">
        <v>771</v>
      </c>
      <c r="B20" s="1">
        <v>50</v>
      </c>
      <c r="C20" s="1">
        <v>43</v>
      </c>
      <c r="D20" s="1" t="s">
        <v>779</v>
      </c>
      <c r="E20" s="1" t="s">
        <v>804</v>
      </c>
      <c r="F20" t="str">
        <f t="shared" si="0"/>
        <v>2000</v>
      </c>
      <c r="G20" t="str">
        <f t="shared" si="1"/>
        <v>2011</v>
      </c>
    </row>
    <row r="21" spans="1:7" x14ac:dyDescent="0.2">
      <c r="A21" s="1" t="s">
        <v>808</v>
      </c>
      <c r="B21" s="1">
        <v>50</v>
      </c>
      <c r="C21" s="1">
        <v>50</v>
      </c>
      <c r="D21" s="1" t="s">
        <v>809</v>
      </c>
      <c r="E21" s="1" t="s">
        <v>810</v>
      </c>
      <c r="F21" t="str">
        <f t="shared" si="0"/>
        <v>1983</v>
      </c>
      <c r="G21" t="str">
        <f t="shared" si="1"/>
        <v>1995</v>
      </c>
    </row>
    <row r="22" spans="1:7" x14ac:dyDescent="0.2">
      <c r="A22" s="1" t="s">
        <v>811</v>
      </c>
      <c r="B22" s="1">
        <v>50</v>
      </c>
      <c r="C22" s="1">
        <v>50</v>
      </c>
      <c r="D22" s="1" t="s">
        <v>778</v>
      </c>
      <c r="E22" s="1" t="s">
        <v>812</v>
      </c>
      <c r="F22" t="str">
        <f t="shared" si="0"/>
        <v>1984</v>
      </c>
      <c r="G22" t="str">
        <f t="shared" si="1"/>
        <v>1996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15.1640625" bestFit="1" customWidth="1"/>
    <col min="2" max="2" width="4.83203125" bestFit="1" customWidth="1"/>
    <col min="3" max="3" width="8.33203125" bestFit="1" customWidth="1"/>
  </cols>
  <sheetData>
    <row r="1" spans="1:3" x14ac:dyDescent="0.2">
      <c r="A1" s="3" t="s">
        <v>767</v>
      </c>
      <c r="B1" s="3" t="s">
        <v>251</v>
      </c>
      <c r="C1" s="3" t="s">
        <v>769</v>
      </c>
    </row>
    <row r="2" spans="1:3" x14ac:dyDescent="0.2">
      <c r="A2" s="1" t="s">
        <v>722</v>
      </c>
      <c r="B2" s="1">
        <v>26</v>
      </c>
      <c r="C2" s="1" t="s">
        <v>777</v>
      </c>
    </row>
    <row r="3" spans="1:3" x14ac:dyDescent="0.2">
      <c r="A3" s="1" t="s">
        <v>813</v>
      </c>
      <c r="B3" s="1">
        <v>24</v>
      </c>
      <c r="C3" s="1" t="s">
        <v>780</v>
      </c>
    </row>
    <row r="4" spans="1:3" x14ac:dyDescent="0.2">
      <c r="A4" s="1" t="s">
        <v>721</v>
      </c>
      <c r="B4" s="1">
        <v>22</v>
      </c>
      <c r="C4" s="1" t="s">
        <v>779</v>
      </c>
    </row>
    <row r="5" spans="1:3" x14ac:dyDescent="0.2">
      <c r="A5" s="1" t="s">
        <v>242</v>
      </c>
      <c r="B5" s="1">
        <v>19</v>
      </c>
      <c r="C5" s="1" t="s">
        <v>779</v>
      </c>
    </row>
    <row r="6" spans="1:3" x14ac:dyDescent="0.2">
      <c r="A6" s="1" t="s">
        <v>814</v>
      </c>
      <c r="B6" s="1">
        <v>18</v>
      </c>
      <c r="C6" s="1" t="s">
        <v>779</v>
      </c>
    </row>
    <row r="7" spans="1:3" x14ac:dyDescent="0.2">
      <c r="A7" s="1" t="s">
        <v>749</v>
      </c>
      <c r="B7" s="1">
        <v>18</v>
      </c>
      <c r="C7" s="1" t="s">
        <v>778</v>
      </c>
    </row>
    <row r="8" spans="1:3" x14ac:dyDescent="0.2">
      <c r="A8" s="1" t="s">
        <v>811</v>
      </c>
      <c r="B8" s="1">
        <v>18</v>
      </c>
      <c r="C8" s="1" t="s">
        <v>778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1"/>
  <sheetViews>
    <sheetView workbookViewId="0">
      <pane xSplit="7" ySplit="12" topLeftCell="I13" activePane="bottomRight" state="frozen"/>
      <selection pane="topRight" activeCell="H1" sqref="H1"/>
      <selection pane="bottomLeft" activeCell="A13" sqref="A13"/>
      <selection pane="bottomRight" activeCell="L20" sqref="L20"/>
    </sheetView>
  </sheetViews>
  <sheetFormatPr baseColWidth="10" defaultColWidth="8.83203125" defaultRowHeight="15" x14ac:dyDescent="0.2"/>
  <cols>
    <col min="1" max="1" width="4.83203125" bestFit="1" customWidth="1"/>
    <col min="2" max="2" width="22.33203125" bestFit="1" customWidth="1"/>
    <col min="3" max="3" width="18.1640625" bestFit="1" customWidth="1"/>
    <col min="4" max="4" width="9.6640625" bestFit="1" customWidth="1"/>
    <col min="5" max="5" width="8.6640625" customWidth="1"/>
    <col min="6" max="6" width="10" bestFit="1" customWidth="1"/>
    <col min="8" max="8" width="15" bestFit="1" customWidth="1"/>
    <col min="9" max="9" width="22" bestFit="1" customWidth="1"/>
    <col min="10" max="10" width="19.83203125" bestFit="1" customWidth="1"/>
    <col min="12" max="12" width="8.1640625" customWidth="1"/>
    <col min="13" max="13" width="9.1640625" bestFit="1" customWidth="1"/>
    <col min="14" max="14" width="9.6640625" bestFit="1" customWidth="1"/>
    <col min="15" max="15" width="13.33203125" bestFit="1" customWidth="1"/>
    <col min="16" max="16" width="11.5" bestFit="1" customWidth="1"/>
    <col min="17" max="17" width="36.6640625" bestFit="1" customWidth="1"/>
    <col min="18" max="18" width="33.83203125" bestFit="1" customWidth="1"/>
  </cols>
  <sheetData>
    <row r="1" spans="1:18" x14ac:dyDescent="0.2">
      <c r="A1" s="3" t="s">
        <v>25</v>
      </c>
      <c r="B1" s="3" t="s">
        <v>718</v>
      </c>
      <c r="C1" s="3" t="s">
        <v>906</v>
      </c>
      <c r="D1" s="3" t="s">
        <v>728</v>
      </c>
      <c r="E1" s="3" t="s">
        <v>729</v>
      </c>
      <c r="F1" s="3" t="s">
        <v>730</v>
      </c>
      <c r="G1" s="3" t="s">
        <v>731</v>
      </c>
      <c r="H1" s="3" t="s">
        <v>732</v>
      </c>
      <c r="I1" s="3" t="s">
        <v>733</v>
      </c>
      <c r="J1" s="3" t="s">
        <v>734</v>
      </c>
      <c r="K1" s="3" t="s">
        <v>735</v>
      </c>
      <c r="L1" s="3" t="s">
        <v>736</v>
      </c>
      <c r="M1" s="3" t="s">
        <v>737</v>
      </c>
      <c r="N1" s="3" t="s">
        <v>738</v>
      </c>
      <c r="O1" s="3" t="s">
        <v>938</v>
      </c>
      <c r="P1" s="3" t="s">
        <v>939</v>
      </c>
      <c r="Q1" s="3" t="s">
        <v>942</v>
      </c>
      <c r="R1" s="3" t="s">
        <v>943</v>
      </c>
    </row>
    <row r="2" spans="1:18" x14ac:dyDescent="0.2">
      <c r="A2" s="1">
        <v>2000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8" x14ac:dyDescent="0.2">
      <c r="A3" s="1">
        <v>2001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1"/>
    </row>
    <row r="4" spans="1:18" x14ac:dyDescent="0.2">
      <c r="A4" s="1">
        <v>2002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1"/>
    </row>
    <row r="5" spans="1:18" x14ac:dyDescent="0.2">
      <c r="A5" s="1">
        <v>2003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1"/>
    </row>
    <row r="6" spans="1:18" x14ac:dyDescent="0.2">
      <c r="A6" s="1">
        <v>2004</v>
      </c>
      <c r="B6" s="1" t="s">
        <v>719</v>
      </c>
      <c r="C6" s="1">
        <f>D6+E6</f>
        <v>5</v>
      </c>
      <c r="D6" s="1">
        <v>5</v>
      </c>
      <c r="E6" s="1">
        <v>0</v>
      </c>
      <c r="F6" s="1">
        <v>10</v>
      </c>
      <c r="G6" s="1">
        <v>2</v>
      </c>
      <c r="H6" s="1">
        <v>0</v>
      </c>
      <c r="I6" s="1">
        <v>0</v>
      </c>
      <c r="J6" s="1">
        <v>0</v>
      </c>
      <c r="K6" s="1">
        <v>4</v>
      </c>
      <c r="L6" s="1">
        <v>1</v>
      </c>
      <c r="M6" s="1">
        <v>0</v>
      </c>
      <c r="N6" s="1">
        <v>80</v>
      </c>
      <c r="O6" t="s">
        <v>936</v>
      </c>
      <c r="P6" s="1" t="s">
        <v>3</v>
      </c>
      <c r="Q6" s="1">
        <v>1.8</v>
      </c>
      <c r="R6" s="1">
        <v>91</v>
      </c>
    </row>
    <row r="7" spans="1:18" x14ac:dyDescent="0.2">
      <c r="A7" s="1">
        <v>2005</v>
      </c>
      <c r="B7" s="1" t="s">
        <v>720</v>
      </c>
      <c r="C7" s="1">
        <f t="shared" ref="C7:C21" si="0">D7+E7</f>
        <v>5</v>
      </c>
      <c r="D7" s="1">
        <v>5</v>
      </c>
      <c r="E7" s="1">
        <v>0</v>
      </c>
      <c r="F7" s="1">
        <v>15</v>
      </c>
      <c r="G7" s="1">
        <v>3</v>
      </c>
      <c r="H7" s="1">
        <v>0</v>
      </c>
      <c r="I7" s="1">
        <v>0</v>
      </c>
      <c r="J7" s="1">
        <v>0</v>
      </c>
      <c r="K7" s="1">
        <v>5</v>
      </c>
      <c r="L7" s="1">
        <v>0</v>
      </c>
      <c r="M7" s="1">
        <v>0</v>
      </c>
      <c r="N7" s="1">
        <v>100</v>
      </c>
      <c r="O7" t="s">
        <v>284</v>
      </c>
      <c r="P7" s="1" t="s">
        <v>6</v>
      </c>
      <c r="Q7" s="1">
        <v>1.85</v>
      </c>
      <c r="R7" s="1">
        <v>97</v>
      </c>
    </row>
    <row r="8" spans="1:18" x14ac:dyDescent="0.2">
      <c r="A8" s="1">
        <v>2006</v>
      </c>
      <c r="B8" s="1" t="s">
        <v>722</v>
      </c>
      <c r="C8" s="1">
        <f t="shared" si="0"/>
        <v>5</v>
      </c>
      <c r="D8" s="1">
        <v>5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4</v>
      </c>
      <c r="L8" s="1">
        <v>1</v>
      </c>
      <c r="M8" s="1">
        <v>0</v>
      </c>
      <c r="N8" s="1">
        <v>80</v>
      </c>
      <c r="O8" t="s">
        <v>937</v>
      </c>
      <c r="P8" s="1" t="s">
        <v>3</v>
      </c>
      <c r="Q8" s="1">
        <v>1.78</v>
      </c>
      <c r="R8" s="1">
        <v>93</v>
      </c>
    </row>
    <row r="9" spans="1:18" x14ac:dyDescent="0.2">
      <c r="A9" s="1">
        <v>2007</v>
      </c>
      <c r="B9" s="1" t="s">
        <v>722</v>
      </c>
      <c r="C9" s="1">
        <f t="shared" si="0"/>
        <v>4</v>
      </c>
      <c r="D9" s="1">
        <v>4</v>
      </c>
      <c r="E9" s="1">
        <v>0</v>
      </c>
      <c r="F9" s="1">
        <v>5</v>
      </c>
      <c r="G9" s="1">
        <v>1</v>
      </c>
      <c r="H9" s="1">
        <v>0</v>
      </c>
      <c r="I9" s="1">
        <v>0</v>
      </c>
      <c r="J9" s="1">
        <v>0</v>
      </c>
      <c r="K9" s="1">
        <v>4</v>
      </c>
      <c r="L9" s="1">
        <v>0</v>
      </c>
      <c r="M9" s="1">
        <v>0</v>
      </c>
      <c r="N9" s="1">
        <v>100</v>
      </c>
      <c r="O9" t="s">
        <v>937</v>
      </c>
      <c r="P9" s="1" t="s">
        <v>3</v>
      </c>
      <c r="Q9" s="1">
        <v>1.78</v>
      </c>
      <c r="R9" s="1">
        <v>93</v>
      </c>
    </row>
    <row r="10" spans="1:18" x14ac:dyDescent="0.2">
      <c r="A10" s="1">
        <v>2008</v>
      </c>
      <c r="B10" s="1" t="s">
        <v>721</v>
      </c>
      <c r="C10" s="1">
        <f t="shared" si="0"/>
        <v>5</v>
      </c>
      <c r="D10" s="1">
        <v>5</v>
      </c>
      <c r="E10" s="1">
        <v>0</v>
      </c>
      <c r="F10" s="1">
        <v>30</v>
      </c>
      <c r="G10" s="1">
        <v>6</v>
      </c>
      <c r="H10" s="1">
        <v>0</v>
      </c>
      <c r="I10" s="1">
        <v>0</v>
      </c>
      <c r="J10" s="1">
        <v>0</v>
      </c>
      <c r="K10" s="1">
        <v>5</v>
      </c>
      <c r="L10" s="1">
        <v>0</v>
      </c>
      <c r="M10" s="1">
        <v>0</v>
      </c>
      <c r="N10" s="1">
        <v>100</v>
      </c>
      <c r="O10" t="s">
        <v>311</v>
      </c>
      <c r="P10" s="1" t="s">
        <v>6</v>
      </c>
      <c r="Q10" s="1">
        <v>1.7</v>
      </c>
      <c r="R10" s="1">
        <v>80</v>
      </c>
    </row>
    <row r="11" spans="1:18" x14ac:dyDescent="0.2">
      <c r="A11" s="1">
        <v>2009</v>
      </c>
      <c r="B11" s="1" t="s">
        <v>722</v>
      </c>
      <c r="C11" s="1">
        <f t="shared" si="0"/>
        <v>5</v>
      </c>
      <c r="D11" s="1">
        <v>5</v>
      </c>
      <c r="E11" s="1">
        <v>0</v>
      </c>
      <c r="F11" s="1">
        <v>23</v>
      </c>
      <c r="G11" s="1">
        <v>4</v>
      </c>
      <c r="H11" s="1">
        <v>0</v>
      </c>
      <c r="I11" s="1">
        <v>0</v>
      </c>
      <c r="J11" s="1">
        <v>1</v>
      </c>
      <c r="K11" s="1">
        <v>5</v>
      </c>
      <c r="L11" s="1">
        <v>0</v>
      </c>
      <c r="M11" s="1">
        <v>0</v>
      </c>
      <c r="N11" s="1">
        <v>100</v>
      </c>
      <c r="O11" t="s">
        <v>937</v>
      </c>
      <c r="P11" s="1" t="s">
        <v>3</v>
      </c>
      <c r="Q11" s="1">
        <v>1.78</v>
      </c>
      <c r="R11" s="1">
        <v>93</v>
      </c>
    </row>
    <row r="12" spans="1:18" x14ac:dyDescent="0.2">
      <c r="A12" s="1">
        <v>2010</v>
      </c>
      <c r="B12" s="1" t="s">
        <v>723</v>
      </c>
      <c r="C12" s="1">
        <f t="shared" si="0"/>
        <v>5</v>
      </c>
      <c r="D12" s="1">
        <v>5</v>
      </c>
      <c r="E12" s="1">
        <v>0</v>
      </c>
      <c r="F12" s="1">
        <v>15</v>
      </c>
      <c r="G12" s="1">
        <v>3</v>
      </c>
      <c r="H12" s="1">
        <v>0</v>
      </c>
      <c r="I12" s="1">
        <v>0</v>
      </c>
      <c r="J12" s="1">
        <v>0</v>
      </c>
      <c r="K12" s="1">
        <v>3</v>
      </c>
      <c r="L12" s="1">
        <v>2</v>
      </c>
      <c r="M12" s="1">
        <v>0</v>
      </c>
      <c r="N12" s="1">
        <v>60</v>
      </c>
      <c r="O12" t="s">
        <v>311</v>
      </c>
      <c r="P12" s="1" t="s">
        <v>3</v>
      </c>
      <c r="Q12" s="1">
        <v>1.91</v>
      </c>
      <c r="R12" s="1">
        <v>98</v>
      </c>
    </row>
    <row r="13" spans="1:18" x14ac:dyDescent="0.2">
      <c r="A13" s="1">
        <v>2011</v>
      </c>
      <c r="B13" s="1" t="s">
        <v>724</v>
      </c>
      <c r="C13" s="1">
        <f t="shared" si="0"/>
        <v>5</v>
      </c>
      <c r="D13" s="1">
        <v>5</v>
      </c>
      <c r="E13" s="1">
        <v>0</v>
      </c>
      <c r="F13" s="1">
        <v>10</v>
      </c>
      <c r="G13" s="1">
        <v>2</v>
      </c>
      <c r="H13" s="1">
        <v>0</v>
      </c>
      <c r="I13" s="1">
        <v>0</v>
      </c>
      <c r="J13" s="1">
        <v>0</v>
      </c>
      <c r="K13" s="1">
        <v>1</v>
      </c>
      <c r="L13" s="1">
        <v>4</v>
      </c>
      <c r="M13" s="1">
        <v>0</v>
      </c>
      <c r="N13" s="1">
        <v>20</v>
      </c>
      <c r="O13" t="s">
        <v>940</v>
      </c>
      <c r="P13" s="1" t="s">
        <v>4</v>
      </c>
      <c r="Q13" s="1">
        <v>1.85</v>
      </c>
      <c r="R13" s="1">
        <v>101</v>
      </c>
    </row>
    <row r="14" spans="1:18" x14ac:dyDescent="0.2">
      <c r="A14" s="1">
        <v>2012</v>
      </c>
      <c r="B14" s="1" t="s">
        <v>725</v>
      </c>
      <c r="C14" s="1">
        <f t="shared" si="0"/>
        <v>4</v>
      </c>
      <c r="D14" s="1">
        <v>4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4</v>
      </c>
      <c r="L14" s="1">
        <v>0</v>
      </c>
      <c r="M14" s="1">
        <v>0</v>
      </c>
      <c r="N14" s="1">
        <v>100</v>
      </c>
      <c r="O14" t="s">
        <v>284</v>
      </c>
      <c r="P14" s="1" t="s">
        <v>6</v>
      </c>
      <c r="Q14" s="1">
        <v>1.93</v>
      </c>
      <c r="R14" s="1">
        <v>109</v>
      </c>
    </row>
    <row r="15" spans="1:18" x14ac:dyDescent="0.2">
      <c r="A15" s="1">
        <v>2013</v>
      </c>
      <c r="B15" s="1" t="s">
        <v>248</v>
      </c>
      <c r="C15" s="1">
        <f t="shared" si="0"/>
        <v>5</v>
      </c>
      <c r="D15" s="1">
        <v>5</v>
      </c>
      <c r="E15" s="1">
        <v>0</v>
      </c>
      <c r="F15" s="1">
        <v>74</v>
      </c>
      <c r="G15" s="1">
        <v>1</v>
      </c>
      <c r="H15" s="1">
        <v>6</v>
      </c>
      <c r="I15" s="1">
        <v>19</v>
      </c>
      <c r="J15" s="1">
        <v>0</v>
      </c>
      <c r="K15" s="1">
        <v>4</v>
      </c>
      <c r="L15" s="1">
        <v>1</v>
      </c>
      <c r="M15" s="1">
        <v>0</v>
      </c>
      <c r="N15" s="1">
        <v>80</v>
      </c>
      <c r="O15" t="s">
        <v>315</v>
      </c>
      <c r="P15" s="1" t="s">
        <v>6</v>
      </c>
      <c r="Q15" s="1">
        <v>1.78</v>
      </c>
      <c r="R15" s="1">
        <v>81</v>
      </c>
    </row>
    <row r="16" spans="1:18" x14ac:dyDescent="0.2">
      <c r="A16" s="1">
        <v>2014</v>
      </c>
      <c r="B16" s="1" t="s">
        <v>726</v>
      </c>
      <c r="C16" s="1">
        <f t="shared" si="0"/>
        <v>5</v>
      </c>
      <c r="D16" s="1">
        <v>5</v>
      </c>
      <c r="E16" s="1">
        <v>0</v>
      </c>
      <c r="F16" s="1">
        <v>20</v>
      </c>
      <c r="G16" s="1">
        <v>4</v>
      </c>
      <c r="H16" s="1">
        <v>0</v>
      </c>
      <c r="I16" s="1">
        <v>0</v>
      </c>
      <c r="J16" s="1">
        <v>0</v>
      </c>
      <c r="K16" s="1">
        <v>4</v>
      </c>
      <c r="L16" s="1">
        <v>1</v>
      </c>
      <c r="M16" s="1">
        <v>0</v>
      </c>
      <c r="N16" s="1">
        <v>80</v>
      </c>
      <c r="O16" t="s">
        <v>941</v>
      </c>
      <c r="P16" s="1" t="s">
        <v>1</v>
      </c>
      <c r="Q16" s="1">
        <v>1.83</v>
      </c>
      <c r="R16" s="1">
        <v>93</v>
      </c>
    </row>
    <row r="17" spans="1:18" x14ac:dyDescent="0.2">
      <c r="A17" s="1">
        <v>2015</v>
      </c>
      <c r="B17" s="1" t="s">
        <v>727</v>
      </c>
      <c r="C17" s="1">
        <f t="shared" si="0"/>
        <v>5</v>
      </c>
      <c r="D17" s="1">
        <v>5</v>
      </c>
      <c r="E17" s="1">
        <v>0</v>
      </c>
      <c r="F17" s="1">
        <v>5</v>
      </c>
      <c r="G17" s="1">
        <v>1</v>
      </c>
      <c r="H17" s="1">
        <v>0</v>
      </c>
      <c r="I17" s="1">
        <v>0</v>
      </c>
      <c r="J17" s="1">
        <v>0</v>
      </c>
      <c r="K17" s="1">
        <v>4</v>
      </c>
      <c r="L17" s="1">
        <v>1</v>
      </c>
      <c r="M17" s="1">
        <v>0</v>
      </c>
      <c r="N17" s="1">
        <v>80</v>
      </c>
      <c r="O17" t="s">
        <v>279</v>
      </c>
      <c r="P17" s="1" t="s">
        <v>3</v>
      </c>
      <c r="Q17" s="1">
        <v>1.98</v>
      </c>
      <c r="R17" s="1">
        <v>112</v>
      </c>
    </row>
    <row r="18" spans="1:18" x14ac:dyDescent="0.2">
      <c r="A18" s="1">
        <v>2016</v>
      </c>
      <c r="B18" s="1" t="s">
        <v>198</v>
      </c>
      <c r="C18" s="1">
        <f t="shared" si="0"/>
        <v>5</v>
      </c>
      <c r="D18" s="1">
        <v>5</v>
      </c>
      <c r="E18" s="1">
        <v>0</v>
      </c>
      <c r="F18" s="1">
        <v>13</v>
      </c>
      <c r="G18" s="1">
        <v>2</v>
      </c>
      <c r="H18" s="1">
        <v>0</v>
      </c>
      <c r="I18" s="1">
        <v>1</v>
      </c>
      <c r="J18" s="1">
        <v>0</v>
      </c>
      <c r="K18" s="1">
        <v>2</v>
      </c>
      <c r="L18" s="1">
        <v>3</v>
      </c>
      <c r="M18" s="1">
        <v>0</v>
      </c>
      <c r="N18" s="1">
        <v>40</v>
      </c>
      <c r="O18" t="s">
        <v>941</v>
      </c>
      <c r="P18" s="1" t="s">
        <v>5</v>
      </c>
      <c r="Q18" s="1">
        <v>1.83</v>
      </c>
      <c r="R18" s="1">
        <v>88</v>
      </c>
    </row>
    <row r="19" spans="1:18" x14ac:dyDescent="0.2">
      <c r="A19" s="1">
        <v>2017</v>
      </c>
      <c r="B19" s="1" t="s">
        <v>198</v>
      </c>
      <c r="C19" s="1">
        <f t="shared" si="0"/>
        <v>5</v>
      </c>
      <c r="D19" s="1">
        <v>5</v>
      </c>
      <c r="E19" s="1">
        <v>0</v>
      </c>
      <c r="F19" s="1">
        <v>18</v>
      </c>
      <c r="G19" s="1">
        <v>3</v>
      </c>
      <c r="H19" s="1">
        <v>0</v>
      </c>
      <c r="I19" s="1">
        <v>1</v>
      </c>
      <c r="J19" s="1">
        <v>0</v>
      </c>
      <c r="K19" s="1">
        <v>3</v>
      </c>
      <c r="L19" s="1">
        <v>2</v>
      </c>
      <c r="M19" s="1">
        <v>0</v>
      </c>
      <c r="N19" s="1">
        <v>60</v>
      </c>
      <c r="O19" t="s">
        <v>941</v>
      </c>
      <c r="P19" s="1" t="s">
        <v>5</v>
      </c>
      <c r="Q19" s="1">
        <v>1.83</v>
      </c>
      <c r="R19" s="1">
        <v>88</v>
      </c>
    </row>
    <row r="20" spans="1:18" x14ac:dyDescent="0.2">
      <c r="A20" s="1">
        <v>2018</v>
      </c>
      <c r="B20" s="1" t="s">
        <v>131</v>
      </c>
      <c r="C20" s="1">
        <f t="shared" si="0"/>
        <v>5</v>
      </c>
      <c r="D20" s="1">
        <v>5</v>
      </c>
      <c r="E20" s="1">
        <v>0</v>
      </c>
      <c r="F20" s="1">
        <v>35</v>
      </c>
      <c r="G20" s="1">
        <v>7</v>
      </c>
      <c r="H20" s="1">
        <v>0</v>
      </c>
      <c r="I20" s="1">
        <v>0</v>
      </c>
      <c r="J20" s="1">
        <v>0</v>
      </c>
      <c r="K20" s="1">
        <v>5</v>
      </c>
      <c r="L20" s="1">
        <v>0</v>
      </c>
      <c r="M20" s="1">
        <v>0</v>
      </c>
      <c r="N20" s="1">
        <v>100</v>
      </c>
      <c r="O20" t="s">
        <v>311</v>
      </c>
      <c r="P20" s="1" t="s">
        <v>3</v>
      </c>
      <c r="Q20" s="1">
        <v>1.91</v>
      </c>
      <c r="R20" s="1">
        <v>103</v>
      </c>
    </row>
    <row r="21" spans="1:18" x14ac:dyDescent="0.2">
      <c r="A21" s="1">
        <v>2019</v>
      </c>
      <c r="B21" s="1" t="s">
        <v>224</v>
      </c>
      <c r="C21" s="1">
        <f t="shared" si="0"/>
        <v>5</v>
      </c>
      <c r="D21" s="1">
        <v>4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5</v>
      </c>
      <c r="L21" s="1">
        <v>0</v>
      </c>
      <c r="M21" s="1">
        <v>0</v>
      </c>
      <c r="N21" s="1">
        <v>100</v>
      </c>
      <c r="O21" t="s">
        <v>279</v>
      </c>
      <c r="P21" s="1" t="s">
        <v>6</v>
      </c>
      <c r="Q21" s="1">
        <v>1.98</v>
      </c>
      <c r="R21" s="1">
        <v>122</v>
      </c>
    </row>
  </sheetData>
  <hyperlinks>
    <hyperlink ref="A21" r:id="rId1" tooltip="2019 Six Nations Championship" display="https://en.wikipedia.org/wiki/2019_Six_Nations_Championship" xr:uid="{00000000-0004-0000-0B00-000000000000}"/>
    <hyperlink ref="A20" r:id="rId2" tooltip="2018 Six Nations Championship" display="https://en.wikipedia.org/wiki/2018_Six_Nations_Championship" xr:uid="{00000000-0004-0000-0B00-000001000000}"/>
    <hyperlink ref="A19" r:id="rId3" tooltip="2017 Six Nations Championship" display="https://en.wikipedia.org/wiki/2017_Six_Nations_Championship" xr:uid="{00000000-0004-0000-0B00-000002000000}"/>
    <hyperlink ref="A18" r:id="rId4" tooltip="2016 Six Nations Championship" display="https://en.wikipedia.org/wiki/2016_Six_Nations_Championship" xr:uid="{00000000-0004-0000-0B00-000003000000}"/>
    <hyperlink ref="A17" r:id="rId5" tooltip="2015 Six Nations Championship" display="https://en.wikipedia.org/wiki/2015_Six_Nations_Championship" xr:uid="{00000000-0004-0000-0B00-000004000000}"/>
    <hyperlink ref="A16" r:id="rId6" tooltip="2014 Six Nations Championship" display="https://en.wikipedia.org/wiki/2014_Six_Nations_Championship" xr:uid="{00000000-0004-0000-0B00-000005000000}"/>
    <hyperlink ref="A15" r:id="rId7" tooltip="2013 Six Nations Championship" display="https://en.wikipedia.org/wiki/2013_Six_Nations_Championship" xr:uid="{00000000-0004-0000-0B00-000006000000}"/>
    <hyperlink ref="A14" r:id="rId8" tooltip="2012 Six Nations Championship" display="https://en.wikipedia.org/wiki/2012_Six_Nations_Championship" xr:uid="{00000000-0004-0000-0B00-000007000000}"/>
    <hyperlink ref="A13" r:id="rId9" tooltip="2011 Six Nations Championship" display="https://en.wikipedia.org/wiki/2011_Six_Nations_Championship" xr:uid="{00000000-0004-0000-0B00-000008000000}"/>
    <hyperlink ref="A12" r:id="rId10" tooltip="2010 Six Nations Championship" display="https://en.wikipedia.org/wiki/2010_Six_Nations_Championship" xr:uid="{00000000-0004-0000-0B00-000009000000}"/>
    <hyperlink ref="A11" r:id="rId11" tooltip="2009 Six Nations Championship" display="https://en.wikipedia.org/wiki/2009_Six_Nations_Championship" xr:uid="{00000000-0004-0000-0B00-00000A000000}"/>
    <hyperlink ref="A10" r:id="rId12" tooltip="2008 Six Nations Championship" display="https://en.wikipedia.org/wiki/2008_Six_Nations_Championship" xr:uid="{00000000-0004-0000-0B00-00000B000000}"/>
    <hyperlink ref="A9" r:id="rId13" tooltip="2007 Six Nations Championship" display="https://en.wikipedia.org/wiki/2007_Six_Nations_Championship" xr:uid="{00000000-0004-0000-0B00-00000C000000}"/>
    <hyperlink ref="A8" r:id="rId14" tooltip="2006 Six Nations Championship" display="https://en.wikipedia.org/wiki/2006_Six_Nations_Championship" xr:uid="{00000000-0004-0000-0B00-00000D000000}"/>
    <hyperlink ref="A7" r:id="rId15" tooltip="2005 Six Nations Championship" display="https://en.wikipedia.org/wiki/2005_Six_Nations_Championship" xr:uid="{00000000-0004-0000-0B00-00000E000000}"/>
    <hyperlink ref="A6" r:id="rId16" tooltip="2004 Six Nations Championship" display="https://en.wikipedia.org/wiki/2004_Six_Nations_Championship" xr:uid="{00000000-0004-0000-0B00-00000F000000}"/>
    <hyperlink ref="A5" r:id="rId17" tooltip="2003 Six Nations Championship" display="https://en.wikipedia.org/wiki/2003_Six_Nations_Championship" xr:uid="{00000000-0004-0000-0B00-000010000000}"/>
    <hyperlink ref="A4" r:id="rId18" tooltip="2002 Six Nations Championship" display="https://en.wikipedia.org/wiki/2002_Six_Nations_Championship" xr:uid="{00000000-0004-0000-0B00-000011000000}"/>
    <hyperlink ref="A3" r:id="rId19" tooltip="2001 Six Nations Championship" display="https://en.wikipedia.org/wiki/2001_Six_Nations_Championship" xr:uid="{00000000-0004-0000-0B00-000012000000}"/>
    <hyperlink ref="A2" r:id="rId20" tooltip="2000 Six Nations Championship" display="https://en.wikipedia.org/wiki/2000_Six_Nations_Championship" xr:uid="{00000000-0004-0000-0B00-00001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2"/>
  <sheetViews>
    <sheetView workbookViewId="0">
      <selection sqref="A1:A21"/>
    </sheetView>
  </sheetViews>
  <sheetFormatPr baseColWidth="10" defaultColWidth="8.83203125" defaultRowHeight="15" x14ac:dyDescent="0.2"/>
  <cols>
    <col min="1" max="1" width="4.83203125" customWidth="1"/>
    <col min="2" max="2" width="10.1640625" bestFit="1" customWidth="1"/>
    <col min="3" max="3" width="10.5" bestFit="1" customWidth="1"/>
    <col min="4" max="5" width="11.5" bestFit="1" customWidth="1"/>
    <col min="6" max="6" width="15.6640625" customWidth="1"/>
    <col min="7" max="7" width="15.83203125" customWidth="1"/>
    <col min="8" max="8" width="23.33203125" bestFit="1" customWidth="1"/>
    <col min="9" max="9" width="18.1640625" customWidth="1"/>
    <col min="10" max="10" width="17.83203125" customWidth="1"/>
    <col min="11" max="11" width="13.83203125" customWidth="1"/>
    <col min="12" max="12" width="22.33203125" customWidth="1"/>
    <col min="13" max="13" width="18.1640625" customWidth="1"/>
    <col min="14" max="14" width="9.6640625" style="1" customWidth="1"/>
    <col min="15" max="15" width="8.6640625" style="1" customWidth="1"/>
    <col min="16" max="16" width="10" style="1" bestFit="1" customWidth="1"/>
    <col min="17" max="17" width="8.6640625" style="1" customWidth="1"/>
    <col min="18" max="18" width="15" style="1" customWidth="1"/>
    <col min="19" max="19" width="22" style="1" bestFit="1" customWidth="1"/>
    <col min="20" max="20" width="19.83203125" style="1" customWidth="1"/>
    <col min="21" max="21" width="8.6640625" style="1" bestFit="1" customWidth="1"/>
    <col min="22" max="22" width="8.1640625" style="1" customWidth="1"/>
    <col min="23" max="23" width="9.1640625" style="1" bestFit="1" customWidth="1"/>
    <col min="24" max="24" width="9.6640625" style="1" bestFit="1" customWidth="1"/>
    <col min="25" max="25" width="13.33203125" customWidth="1"/>
    <col min="26" max="26" width="11.5" customWidth="1"/>
  </cols>
  <sheetData>
    <row r="1" spans="1:27" x14ac:dyDescent="0.2">
      <c r="A1" s="3" t="s">
        <v>25</v>
      </c>
      <c r="B1" s="4" t="s">
        <v>24</v>
      </c>
      <c r="C1" s="3" t="s">
        <v>26</v>
      </c>
      <c r="D1" s="3" t="s">
        <v>8</v>
      </c>
      <c r="E1" s="3" t="s">
        <v>27</v>
      </c>
      <c r="F1" s="3" t="s">
        <v>28</v>
      </c>
      <c r="G1" s="3" t="s">
        <v>29</v>
      </c>
      <c r="H1" s="4" t="s">
        <v>30</v>
      </c>
      <c r="I1" s="3" t="s">
        <v>31</v>
      </c>
      <c r="J1" s="3" t="s">
        <v>32</v>
      </c>
      <c r="K1" s="3" t="s">
        <v>12</v>
      </c>
      <c r="L1" s="3" t="s">
        <v>718</v>
      </c>
      <c r="M1" s="3" t="s">
        <v>906</v>
      </c>
      <c r="N1" s="3" t="s">
        <v>728</v>
      </c>
      <c r="O1" s="3" t="s">
        <v>729</v>
      </c>
      <c r="P1" s="3" t="s">
        <v>730</v>
      </c>
      <c r="Q1" s="3" t="s">
        <v>731</v>
      </c>
      <c r="R1" s="3" t="s">
        <v>732</v>
      </c>
      <c r="S1" s="3" t="s">
        <v>733</v>
      </c>
      <c r="T1" s="3" t="s">
        <v>734</v>
      </c>
      <c r="U1" s="3" t="s">
        <v>735</v>
      </c>
      <c r="V1" s="3" t="s">
        <v>736</v>
      </c>
      <c r="W1" s="3" t="s">
        <v>737</v>
      </c>
      <c r="X1" s="3" t="s">
        <v>738</v>
      </c>
      <c r="Y1" s="3" t="s">
        <v>938</v>
      </c>
      <c r="Z1" s="3" t="s">
        <v>939</v>
      </c>
    </row>
    <row r="2" spans="1:27" x14ac:dyDescent="0.2">
      <c r="A2" s="1">
        <v>2000</v>
      </c>
      <c r="B2" s="1" t="s">
        <v>18</v>
      </c>
      <c r="C2" s="1"/>
      <c r="D2" s="1"/>
      <c r="E2" s="1" t="s">
        <v>19</v>
      </c>
      <c r="F2" s="1" t="s">
        <v>18</v>
      </c>
      <c r="G2" s="1" t="s">
        <v>20</v>
      </c>
      <c r="H2" s="1"/>
      <c r="I2" s="1"/>
      <c r="J2" s="1"/>
      <c r="K2" s="1" t="s">
        <v>21</v>
      </c>
      <c r="M2" s="1"/>
    </row>
    <row r="3" spans="1:27" x14ac:dyDescent="0.2">
      <c r="A3" s="1">
        <v>2001</v>
      </c>
      <c r="B3" s="1" t="s">
        <v>18</v>
      </c>
      <c r="C3" s="1"/>
      <c r="D3" s="1"/>
      <c r="E3" s="1" t="s">
        <v>18</v>
      </c>
      <c r="F3" s="1" t="s">
        <v>20</v>
      </c>
      <c r="G3" s="1" t="s">
        <v>19</v>
      </c>
      <c r="H3" s="1"/>
      <c r="I3" s="1"/>
      <c r="J3" s="1"/>
      <c r="K3" s="1" t="s">
        <v>21</v>
      </c>
      <c r="M3" s="1"/>
      <c r="Z3" s="1"/>
      <c r="AA3" s="1"/>
    </row>
    <row r="4" spans="1:27" x14ac:dyDescent="0.2">
      <c r="A4" s="1">
        <v>2002</v>
      </c>
      <c r="B4" s="1" t="s">
        <v>22</v>
      </c>
      <c r="C4" s="1" t="s">
        <v>22</v>
      </c>
      <c r="D4" s="1" t="s">
        <v>18</v>
      </c>
      <c r="E4" s="1" t="s">
        <v>18</v>
      </c>
      <c r="F4" s="1" t="s">
        <v>18</v>
      </c>
      <c r="G4" s="1" t="s">
        <v>20</v>
      </c>
      <c r="H4" s="1"/>
      <c r="I4" s="1"/>
      <c r="J4" s="1"/>
      <c r="K4" s="1" t="s">
        <v>21</v>
      </c>
      <c r="M4" s="1"/>
      <c r="Z4" s="1"/>
      <c r="AA4" s="1"/>
    </row>
    <row r="5" spans="1:27" x14ac:dyDescent="0.2">
      <c r="A5" s="1">
        <v>2003</v>
      </c>
      <c r="B5" s="1" t="s">
        <v>18</v>
      </c>
      <c r="C5" s="1" t="s">
        <v>18</v>
      </c>
      <c r="D5" s="1" t="s">
        <v>18</v>
      </c>
      <c r="E5" s="1" t="s">
        <v>18</v>
      </c>
      <c r="F5" s="1" t="s">
        <v>18</v>
      </c>
      <c r="G5" s="1" t="s">
        <v>20</v>
      </c>
      <c r="H5" s="1"/>
      <c r="I5" s="1"/>
      <c r="J5" s="1"/>
      <c r="K5" s="1" t="s">
        <v>23</v>
      </c>
      <c r="M5" s="1"/>
      <c r="Z5" s="1"/>
      <c r="AA5" s="1"/>
    </row>
    <row r="6" spans="1:27" x14ac:dyDescent="0.2">
      <c r="A6" s="1">
        <v>2004</v>
      </c>
      <c r="B6" s="1" t="s">
        <v>22</v>
      </c>
      <c r="C6" s="1" t="s">
        <v>22</v>
      </c>
      <c r="D6" s="1" t="s">
        <v>20</v>
      </c>
      <c r="E6" s="1" t="s">
        <v>18</v>
      </c>
      <c r="F6" s="1" t="s">
        <v>20</v>
      </c>
      <c r="G6" s="1" t="s">
        <v>20</v>
      </c>
      <c r="H6" s="1"/>
      <c r="I6" s="1"/>
      <c r="J6" s="1"/>
      <c r="K6" s="1" t="s">
        <v>19</v>
      </c>
      <c r="L6" s="1" t="s">
        <v>719</v>
      </c>
      <c r="M6" s="1">
        <f>N6+O6</f>
        <v>5</v>
      </c>
      <c r="N6" s="1">
        <v>5</v>
      </c>
      <c r="O6" s="1">
        <v>0</v>
      </c>
      <c r="P6" s="1">
        <v>10</v>
      </c>
      <c r="Q6" s="1">
        <v>2</v>
      </c>
      <c r="R6" s="1">
        <v>0</v>
      </c>
      <c r="S6" s="1">
        <v>0</v>
      </c>
      <c r="T6" s="1">
        <v>0</v>
      </c>
      <c r="U6" s="1">
        <v>4</v>
      </c>
      <c r="V6" s="1">
        <v>1</v>
      </c>
      <c r="W6" s="1">
        <v>0</v>
      </c>
      <c r="X6" s="1">
        <v>80</v>
      </c>
      <c r="Y6" t="s">
        <v>936</v>
      </c>
      <c r="Z6" s="1" t="s">
        <v>3</v>
      </c>
      <c r="AA6" s="1"/>
    </row>
    <row r="7" spans="1:27" x14ac:dyDescent="0.2">
      <c r="A7" s="1">
        <v>2005</v>
      </c>
      <c r="B7" s="1" t="s">
        <v>23</v>
      </c>
      <c r="C7" s="1" t="s">
        <v>23</v>
      </c>
      <c r="D7" s="1" t="s">
        <v>23</v>
      </c>
      <c r="E7" s="1" t="s">
        <v>18</v>
      </c>
      <c r="F7" s="1" t="s">
        <v>20</v>
      </c>
      <c r="G7" s="1" t="s">
        <v>20</v>
      </c>
      <c r="H7" s="1"/>
      <c r="I7" s="1"/>
      <c r="J7" s="1"/>
      <c r="K7" s="1" t="s">
        <v>21</v>
      </c>
      <c r="L7" s="1" t="s">
        <v>720</v>
      </c>
      <c r="M7" s="1">
        <f t="shared" ref="M7:M21" si="0">N7+O7</f>
        <v>5</v>
      </c>
      <c r="N7" s="1">
        <v>5</v>
      </c>
      <c r="O7" s="1">
        <v>0</v>
      </c>
      <c r="P7" s="1">
        <v>15</v>
      </c>
      <c r="Q7" s="1">
        <v>3</v>
      </c>
      <c r="R7" s="1">
        <v>0</v>
      </c>
      <c r="S7" s="1">
        <v>0</v>
      </c>
      <c r="T7" s="1">
        <v>0</v>
      </c>
      <c r="U7" s="1">
        <v>5</v>
      </c>
      <c r="V7" s="1">
        <v>0</v>
      </c>
      <c r="W7" s="1">
        <v>0</v>
      </c>
      <c r="X7" s="1">
        <v>100</v>
      </c>
      <c r="Y7" t="s">
        <v>284</v>
      </c>
      <c r="Z7" s="1" t="s">
        <v>6</v>
      </c>
      <c r="AA7" s="1"/>
    </row>
    <row r="8" spans="1:27" x14ac:dyDescent="0.2">
      <c r="A8" s="1">
        <v>2006</v>
      </c>
      <c r="B8" s="1" t="s">
        <v>22</v>
      </c>
      <c r="C8" s="1"/>
      <c r="D8" s="1" t="s">
        <v>20</v>
      </c>
      <c r="E8" s="1" t="s">
        <v>19</v>
      </c>
      <c r="F8" s="1" t="s">
        <v>20</v>
      </c>
      <c r="G8" s="1" t="s">
        <v>20</v>
      </c>
      <c r="H8" s="1"/>
      <c r="I8" s="1"/>
      <c r="J8" s="1"/>
      <c r="K8" s="1" t="s">
        <v>21</v>
      </c>
      <c r="L8" s="1" t="s">
        <v>722</v>
      </c>
      <c r="M8" s="1">
        <f t="shared" si="0"/>
        <v>5</v>
      </c>
      <c r="N8" s="1">
        <v>5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4</v>
      </c>
      <c r="V8" s="1">
        <v>1</v>
      </c>
      <c r="W8" s="1">
        <v>0</v>
      </c>
      <c r="X8" s="1">
        <v>80</v>
      </c>
      <c r="Y8" t="s">
        <v>937</v>
      </c>
      <c r="Z8" s="1" t="s">
        <v>3</v>
      </c>
      <c r="AA8" s="1"/>
    </row>
    <row r="9" spans="1:27" x14ac:dyDescent="0.2">
      <c r="A9" s="1">
        <v>2007</v>
      </c>
      <c r="B9" s="1" t="s">
        <v>22</v>
      </c>
      <c r="C9" s="1"/>
      <c r="D9" s="1" t="s">
        <v>20</v>
      </c>
      <c r="E9" s="1" t="s">
        <v>18</v>
      </c>
      <c r="F9" s="1" t="s">
        <v>20</v>
      </c>
      <c r="G9" s="1" t="s">
        <v>20</v>
      </c>
      <c r="H9" s="1" t="s">
        <v>22</v>
      </c>
      <c r="I9" s="1"/>
      <c r="J9" s="1"/>
      <c r="K9" s="1" t="s">
        <v>19</v>
      </c>
      <c r="L9" s="1" t="s">
        <v>722</v>
      </c>
      <c r="M9" s="1">
        <f t="shared" si="0"/>
        <v>4</v>
      </c>
      <c r="N9" s="1">
        <v>4</v>
      </c>
      <c r="O9" s="1">
        <v>0</v>
      </c>
      <c r="P9" s="1">
        <v>5</v>
      </c>
      <c r="Q9" s="1">
        <v>1</v>
      </c>
      <c r="R9" s="1">
        <v>0</v>
      </c>
      <c r="S9" s="1">
        <v>0</v>
      </c>
      <c r="T9" s="1">
        <v>0</v>
      </c>
      <c r="U9" s="1">
        <v>4</v>
      </c>
      <c r="V9" s="1">
        <v>0</v>
      </c>
      <c r="W9" s="1">
        <v>0</v>
      </c>
      <c r="X9" s="1">
        <v>100</v>
      </c>
      <c r="Y9" t="s">
        <v>937</v>
      </c>
      <c r="Z9" s="1" t="s">
        <v>3</v>
      </c>
      <c r="AA9" s="1"/>
    </row>
    <row r="10" spans="1:27" x14ac:dyDescent="0.2">
      <c r="A10" s="1">
        <v>2008</v>
      </c>
      <c r="B10" s="1" t="s">
        <v>23</v>
      </c>
      <c r="C10" s="1" t="s">
        <v>23</v>
      </c>
      <c r="D10" s="1" t="s">
        <v>23</v>
      </c>
      <c r="E10" s="1" t="s">
        <v>19</v>
      </c>
      <c r="F10" s="1" t="s">
        <v>18</v>
      </c>
      <c r="G10" s="1" t="s">
        <v>20</v>
      </c>
      <c r="H10" s="1" t="s">
        <v>22</v>
      </c>
      <c r="I10" s="1"/>
      <c r="J10" s="1"/>
      <c r="K10" s="1" t="s">
        <v>21</v>
      </c>
      <c r="L10" s="1" t="s">
        <v>721</v>
      </c>
      <c r="M10" s="1">
        <f t="shared" si="0"/>
        <v>5</v>
      </c>
      <c r="N10" s="1">
        <v>5</v>
      </c>
      <c r="O10" s="1">
        <v>0</v>
      </c>
      <c r="P10" s="1">
        <v>30</v>
      </c>
      <c r="Q10" s="1">
        <v>6</v>
      </c>
      <c r="R10" s="1">
        <v>0</v>
      </c>
      <c r="S10" s="1">
        <v>0</v>
      </c>
      <c r="T10" s="1">
        <v>0</v>
      </c>
      <c r="U10" s="1">
        <v>5</v>
      </c>
      <c r="V10" s="1">
        <v>0</v>
      </c>
      <c r="W10" s="1">
        <v>0</v>
      </c>
      <c r="X10" s="1">
        <v>100</v>
      </c>
      <c r="Y10" t="s">
        <v>311</v>
      </c>
      <c r="Z10" s="1" t="s">
        <v>6</v>
      </c>
      <c r="AA10" s="1"/>
    </row>
    <row r="11" spans="1:27" x14ac:dyDescent="0.2">
      <c r="A11" s="1">
        <v>2009</v>
      </c>
      <c r="B11" s="1" t="s">
        <v>20</v>
      </c>
      <c r="C11" s="1" t="s">
        <v>20</v>
      </c>
      <c r="D11" s="1" t="s">
        <v>20</v>
      </c>
      <c r="E11" s="1" t="s">
        <v>18</v>
      </c>
      <c r="F11" s="1" t="s">
        <v>20</v>
      </c>
      <c r="G11" s="1" t="s">
        <v>20</v>
      </c>
      <c r="H11" s="1" t="s">
        <v>22</v>
      </c>
      <c r="I11" s="1"/>
      <c r="J11" s="1"/>
      <c r="K11" s="1" t="s">
        <v>21</v>
      </c>
      <c r="L11" s="1" t="s">
        <v>722</v>
      </c>
      <c r="M11" s="1">
        <f t="shared" si="0"/>
        <v>5</v>
      </c>
      <c r="N11" s="1">
        <v>5</v>
      </c>
      <c r="O11" s="1">
        <v>0</v>
      </c>
      <c r="P11" s="1">
        <v>23</v>
      </c>
      <c r="Q11" s="1">
        <v>4</v>
      </c>
      <c r="R11" s="1">
        <v>0</v>
      </c>
      <c r="S11" s="1">
        <v>0</v>
      </c>
      <c r="T11" s="1">
        <v>1</v>
      </c>
      <c r="U11" s="1">
        <v>5</v>
      </c>
      <c r="V11" s="1">
        <v>0</v>
      </c>
      <c r="W11" s="1">
        <v>0</v>
      </c>
      <c r="X11" s="1">
        <v>100</v>
      </c>
      <c r="Y11" t="s">
        <v>937</v>
      </c>
      <c r="Z11" s="1" t="s">
        <v>3</v>
      </c>
      <c r="AA11" s="1"/>
    </row>
    <row r="12" spans="1:27" x14ac:dyDescent="0.2">
      <c r="A12" s="1">
        <v>2010</v>
      </c>
      <c r="B12" s="1" t="s">
        <v>22</v>
      </c>
      <c r="C12" s="1" t="s">
        <v>22</v>
      </c>
      <c r="D12" s="1"/>
      <c r="E12" s="1"/>
      <c r="F12" s="1" t="s">
        <v>20</v>
      </c>
      <c r="G12" s="1" t="s">
        <v>19</v>
      </c>
      <c r="H12" s="1" t="s">
        <v>22</v>
      </c>
      <c r="I12" s="1"/>
      <c r="J12" s="1"/>
      <c r="K12" s="1" t="s">
        <v>21</v>
      </c>
      <c r="L12" s="1" t="s">
        <v>723</v>
      </c>
      <c r="M12" s="1">
        <f t="shared" si="0"/>
        <v>5</v>
      </c>
      <c r="N12" s="1">
        <v>5</v>
      </c>
      <c r="O12" s="1">
        <v>0</v>
      </c>
      <c r="P12" s="1">
        <v>15</v>
      </c>
      <c r="Q12" s="1">
        <v>3</v>
      </c>
      <c r="R12" s="1">
        <v>0</v>
      </c>
      <c r="S12" s="1">
        <v>0</v>
      </c>
      <c r="T12" s="1">
        <v>0</v>
      </c>
      <c r="U12" s="1">
        <v>3</v>
      </c>
      <c r="V12" s="1">
        <v>2</v>
      </c>
      <c r="W12" s="1">
        <v>0</v>
      </c>
      <c r="X12" s="1">
        <v>60</v>
      </c>
      <c r="Y12" t="s">
        <v>311</v>
      </c>
      <c r="Z12" s="1" t="s">
        <v>3</v>
      </c>
      <c r="AA12" s="1"/>
    </row>
    <row r="13" spans="1:27" x14ac:dyDescent="0.2">
      <c r="A13" s="1">
        <v>2011</v>
      </c>
      <c r="B13" s="1" t="s">
        <v>18</v>
      </c>
      <c r="C13" s="1"/>
      <c r="D13" s="1"/>
      <c r="E13" s="1" t="s">
        <v>18</v>
      </c>
      <c r="F13" s="1" t="s">
        <v>20</v>
      </c>
      <c r="G13" s="1" t="s">
        <v>20</v>
      </c>
      <c r="H13" s="1" t="s">
        <v>21</v>
      </c>
      <c r="I13" s="1"/>
      <c r="J13" s="1"/>
      <c r="K13" s="1" t="s">
        <v>21</v>
      </c>
      <c r="L13" s="1" t="s">
        <v>724</v>
      </c>
      <c r="M13" s="1">
        <f t="shared" si="0"/>
        <v>5</v>
      </c>
      <c r="N13" s="1">
        <v>5</v>
      </c>
      <c r="O13" s="1">
        <v>0</v>
      </c>
      <c r="P13" s="1">
        <v>10</v>
      </c>
      <c r="Q13" s="1">
        <v>2</v>
      </c>
      <c r="R13" s="1">
        <v>0</v>
      </c>
      <c r="S13" s="1">
        <v>0</v>
      </c>
      <c r="T13" s="1">
        <v>0</v>
      </c>
      <c r="U13" s="1">
        <v>1</v>
      </c>
      <c r="V13" s="1">
        <v>4</v>
      </c>
      <c r="W13" s="1">
        <v>0</v>
      </c>
      <c r="X13" s="1">
        <v>20</v>
      </c>
      <c r="Y13" t="s">
        <v>940</v>
      </c>
      <c r="Z13" s="1" t="s">
        <v>4</v>
      </c>
      <c r="AA13" s="1"/>
    </row>
    <row r="14" spans="1:27" x14ac:dyDescent="0.2">
      <c r="A14" s="1">
        <v>2012</v>
      </c>
      <c r="B14" s="1" t="s">
        <v>23</v>
      </c>
      <c r="C14" s="1" t="s">
        <v>23</v>
      </c>
      <c r="D14" s="1" t="s">
        <v>23</v>
      </c>
      <c r="E14" s="1" t="s">
        <v>18</v>
      </c>
      <c r="F14" s="1" t="s">
        <v>18</v>
      </c>
      <c r="G14" s="1" t="s">
        <v>20</v>
      </c>
      <c r="H14" s="1" t="s">
        <v>22</v>
      </c>
      <c r="I14" s="1"/>
      <c r="J14" s="1"/>
      <c r="K14" s="1" t="s">
        <v>19</v>
      </c>
      <c r="L14" s="1" t="s">
        <v>725</v>
      </c>
      <c r="M14" s="1">
        <f t="shared" si="0"/>
        <v>4</v>
      </c>
      <c r="N14" s="1">
        <v>4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4</v>
      </c>
      <c r="V14" s="1">
        <v>0</v>
      </c>
      <c r="W14" s="1">
        <v>0</v>
      </c>
      <c r="X14" s="1">
        <v>100</v>
      </c>
      <c r="Y14" t="s">
        <v>284</v>
      </c>
      <c r="Z14" s="1" t="s">
        <v>6</v>
      </c>
      <c r="AA14" s="1"/>
    </row>
    <row r="15" spans="1:27" x14ac:dyDescent="0.2">
      <c r="A15" s="1">
        <v>2013</v>
      </c>
      <c r="B15" s="1" t="s">
        <v>23</v>
      </c>
      <c r="C15" s="1"/>
      <c r="D15" s="1"/>
      <c r="E15" s="1" t="s">
        <v>18</v>
      </c>
      <c r="F15" s="1" t="s">
        <v>18</v>
      </c>
      <c r="G15" s="1" t="s">
        <v>19</v>
      </c>
      <c r="H15" s="1" t="s">
        <v>21</v>
      </c>
      <c r="I15" s="1"/>
      <c r="J15" s="1"/>
      <c r="K15" s="1" t="s">
        <v>22</v>
      </c>
      <c r="L15" s="1" t="s">
        <v>248</v>
      </c>
      <c r="M15" s="1">
        <f t="shared" si="0"/>
        <v>5</v>
      </c>
      <c r="N15" s="1">
        <v>5</v>
      </c>
      <c r="O15" s="1">
        <v>0</v>
      </c>
      <c r="P15" s="1">
        <v>74</v>
      </c>
      <c r="Q15" s="1">
        <v>1</v>
      </c>
      <c r="R15" s="1">
        <v>6</v>
      </c>
      <c r="S15" s="1">
        <v>19</v>
      </c>
      <c r="T15" s="1">
        <v>0</v>
      </c>
      <c r="U15" s="1">
        <v>4</v>
      </c>
      <c r="V15" s="1">
        <v>1</v>
      </c>
      <c r="W15" s="1">
        <v>0</v>
      </c>
      <c r="X15" s="1">
        <v>80</v>
      </c>
      <c r="Y15" t="s">
        <v>315</v>
      </c>
      <c r="Z15" s="1" t="s">
        <v>6</v>
      </c>
      <c r="AA15" s="1"/>
    </row>
    <row r="16" spans="1:27" x14ac:dyDescent="0.2">
      <c r="A16" s="1">
        <v>2014</v>
      </c>
      <c r="B16" s="1" t="s">
        <v>20</v>
      </c>
      <c r="C16" s="1"/>
      <c r="D16" s="1" t="s">
        <v>18</v>
      </c>
      <c r="E16" s="1" t="s">
        <v>18</v>
      </c>
      <c r="F16" s="1" t="s">
        <v>18</v>
      </c>
      <c r="G16" s="1" t="s">
        <v>20</v>
      </c>
      <c r="H16" s="1" t="s">
        <v>22</v>
      </c>
      <c r="I16" s="1"/>
      <c r="J16" s="1"/>
      <c r="K16" s="1" t="s">
        <v>21</v>
      </c>
      <c r="L16" s="1" t="s">
        <v>726</v>
      </c>
      <c r="M16" s="1">
        <f t="shared" si="0"/>
        <v>5</v>
      </c>
      <c r="N16" s="1">
        <v>5</v>
      </c>
      <c r="O16" s="1">
        <v>0</v>
      </c>
      <c r="P16" s="1">
        <v>20</v>
      </c>
      <c r="Q16" s="1">
        <v>4</v>
      </c>
      <c r="R16" s="1">
        <v>0</v>
      </c>
      <c r="S16" s="1">
        <v>0</v>
      </c>
      <c r="T16" s="1">
        <v>0</v>
      </c>
      <c r="U16" s="1">
        <v>4</v>
      </c>
      <c r="V16" s="1">
        <v>1</v>
      </c>
      <c r="W16" s="1">
        <v>0</v>
      </c>
      <c r="X16" s="1">
        <v>80</v>
      </c>
      <c r="Y16" t="s">
        <v>941</v>
      </c>
      <c r="Z16" s="1" t="s">
        <v>1</v>
      </c>
      <c r="AA16" s="1"/>
    </row>
    <row r="17" spans="1:27" x14ac:dyDescent="0.2">
      <c r="A17" s="1">
        <v>2015</v>
      </c>
      <c r="B17" s="1" t="s">
        <v>20</v>
      </c>
      <c r="C17" s="1"/>
      <c r="D17" s="1"/>
      <c r="E17" s="1" t="s">
        <v>18</v>
      </c>
      <c r="F17" s="1" t="s">
        <v>20</v>
      </c>
      <c r="G17" s="1" t="s">
        <v>20</v>
      </c>
      <c r="H17" s="1" t="s">
        <v>22</v>
      </c>
      <c r="I17" s="1"/>
      <c r="J17" s="1"/>
      <c r="K17" s="1" t="s">
        <v>19</v>
      </c>
      <c r="L17" s="1" t="s">
        <v>727</v>
      </c>
      <c r="M17" s="1">
        <f t="shared" si="0"/>
        <v>5</v>
      </c>
      <c r="N17" s="1">
        <v>5</v>
      </c>
      <c r="O17" s="1">
        <v>0</v>
      </c>
      <c r="P17" s="1">
        <v>5</v>
      </c>
      <c r="Q17" s="1">
        <v>1</v>
      </c>
      <c r="R17" s="1">
        <v>0</v>
      </c>
      <c r="S17" s="1">
        <v>0</v>
      </c>
      <c r="T17" s="1">
        <v>0</v>
      </c>
      <c r="U17" s="1">
        <v>4</v>
      </c>
      <c r="V17" s="1">
        <v>1</v>
      </c>
      <c r="W17" s="1">
        <v>0</v>
      </c>
      <c r="X17" s="1">
        <v>80</v>
      </c>
      <c r="Y17" t="s">
        <v>279</v>
      </c>
      <c r="Z17" s="1" t="s">
        <v>3</v>
      </c>
      <c r="AA17" s="1"/>
    </row>
    <row r="18" spans="1:27" x14ac:dyDescent="0.2">
      <c r="A18" s="1">
        <v>2016</v>
      </c>
      <c r="B18" s="1" t="s">
        <v>18</v>
      </c>
      <c r="C18" s="1" t="s">
        <v>18</v>
      </c>
      <c r="D18" s="1" t="s">
        <v>18</v>
      </c>
      <c r="E18" s="1" t="s">
        <v>18</v>
      </c>
      <c r="F18" s="1" t="s">
        <v>18</v>
      </c>
      <c r="G18" s="1" t="s">
        <v>20</v>
      </c>
      <c r="H18" s="1" t="s">
        <v>22</v>
      </c>
      <c r="I18" s="1"/>
      <c r="J18" s="1"/>
      <c r="K18" s="1" t="s">
        <v>21</v>
      </c>
      <c r="L18" s="1" t="s">
        <v>198</v>
      </c>
      <c r="M18" s="1">
        <f t="shared" si="0"/>
        <v>5</v>
      </c>
      <c r="N18" s="1">
        <v>5</v>
      </c>
      <c r="O18" s="1">
        <v>0</v>
      </c>
      <c r="P18" s="1">
        <v>13</v>
      </c>
      <c r="Q18" s="1">
        <v>2</v>
      </c>
      <c r="R18" s="1">
        <v>0</v>
      </c>
      <c r="S18" s="1">
        <v>1</v>
      </c>
      <c r="T18" s="1">
        <v>0</v>
      </c>
      <c r="U18" s="1">
        <v>2</v>
      </c>
      <c r="V18" s="1">
        <v>3</v>
      </c>
      <c r="W18" s="1">
        <v>0</v>
      </c>
      <c r="X18" s="1">
        <v>40</v>
      </c>
      <c r="Y18" t="s">
        <v>941</v>
      </c>
      <c r="Z18" s="1" t="s">
        <v>5</v>
      </c>
      <c r="AA18" s="1"/>
    </row>
    <row r="19" spans="1:27" x14ac:dyDescent="0.2">
      <c r="A19" s="1">
        <v>2017</v>
      </c>
      <c r="B19" s="1" t="s">
        <v>18</v>
      </c>
      <c r="C19" s="1"/>
      <c r="D19" s="1"/>
      <c r="E19" s="1" t="s">
        <v>18</v>
      </c>
      <c r="F19" s="1" t="s">
        <v>20</v>
      </c>
      <c r="G19" s="1" t="s">
        <v>19</v>
      </c>
      <c r="H19" s="1" t="s">
        <v>22</v>
      </c>
      <c r="I19" s="1"/>
      <c r="J19" s="1"/>
      <c r="K19" s="1" t="s">
        <v>21</v>
      </c>
      <c r="L19" s="1" t="s">
        <v>198</v>
      </c>
      <c r="M19" s="1">
        <f t="shared" si="0"/>
        <v>5</v>
      </c>
      <c r="N19" s="1">
        <v>5</v>
      </c>
      <c r="O19" s="1">
        <v>0</v>
      </c>
      <c r="P19" s="1">
        <v>18</v>
      </c>
      <c r="Q19" s="1">
        <v>3</v>
      </c>
      <c r="R19" s="1">
        <v>0</v>
      </c>
      <c r="S19" s="1">
        <v>1</v>
      </c>
      <c r="T19" s="1">
        <v>0</v>
      </c>
      <c r="U19" s="1">
        <v>3</v>
      </c>
      <c r="V19" s="1">
        <v>2</v>
      </c>
      <c r="W19" s="1">
        <v>0</v>
      </c>
      <c r="X19" s="1">
        <v>60</v>
      </c>
      <c r="Y19" t="s">
        <v>941</v>
      </c>
      <c r="Z19" s="1" t="s">
        <v>5</v>
      </c>
      <c r="AA19" s="1"/>
    </row>
    <row r="20" spans="1:27" x14ac:dyDescent="0.2">
      <c r="A20" s="1">
        <v>2018</v>
      </c>
      <c r="B20" s="1" t="s">
        <v>20</v>
      </c>
      <c r="C20" s="1" t="s">
        <v>20</v>
      </c>
      <c r="D20" s="1" t="s">
        <v>20</v>
      </c>
      <c r="E20" s="1" t="s">
        <v>19</v>
      </c>
      <c r="F20" s="1" t="s">
        <v>20</v>
      </c>
      <c r="G20" s="1" t="s">
        <v>20</v>
      </c>
      <c r="H20" s="1" t="s">
        <v>22</v>
      </c>
      <c r="I20" s="1" t="s">
        <v>19</v>
      </c>
      <c r="J20" s="1"/>
      <c r="K20" s="1" t="s">
        <v>21</v>
      </c>
      <c r="L20" s="1" t="s">
        <v>131</v>
      </c>
      <c r="M20" s="1">
        <f t="shared" si="0"/>
        <v>5</v>
      </c>
      <c r="N20" s="1">
        <v>5</v>
      </c>
      <c r="O20" s="1">
        <v>0</v>
      </c>
      <c r="P20" s="1">
        <v>35</v>
      </c>
      <c r="Q20" s="1">
        <v>7</v>
      </c>
      <c r="R20" s="1">
        <v>0</v>
      </c>
      <c r="S20" s="1">
        <v>0</v>
      </c>
      <c r="T20" s="1">
        <v>0</v>
      </c>
      <c r="U20" s="1">
        <v>5</v>
      </c>
      <c r="V20" s="1">
        <v>0</v>
      </c>
      <c r="W20" s="1">
        <v>0</v>
      </c>
      <c r="X20" s="1">
        <v>100</v>
      </c>
      <c r="Y20" t="s">
        <v>311</v>
      </c>
      <c r="Z20" s="1" t="s">
        <v>3</v>
      </c>
      <c r="AA20" s="1"/>
    </row>
    <row r="21" spans="1:27" x14ac:dyDescent="0.2">
      <c r="A21" s="1">
        <v>2019</v>
      </c>
      <c r="B21" s="1" t="s">
        <v>23</v>
      </c>
      <c r="C21" s="1" t="s">
        <v>23</v>
      </c>
      <c r="D21" s="1" t="s">
        <v>23</v>
      </c>
      <c r="E21" s="1"/>
      <c r="F21" s="1" t="s">
        <v>18</v>
      </c>
      <c r="G21" s="1" t="s">
        <v>20</v>
      </c>
      <c r="H21" s="1" t="s">
        <v>22</v>
      </c>
      <c r="I21" s="1" t="s">
        <v>22</v>
      </c>
      <c r="J21" s="1" t="s">
        <v>23</v>
      </c>
      <c r="K21" s="1" t="s">
        <v>21</v>
      </c>
      <c r="L21" s="1" t="s">
        <v>224</v>
      </c>
      <c r="M21" s="1">
        <f t="shared" si="0"/>
        <v>5</v>
      </c>
      <c r="N21" s="1">
        <v>4</v>
      </c>
      <c r="O21" s="1">
        <v>1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5</v>
      </c>
      <c r="V21" s="1">
        <v>0</v>
      </c>
      <c r="W21" s="1">
        <v>0</v>
      </c>
      <c r="X21" s="1">
        <v>100</v>
      </c>
      <c r="Y21" t="s">
        <v>279</v>
      </c>
      <c r="Z21" s="1" t="s">
        <v>6</v>
      </c>
      <c r="AA21" s="1"/>
    </row>
    <row r="22" spans="1:27" x14ac:dyDescent="0.2">
      <c r="Z22" s="1"/>
      <c r="AA22" s="1"/>
    </row>
  </sheetData>
  <hyperlinks>
    <hyperlink ref="A21" r:id="rId1" tooltip="2019 Six Nations Championship" display="https://en.wikipedia.org/wiki/2019_Six_Nations_Championship" xr:uid="{00000000-0004-0000-0100-000000000000}"/>
    <hyperlink ref="B21" r:id="rId2" tooltip="Wales national rugby union team" display="https://en.wikipedia.org/wiki/Wales_national_rugby_union_team" xr:uid="{00000000-0004-0000-0100-000001000000}"/>
    <hyperlink ref="C21" r:id="rId3" tooltip="Wales national rugby union team" display="https://en.wikipedia.org/wiki/Wales_national_rugby_union_team" xr:uid="{00000000-0004-0000-0100-000002000000}"/>
    <hyperlink ref="D21" r:id="rId4" tooltip="Wales national rugby union team" display="https://en.wikipedia.org/wiki/Wales_national_rugby_union_team" xr:uid="{00000000-0004-0000-0100-000003000000}"/>
    <hyperlink ref="F21" r:id="rId5" tooltip="England national rugby union team" display="https://en.wikipedia.org/wiki/England_national_rugby_union_team" xr:uid="{00000000-0004-0000-0100-000004000000}"/>
    <hyperlink ref="G21" r:id="rId6" tooltip="Ireland national rugby union team" display="https://en.wikipedia.org/wiki/Ireland_national_rugby_union_team" xr:uid="{00000000-0004-0000-0100-000005000000}"/>
    <hyperlink ref="H21" r:id="rId7" tooltip="France national rugby union team" display="https://en.wikipedia.org/wiki/France_national_rugby_union_team" xr:uid="{00000000-0004-0000-0100-000006000000}"/>
    <hyperlink ref="I21" r:id="rId8" tooltip="France national rugby union team" display="https://en.wikipedia.org/wiki/France_national_rugby_union_team" xr:uid="{00000000-0004-0000-0100-000007000000}"/>
    <hyperlink ref="J21" r:id="rId9" tooltip="Wales national rugby union team" display="https://en.wikipedia.org/wiki/Wales_national_rugby_union_team" xr:uid="{00000000-0004-0000-0100-000008000000}"/>
    <hyperlink ref="K21" r:id="rId10" tooltip="Italy national rugby union team" display="https://en.wikipedia.org/wiki/Italy_national_rugby_union_team" xr:uid="{00000000-0004-0000-0100-000009000000}"/>
    <hyperlink ref="K20" r:id="rId11" tooltip="Italy national rugby union team" display="https://en.wikipedia.org/wiki/Italy_national_rugby_union_team" xr:uid="{00000000-0004-0000-0100-00000A000000}"/>
    <hyperlink ref="I20" r:id="rId12" tooltip="Scotland national rugby union team" display="https://en.wikipedia.org/wiki/Scotland_national_rugby_union_team" xr:uid="{00000000-0004-0000-0100-00000B000000}"/>
    <hyperlink ref="H20" r:id="rId13" tooltip="France national rugby union team" display="https://en.wikipedia.org/wiki/France_national_rugby_union_team" xr:uid="{00000000-0004-0000-0100-00000C000000}"/>
    <hyperlink ref="G20" r:id="rId14" tooltip="Ireland national rugby union team" display="https://en.wikipedia.org/wiki/Ireland_national_rugby_union_team" xr:uid="{00000000-0004-0000-0100-00000D000000}"/>
    <hyperlink ref="F20" r:id="rId15" tooltip="Ireland national rugby union team" display="https://en.wikipedia.org/wiki/Ireland_national_rugby_union_team" xr:uid="{00000000-0004-0000-0100-00000E000000}"/>
    <hyperlink ref="E20" r:id="rId16" tooltip="Scotland national rugby union team" display="https://en.wikipedia.org/wiki/Scotland_national_rugby_union_team" xr:uid="{00000000-0004-0000-0100-00000F000000}"/>
    <hyperlink ref="D20" r:id="rId17" tooltip="Ireland national rugby union team" display="https://en.wikipedia.org/wiki/Ireland_national_rugby_union_team" xr:uid="{00000000-0004-0000-0100-000010000000}"/>
    <hyperlink ref="C20" r:id="rId18" tooltip="Ireland national rugby union team" display="https://en.wikipedia.org/wiki/Ireland_national_rugby_union_team" xr:uid="{00000000-0004-0000-0100-000011000000}"/>
    <hyperlink ref="B20" r:id="rId19" tooltip="Ireland national rugby union team" display="https://en.wikipedia.org/wiki/Ireland_national_rugby_union_team" xr:uid="{00000000-0004-0000-0100-000012000000}"/>
    <hyperlink ref="A20" r:id="rId20" tooltip="2018 Six Nations Championship" display="https://en.wikipedia.org/wiki/2018_Six_Nations_Championship" xr:uid="{00000000-0004-0000-0100-000013000000}"/>
    <hyperlink ref="K19" r:id="rId21" tooltip="Italy national rugby union team" display="https://en.wikipedia.org/wiki/Italy_national_rugby_union_team" xr:uid="{00000000-0004-0000-0100-000014000000}"/>
    <hyperlink ref="H19" r:id="rId22" tooltip="France national rugby union team" display="https://en.wikipedia.org/wiki/France_national_rugby_union_team" xr:uid="{00000000-0004-0000-0100-000015000000}"/>
    <hyperlink ref="G19" r:id="rId23" tooltip="Scotland national rugby union team" display="https://en.wikipedia.org/wiki/Scotland_national_rugby_union_team" xr:uid="{00000000-0004-0000-0100-000016000000}"/>
    <hyperlink ref="F19" r:id="rId24" tooltip="Ireland national rugby union team" display="https://en.wikipedia.org/wiki/Ireland_national_rugby_union_team" xr:uid="{00000000-0004-0000-0100-000017000000}"/>
    <hyperlink ref="E19" r:id="rId25" tooltip="England national rugby union team" display="https://en.wikipedia.org/wiki/England_national_rugby_union_team" xr:uid="{00000000-0004-0000-0100-000018000000}"/>
    <hyperlink ref="B19" r:id="rId26" tooltip="England national rugby union team" display="https://en.wikipedia.org/wiki/England_national_rugby_union_team" xr:uid="{00000000-0004-0000-0100-000019000000}"/>
    <hyperlink ref="A19" r:id="rId27" tooltip="2017 Six Nations Championship" display="https://en.wikipedia.org/wiki/2017_Six_Nations_Championship" xr:uid="{00000000-0004-0000-0100-00001A000000}"/>
    <hyperlink ref="K18" r:id="rId28" tooltip="Italy national rugby union team" display="https://en.wikipedia.org/wiki/Italy_national_rugby_union_team" xr:uid="{00000000-0004-0000-0100-00001B000000}"/>
    <hyperlink ref="H18" r:id="rId29" tooltip="France national rugby union team" display="https://en.wikipedia.org/wiki/France_national_rugby_union_team" xr:uid="{00000000-0004-0000-0100-00001C000000}"/>
    <hyperlink ref="G18" r:id="rId30" tooltip="Ireland national rugby union team" display="https://en.wikipedia.org/wiki/Ireland_national_rugby_union_team" xr:uid="{00000000-0004-0000-0100-00001D000000}"/>
    <hyperlink ref="F18" r:id="rId31" tooltip="England national rugby union team" display="https://en.wikipedia.org/wiki/England_national_rugby_union_team" xr:uid="{00000000-0004-0000-0100-00001E000000}"/>
    <hyperlink ref="E18" r:id="rId32" tooltip="England national rugby union team" display="https://en.wikipedia.org/wiki/England_national_rugby_union_team" xr:uid="{00000000-0004-0000-0100-00001F000000}"/>
    <hyperlink ref="D18" r:id="rId33" tooltip="England national rugby union team" display="https://en.wikipedia.org/wiki/England_national_rugby_union_team" xr:uid="{00000000-0004-0000-0100-000020000000}"/>
    <hyperlink ref="C18" r:id="rId34" tooltip="England national rugby union team" display="https://en.wikipedia.org/wiki/England_national_rugby_union_team" xr:uid="{00000000-0004-0000-0100-000021000000}"/>
    <hyperlink ref="B18" r:id="rId35" tooltip="England national rugby union team" display="https://en.wikipedia.org/wiki/England_national_rugby_union_team" xr:uid="{00000000-0004-0000-0100-000022000000}"/>
    <hyperlink ref="A18" r:id="rId36" tooltip="2016 Six Nations Championship" display="https://en.wikipedia.org/wiki/2016_Six_Nations_Championship" xr:uid="{00000000-0004-0000-0100-000023000000}"/>
    <hyperlink ref="K17" r:id="rId37" tooltip="Scotland national rugby union team" display="https://en.wikipedia.org/wiki/Scotland_national_rugby_union_team" xr:uid="{00000000-0004-0000-0100-000024000000}"/>
    <hyperlink ref="H17" r:id="rId38" tooltip="France national rugby union team" display="https://en.wikipedia.org/wiki/France_national_rugby_union_team" xr:uid="{00000000-0004-0000-0100-000025000000}"/>
    <hyperlink ref="G17" r:id="rId39" tooltip="Ireland national rugby union team" display="https://en.wikipedia.org/wiki/Ireland_national_rugby_union_team" xr:uid="{00000000-0004-0000-0100-000026000000}"/>
    <hyperlink ref="F17" r:id="rId40" tooltip="Ireland national rugby union team" display="https://en.wikipedia.org/wiki/Ireland_national_rugby_union_team" xr:uid="{00000000-0004-0000-0100-000027000000}"/>
    <hyperlink ref="E17" r:id="rId41" tooltip="England national rugby union team" display="https://en.wikipedia.org/wiki/England_national_rugby_union_team" xr:uid="{00000000-0004-0000-0100-000028000000}"/>
    <hyperlink ref="B17" r:id="rId42" tooltip="Ireland national rugby union team" display="https://en.wikipedia.org/wiki/Ireland_national_rugby_union_team" xr:uid="{00000000-0004-0000-0100-000029000000}"/>
    <hyperlink ref="A17" r:id="rId43" tooltip="2015 Six Nations Championship" display="https://en.wikipedia.org/wiki/2015_Six_Nations_Championship" xr:uid="{00000000-0004-0000-0100-00002A000000}"/>
    <hyperlink ref="K16" r:id="rId44" tooltip="Italy national rugby union team" display="https://en.wikipedia.org/wiki/Italy_national_rugby_union_team" xr:uid="{00000000-0004-0000-0100-00002B000000}"/>
    <hyperlink ref="H16" r:id="rId45" tooltip="France national rugby union team" display="https://en.wikipedia.org/wiki/France_national_rugby_union_team" xr:uid="{00000000-0004-0000-0100-00002C000000}"/>
    <hyperlink ref="G16" r:id="rId46" tooltip="Ireland national rugby union team" display="https://en.wikipedia.org/wiki/Ireland_national_rugby_union_team" xr:uid="{00000000-0004-0000-0100-00002D000000}"/>
    <hyperlink ref="F16" r:id="rId47" tooltip="England national rugby union team" display="https://en.wikipedia.org/wiki/England_national_rugby_union_team" xr:uid="{00000000-0004-0000-0100-00002E000000}"/>
    <hyperlink ref="E16" r:id="rId48" tooltip="England national rugby union team" display="https://en.wikipedia.org/wiki/England_national_rugby_union_team" xr:uid="{00000000-0004-0000-0100-00002F000000}"/>
    <hyperlink ref="D16" r:id="rId49" tooltip="England national rugby union team" display="https://en.wikipedia.org/wiki/England_national_rugby_union_team" xr:uid="{00000000-0004-0000-0100-000030000000}"/>
    <hyperlink ref="B16" r:id="rId50" tooltip="Ireland national rugby union team" display="https://en.wikipedia.org/wiki/Ireland_national_rugby_union_team" xr:uid="{00000000-0004-0000-0100-000031000000}"/>
    <hyperlink ref="A16" r:id="rId51" tooltip="2014 Six Nations Championship" display="https://en.wikipedia.org/wiki/2014_Six_Nations_Championship" xr:uid="{00000000-0004-0000-0100-000032000000}"/>
    <hyperlink ref="K15" r:id="rId52" tooltip="France national rugby union team" display="https://en.wikipedia.org/wiki/France_national_rugby_union_team" xr:uid="{00000000-0004-0000-0100-000033000000}"/>
    <hyperlink ref="H15" r:id="rId53" tooltip="Italy national rugby union team" display="https://en.wikipedia.org/wiki/Italy_national_rugby_union_team" xr:uid="{00000000-0004-0000-0100-000034000000}"/>
    <hyperlink ref="G15" r:id="rId54" tooltip="Scotland national rugby union team" display="https://en.wikipedia.org/wiki/Scotland_national_rugby_union_team" xr:uid="{00000000-0004-0000-0100-000035000000}"/>
    <hyperlink ref="F15" r:id="rId55" tooltip="England national rugby union team" display="https://en.wikipedia.org/wiki/England_national_rugby_union_team" xr:uid="{00000000-0004-0000-0100-000036000000}"/>
    <hyperlink ref="E15" r:id="rId56" tooltip="England national rugby union team" display="https://en.wikipedia.org/wiki/England_national_rugby_union_team" xr:uid="{00000000-0004-0000-0100-000037000000}"/>
    <hyperlink ref="B15" r:id="rId57" tooltip="Wales national rugby union team" display="https://en.wikipedia.org/wiki/Wales_national_rugby_union_team" xr:uid="{00000000-0004-0000-0100-000038000000}"/>
    <hyperlink ref="A15" r:id="rId58" tooltip="2013 Six Nations Championship" display="https://en.wikipedia.org/wiki/2013_Six_Nations_Championship" xr:uid="{00000000-0004-0000-0100-000039000000}"/>
    <hyperlink ref="K14" r:id="rId59" tooltip="Scotland national rugby union team" display="https://en.wikipedia.org/wiki/Scotland_national_rugby_union_team" xr:uid="{00000000-0004-0000-0100-00003A000000}"/>
    <hyperlink ref="H14" r:id="rId60" tooltip="France national rugby union team" display="https://en.wikipedia.org/wiki/France_national_rugby_union_team" xr:uid="{00000000-0004-0000-0100-00003B000000}"/>
    <hyperlink ref="G14" r:id="rId61" tooltip="Ireland national rugby union team" display="https://en.wikipedia.org/wiki/Ireland_national_rugby_union_team" xr:uid="{00000000-0004-0000-0100-00003C000000}"/>
    <hyperlink ref="F14" r:id="rId62" tooltip="England national rugby union team" display="https://en.wikipedia.org/wiki/England_national_rugby_union_team" xr:uid="{00000000-0004-0000-0100-00003D000000}"/>
    <hyperlink ref="E14" r:id="rId63" tooltip="England national rugby union team" display="https://en.wikipedia.org/wiki/England_national_rugby_union_team" xr:uid="{00000000-0004-0000-0100-00003E000000}"/>
    <hyperlink ref="D14" r:id="rId64" tooltip="Wales national rugby union team" display="https://en.wikipedia.org/wiki/Wales_national_rugby_union_team" xr:uid="{00000000-0004-0000-0100-00003F000000}"/>
    <hyperlink ref="C14" r:id="rId65" tooltip="Wales national rugby union team" display="https://en.wikipedia.org/wiki/Wales_national_rugby_union_team" xr:uid="{00000000-0004-0000-0100-000040000000}"/>
    <hyperlink ref="B14" r:id="rId66" tooltip="Wales national rugby union team" display="https://en.wikipedia.org/wiki/Wales_national_rugby_union_team" xr:uid="{00000000-0004-0000-0100-000041000000}"/>
    <hyperlink ref="A14" r:id="rId67" tooltip="2012 Six Nations Championship" display="https://en.wikipedia.org/wiki/2012_Six_Nations_Championship" xr:uid="{00000000-0004-0000-0100-000042000000}"/>
    <hyperlink ref="K13" r:id="rId68" tooltip="Italy national rugby union team" display="https://en.wikipedia.org/wiki/Italy_national_rugby_union_team" xr:uid="{00000000-0004-0000-0100-000043000000}"/>
    <hyperlink ref="H13" r:id="rId69" tooltip="Italy national rugby union team" display="https://en.wikipedia.org/wiki/Italy_national_rugby_union_team" xr:uid="{00000000-0004-0000-0100-000044000000}"/>
    <hyperlink ref="G13" r:id="rId70" tooltip="Ireland national rugby union team" display="https://en.wikipedia.org/wiki/Ireland_national_rugby_union_team" xr:uid="{00000000-0004-0000-0100-000045000000}"/>
    <hyperlink ref="F13" r:id="rId71" tooltip="Ireland national rugby union team" display="https://en.wikipedia.org/wiki/Ireland_national_rugby_union_team" xr:uid="{00000000-0004-0000-0100-000046000000}"/>
    <hyperlink ref="E13" r:id="rId72" tooltip="England national rugby union team" display="https://en.wikipedia.org/wiki/England_national_rugby_union_team" xr:uid="{00000000-0004-0000-0100-000047000000}"/>
    <hyperlink ref="B13" r:id="rId73" tooltip="England national rugby union team" display="https://en.wikipedia.org/wiki/England_national_rugby_union_team" xr:uid="{00000000-0004-0000-0100-000048000000}"/>
    <hyperlink ref="A13" r:id="rId74" tooltip="2011 Six Nations Championship" display="https://en.wikipedia.org/wiki/2011_Six_Nations_Championship" xr:uid="{00000000-0004-0000-0100-000049000000}"/>
    <hyperlink ref="K12" r:id="rId75" tooltip="Italy national rugby union team" display="https://en.wikipedia.org/wiki/Italy_national_rugby_union_team" xr:uid="{00000000-0004-0000-0100-00004A000000}"/>
    <hyperlink ref="H12" r:id="rId76" tooltip="France national rugby union team" display="https://en.wikipedia.org/wiki/France_national_rugby_union_team" xr:uid="{00000000-0004-0000-0100-00004B000000}"/>
    <hyperlink ref="G12" r:id="rId77" tooltip="Scotland national rugby union team" display="https://en.wikipedia.org/wiki/Scotland_national_rugby_union_team" xr:uid="{00000000-0004-0000-0100-00004C000000}"/>
    <hyperlink ref="F12" r:id="rId78" tooltip="Ireland national rugby union team" display="https://en.wikipedia.org/wiki/Ireland_national_rugby_union_team" xr:uid="{00000000-0004-0000-0100-00004D000000}"/>
    <hyperlink ref="C12" r:id="rId79" tooltip="France national rugby union team" display="https://en.wikipedia.org/wiki/France_national_rugby_union_team" xr:uid="{00000000-0004-0000-0100-00004E000000}"/>
    <hyperlink ref="B12" r:id="rId80" tooltip="France national rugby union team" display="https://en.wikipedia.org/wiki/France_national_rugby_union_team" xr:uid="{00000000-0004-0000-0100-00004F000000}"/>
    <hyperlink ref="A12" r:id="rId81" tooltip="2010 Six Nations Championship" display="https://en.wikipedia.org/wiki/2010_Six_Nations_Championship" xr:uid="{00000000-0004-0000-0100-000050000000}"/>
    <hyperlink ref="K11" r:id="rId82" tooltip="Italy national rugby union team" display="https://en.wikipedia.org/wiki/Italy_national_rugby_union_team" xr:uid="{00000000-0004-0000-0100-000051000000}"/>
    <hyperlink ref="H11" r:id="rId83" tooltip="France national rugby union team" display="https://en.wikipedia.org/wiki/France_national_rugby_union_team" xr:uid="{00000000-0004-0000-0100-000052000000}"/>
    <hyperlink ref="G11" r:id="rId84" tooltip="Ireland national rugby union team" display="https://en.wikipedia.org/wiki/Ireland_national_rugby_union_team" xr:uid="{00000000-0004-0000-0100-000053000000}"/>
    <hyperlink ref="F11" r:id="rId85" tooltip="Ireland national rugby union team" display="https://en.wikipedia.org/wiki/Ireland_national_rugby_union_team" xr:uid="{00000000-0004-0000-0100-000054000000}"/>
    <hyperlink ref="E11" r:id="rId86" tooltip="England national rugby union team" display="https://en.wikipedia.org/wiki/England_national_rugby_union_team" xr:uid="{00000000-0004-0000-0100-000055000000}"/>
    <hyperlink ref="D11" r:id="rId87" tooltip="Ireland national rugby union team" display="https://en.wikipedia.org/wiki/Ireland_national_rugby_union_team" xr:uid="{00000000-0004-0000-0100-000056000000}"/>
    <hyperlink ref="C11" r:id="rId88" tooltip="Ireland national rugby union team" display="https://en.wikipedia.org/wiki/Ireland_national_rugby_union_team" xr:uid="{00000000-0004-0000-0100-000057000000}"/>
    <hyperlink ref="B11" r:id="rId89" tooltip="Ireland national rugby union team" display="https://en.wikipedia.org/wiki/Ireland_national_rugby_union_team" xr:uid="{00000000-0004-0000-0100-000058000000}"/>
    <hyperlink ref="A11" r:id="rId90" tooltip="2009 Six Nations Championship" display="https://en.wikipedia.org/wiki/2009_Six_Nations_Championship" xr:uid="{00000000-0004-0000-0100-000059000000}"/>
    <hyperlink ref="K10" r:id="rId91" tooltip="Italy national rugby union team" display="https://en.wikipedia.org/wiki/Italy_national_rugby_union_team" xr:uid="{00000000-0004-0000-0100-00005A000000}"/>
    <hyperlink ref="H10" r:id="rId92" tooltip="France national rugby union team" display="https://en.wikipedia.org/wiki/France_national_rugby_union_team" xr:uid="{00000000-0004-0000-0100-00005B000000}"/>
    <hyperlink ref="G10" r:id="rId93" tooltip="Ireland national rugby union team" display="https://en.wikipedia.org/wiki/Ireland_national_rugby_union_team" xr:uid="{00000000-0004-0000-0100-00005C000000}"/>
    <hyperlink ref="F10" r:id="rId94" tooltip="England national rugby union team" display="https://en.wikipedia.org/wiki/England_national_rugby_union_team" xr:uid="{00000000-0004-0000-0100-00005D000000}"/>
    <hyperlink ref="E10" r:id="rId95" tooltip="Scotland national rugby union team" display="https://en.wikipedia.org/wiki/Scotland_national_rugby_union_team" xr:uid="{00000000-0004-0000-0100-00005E000000}"/>
    <hyperlink ref="D10" r:id="rId96" tooltip="Wales national rugby union team" display="https://en.wikipedia.org/wiki/Wales_national_rugby_union_team" xr:uid="{00000000-0004-0000-0100-00005F000000}"/>
    <hyperlink ref="C10" r:id="rId97" tooltip="Wales national rugby union team" display="https://en.wikipedia.org/wiki/Wales_national_rugby_union_team" xr:uid="{00000000-0004-0000-0100-000060000000}"/>
    <hyperlink ref="B10" r:id="rId98" tooltip="Wales national rugby union team" display="https://en.wikipedia.org/wiki/Wales_national_rugby_union_team" xr:uid="{00000000-0004-0000-0100-000061000000}"/>
    <hyperlink ref="A10" r:id="rId99" tooltip="2008 Six Nations Championship" display="https://en.wikipedia.org/wiki/2008_Six_Nations_Championship" xr:uid="{00000000-0004-0000-0100-000062000000}"/>
    <hyperlink ref="K9" r:id="rId100" tooltip="Scotland national rugby union team" display="https://en.wikipedia.org/wiki/Scotland_national_rugby_union_team" xr:uid="{00000000-0004-0000-0100-000063000000}"/>
    <hyperlink ref="H9" r:id="rId101" tooltip="France national rugby union team" display="https://en.wikipedia.org/wiki/France_national_rugby_union_team" xr:uid="{00000000-0004-0000-0100-000064000000}"/>
    <hyperlink ref="G9" r:id="rId102" tooltip="Ireland national rugby union team" display="https://en.wikipedia.org/wiki/Ireland_national_rugby_union_team" xr:uid="{00000000-0004-0000-0100-000065000000}"/>
    <hyperlink ref="F9" r:id="rId103" tooltip="Ireland national rugby union team" display="https://en.wikipedia.org/wiki/Ireland_national_rugby_union_team" xr:uid="{00000000-0004-0000-0100-000066000000}"/>
    <hyperlink ref="E9" r:id="rId104" tooltip="England national rugby union team" display="https://en.wikipedia.org/wiki/England_national_rugby_union_team" xr:uid="{00000000-0004-0000-0100-000067000000}"/>
    <hyperlink ref="D9" r:id="rId105" tooltip="Ireland national rugby union team" display="https://en.wikipedia.org/wiki/Ireland_national_rugby_union_team" xr:uid="{00000000-0004-0000-0100-000068000000}"/>
    <hyperlink ref="B9" r:id="rId106" tooltip="France national rugby union team" display="https://en.wikipedia.org/wiki/France_national_rugby_union_team" xr:uid="{00000000-0004-0000-0100-000069000000}"/>
    <hyperlink ref="A9" r:id="rId107" tooltip="2007 Six Nations Championship" display="https://en.wikipedia.org/wiki/2007_Six_Nations_Championship" xr:uid="{00000000-0004-0000-0100-00006A000000}"/>
    <hyperlink ref="K8" r:id="rId108" tooltip="Italy national rugby union team" display="https://en.wikipedia.org/wiki/Italy_national_rugby_union_team" xr:uid="{00000000-0004-0000-0100-00006B000000}"/>
    <hyperlink ref="G8" r:id="rId109" tooltip="Ireland national rugby union team" display="https://en.wikipedia.org/wiki/Ireland_national_rugby_union_team" xr:uid="{00000000-0004-0000-0100-00006C000000}"/>
    <hyperlink ref="F8" r:id="rId110" tooltip="Ireland national rugby union team" display="https://en.wikipedia.org/wiki/Ireland_national_rugby_union_team" xr:uid="{00000000-0004-0000-0100-00006D000000}"/>
    <hyperlink ref="E8" r:id="rId111" tooltip="Scotland national rugby union team" display="https://en.wikipedia.org/wiki/Scotland_national_rugby_union_team" xr:uid="{00000000-0004-0000-0100-00006E000000}"/>
    <hyperlink ref="D8" r:id="rId112" tooltip="Ireland national rugby union team" display="https://en.wikipedia.org/wiki/Ireland_national_rugby_union_team" xr:uid="{00000000-0004-0000-0100-00006F000000}"/>
    <hyperlink ref="B8" r:id="rId113" tooltip="France national rugby union team" display="https://en.wikipedia.org/wiki/France_national_rugby_union_team" xr:uid="{00000000-0004-0000-0100-000070000000}"/>
    <hyperlink ref="A8" r:id="rId114" tooltip="2006 Six Nations Championship" display="https://en.wikipedia.org/wiki/2006_Six_Nations_Championship" xr:uid="{00000000-0004-0000-0100-000071000000}"/>
    <hyperlink ref="K7" r:id="rId115" tooltip="Italy national rugby union team" display="https://en.wikipedia.org/wiki/Italy_national_rugby_union_team" xr:uid="{00000000-0004-0000-0100-000072000000}"/>
    <hyperlink ref="G7" r:id="rId116" tooltip="Ireland national rugby union team" display="https://en.wikipedia.org/wiki/Ireland_national_rugby_union_team" xr:uid="{00000000-0004-0000-0100-000073000000}"/>
    <hyperlink ref="F7" r:id="rId117" tooltip="Ireland national rugby union team" display="https://en.wikipedia.org/wiki/Ireland_national_rugby_union_team" xr:uid="{00000000-0004-0000-0100-000074000000}"/>
    <hyperlink ref="E7" r:id="rId118" tooltip="England national rugby union team" display="https://en.wikipedia.org/wiki/England_national_rugby_union_team" xr:uid="{00000000-0004-0000-0100-000075000000}"/>
    <hyperlink ref="D7" r:id="rId119" tooltip="Wales national rugby union team" display="https://en.wikipedia.org/wiki/Wales_national_rugby_union_team" xr:uid="{00000000-0004-0000-0100-000076000000}"/>
    <hyperlink ref="C7" r:id="rId120" tooltip="Wales national rugby union team" display="https://en.wikipedia.org/wiki/Wales_national_rugby_union_team" xr:uid="{00000000-0004-0000-0100-000077000000}"/>
    <hyperlink ref="B7" r:id="rId121" tooltip="Wales national rugby union team" display="https://en.wikipedia.org/wiki/Wales_national_rugby_union_team" xr:uid="{00000000-0004-0000-0100-000078000000}"/>
    <hyperlink ref="A7" r:id="rId122" tooltip="2005 Six Nations Championship" display="https://en.wikipedia.org/wiki/2005_Six_Nations_Championship" xr:uid="{00000000-0004-0000-0100-000079000000}"/>
    <hyperlink ref="K6" r:id="rId123" tooltip="Scotland national rugby union team" display="https://en.wikipedia.org/wiki/Scotland_national_rugby_union_team" xr:uid="{00000000-0004-0000-0100-00007A000000}"/>
    <hyperlink ref="G6" r:id="rId124" tooltip="Ireland national rugby union team" display="https://en.wikipedia.org/wiki/Ireland_national_rugby_union_team" xr:uid="{00000000-0004-0000-0100-00007B000000}"/>
    <hyperlink ref="F6" r:id="rId125" tooltip="Ireland national rugby union team" display="https://en.wikipedia.org/wiki/Ireland_national_rugby_union_team" xr:uid="{00000000-0004-0000-0100-00007C000000}"/>
    <hyperlink ref="E6" r:id="rId126" tooltip="England national rugby union team" display="https://en.wikipedia.org/wiki/England_national_rugby_union_team" xr:uid="{00000000-0004-0000-0100-00007D000000}"/>
    <hyperlink ref="D6" r:id="rId127" tooltip="Ireland national rugby union team" display="https://en.wikipedia.org/wiki/Ireland_national_rugby_union_team" xr:uid="{00000000-0004-0000-0100-00007E000000}"/>
    <hyperlink ref="C6" r:id="rId128" tooltip="France national rugby union team" display="https://en.wikipedia.org/wiki/France_national_rugby_union_team" xr:uid="{00000000-0004-0000-0100-00007F000000}"/>
    <hyperlink ref="B6" r:id="rId129" tooltip="France national rugby union team" display="https://en.wikipedia.org/wiki/France_national_rugby_union_team" xr:uid="{00000000-0004-0000-0100-000080000000}"/>
    <hyperlink ref="A6" r:id="rId130" tooltip="2004 Six Nations Championship" display="https://en.wikipedia.org/wiki/2004_Six_Nations_Championship" xr:uid="{00000000-0004-0000-0100-000081000000}"/>
    <hyperlink ref="K5" r:id="rId131" tooltip="Wales national rugby union team" display="https://en.wikipedia.org/wiki/Wales_national_rugby_union_team" xr:uid="{00000000-0004-0000-0100-000082000000}"/>
    <hyperlink ref="G5" r:id="rId132" tooltip="Ireland national rugby union team" display="https://en.wikipedia.org/wiki/Ireland_national_rugby_union_team" xr:uid="{00000000-0004-0000-0100-000083000000}"/>
    <hyperlink ref="F5" r:id="rId133" tooltip="England national rugby union team" display="https://en.wikipedia.org/wiki/England_national_rugby_union_team" xr:uid="{00000000-0004-0000-0100-000084000000}"/>
    <hyperlink ref="E5" r:id="rId134" tooltip="England national rugby union team" display="https://en.wikipedia.org/wiki/England_national_rugby_union_team" xr:uid="{00000000-0004-0000-0100-000085000000}"/>
    <hyperlink ref="D5" r:id="rId135" tooltip="England national rugby union team" display="https://en.wikipedia.org/wiki/England_national_rugby_union_team" xr:uid="{00000000-0004-0000-0100-000086000000}"/>
    <hyperlink ref="C5" r:id="rId136" tooltip="England national rugby union team" display="https://en.wikipedia.org/wiki/England_national_rugby_union_team" xr:uid="{00000000-0004-0000-0100-000087000000}"/>
    <hyperlink ref="B5" r:id="rId137" tooltip="England national rugby union team" display="https://en.wikipedia.org/wiki/England_national_rugby_union_team" xr:uid="{00000000-0004-0000-0100-000088000000}"/>
    <hyperlink ref="A5" r:id="rId138" tooltip="2003 Six Nations Championship" display="https://en.wikipedia.org/wiki/2003_Six_Nations_Championship" xr:uid="{00000000-0004-0000-0100-000089000000}"/>
    <hyperlink ref="K4" r:id="rId139" tooltip="Italy national rugby union team" display="https://en.wikipedia.org/wiki/Italy_national_rugby_union_team" xr:uid="{00000000-0004-0000-0100-00008A000000}"/>
    <hyperlink ref="G4" r:id="rId140" tooltip="Ireland national rugby union team" display="https://en.wikipedia.org/wiki/Ireland_national_rugby_union_team" xr:uid="{00000000-0004-0000-0100-00008B000000}"/>
    <hyperlink ref="F4" r:id="rId141" tooltip="England national rugby union team" display="https://en.wikipedia.org/wiki/England_national_rugby_union_team" xr:uid="{00000000-0004-0000-0100-00008C000000}"/>
    <hyperlink ref="E4" r:id="rId142" tooltip="England national rugby union team" display="https://en.wikipedia.org/wiki/England_national_rugby_union_team" xr:uid="{00000000-0004-0000-0100-00008D000000}"/>
    <hyperlink ref="D4" r:id="rId143" tooltip="England national rugby union team" display="https://en.wikipedia.org/wiki/England_national_rugby_union_team" xr:uid="{00000000-0004-0000-0100-00008E000000}"/>
    <hyperlink ref="C4" r:id="rId144" tooltip="France national rugby union team" display="https://en.wikipedia.org/wiki/France_national_rugby_union_team" xr:uid="{00000000-0004-0000-0100-00008F000000}"/>
    <hyperlink ref="B4" r:id="rId145" tooltip="France national rugby union team" display="https://en.wikipedia.org/wiki/France_national_rugby_union_team" xr:uid="{00000000-0004-0000-0100-000090000000}"/>
    <hyperlink ref="A4" r:id="rId146" tooltip="2002 Six Nations Championship" display="https://en.wikipedia.org/wiki/2002_Six_Nations_Championship" xr:uid="{00000000-0004-0000-0100-000091000000}"/>
    <hyperlink ref="K3" r:id="rId147" tooltip="Italy national rugby union team" display="https://en.wikipedia.org/wiki/Italy_national_rugby_union_team" xr:uid="{00000000-0004-0000-0100-000092000000}"/>
    <hyperlink ref="G3" r:id="rId148" tooltip="Scotland national rugby union team" display="https://en.wikipedia.org/wiki/Scotland_national_rugby_union_team" xr:uid="{00000000-0004-0000-0100-000093000000}"/>
    <hyperlink ref="F3" r:id="rId149" tooltip="Ireland national rugby union team" display="https://en.wikipedia.org/wiki/Ireland_national_rugby_union_team" xr:uid="{00000000-0004-0000-0100-000094000000}"/>
    <hyperlink ref="E3" r:id="rId150" tooltip="England national rugby union team" display="https://en.wikipedia.org/wiki/England_national_rugby_union_team" xr:uid="{00000000-0004-0000-0100-000095000000}"/>
    <hyperlink ref="B3" r:id="rId151" tooltip="England national rugby union team" display="https://en.wikipedia.org/wiki/England_national_rugby_union_team" xr:uid="{00000000-0004-0000-0100-000096000000}"/>
    <hyperlink ref="A3" r:id="rId152" tooltip="2001 Six Nations Championship" display="https://en.wikipedia.org/wiki/2001_Six_Nations_Championship" xr:uid="{00000000-0004-0000-0100-000097000000}"/>
    <hyperlink ref="K2" r:id="rId153" tooltip="Italy national rugby union team" display="https://en.wikipedia.org/wiki/Italy_national_rugby_union_team" xr:uid="{00000000-0004-0000-0100-000098000000}"/>
    <hyperlink ref="G2" r:id="rId154" tooltip="Ireland national rugby union team" display="https://en.wikipedia.org/wiki/Ireland_national_rugby_union_team" xr:uid="{00000000-0004-0000-0100-000099000000}"/>
    <hyperlink ref="F2" r:id="rId155" tooltip="England national rugby union team" display="https://en.wikipedia.org/wiki/England_national_rugby_union_team" xr:uid="{00000000-0004-0000-0100-00009A000000}"/>
    <hyperlink ref="E2" r:id="rId156" tooltip="Scotland national rugby union team" display="https://en.wikipedia.org/wiki/Scotland_national_rugby_union_team" xr:uid="{00000000-0004-0000-0100-00009B000000}"/>
    <hyperlink ref="B2" r:id="rId157" tooltip="England national rugby union team" display="https://en.wikipedia.org/wiki/England_national_rugby_union_team" xr:uid="{00000000-0004-0000-0100-00009C000000}"/>
    <hyperlink ref="A2" r:id="rId158" tooltip="2000 Six Nations Championship" display="https://en.wikipedia.org/wiki/2000_Six_Nations_Championship" xr:uid="{00000000-0004-0000-0100-00009D000000}"/>
  </hyperlinks>
  <pageMargins left="0.7" right="0.7" top="0.75" bottom="0.75" header="0.3" footer="0.3"/>
  <pageSetup orientation="portrait" r:id="rId15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V225"/>
  <sheetViews>
    <sheetView tabSelected="1" topLeftCell="AF1" workbookViewId="0">
      <selection activeCell="AQ1" sqref="AQ1"/>
    </sheetView>
  </sheetViews>
  <sheetFormatPr baseColWidth="10" defaultColWidth="8.83203125" defaultRowHeight="15" x14ac:dyDescent="0.2"/>
  <cols>
    <col min="1" max="1" width="15.33203125" bestFit="1" customWidth="1"/>
    <col min="2" max="2" width="16.6640625" bestFit="1" customWidth="1"/>
    <col min="3" max="3" width="15.6640625" bestFit="1" customWidth="1"/>
    <col min="4" max="4" width="22.6640625" bestFit="1" customWidth="1"/>
    <col min="5" max="5" width="23.33203125" style="1" bestFit="1" customWidth="1"/>
    <col min="6" max="6" width="20.5" style="1" customWidth="1"/>
    <col min="7" max="7" width="25.1640625" style="1" bestFit="1" customWidth="1"/>
    <col min="8" max="8" width="17.83203125" bestFit="1" customWidth="1"/>
    <col min="9" max="9" width="14.6640625" bestFit="1" customWidth="1"/>
    <col min="10" max="10" width="13.6640625" bestFit="1" customWidth="1"/>
    <col min="11" max="11" width="13.1640625" customWidth="1"/>
    <col min="12" max="12" width="14.5" bestFit="1" customWidth="1"/>
    <col min="13" max="13" width="14.6640625" bestFit="1" customWidth="1"/>
    <col min="14" max="14" width="18.33203125" bestFit="1" customWidth="1"/>
    <col min="15" max="15" width="14.6640625" bestFit="1" customWidth="1"/>
    <col min="16" max="16" width="14.5" customWidth="1"/>
    <col min="17" max="17" width="14" bestFit="1" customWidth="1"/>
    <col min="18" max="18" width="15" bestFit="1" customWidth="1"/>
    <col min="19" max="19" width="6.5" style="1" bestFit="1" customWidth="1"/>
    <col min="20" max="20" width="21.33203125" bestFit="1" customWidth="1"/>
    <col min="21" max="21" width="14.83203125" bestFit="1" customWidth="1"/>
    <col min="22" max="22" width="11.6640625" bestFit="1" customWidth="1"/>
    <col min="23" max="23" width="17.83203125" bestFit="1" customWidth="1"/>
    <col min="24" max="24" width="24.33203125" bestFit="1" customWidth="1"/>
    <col min="25" max="25" width="8.5" style="14" customWidth="1"/>
    <col min="26" max="26" width="17" style="1" bestFit="1" customWidth="1"/>
    <col min="27" max="27" width="8.5" style="1" bestFit="1" customWidth="1"/>
    <col min="28" max="28" width="8.6640625" style="1" bestFit="1" customWidth="1"/>
    <col min="29" max="29" width="19.6640625" style="1" bestFit="1" customWidth="1"/>
    <col min="30" max="30" width="8.5" style="1" bestFit="1" customWidth="1"/>
    <col min="31" max="31" width="11" style="1" bestFit="1" customWidth="1"/>
    <col min="32" max="32" width="12.1640625" style="1" bestFit="1" customWidth="1"/>
    <col min="33" max="33" width="5.6640625" style="1" bestFit="1" customWidth="1"/>
    <col min="34" max="35" width="11.83203125" style="1" bestFit="1" customWidth="1"/>
    <col min="36" max="36" width="14.33203125" style="1" bestFit="1" customWidth="1"/>
    <col min="37" max="37" width="6.5" style="1" bestFit="1" customWidth="1"/>
    <col min="38" max="38" width="13.1640625" style="1" bestFit="1" customWidth="1"/>
    <col min="39" max="39" width="5.33203125" style="1" bestFit="1" customWidth="1"/>
    <col min="40" max="40" width="14.33203125" style="1" bestFit="1" customWidth="1"/>
    <col min="41" max="41" width="11.33203125" style="1" bestFit="1" customWidth="1"/>
    <col min="42" max="42" width="5.6640625" style="1" customWidth="1"/>
    <col min="43" max="43" width="17.83203125" style="1" customWidth="1"/>
    <col min="44" max="44" width="11.1640625" style="1" customWidth="1"/>
    <col min="45" max="45" width="29.5" style="1" bestFit="1" customWidth="1"/>
    <col min="46" max="46" width="18.33203125" bestFit="1" customWidth="1"/>
    <col min="47" max="47" width="10.5" bestFit="1" customWidth="1"/>
    <col min="48" max="48" width="9.6640625" bestFit="1" customWidth="1"/>
    <col min="49" max="49" width="13.83203125" bestFit="1" customWidth="1"/>
    <col min="50" max="50" width="15.5" bestFit="1" customWidth="1"/>
    <col min="51" max="51" width="16.6640625" bestFit="1" customWidth="1"/>
    <col min="52" max="52" width="14.6640625" bestFit="1" customWidth="1"/>
    <col min="53" max="53" width="20.5" bestFit="1" customWidth="1"/>
    <col min="54" max="54" width="16.1640625" bestFit="1" customWidth="1"/>
    <col min="55" max="55" width="21.6640625" bestFit="1" customWidth="1"/>
    <col min="56" max="56" width="16.5" bestFit="1" customWidth="1"/>
    <col min="57" max="57" width="16.1640625" bestFit="1" customWidth="1"/>
    <col min="58" max="58" width="18.6640625" bestFit="1" customWidth="1"/>
    <col min="59" max="59" width="16.6640625" bestFit="1" customWidth="1"/>
    <col min="60" max="60" width="17.83203125" bestFit="1" customWidth="1"/>
    <col min="61" max="61" width="18.33203125" bestFit="1" customWidth="1"/>
    <col min="62" max="62" width="22.6640625" bestFit="1" customWidth="1"/>
    <col min="63" max="63" width="18.33203125" bestFit="1" customWidth="1"/>
    <col min="64" max="64" width="21.83203125" bestFit="1" customWidth="1"/>
    <col min="65" max="65" width="18.83203125" bestFit="1" customWidth="1"/>
    <col min="66" max="66" width="15.83203125" bestFit="1" customWidth="1"/>
    <col min="67" max="67" width="26.1640625" bestFit="1" customWidth="1"/>
    <col min="68" max="68" width="18.33203125" bestFit="1" customWidth="1"/>
    <col min="69" max="69" width="16" bestFit="1" customWidth="1"/>
    <col min="70" max="70" width="13.6640625" bestFit="1" customWidth="1"/>
    <col min="71" max="71" width="19.33203125" style="1" bestFit="1" customWidth="1"/>
    <col min="72" max="72" width="143.5" bestFit="1" customWidth="1"/>
    <col min="74" max="74" width="223.6640625" bestFit="1" customWidth="1"/>
  </cols>
  <sheetData>
    <row r="1" spans="1:74" x14ac:dyDescent="0.2">
      <c r="A1" s="3" t="s">
        <v>33</v>
      </c>
      <c r="B1" s="3" t="s">
        <v>93</v>
      </c>
      <c r="C1" s="3" t="s">
        <v>474</v>
      </c>
      <c r="D1" s="3" t="s">
        <v>255</v>
      </c>
      <c r="E1" s="3" t="s">
        <v>911</v>
      </c>
      <c r="F1" s="3" t="s">
        <v>907</v>
      </c>
      <c r="G1" s="3" t="s">
        <v>908</v>
      </c>
      <c r="H1" s="3" t="s">
        <v>475</v>
      </c>
      <c r="I1" s="3" t="s">
        <v>476</v>
      </c>
      <c r="J1" s="3" t="s">
        <v>477</v>
      </c>
      <c r="K1" s="3" t="s">
        <v>478</v>
      </c>
      <c r="L1" s="3" t="s">
        <v>479</v>
      </c>
      <c r="M1" s="3" t="s">
        <v>480</v>
      </c>
      <c r="N1" s="3" t="s">
        <v>695</v>
      </c>
      <c r="O1" s="3" t="s">
        <v>481</v>
      </c>
      <c r="P1" s="3" t="s">
        <v>482</v>
      </c>
      <c r="Q1" s="3" t="s">
        <v>483</v>
      </c>
      <c r="R1" s="3" t="s">
        <v>484</v>
      </c>
      <c r="S1" s="3" t="s">
        <v>252</v>
      </c>
      <c r="T1" s="3" t="s">
        <v>253</v>
      </c>
      <c r="U1" s="3" t="s">
        <v>473</v>
      </c>
      <c r="V1" s="3" t="s">
        <v>472</v>
      </c>
      <c r="W1" s="3" t="s">
        <v>260</v>
      </c>
      <c r="X1" s="3" t="s">
        <v>450</v>
      </c>
      <c r="Y1" s="3" t="s">
        <v>487</v>
      </c>
      <c r="Z1" s="3" t="s">
        <v>488</v>
      </c>
      <c r="AA1" s="3" t="s">
        <v>524</v>
      </c>
      <c r="AB1" s="3" t="s">
        <v>525</v>
      </c>
      <c r="AC1" s="3" t="s">
        <v>526</v>
      </c>
      <c r="AD1" s="3" t="s">
        <v>527</v>
      </c>
      <c r="AE1" s="3" t="s">
        <v>528</v>
      </c>
      <c r="AF1" s="3" t="s">
        <v>529</v>
      </c>
      <c r="AG1" s="3" t="s">
        <v>531</v>
      </c>
      <c r="AH1" s="3" t="s">
        <v>533</v>
      </c>
      <c r="AI1" s="3" t="s">
        <v>534</v>
      </c>
      <c r="AJ1" s="3" t="s">
        <v>536</v>
      </c>
      <c r="AK1" s="3" t="s">
        <v>537</v>
      </c>
      <c r="AL1" s="3" t="s">
        <v>538</v>
      </c>
      <c r="AM1" s="3" t="s">
        <v>539</v>
      </c>
      <c r="AN1" s="3" t="s">
        <v>540</v>
      </c>
      <c r="AO1" s="3" t="s">
        <v>541</v>
      </c>
      <c r="AP1" s="3" t="s">
        <v>542</v>
      </c>
      <c r="AQ1" s="3" t="s">
        <v>946</v>
      </c>
      <c r="AR1" s="3" t="s">
        <v>880</v>
      </c>
      <c r="AS1" s="3" t="s">
        <v>945</v>
      </c>
      <c r="AT1" s="3" t="s">
        <v>881</v>
      </c>
      <c r="AU1" s="3" t="s">
        <v>882</v>
      </c>
      <c r="AV1" s="3" t="s">
        <v>883</v>
      </c>
      <c r="AW1" s="3" t="s">
        <v>884</v>
      </c>
      <c r="AX1" s="3" t="s">
        <v>885</v>
      </c>
      <c r="AY1" s="3" t="s">
        <v>886</v>
      </c>
      <c r="AZ1" s="3" t="s">
        <v>887</v>
      </c>
      <c r="BA1" s="3" t="s">
        <v>888</v>
      </c>
      <c r="BB1" s="3" t="s">
        <v>889</v>
      </c>
      <c r="BC1" s="3" t="s">
        <v>890</v>
      </c>
      <c r="BD1" s="3" t="s">
        <v>891</v>
      </c>
      <c r="BE1" s="3" t="s">
        <v>892</v>
      </c>
      <c r="BF1" s="3" t="s">
        <v>893</v>
      </c>
      <c r="BG1" s="3" t="s">
        <v>894</v>
      </c>
      <c r="BH1" s="3" t="s">
        <v>895</v>
      </c>
      <c r="BI1" s="3" t="s">
        <v>896</v>
      </c>
      <c r="BJ1" s="3" t="s">
        <v>897</v>
      </c>
      <c r="BK1" s="3" t="s">
        <v>898</v>
      </c>
      <c r="BL1" s="3" t="s">
        <v>899</v>
      </c>
      <c r="BM1" s="3" t="s">
        <v>900</v>
      </c>
      <c r="BN1" s="3" t="s">
        <v>901</v>
      </c>
      <c r="BO1" s="3" t="s">
        <v>902</v>
      </c>
      <c r="BP1" s="3" t="s">
        <v>903</v>
      </c>
      <c r="BQ1" s="3" t="s">
        <v>904</v>
      </c>
      <c r="BR1" s="3" t="s">
        <v>905</v>
      </c>
      <c r="BS1" s="3"/>
      <c r="BT1" s="4"/>
      <c r="BV1" s="3"/>
    </row>
    <row r="2" spans="1:74" hidden="1" x14ac:dyDescent="0.2">
      <c r="A2" s="1" t="s">
        <v>2</v>
      </c>
      <c r="B2" s="7" t="s">
        <v>132</v>
      </c>
      <c r="C2" s="1" t="s">
        <v>114</v>
      </c>
      <c r="D2" s="8" t="s">
        <v>256</v>
      </c>
      <c r="E2" s="1">
        <f>G2-F2+1</f>
        <v>1</v>
      </c>
      <c r="F2" s="1" t="str">
        <f>LEFT(D2, SEARCH("-",D2,1)-1)</f>
        <v>2019</v>
      </c>
      <c r="G2" s="1" t="str">
        <f t="shared" ref="G2:G65" si="0">RIGHT(D2,4)</f>
        <v>2019</v>
      </c>
      <c r="H2" s="8">
        <v>4</v>
      </c>
      <c r="I2" s="8">
        <v>0</v>
      </c>
      <c r="J2" s="8">
        <v>4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2</v>
      </c>
      <c r="Q2" s="8">
        <v>2</v>
      </c>
      <c r="R2" s="8">
        <v>0</v>
      </c>
      <c r="S2" s="8">
        <v>50</v>
      </c>
      <c r="T2" t="s">
        <v>254</v>
      </c>
      <c r="U2" s="9">
        <v>1.8</v>
      </c>
      <c r="V2" s="10">
        <v>109.76935354000001</v>
      </c>
      <c r="W2" s="6" t="s">
        <v>261</v>
      </c>
      <c r="X2">
        <f t="shared" ref="X2:X33" si="1">IF(ISBLANK(D2),0,1)</f>
        <v>1</v>
      </c>
      <c r="Z2" s="1" t="s">
        <v>489</v>
      </c>
      <c r="AQ2" s="7">
        <v>6</v>
      </c>
      <c r="AR2" s="1">
        <v>5</v>
      </c>
      <c r="AS2" s="1">
        <f>AQ2/AR2</f>
        <v>1.2</v>
      </c>
      <c r="AT2">
        <v>56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1</v>
      </c>
      <c r="BC2">
        <v>2</v>
      </c>
      <c r="BD2">
        <v>0</v>
      </c>
      <c r="BE2">
        <v>0</v>
      </c>
      <c r="BF2">
        <v>0</v>
      </c>
      <c r="BG2">
        <v>8</v>
      </c>
      <c r="BH2">
        <v>3</v>
      </c>
      <c r="BI2">
        <v>0</v>
      </c>
      <c r="BJ2">
        <v>1</v>
      </c>
      <c r="BK2">
        <v>1</v>
      </c>
      <c r="BL2">
        <v>4</v>
      </c>
      <c r="BM2">
        <v>0</v>
      </c>
      <c r="BN2">
        <v>0</v>
      </c>
      <c r="BO2">
        <v>0</v>
      </c>
      <c r="BP2">
        <v>0</v>
      </c>
      <c r="BQ2">
        <v>1</v>
      </c>
      <c r="BR2">
        <v>0</v>
      </c>
      <c r="BS2" s="19"/>
      <c r="BT2" s="20"/>
    </row>
    <row r="3" spans="1:74" hidden="1" x14ac:dyDescent="0.2">
      <c r="A3" s="1" t="s">
        <v>2</v>
      </c>
      <c r="B3" s="7" t="s">
        <v>133</v>
      </c>
      <c r="C3" s="1" t="s">
        <v>114</v>
      </c>
      <c r="D3" s="8" t="s">
        <v>257</v>
      </c>
      <c r="E3" s="1">
        <f>G3-F3+1</f>
        <v>1</v>
      </c>
      <c r="F3" s="1" t="str">
        <f>LEFT(D3, SEARCH("-",D3,1)-1)</f>
        <v>2017</v>
      </c>
      <c r="G3" s="1" t="str">
        <f t="shared" si="0"/>
        <v>2017</v>
      </c>
      <c r="H3" s="8">
        <v>5</v>
      </c>
      <c r="I3" s="8">
        <v>5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3</v>
      </c>
      <c r="Q3" s="8">
        <v>2</v>
      </c>
      <c r="R3" s="8">
        <v>0</v>
      </c>
      <c r="S3" s="8">
        <v>60</v>
      </c>
      <c r="T3" t="s">
        <v>254</v>
      </c>
      <c r="U3" s="9">
        <v>1.83</v>
      </c>
      <c r="V3" s="10">
        <v>112.94450013000001</v>
      </c>
      <c r="W3" s="6" t="s">
        <v>262</v>
      </c>
      <c r="X3">
        <f t="shared" si="1"/>
        <v>1</v>
      </c>
      <c r="Y3" s="14">
        <v>72</v>
      </c>
      <c r="Z3" s="1" t="s">
        <v>489</v>
      </c>
      <c r="AA3" s="1">
        <v>60</v>
      </c>
      <c r="AE3" s="1">
        <v>71</v>
      </c>
      <c r="AF3" s="1">
        <v>75</v>
      </c>
      <c r="BS3" s="19"/>
    </row>
    <row r="4" spans="1:74" hidden="1" x14ac:dyDescent="0.2">
      <c r="A4" s="1" t="s">
        <v>2</v>
      </c>
      <c r="B4" s="7" t="s">
        <v>134</v>
      </c>
      <c r="C4" s="1" t="s">
        <v>114</v>
      </c>
      <c r="D4" s="8" t="s">
        <v>256</v>
      </c>
      <c r="E4" s="1">
        <f>G4-F4+1</f>
        <v>1</v>
      </c>
      <c r="F4" s="1" t="str">
        <f>LEFT(D4, SEARCH("-",D4,1)-1)</f>
        <v>2019</v>
      </c>
      <c r="G4" s="1" t="str">
        <f t="shared" si="0"/>
        <v>2019</v>
      </c>
      <c r="H4" s="8">
        <v>5</v>
      </c>
      <c r="I4" s="8">
        <v>4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2</v>
      </c>
      <c r="Q4" s="8">
        <v>3</v>
      </c>
      <c r="R4" s="8">
        <v>0</v>
      </c>
      <c r="S4" s="8">
        <v>40</v>
      </c>
      <c r="T4" t="s">
        <v>254</v>
      </c>
      <c r="U4" s="9">
        <v>1.85</v>
      </c>
      <c r="V4" s="10">
        <v>118.84120094000001</v>
      </c>
      <c r="W4" s="6" t="s">
        <v>263</v>
      </c>
      <c r="X4">
        <f t="shared" si="1"/>
        <v>1</v>
      </c>
      <c r="Y4" s="14">
        <v>70</v>
      </c>
      <c r="Z4" s="1" t="s">
        <v>490</v>
      </c>
      <c r="AA4" s="1">
        <v>58</v>
      </c>
      <c r="AE4" s="1">
        <v>64</v>
      </c>
      <c r="AF4" s="1">
        <v>73</v>
      </c>
      <c r="AQ4" s="7">
        <v>54</v>
      </c>
      <c r="AR4" s="1">
        <v>42</v>
      </c>
      <c r="AS4" s="1">
        <f t="shared" ref="AS4:AS64" si="2">AQ4/AR4</f>
        <v>1.2857142857142858</v>
      </c>
      <c r="AT4">
        <v>303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14</v>
      </c>
      <c r="BB4">
        <v>0</v>
      </c>
      <c r="BC4">
        <v>22</v>
      </c>
      <c r="BD4">
        <v>0</v>
      </c>
      <c r="BE4">
        <v>4</v>
      </c>
      <c r="BF4">
        <v>3</v>
      </c>
      <c r="BG4">
        <v>38</v>
      </c>
      <c r="BH4">
        <v>5</v>
      </c>
      <c r="BI4">
        <v>0</v>
      </c>
      <c r="BJ4">
        <v>5</v>
      </c>
      <c r="BK4">
        <v>4</v>
      </c>
      <c r="BL4">
        <v>8</v>
      </c>
      <c r="BM4">
        <v>0</v>
      </c>
      <c r="BN4">
        <v>0</v>
      </c>
      <c r="BO4">
        <v>1</v>
      </c>
      <c r="BP4">
        <v>0</v>
      </c>
      <c r="BQ4">
        <v>0</v>
      </c>
      <c r="BR4">
        <v>0</v>
      </c>
      <c r="BS4" s="19"/>
    </row>
    <row r="5" spans="1:74" hidden="1" x14ac:dyDescent="0.2">
      <c r="A5" s="1" t="s">
        <v>2</v>
      </c>
      <c r="B5" s="7" t="s">
        <v>135</v>
      </c>
      <c r="C5" s="1" t="s">
        <v>114</v>
      </c>
      <c r="D5" s="8" t="s">
        <v>258</v>
      </c>
      <c r="E5" s="1">
        <f>G5-F5+1</f>
        <v>4</v>
      </c>
      <c r="F5" s="1" t="str">
        <f>LEFT(D5, SEARCH("-",D5,1)-1)</f>
        <v>2016</v>
      </c>
      <c r="G5" s="1" t="str">
        <f t="shared" si="0"/>
        <v>2019</v>
      </c>
      <c r="H5" s="8">
        <v>9</v>
      </c>
      <c r="I5" s="8">
        <v>0</v>
      </c>
      <c r="J5" s="8">
        <v>9</v>
      </c>
      <c r="K5" s="8">
        <v>5</v>
      </c>
      <c r="L5" s="8">
        <v>1</v>
      </c>
      <c r="M5" s="8">
        <v>0</v>
      </c>
      <c r="N5" s="8">
        <v>0</v>
      </c>
      <c r="O5" s="8">
        <v>0</v>
      </c>
      <c r="P5" s="8">
        <v>4</v>
      </c>
      <c r="Q5" s="8">
        <v>5</v>
      </c>
      <c r="R5" s="8">
        <v>0</v>
      </c>
      <c r="S5" s="8">
        <v>44.44</v>
      </c>
      <c r="T5" t="s">
        <v>259</v>
      </c>
      <c r="U5" s="9">
        <v>1.83</v>
      </c>
      <c r="V5" s="10">
        <v>98.883136660000005</v>
      </c>
      <c r="W5" s="6" t="s">
        <v>264</v>
      </c>
      <c r="X5">
        <f t="shared" si="1"/>
        <v>1</v>
      </c>
      <c r="Y5" s="14">
        <v>82</v>
      </c>
      <c r="Z5" s="1" t="s">
        <v>491</v>
      </c>
      <c r="AA5" s="1">
        <v>47</v>
      </c>
      <c r="AE5" s="1">
        <v>66</v>
      </c>
      <c r="AF5" s="1">
        <v>78</v>
      </c>
      <c r="AG5" s="1">
        <v>86</v>
      </c>
      <c r="AQ5" s="7">
        <v>39</v>
      </c>
      <c r="AR5" s="1">
        <v>10</v>
      </c>
      <c r="AS5" s="1">
        <f t="shared" si="2"/>
        <v>3.9</v>
      </c>
      <c r="AT5">
        <v>82</v>
      </c>
      <c r="AU5">
        <v>5</v>
      </c>
      <c r="AV5">
        <v>1</v>
      </c>
      <c r="AW5">
        <v>0</v>
      </c>
      <c r="AX5">
        <v>0</v>
      </c>
      <c r="AY5">
        <v>0</v>
      </c>
      <c r="AZ5">
        <v>0</v>
      </c>
      <c r="BA5">
        <v>4</v>
      </c>
      <c r="BB5">
        <v>0</v>
      </c>
      <c r="BC5">
        <v>7</v>
      </c>
      <c r="BD5">
        <v>0</v>
      </c>
      <c r="BE5">
        <v>0</v>
      </c>
      <c r="BF5">
        <v>0</v>
      </c>
      <c r="BG5">
        <v>22</v>
      </c>
      <c r="BH5">
        <v>3</v>
      </c>
      <c r="BI5">
        <v>1</v>
      </c>
      <c r="BJ5">
        <v>0</v>
      </c>
      <c r="BK5">
        <v>0</v>
      </c>
      <c r="BL5">
        <v>4</v>
      </c>
      <c r="BM5">
        <v>0</v>
      </c>
      <c r="BN5">
        <v>0</v>
      </c>
      <c r="BO5">
        <v>0</v>
      </c>
      <c r="BP5">
        <v>0</v>
      </c>
      <c r="BQ5">
        <v>1</v>
      </c>
      <c r="BR5">
        <v>0</v>
      </c>
      <c r="BS5" s="19"/>
    </row>
    <row r="6" spans="1:74" hidden="1" x14ac:dyDescent="0.2">
      <c r="A6" s="1" t="s">
        <v>2</v>
      </c>
      <c r="B6" s="7" t="s">
        <v>136</v>
      </c>
      <c r="C6" s="1" t="s">
        <v>114</v>
      </c>
      <c r="D6" s="1"/>
      <c r="G6" s="1" t="str">
        <f t="shared" si="0"/>
        <v/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T6" t="s">
        <v>259</v>
      </c>
      <c r="U6" s="9">
        <v>1.8</v>
      </c>
      <c r="V6" s="10" t="s">
        <v>451</v>
      </c>
      <c r="W6" s="6" t="s">
        <v>265</v>
      </c>
      <c r="X6">
        <f t="shared" si="1"/>
        <v>0</v>
      </c>
      <c r="Y6" s="14">
        <v>73</v>
      </c>
      <c r="Z6" s="1" t="s">
        <v>492</v>
      </c>
      <c r="AA6" s="1">
        <v>72</v>
      </c>
      <c r="AE6" s="1">
        <v>79</v>
      </c>
      <c r="AF6" s="1">
        <v>78</v>
      </c>
      <c r="AG6" s="1">
        <v>73</v>
      </c>
      <c r="AQ6" s="7"/>
      <c r="BS6" s="19"/>
    </row>
    <row r="7" spans="1:74" hidden="1" x14ac:dyDescent="0.2">
      <c r="A7" s="1" t="s">
        <v>2</v>
      </c>
      <c r="B7" s="7" t="s">
        <v>137</v>
      </c>
      <c r="C7" s="1" t="s">
        <v>114</v>
      </c>
      <c r="D7" s="1"/>
      <c r="G7" s="1" t="str">
        <f t="shared" si="0"/>
        <v/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T7" t="s">
        <v>254</v>
      </c>
      <c r="U7" s="9">
        <v>1.95</v>
      </c>
      <c r="V7" s="10" t="s">
        <v>452</v>
      </c>
      <c r="W7" s="6" t="s">
        <v>266</v>
      </c>
      <c r="X7">
        <f t="shared" si="1"/>
        <v>0</v>
      </c>
      <c r="Y7" s="14">
        <v>74</v>
      </c>
      <c r="Z7" s="1" t="s">
        <v>492</v>
      </c>
      <c r="AA7" s="1">
        <v>80</v>
      </c>
      <c r="AE7" s="1">
        <v>79</v>
      </c>
      <c r="AF7" s="1">
        <v>76</v>
      </c>
      <c r="AQ7" s="7"/>
      <c r="BS7" s="19"/>
    </row>
    <row r="8" spans="1:74" hidden="1" x14ac:dyDescent="0.2">
      <c r="A8" s="1" t="s">
        <v>2</v>
      </c>
      <c r="B8" s="7" t="s">
        <v>138</v>
      </c>
      <c r="C8" s="1" t="s">
        <v>114</v>
      </c>
      <c r="D8" s="1"/>
      <c r="G8" s="1" t="str">
        <f t="shared" si="0"/>
        <v/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T8" t="s">
        <v>254</v>
      </c>
      <c r="U8" s="9">
        <v>1.85</v>
      </c>
      <c r="V8" s="10" t="s">
        <v>453</v>
      </c>
      <c r="W8" s="6" t="s">
        <v>267</v>
      </c>
      <c r="X8">
        <f t="shared" si="1"/>
        <v>0</v>
      </c>
      <c r="Y8" s="14">
        <v>65</v>
      </c>
      <c r="Z8" s="1" t="s">
        <v>495</v>
      </c>
      <c r="AA8" s="1">
        <v>68</v>
      </c>
      <c r="AE8" s="1">
        <v>63</v>
      </c>
      <c r="AF8" s="1">
        <v>62</v>
      </c>
      <c r="AQ8" s="7"/>
      <c r="BS8" s="19"/>
    </row>
    <row r="9" spans="1:74" hidden="1" x14ac:dyDescent="0.2">
      <c r="A9" s="1" t="s">
        <v>2</v>
      </c>
      <c r="B9" s="7" t="s">
        <v>139</v>
      </c>
      <c r="C9" s="1" t="s">
        <v>114</v>
      </c>
      <c r="D9" s="8" t="s">
        <v>256</v>
      </c>
      <c r="E9" s="1">
        <f>G9-F9+1</f>
        <v>1</v>
      </c>
      <c r="F9" s="1" t="str">
        <f>LEFT(D9, SEARCH("-",D9,1)-1)</f>
        <v>2019</v>
      </c>
      <c r="G9" s="1" t="str">
        <f t="shared" si="0"/>
        <v>2019</v>
      </c>
      <c r="H9" s="8">
        <v>1</v>
      </c>
      <c r="I9" s="8">
        <v>0</v>
      </c>
      <c r="J9" s="8">
        <v>1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t="s">
        <v>259</v>
      </c>
      <c r="U9" s="9">
        <v>1.8</v>
      </c>
      <c r="V9" s="10">
        <v>94.800805330000003</v>
      </c>
      <c r="W9" s="6" t="s">
        <v>268</v>
      </c>
      <c r="X9">
        <f t="shared" si="1"/>
        <v>1</v>
      </c>
      <c r="Y9" s="14">
        <v>80</v>
      </c>
      <c r="Z9" s="1" t="s">
        <v>489</v>
      </c>
      <c r="AA9" s="1">
        <v>59</v>
      </c>
      <c r="AE9" s="1">
        <v>60</v>
      </c>
      <c r="AF9" s="1">
        <v>71</v>
      </c>
      <c r="AG9" s="1">
        <v>84</v>
      </c>
      <c r="AQ9" s="7">
        <v>18</v>
      </c>
      <c r="AR9" s="1">
        <v>7</v>
      </c>
      <c r="AS9" s="1">
        <f t="shared" si="2"/>
        <v>2.5714285714285716</v>
      </c>
      <c r="AT9">
        <v>23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3</v>
      </c>
      <c r="BB9">
        <v>0</v>
      </c>
      <c r="BC9">
        <v>3</v>
      </c>
      <c r="BD9">
        <v>0</v>
      </c>
      <c r="BE9">
        <v>1</v>
      </c>
      <c r="BF9">
        <v>0</v>
      </c>
      <c r="BG9">
        <v>2</v>
      </c>
      <c r="BH9">
        <v>0</v>
      </c>
      <c r="BI9">
        <v>0</v>
      </c>
      <c r="BJ9">
        <v>1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 s="19"/>
    </row>
    <row r="10" spans="1:74" hidden="1" x14ac:dyDescent="0.2">
      <c r="A10" s="1" t="s">
        <v>2</v>
      </c>
      <c r="B10" s="7" t="s">
        <v>140</v>
      </c>
      <c r="C10" s="1" t="s">
        <v>114</v>
      </c>
      <c r="D10" s="8" t="s">
        <v>258</v>
      </c>
      <c r="E10" s="1">
        <f>G10-F10+1</f>
        <v>4</v>
      </c>
      <c r="F10" s="1" t="str">
        <f>LEFT(D10, SEARCH("-",D10,1)-1)</f>
        <v>2016</v>
      </c>
      <c r="G10" s="1" t="str">
        <f t="shared" si="0"/>
        <v>2019</v>
      </c>
      <c r="H10" s="8">
        <v>14</v>
      </c>
      <c r="I10" s="8">
        <v>13</v>
      </c>
      <c r="J10" s="8">
        <v>1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5</v>
      </c>
      <c r="Q10" s="8">
        <v>9</v>
      </c>
      <c r="R10" s="8">
        <v>0</v>
      </c>
      <c r="S10" s="8">
        <v>35.71</v>
      </c>
      <c r="T10" t="s">
        <v>254</v>
      </c>
      <c r="U10" s="9">
        <v>1.8</v>
      </c>
      <c r="V10" s="10">
        <v>99.79032140000001</v>
      </c>
      <c r="W10" s="6" t="s">
        <v>269</v>
      </c>
      <c r="X10">
        <f t="shared" si="1"/>
        <v>1</v>
      </c>
      <c r="Y10" s="14">
        <v>67</v>
      </c>
      <c r="Z10" s="1" t="s">
        <v>493</v>
      </c>
      <c r="AA10" s="1">
        <v>72</v>
      </c>
      <c r="AE10" s="1">
        <v>64</v>
      </c>
      <c r="AF10" s="1">
        <v>77</v>
      </c>
      <c r="AQ10" s="7">
        <v>16</v>
      </c>
      <c r="AR10" s="1">
        <v>21</v>
      </c>
      <c r="AS10" s="1">
        <f t="shared" si="2"/>
        <v>0.76190476190476186</v>
      </c>
      <c r="AT10">
        <v>220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2</v>
      </c>
      <c r="BB10">
        <v>1</v>
      </c>
      <c r="BC10">
        <v>6</v>
      </c>
      <c r="BD10">
        <v>0</v>
      </c>
      <c r="BE10">
        <v>7</v>
      </c>
      <c r="BF10">
        <v>1</v>
      </c>
      <c r="BG10">
        <v>29</v>
      </c>
      <c r="BH10">
        <v>5</v>
      </c>
      <c r="BI10">
        <v>0</v>
      </c>
      <c r="BJ10">
        <v>0</v>
      </c>
      <c r="BK10">
        <v>0</v>
      </c>
      <c r="BL10">
        <v>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 s="19"/>
      <c r="BT10" s="15"/>
    </row>
    <row r="11" spans="1:74" hidden="1" x14ac:dyDescent="0.2">
      <c r="A11" s="1" t="s">
        <v>2</v>
      </c>
      <c r="B11" s="7" t="s">
        <v>141</v>
      </c>
      <c r="C11" s="1" t="s">
        <v>114</v>
      </c>
      <c r="D11" s="1"/>
      <c r="G11" s="1" t="str">
        <f t="shared" si="0"/>
        <v/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T11" t="s">
        <v>271</v>
      </c>
      <c r="U11" s="9">
        <v>1.97</v>
      </c>
      <c r="V11" s="10" t="s">
        <v>454</v>
      </c>
      <c r="W11" s="6" t="s">
        <v>270</v>
      </c>
      <c r="X11">
        <f t="shared" si="1"/>
        <v>0</v>
      </c>
      <c r="Y11" s="14">
        <v>59</v>
      </c>
      <c r="Z11" s="1" t="s">
        <v>493</v>
      </c>
      <c r="AA11" s="1">
        <v>43</v>
      </c>
      <c r="AF11" s="1">
        <v>72</v>
      </c>
      <c r="AH11" s="1">
        <v>79</v>
      </c>
      <c r="AI11" s="1">
        <v>81</v>
      </c>
      <c r="AQ11" s="7"/>
      <c r="BS11" s="19"/>
    </row>
    <row r="12" spans="1:74" hidden="1" x14ac:dyDescent="0.2">
      <c r="A12" s="1" t="s">
        <v>2</v>
      </c>
      <c r="B12" s="7" t="s">
        <v>142</v>
      </c>
      <c r="C12" s="1" t="s">
        <v>114</v>
      </c>
      <c r="D12" s="1"/>
      <c r="G12" s="1" t="str">
        <f t="shared" si="0"/>
        <v/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T12" t="s">
        <v>271</v>
      </c>
      <c r="U12" s="9">
        <v>1.99</v>
      </c>
      <c r="V12" s="10" t="s">
        <v>455</v>
      </c>
      <c r="W12" s="6" t="s">
        <v>272</v>
      </c>
      <c r="X12">
        <f t="shared" si="1"/>
        <v>0</v>
      </c>
      <c r="Y12" s="14">
        <v>56</v>
      </c>
      <c r="Z12" s="1" t="s">
        <v>494</v>
      </c>
      <c r="AA12" s="1">
        <v>48</v>
      </c>
      <c r="AF12" s="1">
        <v>66</v>
      </c>
      <c r="AH12" s="1">
        <v>79</v>
      </c>
      <c r="AI12" s="1">
        <v>81</v>
      </c>
      <c r="AQ12" s="7"/>
      <c r="BS12" s="19"/>
    </row>
    <row r="13" spans="1:74" x14ac:dyDescent="0.2">
      <c r="A13" s="1" t="s">
        <v>2</v>
      </c>
      <c r="B13" s="7" t="s">
        <v>143</v>
      </c>
      <c r="C13" s="1" t="s">
        <v>114</v>
      </c>
      <c r="D13" s="8" t="s">
        <v>275</v>
      </c>
      <c r="E13" s="1">
        <f>G13-F13+1</f>
        <v>5</v>
      </c>
      <c r="F13" s="1" t="str">
        <f>LEFT(D13, SEARCH("-",D13,1)-1)</f>
        <v>2014</v>
      </c>
      <c r="G13" s="1" t="str">
        <f t="shared" si="0"/>
        <v>2018</v>
      </c>
      <c r="H13" s="8">
        <v>12</v>
      </c>
      <c r="I13" s="8">
        <v>9</v>
      </c>
      <c r="J13" s="8">
        <v>3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6</v>
      </c>
      <c r="Q13" s="8">
        <v>6</v>
      </c>
      <c r="R13" s="8">
        <v>0</v>
      </c>
      <c r="S13" s="8">
        <v>50</v>
      </c>
      <c r="T13" t="s">
        <v>274</v>
      </c>
      <c r="U13" s="9">
        <v>1.91</v>
      </c>
      <c r="V13" s="10">
        <v>99.79032140000001</v>
      </c>
      <c r="W13" s="6" t="s">
        <v>273</v>
      </c>
      <c r="X13">
        <f t="shared" si="1"/>
        <v>1</v>
      </c>
      <c r="Y13" s="14">
        <v>69</v>
      </c>
      <c r="Z13" s="1" t="s">
        <v>491</v>
      </c>
      <c r="AA13" s="1">
        <v>66</v>
      </c>
      <c r="AG13" s="1">
        <v>72</v>
      </c>
      <c r="AJ13" s="1">
        <v>65</v>
      </c>
      <c r="AK13" s="1">
        <v>67</v>
      </c>
      <c r="AQ13" s="7"/>
      <c r="BS13" s="19"/>
    </row>
    <row r="14" spans="1:74" hidden="1" x14ac:dyDescent="0.2">
      <c r="A14" s="1" t="s">
        <v>2</v>
      </c>
      <c r="B14" s="7" t="s">
        <v>144</v>
      </c>
      <c r="C14" s="1" t="s">
        <v>114</v>
      </c>
      <c r="D14" s="1"/>
      <c r="G14" s="1" t="str">
        <f t="shared" si="0"/>
        <v/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T14" t="s">
        <v>271</v>
      </c>
      <c r="U14" s="9">
        <v>1.93</v>
      </c>
      <c r="V14" s="10" t="s">
        <v>456</v>
      </c>
      <c r="W14" s="6" t="s">
        <v>276</v>
      </c>
      <c r="X14">
        <f t="shared" si="1"/>
        <v>0</v>
      </c>
      <c r="Y14" s="14">
        <v>78</v>
      </c>
      <c r="Z14" s="1" t="s">
        <v>491</v>
      </c>
      <c r="AA14" s="1">
        <v>82</v>
      </c>
      <c r="AF14" s="1">
        <v>79</v>
      </c>
      <c r="AH14" s="1">
        <v>83</v>
      </c>
      <c r="AI14" s="1">
        <v>82</v>
      </c>
      <c r="AQ14" s="7"/>
      <c r="BS14" s="19"/>
    </row>
    <row r="15" spans="1:74" hidden="1" x14ac:dyDescent="0.2">
      <c r="A15" s="1" t="s">
        <v>2</v>
      </c>
      <c r="B15" s="7" t="s">
        <v>145</v>
      </c>
      <c r="C15" s="1" t="s">
        <v>114</v>
      </c>
      <c r="D15" s="8" t="s">
        <v>277</v>
      </c>
      <c r="E15" s="1">
        <f>G15-F15+1</f>
        <v>6</v>
      </c>
      <c r="F15" s="1" t="str">
        <f>LEFT(D15, SEARCH("-",D15,1)-1)</f>
        <v>2013</v>
      </c>
      <c r="G15" s="1" t="str">
        <f t="shared" si="0"/>
        <v>2018</v>
      </c>
      <c r="H15" s="8">
        <v>8</v>
      </c>
      <c r="I15" s="8">
        <v>1</v>
      </c>
      <c r="J15" s="8">
        <v>7</v>
      </c>
      <c r="K15" s="8">
        <v>5</v>
      </c>
      <c r="L15" s="8">
        <v>1</v>
      </c>
      <c r="M15" s="8">
        <v>0</v>
      </c>
      <c r="N15" s="8">
        <v>0</v>
      </c>
      <c r="O15" s="8">
        <v>0</v>
      </c>
      <c r="P15" s="8">
        <v>3</v>
      </c>
      <c r="Q15" s="8">
        <v>5</v>
      </c>
      <c r="R15" s="8">
        <v>0</v>
      </c>
      <c r="S15" s="8">
        <v>37.5</v>
      </c>
      <c r="T15" t="s">
        <v>279</v>
      </c>
      <c r="U15" s="9">
        <v>2.0099999999999998</v>
      </c>
      <c r="V15" s="10">
        <v>138.79926522</v>
      </c>
      <c r="W15" s="6" t="s">
        <v>278</v>
      </c>
      <c r="X15">
        <f t="shared" si="1"/>
        <v>1</v>
      </c>
      <c r="Y15" s="14">
        <v>70</v>
      </c>
      <c r="Z15" s="1" t="s">
        <v>492</v>
      </c>
      <c r="AA15" s="1">
        <v>71</v>
      </c>
      <c r="AF15" s="1">
        <v>75</v>
      </c>
      <c r="AH15" s="1">
        <v>79</v>
      </c>
      <c r="AI15" s="1">
        <v>81</v>
      </c>
      <c r="AQ15" s="7"/>
      <c r="BS15" s="19"/>
    </row>
    <row r="16" spans="1:74" hidden="1" x14ac:dyDescent="0.2">
      <c r="A16" s="1" t="s">
        <v>2</v>
      </c>
      <c r="B16" s="7" t="s">
        <v>146</v>
      </c>
      <c r="C16" s="1" t="s">
        <v>114</v>
      </c>
      <c r="D16" s="8" t="s">
        <v>256</v>
      </c>
      <c r="E16" s="1">
        <f>G16-F16+1</f>
        <v>1</v>
      </c>
      <c r="F16" s="1" t="str">
        <f>LEFT(D16, SEARCH("-",D16,1)-1)</f>
        <v>2019</v>
      </c>
      <c r="G16" s="1" t="str">
        <f t="shared" si="0"/>
        <v>2019</v>
      </c>
      <c r="H16" s="8">
        <v>5</v>
      </c>
      <c r="I16" s="8">
        <v>2</v>
      </c>
      <c r="J16" s="8">
        <v>3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2</v>
      </c>
      <c r="Q16" s="8">
        <v>3</v>
      </c>
      <c r="R16" s="8">
        <v>0</v>
      </c>
      <c r="S16" s="8">
        <v>40</v>
      </c>
      <c r="T16" t="s">
        <v>279</v>
      </c>
      <c r="U16" s="9">
        <v>2.0099999999999998</v>
      </c>
      <c r="V16" s="10">
        <v>126.55227123</v>
      </c>
      <c r="W16" s="6" t="s">
        <v>280</v>
      </c>
      <c r="X16">
        <f t="shared" si="1"/>
        <v>1</v>
      </c>
      <c r="Y16" s="14">
        <v>74</v>
      </c>
      <c r="Z16" s="1" t="s">
        <v>495</v>
      </c>
      <c r="AA16" s="1">
        <v>83</v>
      </c>
      <c r="AF16" s="1">
        <v>73</v>
      </c>
      <c r="AH16" s="1">
        <v>80</v>
      </c>
      <c r="AI16" s="1">
        <v>81</v>
      </c>
      <c r="AQ16" s="7">
        <v>31</v>
      </c>
      <c r="AR16" s="1">
        <v>18</v>
      </c>
      <c r="AS16" s="1">
        <f t="shared" si="2"/>
        <v>1.7222222222222223</v>
      </c>
      <c r="AT16">
        <v>174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11</v>
      </c>
      <c r="BD16">
        <v>0</v>
      </c>
      <c r="BE16">
        <v>4</v>
      </c>
      <c r="BF16">
        <v>0</v>
      </c>
      <c r="BG16">
        <v>26</v>
      </c>
      <c r="BH16">
        <v>5</v>
      </c>
      <c r="BI16">
        <v>2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7</v>
      </c>
      <c r="BP16">
        <v>0</v>
      </c>
      <c r="BQ16">
        <v>0</v>
      </c>
      <c r="BR16">
        <v>0</v>
      </c>
      <c r="BS16" s="19"/>
    </row>
    <row r="17" spans="1:71" x14ac:dyDescent="0.2">
      <c r="A17" s="1" t="s">
        <v>2</v>
      </c>
      <c r="B17" s="7" t="s">
        <v>147</v>
      </c>
      <c r="C17" s="1" t="s">
        <v>114</v>
      </c>
      <c r="D17" s="1"/>
      <c r="G17" s="1" t="str">
        <f t="shared" si="0"/>
        <v/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T17" t="s">
        <v>282</v>
      </c>
      <c r="U17" s="9">
        <v>1.91</v>
      </c>
      <c r="V17" s="10" t="s">
        <v>457</v>
      </c>
      <c r="W17" s="6" t="s">
        <v>281</v>
      </c>
      <c r="X17">
        <f t="shared" si="1"/>
        <v>0</v>
      </c>
      <c r="Y17" s="14">
        <v>81</v>
      </c>
      <c r="Z17" s="1" t="s">
        <v>496</v>
      </c>
      <c r="AA17" s="1">
        <v>87</v>
      </c>
      <c r="AG17" s="1">
        <v>84</v>
      </c>
      <c r="AJ17" s="1">
        <v>71</v>
      </c>
      <c r="AK17" s="1">
        <v>62</v>
      </c>
      <c r="AQ17" s="7"/>
      <c r="BS17" s="19"/>
    </row>
    <row r="18" spans="1:71" hidden="1" x14ac:dyDescent="0.2">
      <c r="A18" s="1" t="s">
        <v>2</v>
      </c>
      <c r="B18" s="7" t="s">
        <v>148</v>
      </c>
      <c r="C18" s="1" t="s">
        <v>114</v>
      </c>
      <c r="D18" s="1"/>
      <c r="G18" s="1" t="str">
        <f t="shared" si="0"/>
        <v/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T18" t="s">
        <v>284</v>
      </c>
      <c r="U18" s="9">
        <v>1.95</v>
      </c>
      <c r="V18" s="10" t="s">
        <v>458</v>
      </c>
      <c r="W18" s="6" t="s">
        <v>283</v>
      </c>
      <c r="X18">
        <f t="shared" si="1"/>
        <v>0</v>
      </c>
      <c r="Y18" s="14">
        <v>71</v>
      </c>
      <c r="Z18" s="1" t="s">
        <v>497</v>
      </c>
      <c r="AA18" s="1">
        <v>65</v>
      </c>
      <c r="AB18" s="1">
        <v>74</v>
      </c>
      <c r="AE18" s="1">
        <v>73</v>
      </c>
      <c r="AL18" s="1">
        <v>74</v>
      </c>
      <c r="AQ18" s="7"/>
      <c r="BS18" s="19"/>
    </row>
    <row r="19" spans="1:71" x14ac:dyDescent="0.2">
      <c r="A19" s="1" t="s">
        <v>2</v>
      </c>
      <c r="B19" s="7" t="s">
        <v>149</v>
      </c>
      <c r="C19" s="1" t="s">
        <v>114</v>
      </c>
      <c r="D19" s="1"/>
      <c r="G19" s="1" t="str">
        <f t="shared" si="0"/>
        <v/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T19" t="s">
        <v>274</v>
      </c>
      <c r="U19" s="9">
        <v>1.91</v>
      </c>
      <c r="V19" s="10">
        <v>94.800805330000003</v>
      </c>
      <c r="W19" s="6" t="s">
        <v>285</v>
      </c>
      <c r="X19">
        <f t="shared" si="1"/>
        <v>0</v>
      </c>
      <c r="Y19" s="14">
        <v>83</v>
      </c>
      <c r="Z19" s="1" t="s">
        <v>489</v>
      </c>
      <c r="AA19" s="1">
        <v>54</v>
      </c>
      <c r="AG19" s="1">
        <v>74</v>
      </c>
      <c r="AJ19" s="1">
        <v>72</v>
      </c>
      <c r="AK19" s="1">
        <v>61</v>
      </c>
      <c r="AQ19" s="7"/>
      <c r="BS19" s="16"/>
    </row>
    <row r="20" spans="1:71" hidden="1" x14ac:dyDescent="0.2">
      <c r="A20" s="1" t="s">
        <v>2</v>
      </c>
      <c r="B20" s="7" t="s">
        <v>150</v>
      </c>
      <c r="C20" s="1" t="s">
        <v>114</v>
      </c>
      <c r="D20" s="1"/>
      <c r="G20" s="1" t="str">
        <f t="shared" si="0"/>
        <v/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T20" t="s">
        <v>284</v>
      </c>
      <c r="U20" s="9">
        <v>1.88</v>
      </c>
      <c r="V20" s="10" t="s">
        <v>459</v>
      </c>
      <c r="W20" s="6" t="s">
        <v>286</v>
      </c>
      <c r="X20">
        <f t="shared" si="1"/>
        <v>0</v>
      </c>
      <c r="Y20" s="14">
        <v>76</v>
      </c>
      <c r="Z20" s="1" t="s">
        <v>498</v>
      </c>
      <c r="AA20" s="1">
        <v>61</v>
      </c>
      <c r="AG20" s="1">
        <v>85</v>
      </c>
      <c r="AJ20" s="1">
        <v>67</v>
      </c>
      <c r="AK20" s="1">
        <v>53</v>
      </c>
      <c r="AQ20" s="7"/>
      <c r="BS20" s="16"/>
    </row>
    <row r="21" spans="1:71" x14ac:dyDescent="0.2">
      <c r="A21" s="1" t="s">
        <v>2</v>
      </c>
      <c r="B21" s="7" t="s">
        <v>151</v>
      </c>
      <c r="C21" s="1" t="s">
        <v>114</v>
      </c>
      <c r="D21" s="1"/>
      <c r="G21" s="1" t="str">
        <f t="shared" si="0"/>
        <v/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T21" t="s">
        <v>274</v>
      </c>
      <c r="U21" s="9">
        <v>1.96</v>
      </c>
      <c r="V21" s="10">
        <v>107.95498406</v>
      </c>
      <c r="W21" s="6" t="s">
        <v>287</v>
      </c>
      <c r="X21">
        <f t="shared" si="1"/>
        <v>0</v>
      </c>
      <c r="Y21" s="14">
        <v>75</v>
      </c>
      <c r="Z21" s="1" t="s">
        <v>499</v>
      </c>
      <c r="AA21" s="1">
        <v>74</v>
      </c>
      <c r="AG21" s="1">
        <v>86</v>
      </c>
      <c r="AJ21" s="1">
        <v>86</v>
      </c>
      <c r="AK21" s="1">
        <v>67</v>
      </c>
      <c r="AQ21" s="7"/>
      <c r="BS21" s="16"/>
    </row>
    <row r="22" spans="1:71" x14ac:dyDescent="0.2">
      <c r="A22" s="1" t="s">
        <v>2</v>
      </c>
      <c r="B22" s="7" t="s">
        <v>152</v>
      </c>
      <c r="C22" s="1" t="s">
        <v>114</v>
      </c>
      <c r="D22" s="8" t="s">
        <v>257</v>
      </c>
      <c r="E22" s="1">
        <f>G22-F22+1</f>
        <v>1</v>
      </c>
      <c r="F22" s="1" t="str">
        <f>LEFT(D22, SEARCH("-",D22,1)-1)</f>
        <v>2017</v>
      </c>
      <c r="G22" s="1" t="str">
        <f t="shared" si="0"/>
        <v>2017</v>
      </c>
      <c r="H22" s="8">
        <v>1</v>
      </c>
      <c r="I22" s="8">
        <v>0</v>
      </c>
      <c r="J22" s="8">
        <v>1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1</v>
      </c>
      <c r="R22" s="8">
        <v>0</v>
      </c>
      <c r="S22" s="8">
        <v>0</v>
      </c>
      <c r="T22" t="s">
        <v>274</v>
      </c>
      <c r="U22" s="9">
        <v>1.96</v>
      </c>
      <c r="V22" s="10">
        <v>107.95498406</v>
      </c>
      <c r="W22" s="6" t="s">
        <v>288</v>
      </c>
      <c r="X22">
        <f t="shared" si="1"/>
        <v>1</v>
      </c>
      <c r="Y22" s="14">
        <v>65</v>
      </c>
      <c r="Z22" s="1" t="s">
        <v>492</v>
      </c>
      <c r="AA22" s="1">
        <v>50</v>
      </c>
      <c r="AB22" s="1">
        <v>66</v>
      </c>
      <c r="AE22" s="1">
        <v>61</v>
      </c>
      <c r="AL22" s="1">
        <v>29</v>
      </c>
      <c r="AQ22" s="7"/>
      <c r="BS22" s="16"/>
    </row>
    <row r="23" spans="1:71" x14ac:dyDescent="0.2">
      <c r="A23" s="1" t="s">
        <v>2</v>
      </c>
      <c r="B23" s="7" t="s">
        <v>153</v>
      </c>
      <c r="C23" s="1" t="s">
        <v>114</v>
      </c>
      <c r="D23" s="1"/>
      <c r="G23" s="1" t="str">
        <f t="shared" si="0"/>
        <v/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T23" t="s">
        <v>282</v>
      </c>
      <c r="U23" s="9">
        <v>1.86</v>
      </c>
      <c r="V23" s="10" t="s">
        <v>460</v>
      </c>
      <c r="W23" s="6" t="s">
        <v>289</v>
      </c>
      <c r="X23">
        <f t="shared" si="1"/>
        <v>0</v>
      </c>
      <c r="Y23" s="1">
        <v>85</v>
      </c>
      <c r="Z23" s="1" t="s">
        <v>489</v>
      </c>
      <c r="AA23" s="1">
        <v>69</v>
      </c>
      <c r="AG23" s="1">
        <v>68</v>
      </c>
      <c r="AJ23" s="1">
        <v>70</v>
      </c>
      <c r="AK23" s="1">
        <v>60</v>
      </c>
      <c r="AQ23" s="7"/>
      <c r="BS23" s="16"/>
    </row>
    <row r="24" spans="1:71" hidden="1" x14ac:dyDescent="0.2">
      <c r="A24" s="1" t="s">
        <v>2</v>
      </c>
      <c r="B24" s="7" t="s">
        <v>154</v>
      </c>
      <c r="C24" s="1" t="s">
        <v>114</v>
      </c>
      <c r="D24" s="1"/>
      <c r="G24" s="1" t="str">
        <f t="shared" si="0"/>
        <v/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T24" t="s">
        <v>284</v>
      </c>
      <c r="U24" s="9">
        <v>1.96</v>
      </c>
      <c r="V24" s="10" t="s">
        <v>461</v>
      </c>
      <c r="W24" s="6" t="s">
        <v>290</v>
      </c>
      <c r="X24">
        <f t="shared" si="1"/>
        <v>0</v>
      </c>
      <c r="Y24" s="14">
        <v>65</v>
      </c>
      <c r="Z24" s="1" t="s">
        <v>493</v>
      </c>
      <c r="AA24" s="1">
        <v>63</v>
      </c>
      <c r="AG24" s="1">
        <v>71</v>
      </c>
      <c r="AJ24" s="1">
        <v>63</v>
      </c>
      <c r="AK24" s="1">
        <v>71</v>
      </c>
      <c r="AQ24" s="7"/>
      <c r="BS24" s="16"/>
    </row>
    <row r="25" spans="1:71" hidden="1" x14ac:dyDescent="0.2">
      <c r="A25" s="1" t="s">
        <v>2</v>
      </c>
      <c r="B25" s="7" t="s">
        <v>155</v>
      </c>
      <c r="C25" s="1" t="s">
        <v>115</v>
      </c>
      <c r="D25" s="8" t="s">
        <v>293</v>
      </c>
      <c r="E25" s="1">
        <f>G25-F25+1</f>
        <v>3</v>
      </c>
      <c r="F25" s="1" t="str">
        <f>LEFT(D25, SEARCH("-",D25,1)-1)</f>
        <v>2017</v>
      </c>
      <c r="G25" s="1" t="str">
        <f t="shared" si="0"/>
        <v>2019</v>
      </c>
      <c r="H25" s="8">
        <v>7</v>
      </c>
      <c r="I25" s="8">
        <v>3</v>
      </c>
      <c r="J25" s="8">
        <v>4</v>
      </c>
      <c r="K25" s="8">
        <v>5</v>
      </c>
      <c r="L25" s="8">
        <v>1</v>
      </c>
      <c r="M25" s="8">
        <v>0</v>
      </c>
      <c r="N25" s="8">
        <v>0</v>
      </c>
      <c r="O25" s="8">
        <v>0</v>
      </c>
      <c r="P25" s="8">
        <v>4</v>
      </c>
      <c r="Q25" s="8">
        <v>3</v>
      </c>
      <c r="R25" s="8">
        <v>0</v>
      </c>
      <c r="S25" s="8">
        <v>57.14</v>
      </c>
      <c r="T25" t="s">
        <v>292</v>
      </c>
      <c r="U25" s="9">
        <v>1.75</v>
      </c>
      <c r="V25" s="10">
        <v>81.646626600000005</v>
      </c>
      <c r="W25" s="6" t="s">
        <v>291</v>
      </c>
      <c r="X25">
        <f t="shared" si="1"/>
        <v>1</v>
      </c>
      <c r="Y25" s="14">
        <v>89</v>
      </c>
      <c r="Z25" s="1" t="s">
        <v>489</v>
      </c>
      <c r="AA25" s="1">
        <v>66</v>
      </c>
      <c r="AC25" s="1">
        <v>90</v>
      </c>
      <c r="AL25" s="1">
        <v>79</v>
      </c>
      <c r="AQ25" s="7">
        <v>178</v>
      </c>
      <c r="AR25" s="1">
        <v>40</v>
      </c>
      <c r="AS25" s="1">
        <f t="shared" si="2"/>
        <v>4.45</v>
      </c>
      <c r="AT25">
        <v>229</v>
      </c>
      <c r="AU25">
        <v>5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17</v>
      </c>
      <c r="BB25">
        <v>8</v>
      </c>
      <c r="BC25">
        <v>13</v>
      </c>
      <c r="BD25">
        <v>0</v>
      </c>
      <c r="BE25">
        <v>182</v>
      </c>
      <c r="BF25">
        <v>7</v>
      </c>
      <c r="BG25">
        <v>21</v>
      </c>
      <c r="BH25">
        <v>4</v>
      </c>
      <c r="BI25">
        <v>6</v>
      </c>
      <c r="BJ25">
        <v>8</v>
      </c>
      <c r="BK25">
        <v>6</v>
      </c>
      <c r="BL25">
        <v>0</v>
      </c>
      <c r="BM25">
        <v>36</v>
      </c>
      <c r="BN25">
        <v>6</v>
      </c>
      <c r="BO25">
        <v>1</v>
      </c>
      <c r="BP25">
        <v>0</v>
      </c>
      <c r="BQ25">
        <v>0</v>
      </c>
      <c r="BR25">
        <v>0</v>
      </c>
      <c r="BS25" s="16"/>
    </row>
    <row r="26" spans="1:71" hidden="1" x14ac:dyDescent="0.2">
      <c r="A26" s="1" t="s">
        <v>2</v>
      </c>
      <c r="B26" s="7" t="s">
        <v>156</v>
      </c>
      <c r="C26" s="1" t="s">
        <v>115</v>
      </c>
      <c r="D26" s="1"/>
      <c r="G26" s="1" t="str">
        <f t="shared" si="0"/>
        <v/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T26" t="s">
        <v>292</v>
      </c>
      <c r="U26" s="9">
        <v>1.77</v>
      </c>
      <c r="V26" s="10" t="s">
        <v>462</v>
      </c>
      <c r="W26" s="6" t="s">
        <v>294</v>
      </c>
      <c r="X26">
        <f t="shared" si="1"/>
        <v>0</v>
      </c>
      <c r="Z26" s="1" t="s">
        <v>493</v>
      </c>
      <c r="AQ26" s="7"/>
      <c r="BS26" s="16"/>
    </row>
    <row r="27" spans="1:71" hidden="1" x14ac:dyDescent="0.2">
      <c r="A27" s="1" t="s">
        <v>2</v>
      </c>
      <c r="B27" s="7" t="s">
        <v>157</v>
      </c>
      <c r="C27" s="1" t="s">
        <v>115</v>
      </c>
      <c r="D27" s="8" t="s">
        <v>293</v>
      </c>
      <c r="E27" s="1">
        <f>G27-F27+1</f>
        <v>3</v>
      </c>
      <c r="F27" s="1" t="str">
        <f>LEFT(D27, SEARCH("-",D27,1)-1)</f>
        <v>2017</v>
      </c>
      <c r="G27" s="1" t="str">
        <f t="shared" si="0"/>
        <v>2019</v>
      </c>
      <c r="H27" s="8">
        <v>10</v>
      </c>
      <c r="I27" s="8">
        <v>5</v>
      </c>
      <c r="J27" s="8">
        <v>5</v>
      </c>
      <c r="K27" s="8">
        <v>12</v>
      </c>
      <c r="L27" s="8">
        <v>0</v>
      </c>
      <c r="M27" s="8">
        <v>3</v>
      </c>
      <c r="N27" s="8">
        <v>2</v>
      </c>
      <c r="O27" s="8">
        <v>0</v>
      </c>
      <c r="P27" s="8">
        <v>5</v>
      </c>
      <c r="Q27" s="8">
        <v>5</v>
      </c>
      <c r="R27" s="8">
        <v>0</v>
      </c>
      <c r="S27" s="8">
        <v>50</v>
      </c>
      <c r="T27" t="s">
        <v>292</v>
      </c>
      <c r="U27" s="9">
        <v>1.8</v>
      </c>
      <c r="V27" s="10">
        <v>75.749925790000006</v>
      </c>
      <c r="W27" s="6" t="s">
        <v>295</v>
      </c>
      <c r="X27">
        <f t="shared" si="1"/>
        <v>1</v>
      </c>
      <c r="Y27" s="14">
        <v>81</v>
      </c>
      <c r="Z27" s="1" t="s">
        <v>493</v>
      </c>
      <c r="AA27" s="1">
        <v>64</v>
      </c>
      <c r="AC27" s="1">
        <v>88</v>
      </c>
      <c r="AL27" s="1">
        <v>76</v>
      </c>
      <c r="AQ27" s="7">
        <v>15</v>
      </c>
      <c r="AR27" s="1">
        <v>3</v>
      </c>
      <c r="AS27" s="1">
        <f t="shared" si="2"/>
        <v>5</v>
      </c>
      <c r="AT27">
        <v>68</v>
      </c>
      <c r="AU27">
        <v>6</v>
      </c>
      <c r="AV27">
        <v>0</v>
      </c>
      <c r="AW27">
        <v>0</v>
      </c>
      <c r="AX27">
        <v>3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79</v>
      </c>
      <c r="BF27">
        <v>1</v>
      </c>
      <c r="BG27">
        <v>11</v>
      </c>
      <c r="BH27">
        <v>1</v>
      </c>
      <c r="BI27">
        <v>1</v>
      </c>
      <c r="BJ27">
        <v>1</v>
      </c>
      <c r="BK27">
        <v>1</v>
      </c>
      <c r="BL27">
        <v>0</v>
      </c>
      <c r="BM27">
        <v>11</v>
      </c>
      <c r="BN27">
        <v>2</v>
      </c>
      <c r="BO27">
        <v>0</v>
      </c>
      <c r="BP27">
        <v>0</v>
      </c>
      <c r="BQ27">
        <v>0</v>
      </c>
      <c r="BR27">
        <v>0</v>
      </c>
      <c r="BS27" s="16"/>
    </row>
    <row r="28" spans="1:71" hidden="1" x14ac:dyDescent="0.2">
      <c r="A28" s="1" t="s">
        <v>2</v>
      </c>
      <c r="B28" s="7" t="s">
        <v>158</v>
      </c>
      <c r="C28" s="1" t="s">
        <v>115</v>
      </c>
      <c r="D28" s="1"/>
      <c r="G28" s="1" t="str">
        <f t="shared" si="0"/>
        <v/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T28" t="s">
        <v>297</v>
      </c>
      <c r="U28" s="9">
        <v>1.77</v>
      </c>
      <c r="V28" s="10" t="s">
        <v>463</v>
      </c>
      <c r="W28" s="6" t="s">
        <v>296</v>
      </c>
      <c r="X28">
        <f t="shared" si="1"/>
        <v>0</v>
      </c>
      <c r="Y28" s="14">
        <v>65</v>
      </c>
      <c r="Z28" s="1" t="s">
        <v>492</v>
      </c>
      <c r="AA28" s="1">
        <v>69</v>
      </c>
      <c r="AD28" s="1">
        <v>29</v>
      </c>
      <c r="AM28" s="1">
        <v>87</v>
      </c>
      <c r="AN28" s="1">
        <v>78</v>
      </c>
      <c r="AQ28" s="7"/>
      <c r="BS28" s="16"/>
    </row>
    <row r="29" spans="1:71" hidden="1" x14ac:dyDescent="0.2">
      <c r="A29" s="1" t="s">
        <v>2</v>
      </c>
      <c r="B29" s="7" t="s">
        <v>159</v>
      </c>
      <c r="C29" s="1" t="s">
        <v>115</v>
      </c>
      <c r="D29" s="8" t="s">
        <v>298</v>
      </c>
      <c r="E29" s="1">
        <f>G29-F29+1</f>
        <v>1</v>
      </c>
      <c r="F29" s="1" t="str">
        <f>LEFT(D29, SEARCH("-",D29,1)-1)</f>
        <v>2018</v>
      </c>
      <c r="G29" s="1" t="str">
        <f t="shared" si="0"/>
        <v>2018</v>
      </c>
      <c r="H29" s="8">
        <v>1</v>
      </c>
      <c r="I29" s="8">
        <v>1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1</v>
      </c>
      <c r="R29" s="8">
        <v>0</v>
      </c>
      <c r="S29" s="8">
        <v>0</v>
      </c>
      <c r="T29" t="s">
        <v>297</v>
      </c>
      <c r="U29" s="9">
        <v>1.77</v>
      </c>
      <c r="V29" s="10">
        <v>78.925072380000003</v>
      </c>
      <c r="W29" s="6" t="s">
        <v>299</v>
      </c>
      <c r="X29">
        <f t="shared" si="1"/>
        <v>1</v>
      </c>
      <c r="Y29" s="14">
        <v>69</v>
      </c>
      <c r="Z29" s="1" t="s">
        <v>493</v>
      </c>
      <c r="AA29" s="1">
        <v>51</v>
      </c>
      <c r="AB29" s="1">
        <v>76</v>
      </c>
      <c r="AC29" s="1">
        <v>45</v>
      </c>
      <c r="AO29" s="1">
        <v>89</v>
      </c>
      <c r="AQ29" s="7"/>
      <c r="BS29" s="16"/>
    </row>
    <row r="30" spans="1:71" hidden="1" x14ac:dyDescent="0.2">
      <c r="A30" s="1" t="s">
        <v>2</v>
      </c>
      <c r="B30" s="7" t="s">
        <v>160</v>
      </c>
      <c r="C30" s="1" t="s">
        <v>115</v>
      </c>
      <c r="D30" s="8" t="s">
        <v>256</v>
      </c>
      <c r="E30" s="1">
        <f>G30-F30+1</f>
        <v>1</v>
      </c>
      <c r="F30" s="1" t="str">
        <f>LEFT(D30, SEARCH("-",D30,1)-1)</f>
        <v>2019</v>
      </c>
      <c r="G30" s="1" t="str">
        <f t="shared" si="0"/>
        <v>2019</v>
      </c>
      <c r="H30" s="8">
        <v>5</v>
      </c>
      <c r="I30" s="8">
        <v>4</v>
      </c>
      <c r="J30" s="8">
        <v>1</v>
      </c>
      <c r="K30" s="8">
        <v>15</v>
      </c>
      <c r="L30" s="8">
        <v>1</v>
      </c>
      <c r="M30" s="8">
        <v>2</v>
      </c>
      <c r="N30" s="8">
        <v>1</v>
      </c>
      <c r="O30" s="8">
        <v>1</v>
      </c>
      <c r="P30" s="8">
        <v>2</v>
      </c>
      <c r="Q30" s="8">
        <v>3</v>
      </c>
      <c r="R30" s="8">
        <v>0</v>
      </c>
      <c r="S30" s="8">
        <v>40</v>
      </c>
      <c r="T30" t="s">
        <v>297</v>
      </c>
      <c r="U30" s="9">
        <v>1.85</v>
      </c>
      <c r="V30" s="10">
        <v>80.739441859999999</v>
      </c>
      <c r="W30" s="6" t="s">
        <v>300</v>
      </c>
      <c r="X30">
        <f t="shared" si="1"/>
        <v>1</v>
      </c>
      <c r="Y30" s="14">
        <v>87</v>
      </c>
      <c r="Z30" s="1" t="s">
        <v>489</v>
      </c>
      <c r="AA30" s="1">
        <v>69</v>
      </c>
      <c r="AB30" s="1">
        <v>66</v>
      </c>
      <c r="AC30" s="1">
        <v>86</v>
      </c>
      <c r="AO30" s="1">
        <v>89</v>
      </c>
      <c r="AQ30" s="7">
        <v>75</v>
      </c>
      <c r="AR30" s="1">
        <v>34</v>
      </c>
      <c r="AS30" s="1">
        <f t="shared" si="2"/>
        <v>2.2058823529411766</v>
      </c>
      <c r="AT30">
        <v>344</v>
      </c>
      <c r="AU30">
        <v>15</v>
      </c>
      <c r="AV30">
        <v>1</v>
      </c>
      <c r="AW30">
        <v>1</v>
      </c>
      <c r="AX30">
        <v>2</v>
      </c>
      <c r="AY30">
        <v>1</v>
      </c>
      <c r="AZ30">
        <v>1</v>
      </c>
      <c r="BA30">
        <v>8</v>
      </c>
      <c r="BB30">
        <v>1</v>
      </c>
      <c r="BC30">
        <v>14</v>
      </c>
      <c r="BD30">
        <v>1</v>
      </c>
      <c r="BE30">
        <v>58</v>
      </c>
      <c r="BF30">
        <v>2</v>
      </c>
      <c r="BG30">
        <v>48</v>
      </c>
      <c r="BH30">
        <v>11</v>
      </c>
      <c r="BI30">
        <v>2</v>
      </c>
      <c r="BJ30">
        <v>4</v>
      </c>
      <c r="BK30">
        <v>2</v>
      </c>
      <c r="BL30">
        <v>1</v>
      </c>
      <c r="BM30">
        <v>22</v>
      </c>
      <c r="BN30">
        <v>3</v>
      </c>
      <c r="BO30">
        <v>0</v>
      </c>
      <c r="BP30">
        <v>0</v>
      </c>
      <c r="BQ30">
        <v>0</v>
      </c>
      <c r="BR30">
        <v>0</v>
      </c>
      <c r="BS30" s="16"/>
    </row>
    <row r="31" spans="1:71" hidden="1" x14ac:dyDescent="0.2">
      <c r="A31" s="1" t="s">
        <v>2</v>
      </c>
      <c r="B31" s="7" t="s">
        <v>161</v>
      </c>
      <c r="C31" s="1" t="s">
        <v>115</v>
      </c>
      <c r="D31" s="8" t="s">
        <v>301</v>
      </c>
      <c r="E31" s="1">
        <f>G31-F31+1</f>
        <v>7</v>
      </c>
      <c r="F31" s="1" t="str">
        <f>LEFT(D31, SEARCH("-",D31,1)-1)</f>
        <v>2013</v>
      </c>
      <c r="G31" s="1" t="str">
        <f t="shared" si="0"/>
        <v>2019</v>
      </c>
      <c r="H31" s="8">
        <v>24</v>
      </c>
      <c r="I31" s="8">
        <v>15</v>
      </c>
      <c r="J31" s="8">
        <v>9</v>
      </c>
      <c r="K31" s="8">
        <v>25</v>
      </c>
      <c r="L31" s="8">
        <v>5</v>
      </c>
      <c r="M31" s="8">
        <v>0</v>
      </c>
      <c r="N31" s="8">
        <v>0</v>
      </c>
      <c r="O31" s="8">
        <v>0</v>
      </c>
      <c r="P31" s="8">
        <v>12</v>
      </c>
      <c r="Q31" s="8">
        <v>12</v>
      </c>
      <c r="R31" s="8">
        <v>0</v>
      </c>
      <c r="S31" s="8">
        <v>50</v>
      </c>
      <c r="T31" t="s">
        <v>302</v>
      </c>
      <c r="U31" s="9">
        <v>1.91</v>
      </c>
      <c r="V31" s="10">
        <v>89.811289260000009</v>
      </c>
      <c r="W31" s="6" t="s">
        <v>303</v>
      </c>
      <c r="X31">
        <f t="shared" si="1"/>
        <v>1</v>
      </c>
      <c r="Y31" s="14">
        <v>86</v>
      </c>
      <c r="Z31" s="1" t="s">
        <v>499</v>
      </c>
      <c r="AA31" s="1">
        <v>68</v>
      </c>
      <c r="AB31" s="1">
        <v>91</v>
      </c>
      <c r="AP31" s="1">
        <v>88</v>
      </c>
      <c r="AQ31" s="7">
        <v>129</v>
      </c>
      <c r="AR31" s="1">
        <v>32</v>
      </c>
      <c r="AS31" s="1">
        <f t="shared" si="2"/>
        <v>4.03125</v>
      </c>
      <c r="AT31">
        <v>248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8</v>
      </c>
      <c r="BB31">
        <v>5</v>
      </c>
      <c r="BC31">
        <v>10</v>
      </c>
      <c r="BD31">
        <v>0</v>
      </c>
      <c r="BE31">
        <v>10</v>
      </c>
      <c r="BF31">
        <v>1</v>
      </c>
      <c r="BG31">
        <v>29</v>
      </c>
      <c r="BH31">
        <v>2</v>
      </c>
      <c r="BI31">
        <v>0</v>
      </c>
      <c r="BJ31">
        <v>1</v>
      </c>
      <c r="BK31">
        <v>1</v>
      </c>
      <c r="BL31">
        <v>1</v>
      </c>
      <c r="BM31">
        <v>5</v>
      </c>
      <c r="BN31">
        <v>2</v>
      </c>
      <c r="BO31">
        <v>0</v>
      </c>
      <c r="BP31">
        <v>0</v>
      </c>
      <c r="BQ31">
        <v>1</v>
      </c>
      <c r="BR31">
        <v>0</v>
      </c>
      <c r="BS31" s="16"/>
    </row>
    <row r="32" spans="1:71" hidden="1" x14ac:dyDescent="0.2">
      <c r="A32" s="1" t="s">
        <v>2</v>
      </c>
      <c r="B32" s="7" t="s">
        <v>162</v>
      </c>
      <c r="C32" s="1" t="s">
        <v>115</v>
      </c>
      <c r="D32" s="1"/>
      <c r="G32" s="1" t="str">
        <f t="shared" si="0"/>
        <v/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T32" t="s">
        <v>302</v>
      </c>
      <c r="U32" s="9">
        <v>1.82</v>
      </c>
      <c r="V32" s="10" t="s">
        <v>463</v>
      </c>
      <c r="W32" s="6" t="s">
        <v>304</v>
      </c>
      <c r="X32">
        <f t="shared" si="1"/>
        <v>0</v>
      </c>
      <c r="Y32" s="14">
        <v>60</v>
      </c>
      <c r="Z32" s="1" t="s">
        <v>500</v>
      </c>
      <c r="AA32" s="1">
        <v>68</v>
      </c>
      <c r="AB32" s="1">
        <v>74</v>
      </c>
      <c r="AP32" s="1">
        <v>79</v>
      </c>
      <c r="AQ32" s="7"/>
      <c r="BS32" s="16"/>
    </row>
    <row r="33" spans="1:71" hidden="1" x14ac:dyDescent="0.2">
      <c r="A33" s="1" t="s">
        <v>2</v>
      </c>
      <c r="B33" s="7" t="s">
        <v>163</v>
      </c>
      <c r="C33" s="1" t="s">
        <v>115</v>
      </c>
      <c r="D33" s="8" t="s">
        <v>306</v>
      </c>
      <c r="E33" s="1">
        <f>G33-F33+1</f>
        <v>3</v>
      </c>
      <c r="F33" s="1" t="str">
        <f>LEFT(D33, SEARCH("-",D33,1)-1)</f>
        <v>2016</v>
      </c>
      <c r="G33" s="1" t="str">
        <f t="shared" si="0"/>
        <v>2018</v>
      </c>
      <c r="H33" s="8">
        <v>11</v>
      </c>
      <c r="I33" s="8">
        <v>11</v>
      </c>
      <c r="J33" s="8">
        <v>0</v>
      </c>
      <c r="K33" s="8">
        <v>10</v>
      </c>
      <c r="L33" s="8">
        <v>2</v>
      </c>
      <c r="M33" s="8">
        <v>0</v>
      </c>
      <c r="N33" s="8">
        <v>0</v>
      </c>
      <c r="O33" s="8">
        <v>0</v>
      </c>
      <c r="P33" s="8">
        <v>5</v>
      </c>
      <c r="Q33" s="8">
        <v>6</v>
      </c>
      <c r="R33" s="8">
        <v>0</v>
      </c>
      <c r="S33" s="8">
        <v>45.45</v>
      </c>
      <c r="T33" t="s">
        <v>302</v>
      </c>
      <c r="U33" s="9">
        <v>1.85</v>
      </c>
      <c r="V33" s="10">
        <v>91.625658740000006</v>
      </c>
      <c r="W33" s="6" t="s">
        <v>305</v>
      </c>
      <c r="X33">
        <f t="shared" si="1"/>
        <v>1</v>
      </c>
      <c r="Y33" s="14">
        <v>81</v>
      </c>
      <c r="Z33" s="1" t="s">
        <v>491</v>
      </c>
      <c r="AA33" s="1">
        <v>74</v>
      </c>
      <c r="AB33" s="1">
        <v>81</v>
      </c>
      <c r="AC33" s="1">
        <v>50</v>
      </c>
      <c r="AD33" s="1">
        <v>29</v>
      </c>
      <c r="AQ33" s="7"/>
      <c r="BS33" s="16"/>
    </row>
    <row r="34" spans="1:71" hidden="1" x14ac:dyDescent="0.2">
      <c r="A34" s="1" t="s">
        <v>2</v>
      </c>
      <c r="B34" s="7" t="s">
        <v>164</v>
      </c>
      <c r="C34" s="1" t="s">
        <v>115</v>
      </c>
      <c r="D34" s="1"/>
      <c r="G34" s="1" t="str">
        <f t="shared" si="0"/>
        <v/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T34" t="s">
        <v>302</v>
      </c>
      <c r="U34" s="9">
        <v>1.83</v>
      </c>
      <c r="V34" s="10" t="s">
        <v>463</v>
      </c>
      <c r="W34" s="6" t="s">
        <v>307</v>
      </c>
      <c r="X34">
        <f t="shared" ref="X34:X65" si="3">IF(ISBLANK(D34),0,1)</f>
        <v>0</v>
      </c>
      <c r="Y34" s="14">
        <v>66</v>
      </c>
      <c r="Z34" s="1" t="s">
        <v>495</v>
      </c>
      <c r="AA34" s="1">
        <v>59</v>
      </c>
      <c r="AB34" s="1">
        <v>69</v>
      </c>
      <c r="AP34" s="1">
        <v>75</v>
      </c>
      <c r="AQ34" s="7"/>
      <c r="BS34" s="16"/>
    </row>
    <row r="35" spans="1:71" hidden="1" x14ac:dyDescent="0.2">
      <c r="A35" s="1" t="s">
        <v>2</v>
      </c>
      <c r="B35" s="7" t="s">
        <v>165</v>
      </c>
      <c r="C35" s="1" t="s">
        <v>115</v>
      </c>
      <c r="D35" s="1"/>
      <c r="G35" s="1" t="str">
        <f t="shared" si="0"/>
        <v/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T35" t="s">
        <v>309</v>
      </c>
      <c r="U35" s="9">
        <v>1.72</v>
      </c>
      <c r="V35" s="10" t="s">
        <v>464</v>
      </c>
      <c r="W35" s="6" t="s">
        <v>308</v>
      </c>
      <c r="X35">
        <f t="shared" si="3"/>
        <v>0</v>
      </c>
      <c r="Y35" s="14">
        <v>61</v>
      </c>
      <c r="Z35" s="1" t="s">
        <v>494</v>
      </c>
      <c r="AA35" s="1">
        <v>59</v>
      </c>
      <c r="AD35" s="1">
        <v>82</v>
      </c>
      <c r="AM35" s="1">
        <v>86</v>
      </c>
      <c r="AN35" s="1">
        <v>79</v>
      </c>
      <c r="AQ35" s="7"/>
      <c r="BS35" s="16"/>
    </row>
    <row r="36" spans="1:71" hidden="1" x14ac:dyDescent="0.2">
      <c r="A36" s="1" t="s">
        <v>2</v>
      </c>
      <c r="B36" s="7" t="s">
        <v>166</v>
      </c>
      <c r="C36" s="1" t="s">
        <v>115</v>
      </c>
      <c r="D36" s="1"/>
      <c r="G36" s="1" t="str">
        <f t="shared" si="0"/>
        <v/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T36" t="s">
        <v>311</v>
      </c>
      <c r="U36" s="9">
        <v>1.81</v>
      </c>
      <c r="V36" s="10" t="s">
        <v>465</v>
      </c>
      <c r="W36" s="6" t="s">
        <v>310</v>
      </c>
      <c r="X36">
        <f t="shared" si="3"/>
        <v>0</v>
      </c>
      <c r="Y36" s="14">
        <v>71</v>
      </c>
      <c r="Z36" s="1" t="s">
        <v>499</v>
      </c>
      <c r="AA36" s="1">
        <v>64</v>
      </c>
      <c r="AB36" s="1">
        <v>74</v>
      </c>
      <c r="AC36" s="1">
        <v>55</v>
      </c>
      <c r="AD36" s="1">
        <v>29</v>
      </c>
      <c r="AQ36" s="7"/>
      <c r="BS36" s="16"/>
    </row>
    <row r="37" spans="1:71" ht="16" hidden="1" x14ac:dyDescent="0.2">
      <c r="A37" s="1" t="s">
        <v>2</v>
      </c>
      <c r="B37" s="7" t="s">
        <v>167</v>
      </c>
      <c r="C37" s="1" t="s">
        <v>115</v>
      </c>
      <c r="D37" s="1"/>
      <c r="G37" s="1" t="str">
        <f t="shared" si="0"/>
        <v/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T37" t="s">
        <v>311</v>
      </c>
      <c r="U37" s="9">
        <v>1.73</v>
      </c>
      <c r="V37" s="10" t="s">
        <v>466</v>
      </c>
      <c r="W37" s="11" t="s">
        <v>312</v>
      </c>
      <c r="X37">
        <f t="shared" si="3"/>
        <v>0</v>
      </c>
      <c r="Y37" s="14">
        <v>75</v>
      </c>
      <c r="Z37" s="1" t="s">
        <v>495</v>
      </c>
      <c r="AA37" s="1">
        <v>69</v>
      </c>
      <c r="AB37" s="1">
        <v>83</v>
      </c>
      <c r="AC37" s="1">
        <v>58</v>
      </c>
      <c r="AD37" s="1">
        <v>29</v>
      </c>
      <c r="AQ37" s="7"/>
      <c r="BS37" s="17"/>
    </row>
    <row r="38" spans="1:71" hidden="1" x14ac:dyDescent="0.2">
      <c r="A38" s="1" t="s">
        <v>2</v>
      </c>
      <c r="B38" s="7" t="s">
        <v>168</v>
      </c>
      <c r="C38" s="1" t="s">
        <v>115</v>
      </c>
      <c r="D38" s="8" t="s">
        <v>256</v>
      </c>
      <c r="E38" s="1">
        <f>G38-F38+1</f>
        <v>1</v>
      </c>
      <c r="F38" s="1" t="str">
        <f>LEFT(D38, SEARCH("-",D38,1)-1)</f>
        <v>2019</v>
      </c>
      <c r="G38" s="1" t="str">
        <f t="shared" si="0"/>
        <v>2019</v>
      </c>
      <c r="H38" s="8">
        <v>5</v>
      </c>
      <c r="I38" s="8">
        <v>5</v>
      </c>
      <c r="J38" s="8">
        <v>0</v>
      </c>
      <c r="K38" s="8">
        <v>10</v>
      </c>
      <c r="L38" s="8">
        <v>2</v>
      </c>
      <c r="M38" s="8">
        <v>0</v>
      </c>
      <c r="N38" s="8">
        <v>0</v>
      </c>
      <c r="O38" s="8">
        <v>0</v>
      </c>
      <c r="P38" s="8">
        <v>2</v>
      </c>
      <c r="Q38" s="8">
        <v>3</v>
      </c>
      <c r="R38" s="8">
        <v>0</v>
      </c>
      <c r="S38" s="8">
        <v>40</v>
      </c>
      <c r="T38" t="s">
        <v>311</v>
      </c>
      <c r="U38" s="9">
        <v>1.85</v>
      </c>
      <c r="V38" s="10">
        <v>91.625658740000006</v>
      </c>
      <c r="W38" s="6" t="s">
        <v>313</v>
      </c>
      <c r="X38">
        <f t="shared" si="3"/>
        <v>1</v>
      </c>
      <c r="Y38" s="14">
        <v>81</v>
      </c>
      <c r="Z38" s="1" t="s">
        <v>501</v>
      </c>
      <c r="AA38" s="1">
        <v>79</v>
      </c>
      <c r="AB38" s="1">
        <v>83</v>
      </c>
      <c r="AP38" s="1">
        <v>86</v>
      </c>
      <c r="AQ38" s="7">
        <v>279</v>
      </c>
      <c r="AR38" s="1">
        <v>28</v>
      </c>
      <c r="AS38" s="1">
        <f t="shared" si="2"/>
        <v>9.9642857142857135</v>
      </c>
      <c r="AT38">
        <v>372</v>
      </c>
      <c r="AU38">
        <v>10</v>
      </c>
      <c r="AV38">
        <v>2</v>
      </c>
      <c r="AW38">
        <v>1</v>
      </c>
      <c r="AX38">
        <v>0</v>
      </c>
      <c r="AY38">
        <v>0</v>
      </c>
      <c r="AZ38">
        <v>0</v>
      </c>
      <c r="BA38">
        <v>14</v>
      </c>
      <c r="BB38">
        <v>7</v>
      </c>
      <c r="BC38">
        <v>4</v>
      </c>
      <c r="BD38">
        <v>0</v>
      </c>
      <c r="BE38">
        <v>18</v>
      </c>
      <c r="BF38">
        <v>5</v>
      </c>
      <c r="BG38">
        <v>26</v>
      </c>
      <c r="BH38">
        <v>8</v>
      </c>
      <c r="BI38">
        <v>4</v>
      </c>
      <c r="BJ38">
        <v>6</v>
      </c>
      <c r="BK38">
        <v>5</v>
      </c>
      <c r="BL38">
        <v>1</v>
      </c>
      <c r="BM38">
        <v>5</v>
      </c>
      <c r="BN38">
        <v>7</v>
      </c>
      <c r="BO38">
        <v>0</v>
      </c>
      <c r="BP38">
        <v>0</v>
      </c>
      <c r="BQ38">
        <v>0</v>
      </c>
      <c r="BR38">
        <v>0</v>
      </c>
      <c r="BS38" s="16"/>
    </row>
    <row r="39" spans="1:71" hidden="1" x14ac:dyDescent="0.2">
      <c r="A39" s="1" t="s">
        <v>2</v>
      </c>
      <c r="B39" s="7" t="s">
        <v>169</v>
      </c>
      <c r="C39" s="1" t="s">
        <v>115</v>
      </c>
      <c r="D39" s="1"/>
      <c r="G39" s="1" t="str">
        <f t="shared" si="0"/>
        <v/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T39" t="s">
        <v>315</v>
      </c>
      <c r="U39" s="9">
        <v>1.8</v>
      </c>
      <c r="V39" s="10">
        <v>74.842741050000001</v>
      </c>
      <c r="W39" s="6" t="s">
        <v>314</v>
      </c>
      <c r="X39">
        <f t="shared" si="3"/>
        <v>0</v>
      </c>
      <c r="Y39" s="14">
        <v>71</v>
      </c>
      <c r="Z39" s="1" t="s">
        <v>496</v>
      </c>
      <c r="AA39" s="1">
        <v>58</v>
      </c>
      <c r="AB39" s="1">
        <v>79</v>
      </c>
      <c r="AC39" s="1">
        <v>54</v>
      </c>
      <c r="AD39" s="1">
        <v>85</v>
      </c>
      <c r="AQ39" s="7"/>
      <c r="BS39" s="16"/>
    </row>
    <row r="40" spans="1:71" hidden="1" x14ac:dyDescent="0.2">
      <c r="A40" s="1" t="s">
        <v>2</v>
      </c>
      <c r="B40" s="7" t="s">
        <v>170</v>
      </c>
      <c r="C40" s="1" t="s">
        <v>115</v>
      </c>
      <c r="D40" s="12" t="s">
        <v>317</v>
      </c>
      <c r="E40" s="1">
        <f>G40-F40+1</f>
        <v>4</v>
      </c>
      <c r="F40" s="1" t="str">
        <f>LEFT(D40, SEARCH("-",D40,1)-1)</f>
        <v>2015</v>
      </c>
      <c r="G40" s="1" t="str">
        <f t="shared" si="0"/>
        <v>2018</v>
      </c>
      <c r="H40" s="12">
        <v>5</v>
      </c>
      <c r="I40" s="12">
        <v>5</v>
      </c>
      <c r="J40" s="12">
        <v>0</v>
      </c>
      <c r="K40" s="12">
        <v>15</v>
      </c>
      <c r="L40" s="12">
        <v>3</v>
      </c>
      <c r="M40" s="12">
        <v>0</v>
      </c>
      <c r="N40" s="12">
        <v>0</v>
      </c>
      <c r="O40" s="12">
        <v>0</v>
      </c>
      <c r="P40" s="12">
        <v>2</v>
      </c>
      <c r="Q40" s="12">
        <v>3</v>
      </c>
      <c r="R40" s="12">
        <v>0</v>
      </c>
      <c r="S40" s="12">
        <v>40</v>
      </c>
      <c r="T40" t="s">
        <v>311</v>
      </c>
      <c r="U40" s="9">
        <v>1.85</v>
      </c>
      <c r="V40" s="10">
        <v>89.811289260000009</v>
      </c>
      <c r="W40" s="6" t="s">
        <v>316</v>
      </c>
      <c r="X40">
        <f t="shared" si="3"/>
        <v>1</v>
      </c>
      <c r="Y40" s="14">
        <v>83</v>
      </c>
      <c r="Z40" s="1" t="s">
        <v>491</v>
      </c>
      <c r="AA40" s="1">
        <v>83</v>
      </c>
      <c r="AB40" s="1">
        <v>85</v>
      </c>
      <c r="AC40" s="1">
        <v>81</v>
      </c>
      <c r="AD40" s="1">
        <v>29</v>
      </c>
      <c r="AQ40" s="7"/>
      <c r="BS40" s="16"/>
    </row>
    <row r="41" spans="1:71" hidden="1" x14ac:dyDescent="0.2">
      <c r="A41" s="1" t="s">
        <v>2</v>
      </c>
      <c r="B41" s="7" t="s">
        <v>171</v>
      </c>
      <c r="C41" s="1" t="s">
        <v>115</v>
      </c>
      <c r="D41" s="1"/>
      <c r="G41" s="1" t="str">
        <f t="shared" si="0"/>
        <v/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T41" t="s">
        <v>319</v>
      </c>
      <c r="U41" s="9">
        <v>1.82</v>
      </c>
      <c r="V41" s="10" t="s">
        <v>467</v>
      </c>
      <c r="W41" s="6" t="s">
        <v>318</v>
      </c>
      <c r="X41">
        <f t="shared" si="3"/>
        <v>0</v>
      </c>
      <c r="Z41" s="1" t="s">
        <v>495</v>
      </c>
      <c r="AQ41" s="7"/>
      <c r="BS41" s="16"/>
    </row>
    <row r="42" spans="1:71" hidden="1" x14ac:dyDescent="0.2">
      <c r="A42" s="1" t="s">
        <v>2</v>
      </c>
      <c r="B42" s="7" t="s">
        <v>172</v>
      </c>
      <c r="C42" s="1" t="s">
        <v>115</v>
      </c>
      <c r="D42" s="1"/>
      <c r="G42" s="1" t="str">
        <f t="shared" si="0"/>
        <v/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T42" t="s">
        <v>315</v>
      </c>
      <c r="U42" s="9">
        <v>1.83</v>
      </c>
      <c r="V42" s="10">
        <v>88.904104520000004</v>
      </c>
      <c r="W42" s="6" t="s">
        <v>320</v>
      </c>
      <c r="X42">
        <f t="shared" si="3"/>
        <v>0</v>
      </c>
      <c r="Y42" s="14">
        <v>66</v>
      </c>
      <c r="Z42" s="1" t="s">
        <v>499</v>
      </c>
      <c r="AA42" s="1">
        <v>55</v>
      </c>
      <c r="AD42" s="1">
        <v>29</v>
      </c>
      <c r="AM42" s="1">
        <v>91</v>
      </c>
      <c r="AN42" s="1">
        <v>87</v>
      </c>
      <c r="AQ42" s="7"/>
      <c r="BS42" s="16"/>
    </row>
    <row r="43" spans="1:71" hidden="1" x14ac:dyDescent="0.2">
      <c r="A43" s="1" t="s">
        <v>2</v>
      </c>
      <c r="B43" s="7" t="s">
        <v>173</v>
      </c>
      <c r="C43" s="1" t="s">
        <v>115</v>
      </c>
      <c r="D43" s="8" t="s">
        <v>256</v>
      </c>
      <c r="E43" s="1">
        <f>G43-F43+1</f>
        <v>1</v>
      </c>
      <c r="F43" s="1" t="str">
        <f>LEFT(D43, SEARCH("-",D43,1)-1)</f>
        <v>2019</v>
      </c>
      <c r="G43" s="1" t="str">
        <f t="shared" si="0"/>
        <v>2019</v>
      </c>
      <c r="H43" s="8">
        <v>4</v>
      </c>
      <c r="I43" s="8">
        <v>2</v>
      </c>
      <c r="J43" s="8">
        <v>2</v>
      </c>
      <c r="K43" s="8">
        <v>5</v>
      </c>
      <c r="L43" s="8">
        <v>0</v>
      </c>
      <c r="M43" s="8">
        <v>1</v>
      </c>
      <c r="N43" s="8">
        <v>1</v>
      </c>
      <c r="O43" s="8">
        <v>0</v>
      </c>
      <c r="P43" s="8">
        <v>2</v>
      </c>
      <c r="Q43" s="8">
        <v>2</v>
      </c>
      <c r="R43" s="8">
        <v>0</v>
      </c>
      <c r="S43" s="8">
        <v>50</v>
      </c>
      <c r="T43" t="s">
        <v>315</v>
      </c>
      <c r="U43" s="9">
        <v>1.78</v>
      </c>
      <c r="V43" s="10">
        <v>79.832257120000008</v>
      </c>
      <c r="W43" s="6" t="s">
        <v>321</v>
      </c>
      <c r="X43">
        <f t="shared" si="3"/>
        <v>1</v>
      </c>
      <c r="Y43" s="14">
        <v>90</v>
      </c>
      <c r="Z43" s="1" t="s">
        <v>489</v>
      </c>
      <c r="AA43" s="1">
        <v>86</v>
      </c>
      <c r="AD43" s="1">
        <v>88</v>
      </c>
      <c r="AM43" s="1">
        <v>90</v>
      </c>
      <c r="AN43" s="1">
        <v>83</v>
      </c>
      <c r="AQ43" s="7">
        <v>106</v>
      </c>
      <c r="AR43" s="1">
        <v>25</v>
      </c>
      <c r="AS43" s="1">
        <f t="shared" si="2"/>
        <v>4.24</v>
      </c>
      <c r="AT43">
        <v>183</v>
      </c>
      <c r="AU43">
        <v>5</v>
      </c>
      <c r="AV43">
        <v>0</v>
      </c>
      <c r="AW43">
        <v>1</v>
      </c>
      <c r="AX43">
        <v>1</v>
      </c>
      <c r="AY43">
        <v>1</v>
      </c>
      <c r="AZ43">
        <v>0</v>
      </c>
      <c r="BA43">
        <v>11</v>
      </c>
      <c r="BB43">
        <v>2</v>
      </c>
      <c r="BC43">
        <v>3</v>
      </c>
      <c r="BD43">
        <v>0</v>
      </c>
      <c r="BE43">
        <v>21</v>
      </c>
      <c r="BF43">
        <v>2</v>
      </c>
      <c r="BG43">
        <v>2</v>
      </c>
      <c r="BH43">
        <v>1</v>
      </c>
      <c r="BI43">
        <v>1</v>
      </c>
      <c r="BJ43">
        <v>4</v>
      </c>
      <c r="BK43">
        <v>3</v>
      </c>
      <c r="BL43">
        <v>1</v>
      </c>
      <c r="BM43">
        <v>7</v>
      </c>
      <c r="BN43">
        <v>5</v>
      </c>
      <c r="BO43">
        <v>1</v>
      </c>
      <c r="BP43">
        <v>0</v>
      </c>
      <c r="BQ43">
        <v>0</v>
      </c>
      <c r="BR43">
        <v>0</v>
      </c>
      <c r="BS43" s="16"/>
    </row>
    <row r="44" spans="1:71" x14ac:dyDescent="0.2">
      <c r="A44" s="1" t="s">
        <v>3</v>
      </c>
      <c r="B44" s="7" t="s">
        <v>94</v>
      </c>
      <c r="C44" s="1" t="s">
        <v>114</v>
      </c>
      <c r="D44" s="1"/>
      <c r="G44" s="1" t="str">
        <f t="shared" si="0"/>
        <v/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T44" t="s">
        <v>282</v>
      </c>
      <c r="U44" s="9">
        <v>1.93</v>
      </c>
      <c r="V44" s="10" t="s">
        <v>451</v>
      </c>
      <c r="W44" s="6" t="s">
        <v>322</v>
      </c>
      <c r="X44">
        <f t="shared" si="3"/>
        <v>0</v>
      </c>
      <c r="Y44" s="14">
        <v>89</v>
      </c>
      <c r="Z44" s="1" t="s">
        <v>502</v>
      </c>
      <c r="AA44" s="1">
        <v>87</v>
      </c>
      <c r="AB44" s="1">
        <v>82</v>
      </c>
      <c r="AE44" s="1">
        <v>72</v>
      </c>
      <c r="AL44" s="1">
        <v>29</v>
      </c>
      <c r="AQ44" s="7"/>
      <c r="BS44" s="16"/>
    </row>
    <row r="45" spans="1:71" x14ac:dyDescent="0.2">
      <c r="A45" s="1" t="s">
        <v>3</v>
      </c>
      <c r="B45" s="7" t="s">
        <v>95</v>
      </c>
      <c r="C45" s="1" t="s">
        <v>114</v>
      </c>
      <c r="D45" s="1"/>
      <c r="G45" s="1" t="str">
        <f t="shared" si="0"/>
        <v/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T45" t="s">
        <v>324</v>
      </c>
      <c r="U45" s="9">
        <v>2.0099999999999998</v>
      </c>
      <c r="V45" s="10" t="s">
        <v>451</v>
      </c>
      <c r="W45" s="6" t="s">
        <v>323</v>
      </c>
      <c r="X45">
        <f t="shared" si="3"/>
        <v>0</v>
      </c>
      <c r="Y45" s="14">
        <v>85</v>
      </c>
      <c r="Z45" s="1" t="s">
        <v>502</v>
      </c>
      <c r="AA45" s="1">
        <v>85</v>
      </c>
      <c r="AB45" s="1">
        <v>73</v>
      </c>
      <c r="AE45" s="1">
        <v>65</v>
      </c>
      <c r="AL45" s="1">
        <v>29</v>
      </c>
      <c r="AQ45" s="7"/>
      <c r="BS45" s="16"/>
    </row>
    <row r="46" spans="1:71" hidden="1" x14ac:dyDescent="0.2">
      <c r="A46" s="1" t="s">
        <v>3</v>
      </c>
      <c r="B46" s="7" t="s">
        <v>96</v>
      </c>
      <c r="C46" s="1" t="s">
        <v>114</v>
      </c>
      <c r="D46" s="8" t="s">
        <v>258</v>
      </c>
      <c r="E46" s="1">
        <f>G46-F46+1</f>
        <v>4</v>
      </c>
      <c r="F46" s="1" t="str">
        <f>LEFT(D46, SEARCH("-",D46,1)-1)</f>
        <v>2016</v>
      </c>
      <c r="G46" s="1" t="str">
        <f t="shared" si="0"/>
        <v>2019</v>
      </c>
      <c r="H46" s="8">
        <v>8</v>
      </c>
      <c r="I46" s="8">
        <v>1</v>
      </c>
      <c r="J46" s="8">
        <v>7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6</v>
      </c>
      <c r="Q46" s="8">
        <v>2</v>
      </c>
      <c r="R46" s="8">
        <v>0</v>
      </c>
      <c r="S46" s="8">
        <v>75</v>
      </c>
      <c r="T46" t="s">
        <v>113</v>
      </c>
      <c r="U46" s="9">
        <v>1.98</v>
      </c>
      <c r="V46" s="10">
        <v>114.75886961</v>
      </c>
      <c r="W46" s="6" t="s">
        <v>325</v>
      </c>
      <c r="X46">
        <f t="shared" si="3"/>
        <v>1</v>
      </c>
      <c r="Y46" s="14">
        <v>79</v>
      </c>
      <c r="Z46" s="1" t="s">
        <v>503</v>
      </c>
      <c r="AA46" s="1">
        <v>43</v>
      </c>
      <c r="AF46" s="1">
        <v>87</v>
      </c>
      <c r="AH46" s="1">
        <v>83</v>
      </c>
      <c r="AI46" s="1">
        <v>92</v>
      </c>
      <c r="AQ46" s="7">
        <v>27</v>
      </c>
      <c r="AR46" s="1">
        <v>14</v>
      </c>
      <c r="AS46" s="1">
        <f t="shared" si="2"/>
        <v>1.9285714285714286</v>
      </c>
      <c r="AT46">
        <v>109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6</v>
      </c>
      <c r="BD46">
        <v>0</v>
      </c>
      <c r="BE46">
        <v>2</v>
      </c>
      <c r="BF46">
        <v>0</v>
      </c>
      <c r="BG46">
        <v>21</v>
      </c>
      <c r="BH46">
        <v>3</v>
      </c>
      <c r="BI46">
        <v>1</v>
      </c>
      <c r="BJ46">
        <v>1</v>
      </c>
      <c r="BK46">
        <v>1</v>
      </c>
      <c r="BL46">
        <v>0</v>
      </c>
      <c r="BM46">
        <v>0</v>
      </c>
      <c r="BN46">
        <v>0</v>
      </c>
      <c r="BO46">
        <v>3</v>
      </c>
      <c r="BP46">
        <v>2</v>
      </c>
      <c r="BQ46">
        <v>0</v>
      </c>
      <c r="BR46">
        <v>0</v>
      </c>
      <c r="BS46" s="16"/>
    </row>
    <row r="47" spans="1:71" hidden="1" x14ac:dyDescent="0.2">
      <c r="A47" s="1" t="s">
        <v>3</v>
      </c>
      <c r="B47" s="7" t="s">
        <v>97</v>
      </c>
      <c r="C47" s="1" t="s">
        <v>114</v>
      </c>
      <c r="D47" s="12" t="s">
        <v>258</v>
      </c>
      <c r="E47" s="1">
        <f>G47-F47+1</f>
        <v>4</v>
      </c>
      <c r="F47" s="1" t="str">
        <f>LEFT(D47, SEARCH("-",D47,1)-1)</f>
        <v>2016</v>
      </c>
      <c r="G47" s="1" t="str">
        <f t="shared" si="0"/>
        <v>2019</v>
      </c>
      <c r="H47" s="12">
        <v>16</v>
      </c>
      <c r="I47" s="12">
        <v>14</v>
      </c>
      <c r="J47" s="12">
        <v>2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10</v>
      </c>
      <c r="Q47" s="12">
        <v>5</v>
      </c>
      <c r="R47" s="12">
        <v>1</v>
      </c>
      <c r="S47" s="12">
        <v>65.62</v>
      </c>
      <c r="T47" t="s">
        <v>254</v>
      </c>
      <c r="U47" s="9">
        <v>1.83</v>
      </c>
      <c r="V47" s="10">
        <v>122.01634753</v>
      </c>
      <c r="W47" s="6" t="s">
        <v>326</v>
      </c>
      <c r="X47">
        <f t="shared" si="3"/>
        <v>1</v>
      </c>
      <c r="Y47" s="14">
        <v>87</v>
      </c>
      <c r="Z47" s="1" t="s">
        <v>502</v>
      </c>
      <c r="AA47" s="1">
        <v>86</v>
      </c>
      <c r="AE47" s="1">
        <v>83</v>
      </c>
      <c r="AF47" s="1">
        <v>85</v>
      </c>
      <c r="AQ47" s="7">
        <v>37</v>
      </c>
      <c r="AR47" s="1">
        <v>49</v>
      </c>
      <c r="AS47" s="1">
        <f t="shared" si="2"/>
        <v>0.75510204081632648</v>
      </c>
      <c r="AT47">
        <v>311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5</v>
      </c>
      <c r="BB47">
        <v>2</v>
      </c>
      <c r="BC47">
        <v>12</v>
      </c>
      <c r="BD47">
        <v>0</v>
      </c>
      <c r="BE47">
        <v>13</v>
      </c>
      <c r="BF47">
        <v>2</v>
      </c>
      <c r="BG47">
        <v>33</v>
      </c>
      <c r="BH47">
        <v>7</v>
      </c>
      <c r="BI47">
        <v>0</v>
      </c>
      <c r="BJ47">
        <v>1</v>
      </c>
      <c r="BK47">
        <v>1</v>
      </c>
      <c r="BL47">
        <v>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 s="16"/>
    </row>
    <row r="48" spans="1:71" hidden="1" x14ac:dyDescent="0.2">
      <c r="A48" s="1" t="s">
        <v>3</v>
      </c>
      <c r="B48" s="7" t="s">
        <v>98</v>
      </c>
      <c r="C48" s="1" t="s">
        <v>114</v>
      </c>
      <c r="D48" s="8" t="s">
        <v>328</v>
      </c>
      <c r="E48" s="1">
        <f>G48-F48+1</f>
        <v>10</v>
      </c>
      <c r="F48" s="1" t="str">
        <f>LEFT(D48, SEARCH("-",D48,1)-1)</f>
        <v>2010</v>
      </c>
      <c r="G48" s="1" t="str">
        <f t="shared" si="0"/>
        <v>2019</v>
      </c>
      <c r="H48" s="8">
        <v>44</v>
      </c>
      <c r="I48" s="8">
        <v>34</v>
      </c>
      <c r="J48" s="8">
        <v>10</v>
      </c>
      <c r="K48" s="8">
        <v>20</v>
      </c>
      <c r="L48" s="8">
        <v>4</v>
      </c>
      <c r="M48" s="8">
        <v>0</v>
      </c>
      <c r="N48" s="8">
        <v>0</v>
      </c>
      <c r="O48" s="8">
        <v>0</v>
      </c>
      <c r="P48" s="8">
        <v>27</v>
      </c>
      <c r="Q48" s="8">
        <v>15</v>
      </c>
      <c r="R48" s="8">
        <v>2</v>
      </c>
      <c r="S48" s="8">
        <v>63.63</v>
      </c>
      <c r="T48" t="s">
        <v>254</v>
      </c>
      <c r="U48" s="9">
        <v>1.85</v>
      </c>
      <c r="V48" s="10">
        <v>116.57323909</v>
      </c>
      <c r="W48" s="6" t="s">
        <v>327</v>
      </c>
      <c r="X48">
        <f t="shared" si="3"/>
        <v>1</v>
      </c>
      <c r="Y48" s="14">
        <v>86</v>
      </c>
      <c r="Z48" s="1" t="s">
        <v>502</v>
      </c>
      <c r="AA48" s="1">
        <v>84</v>
      </c>
      <c r="AE48" s="1">
        <v>81</v>
      </c>
      <c r="AF48" s="1">
        <v>87</v>
      </c>
      <c r="AQ48" s="7">
        <v>31</v>
      </c>
      <c r="AR48" s="1">
        <v>26</v>
      </c>
      <c r="AS48" s="1">
        <f t="shared" si="2"/>
        <v>1.1923076923076923</v>
      </c>
      <c r="AT48">
        <v>225</v>
      </c>
      <c r="AU48">
        <v>5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4</v>
      </c>
      <c r="BB48">
        <v>0</v>
      </c>
      <c r="BC48">
        <v>9</v>
      </c>
      <c r="BD48">
        <v>0</v>
      </c>
      <c r="BE48">
        <v>8</v>
      </c>
      <c r="BF48">
        <v>0</v>
      </c>
      <c r="BG48">
        <v>32</v>
      </c>
      <c r="BH48">
        <v>5</v>
      </c>
      <c r="BI48">
        <v>2</v>
      </c>
      <c r="BJ48">
        <v>4</v>
      </c>
      <c r="BK48">
        <v>4</v>
      </c>
      <c r="BL48">
        <v>4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 s="16"/>
    </row>
    <row r="49" spans="1:71" hidden="1" x14ac:dyDescent="0.2">
      <c r="A49" s="1" t="s">
        <v>3</v>
      </c>
      <c r="B49" s="7" t="s">
        <v>99</v>
      </c>
      <c r="C49" s="1" t="s">
        <v>114</v>
      </c>
      <c r="D49" s="1"/>
      <c r="G49" s="1" t="str">
        <f t="shared" si="0"/>
        <v/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T49" t="s">
        <v>259</v>
      </c>
      <c r="U49" s="9">
        <v>1.85</v>
      </c>
      <c r="V49" s="10">
        <v>100.69750614</v>
      </c>
      <c r="W49" s="6" t="s">
        <v>329</v>
      </c>
      <c r="X49">
        <f t="shared" si="3"/>
        <v>0</v>
      </c>
      <c r="Y49" s="14">
        <v>75</v>
      </c>
      <c r="Z49" s="1" t="s">
        <v>503</v>
      </c>
      <c r="AA49" s="1">
        <v>47</v>
      </c>
      <c r="AE49" s="1">
        <v>79</v>
      </c>
      <c r="AF49" s="1">
        <v>85</v>
      </c>
      <c r="AG49" s="1">
        <v>72</v>
      </c>
      <c r="AQ49"/>
      <c r="BS49" s="16"/>
    </row>
    <row r="50" spans="1:71" hidden="1" x14ac:dyDescent="0.2">
      <c r="A50" s="1" t="s">
        <v>3</v>
      </c>
      <c r="B50" s="7" t="s">
        <v>100</v>
      </c>
      <c r="C50" s="1" t="s">
        <v>114</v>
      </c>
      <c r="D50" s="8" t="s">
        <v>301</v>
      </c>
      <c r="E50" s="1">
        <f>G50-F50+1</f>
        <v>7</v>
      </c>
      <c r="F50" s="1" t="str">
        <f>LEFT(D50, SEARCH("-",D50,1)-1)</f>
        <v>2013</v>
      </c>
      <c r="G50" s="1" t="str">
        <f t="shared" si="0"/>
        <v>2019</v>
      </c>
      <c r="H50" s="8">
        <v>22</v>
      </c>
      <c r="I50" s="8">
        <v>7</v>
      </c>
      <c r="J50" s="8">
        <v>15</v>
      </c>
      <c r="K50" s="8">
        <v>10</v>
      </c>
      <c r="L50" s="8">
        <v>2</v>
      </c>
      <c r="M50" s="8">
        <v>0</v>
      </c>
      <c r="N50" s="8">
        <v>0</v>
      </c>
      <c r="O50" s="8">
        <v>0</v>
      </c>
      <c r="P50" s="8">
        <v>15</v>
      </c>
      <c r="Q50" s="8">
        <v>6</v>
      </c>
      <c r="R50" s="8">
        <v>1</v>
      </c>
      <c r="S50" s="8">
        <v>70.45</v>
      </c>
      <c r="T50" t="s">
        <v>279</v>
      </c>
      <c r="U50" s="9">
        <v>1.98</v>
      </c>
      <c r="V50" s="10">
        <v>116.57323909</v>
      </c>
      <c r="W50" s="6" t="s">
        <v>330</v>
      </c>
      <c r="X50">
        <f t="shared" si="3"/>
        <v>1</v>
      </c>
      <c r="Y50" s="14">
        <v>89</v>
      </c>
      <c r="Z50" s="1" t="s">
        <v>504</v>
      </c>
      <c r="AA50" s="1">
        <v>90</v>
      </c>
      <c r="AF50" s="1">
        <v>84</v>
      </c>
      <c r="AH50" s="1">
        <v>87</v>
      </c>
      <c r="AI50" s="1">
        <v>84</v>
      </c>
      <c r="AQ50" s="7">
        <v>17</v>
      </c>
      <c r="AR50" s="1">
        <v>15</v>
      </c>
      <c r="AS50" s="1">
        <f t="shared" si="2"/>
        <v>1.1333333333333333</v>
      </c>
      <c r="AT50">
        <v>87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6</v>
      </c>
      <c r="BD50">
        <v>0</v>
      </c>
      <c r="BE50">
        <v>7</v>
      </c>
      <c r="BF50">
        <v>0</v>
      </c>
      <c r="BG50">
        <v>8</v>
      </c>
      <c r="BH50">
        <v>1</v>
      </c>
      <c r="BI50">
        <v>1</v>
      </c>
      <c r="BJ50">
        <v>0</v>
      </c>
      <c r="BK50">
        <v>0</v>
      </c>
      <c r="BL50">
        <v>1</v>
      </c>
      <c r="BM50">
        <v>0</v>
      </c>
      <c r="BN50">
        <v>1</v>
      </c>
      <c r="BO50">
        <v>6</v>
      </c>
      <c r="BP50">
        <v>0</v>
      </c>
      <c r="BQ50">
        <v>0</v>
      </c>
      <c r="BR50">
        <v>0</v>
      </c>
      <c r="BS50" s="16"/>
    </row>
    <row r="51" spans="1:71" hidden="1" x14ac:dyDescent="0.2">
      <c r="A51" s="1" t="s">
        <v>3</v>
      </c>
      <c r="B51" s="7" t="s">
        <v>101</v>
      </c>
      <c r="C51" s="1" t="s">
        <v>114</v>
      </c>
      <c r="D51" s="1"/>
      <c r="G51" s="1" t="str">
        <f t="shared" si="0"/>
        <v/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T51" t="s">
        <v>259</v>
      </c>
      <c r="U51" s="9">
        <v>1.85</v>
      </c>
      <c r="V51" s="10">
        <v>101.60469088000001</v>
      </c>
      <c r="W51" s="6" t="s">
        <v>331</v>
      </c>
      <c r="X51">
        <f t="shared" si="3"/>
        <v>0</v>
      </c>
      <c r="Y51" s="14">
        <v>82</v>
      </c>
      <c r="Z51" s="1" t="s">
        <v>504</v>
      </c>
      <c r="AA51" s="1">
        <v>73</v>
      </c>
      <c r="AE51" s="1">
        <v>67</v>
      </c>
      <c r="AF51" s="1">
        <v>87</v>
      </c>
      <c r="AG51" s="1">
        <v>79</v>
      </c>
      <c r="AQ51" s="7"/>
      <c r="BS51" s="16"/>
    </row>
    <row r="52" spans="1:71" hidden="1" x14ac:dyDescent="0.2">
      <c r="A52" s="1" t="s">
        <v>3</v>
      </c>
      <c r="B52" s="7" t="s">
        <v>102</v>
      </c>
      <c r="C52" s="1" t="s">
        <v>114</v>
      </c>
      <c r="D52" s="1"/>
      <c r="G52" s="1" t="str">
        <f t="shared" si="0"/>
        <v/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T52" t="s">
        <v>259</v>
      </c>
      <c r="U52" s="9">
        <v>1.84</v>
      </c>
      <c r="V52" s="10" t="s">
        <v>468</v>
      </c>
      <c r="W52" s="6" t="s">
        <v>332</v>
      </c>
      <c r="X52">
        <f t="shared" si="3"/>
        <v>0</v>
      </c>
      <c r="Y52" s="14">
        <v>78</v>
      </c>
      <c r="Z52" s="1" t="s">
        <v>502</v>
      </c>
      <c r="AA52" s="1">
        <v>80</v>
      </c>
      <c r="AE52" s="1">
        <v>63</v>
      </c>
      <c r="AF52" s="1">
        <v>77</v>
      </c>
      <c r="AG52" s="1">
        <v>77</v>
      </c>
      <c r="AQ52" s="7"/>
      <c r="BS52" s="16"/>
    </row>
    <row r="53" spans="1:71" hidden="1" x14ac:dyDescent="0.2">
      <c r="A53" s="1" t="s">
        <v>3</v>
      </c>
      <c r="B53" s="7" t="s">
        <v>103</v>
      </c>
      <c r="C53" s="1" t="s">
        <v>114</v>
      </c>
      <c r="D53" s="12" t="s">
        <v>301</v>
      </c>
      <c r="E53" s="1">
        <f>G53-F53+1</f>
        <v>7</v>
      </c>
      <c r="F53" s="1" t="str">
        <f>LEFT(D53, SEARCH("-",D53,1)-1)</f>
        <v>2013</v>
      </c>
      <c r="G53" s="1" t="str">
        <f t="shared" si="0"/>
        <v>2019</v>
      </c>
      <c r="H53" s="12">
        <v>9</v>
      </c>
      <c r="I53" s="12">
        <v>1</v>
      </c>
      <c r="J53" s="12">
        <v>8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4</v>
      </c>
      <c r="Q53" s="12">
        <v>5</v>
      </c>
      <c r="R53" s="12">
        <v>0</v>
      </c>
      <c r="S53" s="12">
        <v>44.44</v>
      </c>
      <c r="T53" t="s">
        <v>254</v>
      </c>
      <c r="U53" s="9">
        <v>1.83</v>
      </c>
      <c r="V53" s="10">
        <v>110.67653828</v>
      </c>
      <c r="W53" s="6" t="s">
        <v>333</v>
      </c>
      <c r="X53">
        <f t="shared" si="3"/>
        <v>1</v>
      </c>
      <c r="Y53" s="14">
        <v>78</v>
      </c>
      <c r="Z53" s="1" t="s">
        <v>505</v>
      </c>
      <c r="AA53" s="1">
        <v>71</v>
      </c>
      <c r="AE53" s="1">
        <v>68</v>
      </c>
      <c r="AF53" s="1">
        <v>77</v>
      </c>
      <c r="AQ53" s="7">
        <v>61</v>
      </c>
      <c r="AR53" s="1">
        <v>29</v>
      </c>
      <c r="AS53" s="1">
        <f t="shared" si="2"/>
        <v>2.103448275862069</v>
      </c>
      <c r="AT53">
        <v>157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8</v>
      </c>
      <c r="BB53">
        <v>0</v>
      </c>
      <c r="BC53">
        <v>16</v>
      </c>
      <c r="BD53">
        <v>0</v>
      </c>
      <c r="BE53">
        <v>1</v>
      </c>
      <c r="BF53">
        <v>0</v>
      </c>
      <c r="BG53">
        <v>16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 s="16"/>
    </row>
    <row r="54" spans="1:71" hidden="1" x14ac:dyDescent="0.2">
      <c r="A54" s="1" t="s">
        <v>3</v>
      </c>
      <c r="B54" s="7" t="s">
        <v>104</v>
      </c>
      <c r="C54" s="1" t="s">
        <v>114</v>
      </c>
      <c r="D54" s="8" t="s">
        <v>335</v>
      </c>
      <c r="E54" s="1">
        <f>G54-F54+1</f>
        <v>6</v>
      </c>
      <c r="F54" s="1" t="str">
        <f>LEFT(D54, SEARCH("-",D54,1)-1)</f>
        <v>2014</v>
      </c>
      <c r="G54" s="1" t="str">
        <f t="shared" si="0"/>
        <v>2019</v>
      </c>
      <c r="H54" s="8">
        <v>26</v>
      </c>
      <c r="I54" s="8">
        <v>14</v>
      </c>
      <c r="J54" s="8">
        <v>12</v>
      </c>
      <c r="K54" s="8">
        <v>10</v>
      </c>
      <c r="L54" s="8">
        <v>2</v>
      </c>
      <c r="M54" s="8">
        <v>0</v>
      </c>
      <c r="N54" s="8">
        <v>0</v>
      </c>
      <c r="O54" s="8">
        <v>0</v>
      </c>
      <c r="P54" s="8">
        <v>19</v>
      </c>
      <c r="Q54" s="8">
        <v>6</v>
      </c>
      <c r="R54" s="8">
        <v>1</v>
      </c>
      <c r="S54" s="8">
        <v>75</v>
      </c>
      <c r="T54" t="s">
        <v>254</v>
      </c>
      <c r="U54" s="9">
        <v>1.85</v>
      </c>
      <c r="V54" s="10">
        <v>117.9340162</v>
      </c>
      <c r="W54" s="6" t="s">
        <v>334</v>
      </c>
      <c r="X54">
        <f t="shared" si="3"/>
        <v>1</v>
      </c>
      <c r="Y54" s="14">
        <v>75</v>
      </c>
      <c r="Z54" s="1" t="s">
        <v>504</v>
      </c>
      <c r="AA54" s="1">
        <v>87</v>
      </c>
      <c r="AE54" s="1">
        <v>69</v>
      </c>
      <c r="AF54" s="1">
        <v>83</v>
      </c>
      <c r="AQ54" s="7">
        <v>5</v>
      </c>
      <c r="AR54" s="1">
        <v>4</v>
      </c>
      <c r="AS54" s="1">
        <f t="shared" si="2"/>
        <v>1.25</v>
      </c>
      <c r="AT54">
        <v>18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3</v>
      </c>
      <c r="BD54">
        <v>0</v>
      </c>
      <c r="BE54">
        <v>0</v>
      </c>
      <c r="BF54">
        <v>0</v>
      </c>
      <c r="BG54">
        <v>6</v>
      </c>
      <c r="BH54">
        <v>0</v>
      </c>
      <c r="BI54">
        <v>0</v>
      </c>
      <c r="BJ54">
        <v>0</v>
      </c>
      <c r="BK54">
        <v>0</v>
      </c>
      <c r="BL54">
        <v>1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 s="16"/>
    </row>
    <row r="55" spans="1:71" x14ac:dyDescent="0.2">
      <c r="A55" s="1" t="s">
        <v>3</v>
      </c>
      <c r="B55" s="7" t="s">
        <v>105</v>
      </c>
      <c r="C55" s="1" t="s">
        <v>114</v>
      </c>
      <c r="D55" s="1"/>
      <c r="G55" s="1" t="str">
        <f t="shared" si="0"/>
        <v/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T55" t="s">
        <v>274</v>
      </c>
      <c r="U55" s="9">
        <v>1.91</v>
      </c>
      <c r="V55" s="10">
        <v>108.86216880000001</v>
      </c>
      <c r="W55" s="6" t="s">
        <v>336</v>
      </c>
      <c r="X55">
        <f t="shared" si="3"/>
        <v>0</v>
      </c>
      <c r="Y55" s="14">
        <v>74</v>
      </c>
      <c r="Z55" s="1" t="s">
        <v>505</v>
      </c>
      <c r="AA55" s="1">
        <v>75</v>
      </c>
      <c r="AB55" s="1">
        <v>64</v>
      </c>
      <c r="AE55" s="1">
        <v>74</v>
      </c>
      <c r="AL55" s="1">
        <v>29</v>
      </c>
      <c r="AQ55" s="7"/>
      <c r="BS55" s="16"/>
    </row>
    <row r="56" spans="1:71" x14ac:dyDescent="0.2">
      <c r="A56" s="1" t="s">
        <v>3</v>
      </c>
      <c r="B56" s="7" t="s">
        <v>106</v>
      </c>
      <c r="C56" s="1" t="s">
        <v>114</v>
      </c>
      <c r="D56" s="8" t="s">
        <v>338</v>
      </c>
      <c r="E56" s="1">
        <f>G56-F56+1</f>
        <v>8</v>
      </c>
      <c r="F56" s="1" t="str">
        <f>LEFT(D56, SEARCH("-",D56,1)-1)</f>
        <v>2012</v>
      </c>
      <c r="G56" s="1" t="str">
        <f t="shared" si="0"/>
        <v>2019</v>
      </c>
      <c r="H56" s="8">
        <v>31</v>
      </c>
      <c r="I56" s="8">
        <v>26</v>
      </c>
      <c r="J56" s="8">
        <v>5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20</v>
      </c>
      <c r="Q56" s="8">
        <v>9</v>
      </c>
      <c r="R56" s="8">
        <v>2</v>
      </c>
      <c r="S56" s="8">
        <v>67.739999999999995</v>
      </c>
      <c r="T56" t="s">
        <v>274</v>
      </c>
      <c r="U56" s="9">
        <v>1.91</v>
      </c>
      <c r="V56" s="10">
        <v>106.59420695</v>
      </c>
      <c r="W56" s="6" t="s">
        <v>337</v>
      </c>
      <c r="X56">
        <f t="shared" si="3"/>
        <v>1</v>
      </c>
      <c r="Y56" s="14">
        <v>66</v>
      </c>
      <c r="Z56" s="1" t="s">
        <v>505</v>
      </c>
      <c r="AA56" s="1">
        <v>70</v>
      </c>
      <c r="AG56" s="1">
        <v>85</v>
      </c>
      <c r="AJ56" s="1">
        <v>63</v>
      </c>
      <c r="AK56" s="1">
        <v>70</v>
      </c>
      <c r="AQ56" s="7">
        <v>22</v>
      </c>
      <c r="AR56" s="1">
        <v>36</v>
      </c>
      <c r="AS56" s="1">
        <f t="shared" si="2"/>
        <v>0.61111111111111116</v>
      </c>
      <c r="AT56">
        <v>400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9</v>
      </c>
      <c r="BD56">
        <v>0</v>
      </c>
      <c r="BE56">
        <v>24</v>
      </c>
      <c r="BF56">
        <v>0</v>
      </c>
      <c r="BG56">
        <v>38</v>
      </c>
      <c r="BH56">
        <v>7</v>
      </c>
      <c r="BI56">
        <v>6</v>
      </c>
      <c r="BJ56">
        <v>3</v>
      </c>
      <c r="BK56">
        <v>2</v>
      </c>
      <c r="BL56">
        <v>3</v>
      </c>
      <c r="BM56">
        <v>3</v>
      </c>
      <c r="BN56">
        <v>0</v>
      </c>
      <c r="BO56">
        <v>30</v>
      </c>
      <c r="BP56">
        <v>2</v>
      </c>
      <c r="BQ56">
        <v>0</v>
      </c>
      <c r="BR56">
        <v>0</v>
      </c>
      <c r="BS56" s="16"/>
    </row>
    <row r="57" spans="1:71" hidden="1" x14ac:dyDescent="0.2">
      <c r="A57" s="1" t="s">
        <v>3</v>
      </c>
      <c r="B57" s="7" t="s">
        <v>107</v>
      </c>
      <c r="C57" s="1" t="s">
        <v>114</v>
      </c>
      <c r="D57" s="1"/>
      <c r="G57" s="1" t="str">
        <f t="shared" si="0"/>
        <v/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T57" t="s">
        <v>254</v>
      </c>
      <c r="U57" s="9">
        <v>1.85</v>
      </c>
      <c r="V57" s="10" t="s">
        <v>469</v>
      </c>
      <c r="W57" s="6" t="s">
        <v>339</v>
      </c>
      <c r="X57">
        <f t="shared" si="3"/>
        <v>0</v>
      </c>
      <c r="Y57" s="14">
        <v>81</v>
      </c>
      <c r="Z57" s="1" t="s">
        <v>504</v>
      </c>
      <c r="AA57" s="1">
        <v>76</v>
      </c>
      <c r="AE57" s="1">
        <v>70</v>
      </c>
      <c r="AF57" s="1">
        <v>71</v>
      </c>
      <c r="AQ57" s="7"/>
      <c r="BS57" s="16"/>
    </row>
    <row r="58" spans="1:71" hidden="1" x14ac:dyDescent="0.2">
      <c r="A58" s="1" t="s">
        <v>3</v>
      </c>
      <c r="B58" s="7" t="s">
        <v>108</v>
      </c>
      <c r="C58" s="1" t="s">
        <v>114</v>
      </c>
      <c r="D58" s="8" t="s">
        <v>340</v>
      </c>
      <c r="E58" s="1">
        <f>G58-F58+1</f>
        <v>2</v>
      </c>
      <c r="F58" s="1" t="str">
        <f>LEFT(D58, SEARCH("-",D58,1)-1)</f>
        <v>2018</v>
      </c>
      <c r="G58" s="1" t="str">
        <f t="shared" si="0"/>
        <v>2019</v>
      </c>
      <c r="H58" s="8">
        <v>7</v>
      </c>
      <c r="I58" s="8">
        <v>1</v>
      </c>
      <c r="J58" s="8">
        <v>6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5</v>
      </c>
      <c r="Q58" s="8">
        <v>2</v>
      </c>
      <c r="R58" s="8">
        <v>0</v>
      </c>
      <c r="S58" s="8">
        <v>71.42</v>
      </c>
      <c r="T58" t="s">
        <v>254</v>
      </c>
      <c r="U58" s="9">
        <v>1.83</v>
      </c>
      <c r="V58" s="10">
        <v>124.73790175000001</v>
      </c>
      <c r="W58" s="6" t="s">
        <v>342</v>
      </c>
      <c r="X58">
        <f t="shared" si="3"/>
        <v>1</v>
      </c>
      <c r="Y58" s="14">
        <v>87</v>
      </c>
      <c r="Z58" s="1" t="s">
        <v>502</v>
      </c>
      <c r="AA58" s="1">
        <v>90</v>
      </c>
      <c r="AE58" s="1">
        <v>73</v>
      </c>
      <c r="AF58" s="1">
        <v>69</v>
      </c>
      <c r="AQ58" s="7">
        <v>16</v>
      </c>
      <c r="AR58" s="1">
        <v>14</v>
      </c>
      <c r="AS58" s="1">
        <f t="shared" si="2"/>
        <v>1.1428571428571428</v>
      </c>
      <c r="AT58">
        <v>48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4</v>
      </c>
      <c r="BD58">
        <v>0</v>
      </c>
      <c r="BE58">
        <v>2</v>
      </c>
      <c r="BF58">
        <v>0</v>
      </c>
      <c r="BG58">
        <v>5</v>
      </c>
      <c r="BH58">
        <v>0</v>
      </c>
      <c r="BI58">
        <v>0</v>
      </c>
      <c r="BJ58">
        <v>0</v>
      </c>
      <c r="BK58">
        <v>0</v>
      </c>
      <c r="BL58">
        <v>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 s="16"/>
    </row>
    <row r="59" spans="1:71" hidden="1" x14ac:dyDescent="0.2">
      <c r="A59" s="1" t="s">
        <v>3</v>
      </c>
      <c r="B59" s="7" t="s">
        <v>109</v>
      </c>
      <c r="C59" s="1" t="s">
        <v>114</v>
      </c>
      <c r="D59" s="8" t="s">
        <v>340</v>
      </c>
      <c r="E59" s="1">
        <f>G59-F59+1</f>
        <v>2</v>
      </c>
      <c r="F59" s="1" t="str">
        <f>LEFT(D59, SEARCH("-",D59,1)-1)</f>
        <v>2018</v>
      </c>
      <c r="G59" s="1" t="str">
        <f t="shared" si="0"/>
        <v>2019</v>
      </c>
      <c r="H59" s="8">
        <v>8</v>
      </c>
      <c r="I59" s="8">
        <v>8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6</v>
      </c>
      <c r="Q59" s="8">
        <v>2</v>
      </c>
      <c r="R59" s="8">
        <v>0</v>
      </c>
      <c r="S59" s="8">
        <v>75</v>
      </c>
      <c r="T59" t="s">
        <v>279</v>
      </c>
      <c r="U59" s="9">
        <v>2.0299999999999998</v>
      </c>
      <c r="V59" s="10">
        <v>106.59420695</v>
      </c>
      <c r="W59" s="6" t="s">
        <v>341</v>
      </c>
      <c r="X59">
        <f t="shared" si="3"/>
        <v>1</v>
      </c>
      <c r="Y59" s="14">
        <v>92</v>
      </c>
      <c r="Z59" s="1" t="s">
        <v>502</v>
      </c>
      <c r="AA59" s="1">
        <v>85</v>
      </c>
      <c r="AF59" s="1">
        <v>64</v>
      </c>
      <c r="AH59" s="1">
        <v>88</v>
      </c>
      <c r="AI59" s="1">
        <v>92</v>
      </c>
      <c r="AQ59" s="7">
        <v>74</v>
      </c>
      <c r="AR59" s="1">
        <v>63</v>
      </c>
      <c r="AS59" s="1">
        <f t="shared" si="2"/>
        <v>1.1746031746031746</v>
      </c>
      <c r="AT59">
        <v>320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2</v>
      </c>
      <c r="BB59">
        <v>0</v>
      </c>
      <c r="BC59">
        <v>32</v>
      </c>
      <c r="BD59">
        <v>0</v>
      </c>
      <c r="BE59">
        <v>8</v>
      </c>
      <c r="BF59">
        <v>0</v>
      </c>
      <c r="BG59">
        <v>49</v>
      </c>
      <c r="BH59">
        <v>1</v>
      </c>
      <c r="BI59">
        <v>0</v>
      </c>
      <c r="BJ59">
        <v>4</v>
      </c>
      <c r="BK59">
        <v>3</v>
      </c>
      <c r="BL59">
        <v>1</v>
      </c>
      <c r="BM59">
        <v>0</v>
      </c>
      <c r="BN59">
        <v>4</v>
      </c>
      <c r="BO59">
        <v>14</v>
      </c>
      <c r="BP59">
        <v>2</v>
      </c>
      <c r="BQ59">
        <v>0</v>
      </c>
      <c r="BR59">
        <v>0</v>
      </c>
      <c r="BS59" s="16"/>
    </row>
    <row r="60" spans="1:71" x14ac:dyDescent="0.2">
      <c r="A60" s="1" t="s">
        <v>3</v>
      </c>
      <c r="B60" s="7" t="s">
        <v>110</v>
      </c>
      <c r="C60" s="1" t="s">
        <v>114</v>
      </c>
      <c r="D60" s="8" t="s">
        <v>258</v>
      </c>
      <c r="E60" s="1">
        <f>G60-F60+1</f>
        <v>4</v>
      </c>
      <c r="F60" s="1" t="str">
        <f>LEFT(D60, SEARCH("-",D60,1)-1)</f>
        <v>2016</v>
      </c>
      <c r="G60" s="1" t="str">
        <f t="shared" si="0"/>
        <v>2019</v>
      </c>
      <c r="H60" s="8">
        <v>18</v>
      </c>
      <c r="I60" s="8">
        <v>17</v>
      </c>
      <c r="J60" s="8">
        <v>1</v>
      </c>
      <c r="K60" s="8">
        <v>30</v>
      </c>
      <c r="L60" s="8">
        <v>6</v>
      </c>
      <c r="M60" s="8">
        <v>0</v>
      </c>
      <c r="N60" s="8">
        <v>0</v>
      </c>
      <c r="O60" s="8">
        <v>0</v>
      </c>
      <c r="P60" s="8">
        <v>11</v>
      </c>
      <c r="Q60" s="8">
        <v>6</v>
      </c>
      <c r="R60" s="8">
        <v>1</v>
      </c>
      <c r="S60" s="8">
        <v>63.88</v>
      </c>
      <c r="T60" t="s">
        <v>274</v>
      </c>
      <c r="U60" s="9">
        <v>1.85</v>
      </c>
      <c r="V60" s="10">
        <v>113.85168487</v>
      </c>
      <c r="W60" s="6" t="s">
        <v>343</v>
      </c>
      <c r="X60">
        <f t="shared" si="3"/>
        <v>1</v>
      </c>
      <c r="Y60" s="14">
        <v>83</v>
      </c>
      <c r="Z60" s="1" t="s">
        <v>505</v>
      </c>
      <c r="AA60" s="1">
        <v>81</v>
      </c>
      <c r="AB60" s="1">
        <v>71</v>
      </c>
      <c r="AE60" s="1">
        <v>78</v>
      </c>
      <c r="AL60" s="1">
        <v>74</v>
      </c>
      <c r="AQ60" s="7">
        <v>42</v>
      </c>
      <c r="AR60" s="1">
        <v>43</v>
      </c>
      <c r="AS60" s="1">
        <f t="shared" si="2"/>
        <v>0.97674418604651159</v>
      </c>
      <c r="AT60">
        <v>224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5</v>
      </c>
      <c r="BB60">
        <v>0</v>
      </c>
      <c r="BC60">
        <v>16</v>
      </c>
      <c r="BD60">
        <v>0</v>
      </c>
      <c r="BE60">
        <v>13</v>
      </c>
      <c r="BF60">
        <v>0</v>
      </c>
      <c r="BG60">
        <v>39</v>
      </c>
      <c r="BH60">
        <v>2</v>
      </c>
      <c r="BI60">
        <v>1</v>
      </c>
      <c r="BJ60">
        <v>4</v>
      </c>
      <c r="BK60">
        <v>3</v>
      </c>
      <c r="BL60">
        <v>2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0</v>
      </c>
      <c r="BS60" s="16"/>
    </row>
    <row r="61" spans="1:71" hidden="1" x14ac:dyDescent="0.2">
      <c r="A61" s="1" t="s">
        <v>3</v>
      </c>
      <c r="B61" s="7" t="s">
        <v>111</v>
      </c>
      <c r="C61" s="1" t="s">
        <v>114</v>
      </c>
      <c r="D61" s="8" t="s">
        <v>301</v>
      </c>
      <c r="E61" s="1">
        <f>G61-F61+1</f>
        <v>7</v>
      </c>
      <c r="F61" s="1" t="str">
        <f>LEFT(D61, SEARCH("-",D61,1)-1)</f>
        <v>2013</v>
      </c>
      <c r="G61" s="1" t="str">
        <f t="shared" si="0"/>
        <v>2019</v>
      </c>
      <c r="H61" s="8">
        <v>28</v>
      </c>
      <c r="I61" s="8">
        <v>23</v>
      </c>
      <c r="J61" s="8">
        <v>5</v>
      </c>
      <c r="K61" s="8">
        <v>5</v>
      </c>
      <c r="L61" s="8">
        <v>1</v>
      </c>
      <c r="M61" s="8">
        <v>0</v>
      </c>
      <c r="N61" s="8">
        <v>0</v>
      </c>
      <c r="O61" s="8">
        <v>0</v>
      </c>
      <c r="P61" s="8">
        <v>18</v>
      </c>
      <c r="Q61" s="8">
        <v>9</v>
      </c>
      <c r="R61" s="8">
        <v>1</v>
      </c>
      <c r="S61" s="8">
        <v>66.069999999999993</v>
      </c>
      <c r="T61" t="s">
        <v>279</v>
      </c>
      <c r="U61" s="9">
        <v>2.11</v>
      </c>
      <c r="V61" s="10">
        <v>126.55227123</v>
      </c>
      <c r="W61" s="6" t="s">
        <v>344</v>
      </c>
      <c r="X61">
        <f t="shared" si="3"/>
        <v>1</v>
      </c>
      <c r="Y61" s="14">
        <v>89</v>
      </c>
      <c r="Z61" s="1" t="s">
        <v>502</v>
      </c>
      <c r="AA61" s="1">
        <v>90</v>
      </c>
      <c r="AF61" s="1">
        <v>83</v>
      </c>
      <c r="AH61" s="1">
        <v>89</v>
      </c>
      <c r="AI61" s="1">
        <v>83</v>
      </c>
      <c r="AQ61" s="7">
        <v>1</v>
      </c>
      <c r="AR61" s="1">
        <v>4</v>
      </c>
      <c r="AS61" s="1">
        <f t="shared" si="2"/>
        <v>0.25</v>
      </c>
      <c r="AT61">
        <v>56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2</v>
      </c>
      <c r="BF61">
        <v>1</v>
      </c>
      <c r="BG61">
        <v>9</v>
      </c>
      <c r="BH61">
        <v>2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2</v>
      </c>
      <c r="BO61">
        <v>3</v>
      </c>
      <c r="BP61">
        <v>0</v>
      </c>
      <c r="BQ61">
        <v>0</v>
      </c>
      <c r="BR61">
        <v>0</v>
      </c>
      <c r="BS61" s="16"/>
    </row>
    <row r="62" spans="1:71" hidden="1" x14ac:dyDescent="0.2">
      <c r="A62" s="1" t="s">
        <v>3</v>
      </c>
      <c r="B62" s="7" t="s">
        <v>112</v>
      </c>
      <c r="C62" s="1" t="s">
        <v>114</v>
      </c>
      <c r="D62" s="8" t="s">
        <v>258</v>
      </c>
      <c r="E62" s="1">
        <f>G62-F62+1</f>
        <v>4</v>
      </c>
      <c r="F62" s="1" t="str">
        <f>LEFT(D62, SEARCH("-",D62,1)-1)</f>
        <v>2016</v>
      </c>
      <c r="G62" s="1" t="str">
        <f t="shared" si="0"/>
        <v>2019</v>
      </c>
      <c r="H62" s="8">
        <v>9</v>
      </c>
      <c r="I62" s="8">
        <v>5</v>
      </c>
      <c r="J62" s="8">
        <v>4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6</v>
      </c>
      <c r="Q62" s="8">
        <v>3</v>
      </c>
      <c r="R62" s="8">
        <v>0</v>
      </c>
      <c r="S62" s="8">
        <v>66.66</v>
      </c>
      <c r="T62" t="s">
        <v>284</v>
      </c>
      <c r="U62" s="9">
        <v>1.8</v>
      </c>
      <c r="V62" s="10">
        <v>106.59420695</v>
      </c>
      <c r="W62" s="6" t="s">
        <v>345</v>
      </c>
      <c r="X62">
        <f t="shared" si="3"/>
        <v>1</v>
      </c>
      <c r="Y62" s="14">
        <v>78</v>
      </c>
      <c r="Z62" s="1" t="s">
        <v>502</v>
      </c>
      <c r="AA62" s="1">
        <v>76</v>
      </c>
      <c r="AG62" s="1">
        <v>79</v>
      </c>
      <c r="AJ62" s="1">
        <v>63</v>
      </c>
      <c r="AK62" s="1">
        <v>54</v>
      </c>
      <c r="AQ62" s="7">
        <v>17</v>
      </c>
      <c r="AR62" s="1">
        <v>13</v>
      </c>
      <c r="AS62" s="1">
        <f t="shared" si="2"/>
        <v>1.3076923076923077</v>
      </c>
      <c r="AT62">
        <v>143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6</v>
      </c>
      <c r="BD62">
        <v>0</v>
      </c>
      <c r="BE62">
        <v>5</v>
      </c>
      <c r="BF62">
        <v>0</v>
      </c>
      <c r="BG62">
        <v>26</v>
      </c>
      <c r="BH62">
        <v>2</v>
      </c>
      <c r="BI62">
        <v>0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 s="16"/>
    </row>
    <row r="63" spans="1:71" hidden="1" x14ac:dyDescent="0.2">
      <c r="A63" s="1" t="s">
        <v>3</v>
      </c>
      <c r="B63" s="7" t="s">
        <v>116</v>
      </c>
      <c r="C63" s="1" t="s">
        <v>115</v>
      </c>
      <c r="D63" s="1"/>
      <c r="G63" s="1" t="str">
        <f t="shared" si="0"/>
        <v/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T63" t="s">
        <v>347</v>
      </c>
      <c r="U63" s="9">
        <v>1.85</v>
      </c>
      <c r="V63" s="10">
        <v>92.986435850000007</v>
      </c>
      <c r="W63" s="6" t="s">
        <v>346</v>
      </c>
      <c r="X63">
        <f t="shared" si="3"/>
        <v>0</v>
      </c>
      <c r="Y63" s="14">
        <v>77</v>
      </c>
      <c r="Z63" s="1" t="s">
        <v>504</v>
      </c>
      <c r="AA63" s="1">
        <v>69</v>
      </c>
      <c r="AD63" s="1">
        <v>92</v>
      </c>
      <c r="AM63" s="1">
        <v>29</v>
      </c>
      <c r="AN63" s="1">
        <v>81</v>
      </c>
      <c r="AQ63" s="7"/>
      <c r="BS63" s="16"/>
    </row>
    <row r="64" spans="1:71" hidden="1" x14ac:dyDescent="0.2">
      <c r="A64" s="1" t="s">
        <v>3</v>
      </c>
      <c r="B64" s="7" t="s">
        <v>117</v>
      </c>
      <c r="C64" s="1" t="s">
        <v>115</v>
      </c>
      <c r="D64" s="8" t="s">
        <v>340</v>
      </c>
      <c r="E64" s="1">
        <f>G64-F64+1</f>
        <v>2</v>
      </c>
      <c r="F64" s="1" t="str">
        <f>LEFT(D64, SEARCH("-",D64,1)-1)</f>
        <v>2018</v>
      </c>
      <c r="G64" s="1" t="str">
        <f t="shared" si="0"/>
        <v>2019</v>
      </c>
      <c r="H64" s="8">
        <v>10</v>
      </c>
      <c r="I64" s="8">
        <v>10</v>
      </c>
      <c r="J64" s="8">
        <v>0</v>
      </c>
      <c r="K64" s="8">
        <v>10</v>
      </c>
      <c r="L64" s="8">
        <v>2</v>
      </c>
      <c r="M64" s="8">
        <v>0</v>
      </c>
      <c r="N64" s="8">
        <v>0</v>
      </c>
      <c r="O64" s="8">
        <v>0</v>
      </c>
      <c r="P64" s="8">
        <v>8</v>
      </c>
      <c r="Q64" s="8">
        <v>2</v>
      </c>
      <c r="R64" s="8">
        <v>0</v>
      </c>
      <c r="S64" s="8">
        <v>80</v>
      </c>
      <c r="T64" t="s">
        <v>302</v>
      </c>
      <c r="U64" s="9">
        <v>1.78</v>
      </c>
      <c r="V64" s="10">
        <v>91.625658740000006</v>
      </c>
      <c r="W64" s="6" t="s">
        <v>348</v>
      </c>
      <c r="X64">
        <f t="shared" si="3"/>
        <v>1</v>
      </c>
      <c r="Y64" s="14">
        <v>72</v>
      </c>
      <c r="Z64" s="1" t="s">
        <v>503</v>
      </c>
      <c r="AA64" s="1">
        <v>48</v>
      </c>
      <c r="AB64" s="1">
        <v>80</v>
      </c>
      <c r="AP64" s="1">
        <v>74</v>
      </c>
      <c r="AQ64" s="7">
        <v>79</v>
      </c>
      <c r="AR64" s="1">
        <v>45</v>
      </c>
      <c r="AS64" s="1">
        <f t="shared" si="2"/>
        <v>1.7555555555555555</v>
      </c>
      <c r="AT64">
        <v>331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9</v>
      </c>
      <c r="BB64">
        <v>0</v>
      </c>
      <c r="BC64">
        <v>16</v>
      </c>
      <c r="BD64">
        <v>0</v>
      </c>
      <c r="BE64">
        <v>33</v>
      </c>
      <c r="BF64">
        <v>1</v>
      </c>
      <c r="BG64">
        <v>36</v>
      </c>
      <c r="BH64">
        <v>4</v>
      </c>
      <c r="BI64">
        <v>1</v>
      </c>
      <c r="BJ64">
        <v>2</v>
      </c>
      <c r="BK64">
        <v>2</v>
      </c>
      <c r="BL64">
        <v>2</v>
      </c>
      <c r="BM64">
        <v>1</v>
      </c>
      <c r="BN64">
        <v>1</v>
      </c>
      <c r="BO64">
        <v>0</v>
      </c>
      <c r="BP64">
        <v>0</v>
      </c>
      <c r="BQ64">
        <v>0</v>
      </c>
      <c r="BR64">
        <v>0</v>
      </c>
      <c r="BS64" s="16"/>
    </row>
    <row r="65" spans="1:71" hidden="1" x14ac:dyDescent="0.2">
      <c r="A65" s="1" t="s">
        <v>3</v>
      </c>
      <c r="B65" s="7" t="s">
        <v>118</v>
      </c>
      <c r="C65" s="1" t="s">
        <v>115</v>
      </c>
      <c r="D65" s="1"/>
      <c r="G65" s="1" t="str">
        <f t="shared" si="0"/>
        <v/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T65" t="s">
        <v>297</v>
      </c>
      <c r="U65" s="9">
        <v>1.85</v>
      </c>
      <c r="V65" s="10">
        <v>85.728957930000007</v>
      </c>
      <c r="W65" s="6" t="s">
        <v>349</v>
      </c>
      <c r="X65">
        <f t="shared" si="3"/>
        <v>0</v>
      </c>
      <c r="Y65" s="14">
        <v>68</v>
      </c>
      <c r="Z65" s="1" t="s">
        <v>504</v>
      </c>
      <c r="AA65" s="1">
        <v>78</v>
      </c>
      <c r="AB65" s="1">
        <v>70</v>
      </c>
      <c r="AC65" s="1">
        <v>46</v>
      </c>
      <c r="AO65" s="1">
        <v>86</v>
      </c>
      <c r="AQ65" s="7"/>
      <c r="BS65" s="16"/>
    </row>
    <row r="66" spans="1:71" hidden="1" x14ac:dyDescent="0.2">
      <c r="A66" s="1" t="s">
        <v>3</v>
      </c>
      <c r="B66" s="7" t="s">
        <v>119</v>
      </c>
      <c r="C66" s="1" t="s">
        <v>115</v>
      </c>
      <c r="D66" s="1"/>
      <c r="G66" s="1" t="str">
        <f t="shared" ref="G66:G129" si="4">RIGHT(D66,4)</f>
        <v/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T66" t="s">
        <v>297</v>
      </c>
      <c r="U66" s="9">
        <v>1.93</v>
      </c>
      <c r="V66" s="10">
        <v>94.800805330000003</v>
      </c>
      <c r="W66" s="6" t="s">
        <v>350</v>
      </c>
      <c r="X66">
        <f t="shared" ref="X66:X97" si="5">IF(ISBLANK(D66),0,1)</f>
        <v>0</v>
      </c>
      <c r="Y66" s="14">
        <v>87</v>
      </c>
      <c r="Z66" s="1" t="s">
        <v>502</v>
      </c>
      <c r="AA66" s="1">
        <v>88</v>
      </c>
      <c r="AB66" s="1">
        <v>74</v>
      </c>
      <c r="AC66" s="1">
        <v>46</v>
      </c>
      <c r="AO66" s="1">
        <v>92</v>
      </c>
      <c r="AQ66" s="7"/>
      <c r="BS66" s="16"/>
    </row>
    <row r="67" spans="1:71" hidden="1" x14ac:dyDescent="0.2">
      <c r="A67" s="1" t="s">
        <v>3</v>
      </c>
      <c r="B67" s="7" t="s">
        <v>120</v>
      </c>
      <c r="C67" s="1" t="s">
        <v>115</v>
      </c>
      <c r="D67" s="8" t="s">
        <v>293</v>
      </c>
      <c r="E67" s="1">
        <f t="shared" ref="E67:E82" si="6">G67-F67+1</f>
        <v>3</v>
      </c>
      <c r="F67" s="1" t="str">
        <f t="shared" ref="F67:F82" si="7">LEFT(D67, SEARCH("-",D67,1)-1)</f>
        <v>2017</v>
      </c>
      <c r="G67" s="1" t="str">
        <f t="shared" si="4"/>
        <v>2019</v>
      </c>
      <c r="H67" s="8">
        <v>3</v>
      </c>
      <c r="I67" s="8">
        <v>0</v>
      </c>
      <c r="J67" s="8">
        <v>3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3</v>
      </c>
      <c r="Q67" s="8">
        <v>0</v>
      </c>
      <c r="R67" s="8">
        <v>0</v>
      </c>
      <c r="S67" s="8">
        <v>100</v>
      </c>
      <c r="T67" t="s">
        <v>309</v>
      </c>
      <c r="U67" s="9">
        <v>1.8</v>
      </c>
      <c r="V67" s="10">
        <v>89.811289260000009</v>
      </c>
      <c r="W67" s="6" t="s">
        <v>351</v>
      </c>
      <c r="X67">
        <f t="shared" si="5"/>
        <v>1</v>
      </c>
      <c r="Y67" s="14">
        <v>82</v>
      </c>
      <c r="Z67" s="1" t="s">
        <v>505</v>
      </c>
      <c r="AA67" s="1">
        <v>72</v>
      </c>
      <c r="AB67" s="1">
        <v>69</v>
      </c>
      <c r="AC67" s="1">
        <v>86</v>
      </c>
      <c r="AD67" s="1">
        <v>29</v>
      </c>
      <c r="AQ67" s="7">
        <v>30</v>
      </c>
      <c r="AR67" s="1">
        <v>5</v>
      </c>
      <c r="AS67" s="1">
        <f t="shared" ref="AS67:AS129" si="8">AQ67/AR67</f>
        <v>6</v>
      </c>
      <c r="AT67">
        <v>74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3</v>
      </c>
      <c r="BD67">
        <v>0</v>
      </c>
      <c r="BE67">
        <v>2</v>
      </c>
      <c r="BF67">
        <v>1</v>
      </c>
      <c r="BG67">
        <v>3</v>
      </c>
      <c r="BH67">
        <v>1</v>
      </c>
      <c r="BI67">
        <v>1</v>
      </c>
      <c r="BJ67">
        <v>1</v>
      </c>
      <c r="BK67">
        <v>1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 s="16"/>
    </row>
    <row r="68" spans="1:71" hidden="1" x14ac:dyDescent="0.2">
      <c r="A68" s="1" t="s">
        <v>3</v>
      </c>
      <c r="B68" s="7" t="s">
        <v>121</v>
      </c>
      <c r="C68" s="1" t="s">
        <v>115</v>
      </c>
      <c r="D68" s="8" t="s">
        <v>256</v>
      </c>
      <c r="E68" s="1">
        <f t="shared" si="6"/>
        <v>1</v>
      </c>
      <c r="F68" s="1" t="str">
        <f t="shared" si="7"/>
        <v>2019</v>
      </c>
      <c r="G68" s="1" t="str">
        <f t="shared" si="4"/>
        <v>2019</v>
      </c>
      <c r="H68" s="8">
        <v>4</v>
      </c>
      <c r="I68" s="8">
        <v>0</v>
      </c>
      <c r="J68" s="8">
        <v>4</v>
      </c>
      <c r="K68" s="8">
        <v>5</v>
      </c>
      <c r="L68" s="8">
        <v>1</v>
      </c>
      <c r="M68" s="8">
        <v>0</v>
      </c>
      <c r="N68" s="8">
        <v>0</v>
      </c>
      <c r="O68" s="8">
        <v>0</v>
      </c>
      <c r="P68" s="8">
        <v>3</v>
      </c>
      <c r="Q68" s="8">
        <v>1</v>
      </c>
      <c r="R68" s="8">
        <v>0</v>
      </c>
      <c r="S68" s="8">
        <v>75</v>
      </c>
      <c r="T68" t="s">
        <v>292</v>
      </c>
      <c r="U68" s="9">
        <v>1.78</v>
      </c>
      <c r="V68" s="10">
        <v>86.636142669999998</v>
      </c>
      <c r="W68" s="6" t="s">
        <v>352</v>
      </c>
      <c r="X68">
        <f t="shared" si="5"/>
        <v>1</v>
      </c>
      <c r="Y68" s="14">
        <v>87</v>
      </c>
      <c r="Z68" s="1" t="s">
        <v>504</v>
      </c>
      <c r="AA68" s="1">
        <v>83</v>
      </c>
      <c r="AC68" s="1">
        <v>93</v>
      </c>
      <c r="AL68" s="1">
        <v>76</v>
      </c>
      <c r="AQ68" s="7">
        <v>13</v>
      </c>
      <c r="AR68" s="1">
        <v>5</v>
      </c>
      <c r="AS68" s="1">
        <f t="shared" si="8"/>
        <v>2.6</v>
      </c>
      <c r="AT68">
        <v>41</v>
      </c>
      <c r="AU68">
        <v>5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1</v>
      </c>
      <c r="BC68">
        <v>1</v>
      </c>
      <c r="BD68">
        <v>0</v>
      </c>
      <c r="BE68">
        <v>66</v>
      </c>
      <c r="BF68">
        <v>0</v>
      </c>
      <c r="BG68">
        <v>6</v>
      </c>
      <c r="BH68">
        <v>2</v>
      </c>
      <c r="BI68">
        <v>0</v>
      </c>
      <c r="BJ68">
        <v>1</v>
      </c>
      <c r="BK68">
        <v>0</v>
      </c>
      <c r="BL68">
        <v>0</v>
      </c>
      <c r="BM68">
        <v>3</v>
      </c>
      <c r="BN68">
        <v>1</v>
      </c>
      <c r="BO68">
        <v>0</v>
      </c>
      <c r="BP68">
        <v>0</v>
      </c>
      <c r="BQ68">
        <v>0</v>
      </c>
      <c r="BR68">
        <v>0</v>
      </c>
      <c r="BS68" s="16"/>
    </row>
    <row r="69" spans="1:71" hidden="1" x14ac:dyDescent="0.2">
      <c r="A69" s="1" t="s">
        <v>3</v>
      </c>
      <c r="B69" s="7" t="s">
        <v>122</v>
      </c>
      <c r="C69" s="1" t="s">
        <v>115</v>
      </c>
      <c r="D69" s="8" t="s">
        <v>328</v>
      </c>
      <c r="E69" s="1">
        <f t="shared" si="6"/>
        <v>10</v>
      </c>
      <c r="F69" s="1" t="str">
        <f t="shared" si="7"/>
        <v>2010</v>
      </c>
      <c r="G69" s="1" t="str">
        <f t="shared" si="4"/>
        <v>2019</v>
      </c>
      <c r="H69" s="8">
        <v>38</v>
      </c>
      <c r="I69" s="8">
        <v>35</v>
      </c>
      <c r="J69" s="8">
        <v>3</v>
      </c>
      <c r="K69" s="8">
        <v>60</v>
      </c>
      <c r="L69" s="8">
        <v>12</v>
      </c>
      <c r="M69" s="8">
        <v>0</v>
      </c>
      <c r="N69" s="8">
        <v>0</v>
      </c>
      <c r="O69" s="8">
        <v>0</v>
      </c>
      <c r="P69" s="8">
        <v>22</v>
      </c>
      <c r="Q69" s="8">
        <v>13</v>
      </c>
      <c r="R69" s="8">
        <v>3</v>
      </c>
      <c r="S69" s="8">
        <v>61.84</v>
      </c>
      <c r="T69" t="s">
        <v>347</v>
      </c>
      <c r="U69" s="9">
        <v>1.78</v>
      </c>
      <c r="V69" s="10">
        <v>86.636142669999998</v>
      </c>
      <c r="W69" s="6" t="s">
        <v>353</v>
      </c>
      <c r="X69">
        <f t="shared" si="5"/>
        <v>1</v>
      </c>
      <c r="Y69" s="14">
        <v>82</v>
      </c>
      <c r="Z69" s="1" t="s">
        <v>505</v>
      </c>
      <c r="AA69" s="1">
        <v>70</v>
      </c>
      <c r="AB69" s="1">
        <v>70</v>
      </c>
      <c r="AC69" s="1">
        <v>87</v>
      </c>
      <c r="AD69" s="1">
        <v>92</v>
      </c>
      <c r="AQ69" s="7">
        <v>171</v>
      </c>
      <c r="AR69" s="1">
        <v>30</v>
      </c>
      <c r="AS69" s="1">
        <f t="shared" si="8"/>
        <v>5.7</v>
      </c>
      <c r="AT69">
        <v>355</v>
      </c>
      <c r="AU69">
        <v>15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12</v>
      </c>
      <c r="BB69">
        <v>5</v>
      </c>
      <c r="BC69">
        <v>9</v>
      </c>
      <c r="BD69">
        <v>0</v>
      </c>
      <c r="BE69">
        <v>14</v>
      </c>
      <c r="BF69">
        <v>0</v>
      </c>
      <c r="BG69">
        <v>18</v>
      </c>
      <c r="BH69">
        <v>7</v>
      </c>
      <c r="BI69">
        <v>2</v>
      </c>
      <c r="BJ69">
        <v>5</v>
      </c>
      <c r="BK69">
        <v>3</v>
      </c>
      <c r="BL69">
        <v>1</v>
      </c>
      <c r="BM69">
        <v>7</v>
      </c>
      <c r="BN69">
        <v>9</v>
      </c>
      <c r="BO69">
        <v>0</v>
      </c>
      <c r="BP69">
        <v>0</v>
      </c>
      <c r="BQ69">
        <v>0</v>
      </c>
      <c r="BR69">
        <v>0</v>
      </c>
      <c r="BS69" s="16"/>
    </row>
    <row r="70" spans="1:71" hidden="1" x14ac:dyDescent="0.2">
      <c r="A70" s="1" t="s">
        <v>3</v>
      </c>
      <c r="B70" s="7" t="s">
        <v>123</v>
      </c>
      <c r="C70" s="1" t="s">
        <v>115</v>
      </c>
      <c r="D70" s="8" t="s">
        <v>340</v>
      </c>
      <c r="E70" s="1">
        <f t="shared" si="6"/>
        <v>2</v>
      </c>
      <c r="F70" s="1" t="str">
        <f t="shared" si="7"/>
        <v>2018</v>
      </c>
      <c r="G70" s="1" t="str">
        <f t="shared" si="4"/>
        <v>2019</v>
      </c>
      <c r="H70" s="8">
        <v>3</v>
      </c>
      <c r="I70" s="8">
        <v>3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3</v>
      </c>
      <c r="Q70" s="8">
        <v>0</v>
      </c>
      <c r="R70" s="8">
        <v>0</v>
      </c>
      <c r="S70" s="8">
        <v>100</v>
      </c>
      <c r="T70" t="s">
        <v>302</v>
      </c>
      <c r="U70" s="9">
        <v>1.91</v>
      </c>
      <c r="V70" s="10">
        <v>109.76935354000001</v>
      </c>
      <c r="W70" s="6" t="s">
        <v>354</v>
      </c>
      <c r="X70">
        <f t="shared" si="5"/>
        <v>1</v>
      </c>
      <c r="Y70" s="14">
        <v>71</v>
      </c>
      <c r="Z70" s="1" t="s">
        <v>505</v>
      </c>
      <c r="AA70" s="1">
        <v>74</v>
      </c>
      <c r="AB70" s="1">
        <v>67</v>
      </c>
      <c r="AP70" s="1">
        <v>63</v>
      </c>
      <c r="AQ70" s="7">
        <v>60</v>
      </c>
      <c r="AR70" s="1">
        <v>23</v>
      </c>
      <c r="AS70" s="1">
        <f t="shared" si="8"/>
        <v>2.6086956521739131</v>
      </c>
      <c r="AT70">
        <v>160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5</v>
      </c>
      <c r="BB70">
        <v>1</v>
      </c>
      <c r="BC70">
        <v>9</v>
      </c>
      <c r="BD70">
        <v>0</v>
      </c>
      <c r="BE70">
        <v>8</v>
      </c>
      <c r="BF70">
        <v>1</v>
      </c>
      <c r="BG70">
        <v>17</v>
      </c>
      <c r="BH70">
        <v>2</v>
      </c>
      <c r="BI70">
        <v>0</v>
      </c>
      <c r="BJ70">
        <v>1</v>
      </c>
      <c r="BK70">
        <v>0</v>
      </c>
      <c r="BL70">
        <v>0</v>
      </c>
      <c r="BM70">
        <v>1</v>
      </c>
      <c r="BN70">
        <v>0</v>
      </c>
      <c r="BO70">
        <v>1</v>
      </c>
      <c r="BP70">
        <v>0</v>
      </c>
      <c r="BQ70">
        <v>0</v>
      </c>
      <c r="BR70">
        <v>0</v>
      </c>
      <c r="BS70" s="16"/>
    </row>
    <row r="71" spans="1:71" hidden="1" x14ac:dyDescent="0.2">
      <c r="A71" s="1" t="s">
        <v>3</v>
      </c>
      <c r="B71" s="7" t="s">
        <v>124</v>
      </c>
      <c r="C71" s="1" t="s">
        <v>115</v>
      </c>
      <c r="D71" s="8" t="s">
        <v>357</v>
      </c>
      <c r="E71" s="1">
        <f t="shared" si="6"/>
        <v>5</v>
      </c>
      <c r="F71" s="1" t="str">
        <f t="shared" si="7"/>
        <v>2015</v>
      </c>
      <c r="G71" s="1" t="str">
        <f t="shared" si="4"/>
        <v>2019</v>
      </c>
      <c r="H71" s="8">
        <v>18</v>
      </c>
      <c r="I71" s="8">
        <v>18</v>
      </c>
      <c r="J71" s="8">
        <v>0</v>
      </c>
      <c r="K71" s="8">
        <v>15</v>
      </c>
      <c r="L71" s="8">
        <v>3</v>
      </c>
      <c r="M71" s="8">
        <v>0</v>
      </c>
      <c r="N71" s="8">
        <v>0</v>
      </c>
      <c r="O71" s="8">
        <v>0</v>
      </c>
      <c r="P71" s="8">
        <v>11</v>
      </c>
      <c r="Q71" s="8">
        <v>6</v>
      </c>
      <c r="R71" s="8">
        <v>1</v>
      </c>
      <c r="S71" s="8">
        <v>63.88</v>
      </c>
      <c r="T71" t="s">
        <v>356</v>
      </c>
      <c r="U71" s="9">
        <v>1.93</v>
      </c>
      <c r="V71" s="10">
        <v>104.77983747</v>
      </c>
      <c r="W71" s="6" t="s">
        <v>355</v>
      </c>
      <c r="X71">
        <f t="shared" si="5"/>
        <v>1</v>
      </c>
      <c r="Y71" s="14">
        <v>89</v>
      </c>
      <c r="Z71" s="1" t="s">
        <v>502</v>
      </c>
      <c r="AA71" s="1">
        <v>84</v>
      </c>
      <c r="AB71" s="1">
        <v>82</v>
      </c>
      <c r="AP71" s="1">
        <v>80</v>
      </c>
      <c r="AQ71" s="7">
        <v>42</v>
      </c>
      <c r="AR71" s="1">
        <v>11</v>
      </c>
      <c r="AS71" s="1">
        <f t="shared" si="8"/>
        <v>3.8181818181818183</v>
      </c>
      <c r="AT71">
        <v>80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3</v>
      </c>
      <c r="BB71">
        <v>0</v>
      </c>
      <c r="BC71">
        <v>3</v>
      </c>
      <c r="BD71">
        <v>0</v>
      </c>
      <c r="BE71">
        <v>4</v>
      </c>
      <c r="BF71">
        <v>0</v>
      </c>
      <c r="BG71">
        <v>3</v>
      </c>
      <c r="BH71">
        <v>1</v>
      </c>
      <c r="BI71">
        <v>0</v>
      </c>
      <c r="BJ71">
        <v>1</v>
      </c>
      <c r="BK71">
        <v>1</v>
      </c>
      <c r="BL71">
        <v>0</v>
      </c>
      <c r="BM71">
        <v>2</v>
      </c>
      <c r="BN71">
        <v>2</v>
      </c>
      <c r="BO71">
        <v>0</v>
      </c>
      <c r="BP71">
        <v>0</v>
      </c>
      <c r="BQ71">
        <v>0</v>
      </c>
      <c r="BR71">
        <v>0</v>
      </c>
      <c r="BS71" s="16"/>
    </row>
    <row r="72" spans="1:71" hidden="1" x14ac:dyDescent="0.2">
      <c r="A72" s="1" t="s">
        <v>3</v>
      </c>
      <c r="B72" s="7" t="s">
        <v>125</v>
      </c>
      <c r="C72" s="1" t="s">
        <v>115</v>
      </c>
      <c r="D72" s="8" t="s">
        <v>358</v>
      </c>
      <c r="E72" s="1">
        <f t="shared" si="6"/>
        <v>3</v>
      </c>
      <c r="F72" s="1" t="str">
        <f t="shared" si="7"/>
        <v>2014</v>
      </c>
      <c r="G72" s="1" t="str">
        <f t="shared" si="4"/>
        <v>2016</v>
      </c>
      <c r="H72" s="8">
        <v>7</v>
      </c>
      <c r="I72" s="8">
        <v>6</v>
      </c>
      <c r="J72" s="8">
        <v>1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4</v>
      </c>
      <c r="Q72" s="8">
        <v>2</v>
      </c>
      <c r="R72" s="8">
        <v>1</v>
      </c>
      <c r="S72" s="8">
        <v>64.28</v>
      </c>
      <c r="T72" t="s">
        <v>309</v>
      </c>
      <c r="U72" s="9">
        <v>1.8</v>
      </c>
      <c r="V72" s="10">
        <v>89.811289260000009</v>
      </c>
      <c r="W72" s="6" t="s">
        <v>359</v>
      </c>
      <c r="X72">
        <f t="shared" si="5"/>
        <v>1</v>
      </c>
      <c r="Y72" s="14">
        <v>88</v>
      </c>
      <c r="Z72" s="1" t="s">
        <v>502</v>
      </c>
      <c r="AA72" s="1">
        <v>81</v>
      </c>
      <c r="AB72" s="1">
        <v>74</v>
      </c>
      <c r="AC72" s="1">
        <v>79</v>
      </c>
      <c r="AD72" s="1">
        <v>92</v>
      </c>
      <c r="AQ72" s="7"/>
      <c r="BS72" s="16"/>
    </row>
    <row r="73" spans="1:71" hidden="1" x14ac:dyDescent="0.2">
      <c r="A73" s="1" t="s">
        <v>3</v>
      </c>
      <c r="B73" s="7" t="s">
        <v>126</v>
      </c>
      <c r="C73" s="1" t="s">
        <v>115</v>
      </c>
      <c r="D73" s="8" t="s">
        <v>340</v>
      </c>
      <c r="E73" s="1">
        <f t="shared" si="6"/>
        <v>2</v>
      </c>
      <c r="F73" s="1" t="str">
        <f t="shared" si="7"/>
        <v>2018</v>
      </c>
      <c r="G73" s="1" t="str">
        <f t="shared" si="4"/>
        <v>2019</v>
      </c>
      <c r="H73" s="8">
        <v>7</v>
      </c>
      <c r="I73" s="8">
        <v>1</v>
      </c>
      <c r="J73" s="8">
        <v>6</v>
      </c>
      <c r="K73" s="8">
        <v>5</v>
      </c>
      <c r="L73" s="8">
        <v>1</v>
      </c>
      <c r="M73" s="8">
        <v>0</v>
      </c>
      <c r="N73" s="8">
        <v>0</v>
      </c>
      <c r="O73" s="8">
        <v>0</v>
      </c>
      <c r="P73" s="8">
        <v>5</v>
      </c>
      <c r="Q73" s="8">
        <v>2</v>
      </c>
      <c r="R73" s="8">
        <v>0</v>
      </c>
      <c r="S73" s="8">
        <v>71.42</v>
      </c>
      <c r="T73" t="s">
        <v>311</v>
      </c>
      <c r="U73" s="9">
        <v>1.78</v>
      </c>
      <c r="V73" s="10">
        <v>86.636142669999998</v>
      </c>
      <c r="W73" s="6" t="s">
        <v>360</v>
      </c>
      <c r="X73">
        <f t="shared" si="5"/>
        <v>1</v>
      </c>
      <c r="Y73" s="14">
        <v>88</v>
      </c>
      <c r="Z73" s="1" t="s">
        <v>502</v>
      </c>
      <c r="AA73" s="1">
        <v>79</v>
      </c>
      <c r="AB73" s="1">
        <v>77</v>
      </c>
      <c r="AC73" s="1">
        <v>89</v>
      </c>
      <c r="AD73" s="1">
        <v>83</v>
      </c>
      <c r="AQ73" s="7">
        <v>101</v>
      </c>
      <c r="AR73" s="1">
        <v>17</v>
      </c>
      <c r="AS73" s="1">
        <f t="shared" si="8"/>
        <v>5.9411764705882355</v>
      </c>
      <c r="AT73">
        <v>145</v>
      </c>
      <c r="AU73">
        <v>5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10</v>
      </c>
      <c r="BB73">
        <v>2</v>
      </c>
      <c r="BC73">
        <v>4</v>
      </c>
      <c r="BD73">
        <v>0</v>
      </c>
      <c r="BE73">
        <v>9</v>
      </c>
      <c r="BF73">
        <v>2</v>
      </c>
      <c r="BG73">
        <v>4</v>
      </c>
      <c r="BH73">
        <v>1</v>
      </c>
      <c r="BI73">
        <v>0</v>
      </c>
      <c r="BJ73">
        <v>3</v>
      </c>
      <c r="BK73">
        <v>1</v>
      </c>
      <c r="BL73">
        <v>1</v>
      </c>
      <c r="BM73">
        <v>1</v>
      </c>
      <c r="BN73">
        <v>4</v>
      </c>
      <c r="BO73">
        <v>2</v>
      </c>
      <c r="BP73">
        <v>0</v>
      </c>
      <c r="BQ73">
        <v>0</v>
      </c>
      <c r="BR73">
        <v>0</v>
      </c>
      <c r="BS73" s="16"/>
    </row>
    <row r="74" spans="1:71" hidden="1" x14ac:dyDescent="0.2">
      <c r="A74" s="1" t="s">
        <v>3</v>
      </c>
      <c r="B74" s="7" t="s">
        <v>127</v>
      </c>
      <c r="C74" s="1" t="s">
        <v>115</v>
      </c>
      <c r="D74" s="8" t="s">
        <v>257</v>
      </c>
      <c r="E74" s="1">
        <f t="shared" si="6"/>
        <v>1</v>
      </c>
      <c r="F74" s="1" t="str">
        <f t="shared" si="7"/>
        <v>2017</v>
      </c>
      <c r="G74" s="1" t="str">
        <f t="shared" si="4"/>
        <v>2017</v>
      </c>
      <c r="H74" s="8">
        <v>1</v>
      </c>
      <c r="I74" s="8">
        <v>0</v>
      </c>
      <c r="J74" s="8">
        <v>1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1</v>
      </c>
      <c r="Q74" s="8">
        <v>0</v>
      </c>
      <c r="R74" s="8">
        <v>0</v>
      </c>
      <c r="S74" s="8">
        <v>100</v>
      </c>
      <c r="T74" t="s">
        <v>292</v>
      </c>
      <c r="U74" s="9">
        <v>1.75</v>
      </c>
      <c r="V74" s="10">
        <v>83.914588450000011</v>
      </c>
      <c r="W74" s="6" t="s">
        <v>361</v>
      </c>
      <c r="X74">
        <f t="shared" si="5"/>
        <v>1</v>
      </c>
      <c r="Y74" s="14">
        <v>86</v>
      </c>
      <c r="Z74" s="1" t="s">
        <v>502</v>
      </c>
      <c r="AA74" s="1">
        <v>77</v>
      </c>
      <c r="AC74" s="1">
        <v>90</v>
      </c>
      <c r="AL74" s="1">
        <v>75</v>
      </c>
      <c r="AQ74" s="7"/>
      <c r="BS74" s="16"/>
    </row>
    <row r="75" spans="1:71" hidden="1" x14ac:dyDescent="0.2">
      <c r="A75" s="1" t="s">
        <v>3</v>
      </c>
      <c r="B75" s="7" t="s">
        <v>128</v>
      </c>
      <c r="C75" s="1" t="s">
        <v>115</v>
      </c>
      <c r="D75" s="8" t="s">
        <v>338</v>
      </c>
      <c r="E75" s="1">
        <f t="shared" si="6"/>
        <v>8</v>
      </c>
      <c r="F75" s="1" t="str">
        <f t="shared" si="7"/>
        <v>2012</v>
      </c>
      <c r="G75" s="1" t="str">
        <f t="shared" si="4"/>
        <v>2019</v>
      </c>
      <c r="H75" s="8">
        <v>37</v>
      </c>
      <c r="I75" s="8">
        <v>37</v>
      </c>
      <c r="J75" s="8">
        <v>0</v>
      </c>
      <c r="K75" s="8">
        <v>57</v>
      </c>
      <c r="L75" s="8">
        <v>9</v>
      </c>
      <c r="M75" s="8">
        <v>3</v>
      </c>
      <c r="N75" s="8">
        <v>2</v>
      </c>
      <c r="O75" s="8">
        <v>0</v>
      </c>
      <c r="P75" s="8">
        <v>22</v>
      </c>
      <c r="Q75" s="8">
        <v>12</v>
      </c>
      <c r="R75" s="8">
        <v>3</v>
      </c>
      <c r="S75" s="8">
        <v>63.51</v>
      </c>
      <c r="T75" t="s">
        <v>292</v>
      </c>
      <c r="U75" s="9">
        <v>1.88</v>
      </c>
      <c r="V75" s="10">
        <v>92.986435850000007</v>
      </c>
      <c r="W75" s="6" t="s">
        <v>362</v>
      </c>
      <c r="X75">
        <f t="shared" si="5"/>
        <v>1</v>
      </c>
      <c r="Y75" s="14">
        <v>85</v>
      </c>
      <c r="Z75" s="1" t="s">
        <v>505</v>
      </c>
      <c r="AA75" s="1">
        <v>52</v>
      </c>
      <c r="AC75" s="1">
        <v>93</v>
      </c>
      <c r="AL75" s="1">
        <v>76</v>
      </c>
      <c r="AQ75" s="7">
        <v>61</v>
      </c>
      <c r="AR75" s="1">
        <v>22</v>
      </c>
      <c r="AS75" s="1">
        <f t="shared" si="8"/>
        <v>2.7727272727272729</v>
      </c>
      <c r="AT75">
        <v>349</v>
      </c>
      <c r="AU75">
        <v>16</v>
      </c>
      <c r="AV75">
        <v>2</v>
      </c>
      <c r="AW75">
        <v>3</v>
      </c>
      <c r="AX75">
        <v>3</v>
      </c>
      <c r="AY75">
        <v>0</v>
      </c>
      <c r="AZ75">
        <v>0</v>
      </c>
      <c r="BA75">
        <v>3</v>
      </c>
      <c r="BB75">
        <v>3</v>
      </c>
      <c r="BC75">
        <v>8</v>
      </c>
      <c r="BD75">
        <v>0</v>
      </c>
      <c r="BE75">
        <v>443</v>
      </c>
      <c r="BF75">
        <v>1</v>
      </c>
      <c r="BG75">
        <v>27</v>
      </c>
      <c r="BH75">
        <v>7</v>
      </c>
      <c r="BI75">
        <v>0</v>
      </c>
      <c r="BJ75">
        <v>8</v>
      </c>
      <c r="BK75">
        <v>4</v>
      </c>
      <c r="BL75">
        <v>2</v>
      </c>
      <c r="BM75">
        <v>42</v>
      </c>
      <c r="BN75">
        <v>1</v>
      </c>
      <c r="BO75">
        <v>0</v>
      </c>
      <c r="BP75">
        <v>0</v>
      </c>
      <c r="BQ75">
        <v>0</v>
      </c>
      <c r="BR75">
        <v>0</v>
      </c>
      <c r="BS75" s="16"/>
    </row>
    <row r="76" spans="1:71" hidden="1" x14ac:dyDescent="0.2">
      <c r="A76" s="1" t="s">
        <v>3</v>
      </c>
      <c r="B76" s="7" t="s">
        <v>129</v>
      </c>
      <c r="C76" s="1" t="s">
        <v>115</v>
      </c>
      <c r="D76" s="8" t="s">
        <v>293</v>
      </c>
      <c r="E76" s="1">
        <f t="shared" si="6"/>
        <v>3</v>
      </c>
      <c r="F76" s="1" t="str">
        <f t="shared" si="7"/>
        <v>2017</v>
      </c>
      <c r="G76" s="1" t="str">
        <f t="shared" si="4"/>
        <v>2019</v>
      </c>
      <c r="H76" s="8">
        <v>10</v>
      </c>
      <c r="I76" s="8">
        <v>10</v>
      </c>
      <c r="J76" s="8">
        <v>0</v>
      </c>
      <c r="K76" s="8">
        <v>10</v>
      </c>
      <c r="L76" s="8">
        <v>2</v>
      </c>
      <c r="M76" s="8">
        <v>0</v>
      </c>
      <c r="N76" s="8">
        <v>0</v>
      </c>
      <c r="O76" s="8">
        <v>0</v>
      </c>
      <c r="P76" s="8">
        <v>6</v>
      </c>
      <c r="Q76" s="8">
        <v>4</v>
      </c>
      <c r="R76" s="8">
        <v>0</v>
      </c>
      <c r="S76" s="8">
        <v>60</v>
      </c>
      <c r="T76" t="s">
        <v>302</v>
      </c>
      <c r="U76" s="9">
        <v>1.91</v>
      </c>
      <c r="V76" s="10">
        <v>93.893620589999998</v>
      </c>
      <c r="W76" s="6" t="s">
        <v>363</v>
      </c>
      <c r="X76">
        <f t="shared" si="5"/>
        <v>1</v>
      </c>
      <c r="Y76" s="14">
        <v>80</v>
      </c>
      <c r="Z76" s="1" t="s">
        <v>502</v>
      </c>
      <c r="AA76" s="1">
        <v>76</v>
      </c>
      <c r="AB76" s="1">
        <v>78</v>
      </c>
      <c r="AP76" s="1">
        <v>82</v>
      </c>
      <c r="AQ76" s="7">
        <v>75</v>
      </c>
      <c r="AR76" s="1">
        <v>38</v>
      </c>
      <c r="AS76" s="1">
        <f t="shared" si="8"/>
        <v>1.9736842105263157</v>
      </c>
      <c r="AT76">
        <v>232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10</v>
      </c>
      <c r="BB76">
        <v>4</v>
      </c>
      <c r="BC76">
        <v>15</v>
      </c>
      <c r="BD76">
        <v>0</v>
      </c>
      <c r="BE76">
        <v>15</v>
      </c>
      <c r="BF76">
        <v>1</v>
      </c>
      <c r="BG76">
        <v>14</v>
      </c>
      <c r="BH76">
        <v>7</v>
      </c>
      <c r="BI76">
        <v>3</v>
      </c>
      <c r="BJ76">
        <v>7</v>
      </c>
      <c r="BK76">
        <v>6</v>
      </c>
      <c r="BL76">
        <v>3</v>
      </c>
      <c r="BM76">
        <v>3</v>
      </c>
      <c r="BN76">
        <v>4</v>
      </c>
      <c r="BO76">
        <v>0</v>
      </c>
      <c r="BP76">
        <v>0</v>
      </c>
      <c r="BQ76">
        <v>0</v>
      </c>
      <c r="BR76">
        <v>0</v>
      </c>
      <c r="BS76" s="16"/>
    </row>
    <row r="77" spans="1:71" hidden="1" x14ac:dyDescent="0.2">
      <c r="A77" s="1" t="s">
        <v>3</v>
      </c>
      <c r="B77" s="7" t="s">
        <v>130</v>
      </c>
      <c r="C77" s="1" t="s">
        <v>115</v>
      </c>
      <c r="D77" s="8" t="s">
        <v>328</v>
      </c>
      <c r="E77" s="1">
        <f t="shared" si="6"/>
        <v>10</v>
      </c>
      <c r="F77" s="1" t="str">
        <f t="shared" si="7"/>
        <v>2010</v>
      </c>
      <c r="G77" s="1" t="str">
        <f t="shared" si="4"/>
        <v>2019</v>
      </c>
      <c r="H77" s="8">
        <v>43</v>
      </c>
      <c r="I77" s="8">
        <v>40</v>
      </c>
      <c r="J77" s="8">
        <v>3</v>
      </c>
      <c r="K77" s="8">
        <v>380</v>
      </c>
      <c r="L77" s="8">
        <v>5</v>
      </c>
      <c r="M77" s="8">
        <v>59</v>
      </c>
      <c r="N77" s="8">
        <v>76</v>
      </c>
      <c r="O77" s="8">
        <v>3</v>
      </c>
      <c r="P77" s="8">
        <v>27</v>
      </c>
      <c r="Q77" s="8">
        <v>14</v>
      </c>
      <c r="R77" s="8">
        <v>2</v>
      </c>
      <c r="S77" s="8">
        <v>65.11</v>
      </c>
      <c r="T77" t="s">
        <v>297</v>
      </c>
      <c r="U77" s="9">
        <v>1.88</v>
      </c>
      <c r="V77" s="10">
        <v>89.811289260000009</v>
      </c>
      <c r="W77" s="6" t="s">
        <v>364</v>
      </c>
      <c r="X77">
        <f t="shared" si="5"/>
        <v>1</v>
      </c>
      <c r="Y77" s="14">
        <v>83</v>
      </c>
      <c r="Z77" s="1" t="s">
        <v>502</v>
      </c>
      <c r="AA77" s="1">
        <v>73</v>
      </c>
      <c r="AB77" s="1">
        <v>67</v>
      </c>
      <c r="AC77" s="1">
        <v>45</v>
      </c>
      <c r="AO77" s="1">
        <v>88</v>
      </c>
      <c r="AQ77" s="7">
        <v>60</v>
      </c>
      <c r="AR77" s="1">
        <v>32</v>
      </c>
      <c r="AS77" s="1">
        <f t="shared" si="8"/>
        <v>1.875</v>
      </c>
      <c r="AT77">
        <v>309</v>
      </c>
      <c r="AU77">
        <v>23</v>
      </c>
      <c r="AV77">
        <v>1</v>
      </c>
      <c r="AW77">
        <v>1</v>
      </c>
      <c r="AX77">
        <v>6</v>
      </c>
      <c r="AY77">
        <v>2</v>
      </c>
      <c r="AZ77">
        <v>0</v>
      </c>
      <c r="BA77">
        <v>5</v>
      </c>
      <c r="BB77">
        <v>2</v>
      </c>
      <c r="BC77">
        <v>13</v>
      </c>
      <c r="BD77">
        <v>2</v>
      </c>
      <c r="BE77">
        <v>131</v>
      </c>
      <c r="BF77">
        <v>2</v>
      </c>
      <c r="BG77">
        <v>33</v>
      </c>
      <c r="BH77">
        <v>6</v>
      </c>
      <c r="BI77">
        <v>1</v>
      </c>
      <c r="BJ77">
        <v>10</v>
      </c>
      <c r="BK77">
        <v>4</v>
      </c>
      <c r="BL77">
        <v>3</v>
      </c>
      <c r="BM77">
        <v>24</v>
      </c>
      <c r="BN77">
        <v>2</v>
      </c>
      <c r="BO77">
        <v>0</v>
      </c>
      <c r="BP77">
        <v>0</v>
      </c>
      <c r="BQ77">
        <v>0</v>
      </c>
      <c r="BR77">
        <v>0</v>
      </c>
      <c r="BS77" s="16"/>
    </row>
    <row r="78" spans="1:71" hidden="1" x14ac:dyDescent="0.2">
      <c r="A78" s="1" t="s">
        <v>3</v>
      </c>
      <c r="B78" s="7" t="s">
        <v>131</v>
      </c>
      <c r="C78" s="1" t="s">
        <v>115</v>
      </c>
      <c r="D78" s="8" t="s">
        <v>340</v>
      </c>
      <c r="E78" s="1">
        <f t="shared" si="6"/>
        <v>2</v>
      </c>
      <c r="F78" s="1" t="str">
        <f t="shared" si="7"/>
        <v>2018</v>
      </c>
      <c r="G78" s="1" t="str">
        <f t="shared" si="4"/>
        <v>2019</v>
      </c>
      <c r="H78" s="8">
        <v>10</v>
      </c>
      <c r="I78" s="8">
        <v>10</v>
      </c>
      <c r="J78" s="8">
        <v>0</v>
      </c>
      <c r="K78" s="8">
        <v>45</v>
      </c>
      <c r="L78" s="8">
        <v>9</v>
      </c>
      <c r="M78" s="8">
        <v>0</v>
      </c>
      <c r="N78" s="8">
        <v>0</v>
      </c>
      <c r="O78" s="8">
        <v>0</v>
      </c>
      <c r="P78" s="8">
        <v>8</v>
      </c>
      <c r="Q78" s="8">
        <v>2</v>
      </c>
      <c r="R78" s="8">
        <v>0</v>
      </c>
      <c r="S78" s="8">
        <v>80</v>
      </c>
      <c r="T78" t="s">
        <v>311</v>
      </c>
      <c r="U78" s="9">
        <v>1.91</v>
      </c>
      <c r="V78" s="10">
        <v>102.96546799000001</v>
      </c>
      <c r="W78" s="6" t="s">
        <v>365</v>
      </c>
      <c r="X78">
        <f t="shared" si="5"/>
        <v>1</v>
      </c>
      <c r="Y78" s="14">
        <v>84</v>
      </c>
      <c r="Z78" s="1" t="s">
        <v>504</v>
      </c>
      <c r="AA78" s="1">
        <v>65</v>
      </c>
      <c r="AB78" s="1">
        <v>75</v>
      </c>
      <c r="AC78" s="1">
        <v>86</v>
      </c>
      <c r="AD78" s="1">
        <v>92</v>
      </c>
      <c r="AQ78" s="7">
        <v>395</v>
      </c>
      <c r="AR78" s="1">
        <v>42</v>
      </c>
      <c r="AS78" s="1">
        <f t="shared" si="8"/>
        <v>9.4047619047619051</v>
      </c>
      <c r="AT78">
        <v>391</v>
      </c>
      <c r="AU78">
        <v>10</v>
      </c>
      <c r="AV78">
        <v>2</v>
      </c>
      <c r="AW78">
        <v>0</v>
      </c>
      <c r="AX78">
        <v>0</v>
      </c>
      <c r="AY78">
        <v>0</v>
      </c>
      <c r="AZ78">
        <v>0</v>
      </c>
      <c r="BA78">
        <v>23</v>
      </c>
      <c r="BB78">
        <v>7</v>
      </c>
      <c r="BC78">
        <v>18</v>
      </c>
      <c r="BD78">
        <v>0</v>
      </c>
      <c r="BE78">
        <v>9</v>
      </c>
      <c r="BF78">
        <v>1</v>
      </c>
      <c r="BG78">
        <v>6</v>
      </c>
      <c r="BH78">
        <v>4</v>
      </c>
      <c r="BI78">
        <v>0</v>
      </c>
      <c r="BJ78">
        <v>14</v>
      </c>
      <c r="BK78">
        <v>10</v>
      </c>
      <c r="BL78">
        <v>0</v>
      </c>
      <c r="BM78">
        <v>5</v>
      </c>
      <c r="BN78">
        <v>11</v>
      </c>
      <c r="BO78">
        <v>0</v>
      </c>
      <c r="BP78">
        <v>0</v>
      </c>
      <c r="BQ78">
        <v>0</v>
      </c>
      <c r="BR78">
        <v>0</v>
      </c>
      <c r="BS78" s="16"/>
    </row>
    <row r="79" spans="1:71" hidden="1" x14ac:dyDescent="0.2">
      <c r="A79" s="1" t="s">
        <v>5</v>
      </c>
      <c r="B79" s="7" t="s">
        <v>174</v>
      </c>
      <c r="C79" s="1" t="s">
        <v>114</v>
      </c>
      <c r="D79" s="8" t="s">
        <v>293</v>
      </c>
      <c r="E79" s="1">
        <f t="shared" si="6"/>
        <v>3</v>
      </c>
      <c r="F79" s="1" t="str">
        <f t="shared" si="7"/>
        <v>2017</v>
      </c>
      <c r="G79" s="1" t="str">
        <f t="shared" si="4"/>
        <v>2019</v>
      </c>
      <c r="H79" s="8">
        <v>11</v>
      </c>
      <c r="I79" s="8">
        <v>5</v>
      </c>
      <c r="J79" s="8">
        <v>6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4</v>
      </c>
      <c r="Q79" s="8">
        <v>6</v>
      </c>
      <c r="R79" s="8">
        <v>1</v>
      </c>
      <c r="S79" s="8">
        <v>40.9</v>
      </c>
      <c r="T79" t="s">
        <v>254</v>
      </c>
      <c r="U79" s="9">
        <v>1.91</v>
      </c>
      <c r="V79" s="10">
        <v>126.55227123</v>
      </c>
      <c r="W79" s="6" t="s">
        <v>366</v>
      </c>
      <c r="X79">
        <f t="shared" si="5"/>
        <v>1</v>
      </c>
      <c r="Y79" s="14">
        <v>75</v>
      </c>
      <c r="Z79" s="1" t="s">
        <v>506</v>
      </c>
      <c r="AA79" s="1">
        <v>85</v>
      </c>
      <c r="AE79" s="1">
        <v>69</v>
      </c>
      <c r="AF79" s="1">
        <v>73</v>
      </c>
      <c r="AQ79" s="7">
        <v>5</v>
      </c>
      <c r="AR79" s="1">
        <v>14</v>
      </c>
      <c r="AS79" s="1">
        <f t="shared" si="8"/>
        <v>0.35714285714285715</v>
      </c>
      <c r="AT79">
        <v>189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4</v>
      </c>
      <c r="BD79">
        <v>0</v>
      </c>
      <c r="BE79">
        <v>7</v>
      </c>
      <c r="BF79">
        <v>0</v>
      </c>
      <c r="BG79">
        <v>30</v>
      </c>
      <c r="BH79">
        <v>5</v>
      </c>
      <c r="BI79">
        <v>2</v>
      </c>
      <c r="BJ79">
        <v>0</v>
      </c>
      <c r="BK79">
        <v>0</v>
      </c>
      <c r="BL79">
        <v>2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0</v>
      </c>
      <c r="BS79" s="16"/>
    </row>
    <row r="80" spans="1:71" hidden="1" x14ac:dyDescent="0.2">
      <c r="A80" s="1" t="s">
        <v>5</v>
      </c>
      <c r="B80" s="7" t="s">
        <v>175</v>
      </c>
      <c r="C80" s="1" t="s">
        <v>114</v>
      </c>
      <c r="D80" s="8" t="s">
        <v>340</v>
      </c>
      <c r="E80" s="1">
        <f t="shared" si="6"/>
        <v>2</v>
      </c>
      <c r="F80" s="1" t="str">
        <f t="shared" si="7"/>
        <v>2018</v>
      </c>
      <c r="G80" s="1" t="str">
        <f t="shared" si="4"/>
        <v>2019</v>
      </c>
      <c r="H80" s="8">
        <v>7</v>
      </c>
      <c r="I80" s="8">
        <v>0</v>
      </c>
      <c r="J80" s="8">
        <v>7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4</v>
      </c>
      <c r="Q80" s="8">
        <v>3</v>
      </c>
      <c r="R80" s="8">
        <v>0</v>
      </c>
      <c r="S80" s="8">
        <v>57.14</v>
      </c>
      <c r="T80" t="s">
        <v>254</v>
      </c>
      <c r="U80" s="9">
        <v>1.83</v>
      </c>
      <c r="V80" s="10">
        <v>112.94450013000001</v>
      </c>
      <c r="W80" s="6" t="s">
        <v>367</v>
      </c>
      <c r="X80">
        <f t="shared" si="5"/>
        <v>1</v>
      </c>
      <c r="Y80" s="14">
        <v>70</v>
      </c>
      <c r="Z80" s="1" t="s">
        <v>506</v>
      </c>
      <c r="AA80" s="1">
        <v>82</v>
      </c>
      <c r="AE80" s="1">
        <v>65</v>
      </c>
      <c r="AF80" s="1">
        <v>69</v>
      </c>
      <c r="AQ80" s="7">
        <v>1</v>
      </c>
      <c r="AR80" s="1">
        <v>3</v>
      </c>
      <c r="AS80" s="1">
        <f t="shared" si="8"/>
        <v>0.33333333333333331</v>
      </c>
      <c r="AT80">
        <v>35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0</v>
      </c>
      <c r="BE80">
        <v>0</v>
      </c>
      <c r="BF80">
        <v>0</v>
      </c>
      <c r="BG80">
        <v>5</v>
      </c>
      <c r="BH80">
        <v>1</v>
      </c>
      <c r="BI80">
        <v>0</v>
      </c>
      <c r="BJ80">
        <v>0</v>
      </c>
      <c r="BK80">
        <v>0</v>
      </c>
      <c r="BL80">
        <v>1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 s="16"/>
    </row>
    <row r="81" spans="1:71" x14ac:dyDescent="0.2">
      <c r="A81" s="1" t="s">
        <v>5</v>
      </c>
      <c r="B81" s="7" t="s">
        <v>176</v>
      </c>
      <c r="C81" s="1" t="s">
        <v>114</v>
      </c>
      <c r="D81" s="8" t="s">
        <v>256</v>
      </c>
      <c r="E81" s="1">
        <f t="shared" si="6"/>
        <v>1</v>
      </c>
      <c r="F81" s="1" t="str">
        <f t="shared" si="7"/>
        <v>2019</v>
      </c>
      <c r="G81" s="1" t="str">
        <f t="shared" si="4"/>
        <v>2019</v>
      </c>
      <c r="H81" s="8">
        <v>3</v>
      </c>
      <c r="I81" s="8">
        <v>3</v>
      </c>
      <c r="J81" s="8">
        <v>0</v>
      </c>
      <c r="K81" s="8">
        <v>5</v>
      </c>
      <c r="L81" s="8">
        <v>1</v>
      </c>
      <c r="M81" s="8">
        <v>0</v>
      </c>
      <c r="N81" s="8">
        <v>0</v>
      </c>
      <c r="O81" s="8">
        <v>0</v>
      </c>
      <c r="P81" s="8">
        <v>0</v>
      </c>
      <c r="Q81" s="8">
        <v>2</v>
      </c>
      <c r="R81" s="8">
        <v>1</v>
      </c>
      <c r="S81" s="8">
        <v>16.66</v>
      </c>
      <c r="T81" t="s">
        <v>274</v>
      </c>
      <c r="U81" s="9">
        <v>1.93</v>
      </c>
      <c r="V81" s="10">
        <v>109.76935354000001</v>
      </c>
      <c r="W81" s="6" t="s">
        <v>368</v>
      </c>
      <c r="X81">
        <f t="shared" si="5"/>
        <v>1</v>
      </c>
      <c r="Y81" s="14">
        <v>82</v>
      </c>
      <c r="Z81" s="1" t="s">
        <v>506</v>
      </c>
      <c r="AA81" s="1">
        <v>88</v>
      </c>
      <c r="AG81" s="1">
        <v>74</v>
      </c>
      <c r="AJ81" s="1">
        <v>64</v>
      </c>
      <c r="AK81" s="1">
        <v>58</v>
      </c>
      <c r="AQ81" s="7">
        <v>121</v>
      </c>
      <c r="AR81" s="1">
        <v>43</v>
      </c>
      <c r="AS81" s="1">
        <f t="shared" si="8"/>
        <v>2.8139534883720931</v>
      </c>
      <c r="AT81">
        <v>240</v>
      </c>
      <c r="AU81">
        <v>5</v>
      </c>
      <c r="AV81">
        <v>1</v>
      </c>
      <c r="AW81">
        <v>0</v>
      </c>
      <c r="AX81">
        <v>0</v>
      </c>
      <c r="AY81">
        <v>0</v>
      </c>
      <c r="AZ81">
        <v>0</v>
      </c>
      <c r="BA81">
        <v>5</v>
      </c>
      <c r="BB81">
        <v>1</v>
      </c>
      <c r="BC81">
        <v>13</v>
      </c>
      <c r="BD81">
        <v>0</v>
      </c>
      <c r="BE81">
        <v>9</v>
      </c>
      <c r="BF81">
        <v>0</v>
      </c>
      <c r="BG81">
        <v>41</v>
      </c>
      <c r="BH81">
        <v>6</v>
      </c>
      <c r="BI81">
        <v>0</v>
      </c>
      <c r="BJ81">
        <v>2</v>
      </c>
      <c r="BK81">
        <v>1</v>
      </c>
      <c r="BL81">
        <v>0</v>
      </c>
      <c r="BM81">
        <v>0</v>
      </c>
      <c r="BN81">
        <v>7</v>
      </c>
      <c r="BO81">
        <v>4</v>
      </c>
      <c r="BP81">
        <v>0</v>
      </c>
      <c r="BQ81">
        <v>0</v>
      </c>
      <c r="BR81">
        <v>0</v>
      </c>
      <c r="BS81" s="16"/>
    </row>
    <row r="82" spans="1:71" hidden="1" x14ac:dyDescent="0.2">
      <c r="A82" s="1" t="s">
        <v>5</v>
      </c>
      <c r="B82" s="7" t="s">
        <v>177</v>
      </c>
      <c r="C82" s="1" t="s">
        <v>114</v>
      </c>
      <c r="D82" s="8" t="s">
        <v>357</v>
      </c>
      <c r="E82" s="1">
        <f t="shared" si="6"/>
        <v>5</v>
      </c>
      <c r="F82" s="1" t="str">
        <f t="shared" si="7"/>
        <v>2015</v>
      </c>
      <c r="G82" s="1" t="str">
        <f t="shared" si="4"/>
        <v>2019</v>
      </c>
      <c r="H82" s="8">
        <v>16</v>
      </c>
      <c r="I82" s="8">
        <v>5</v>
      </c>
      <c r="J82" s="8">
        <v>11</v>
      </c>
      <c r="K82" s="8">
        <v>5</v>
      </c>
      <c r="L82" s="8">
        <v>1</v>
      </c>
      <c r="M82" s="8">
        <v>0</v>
      </c>
      <c r="N82" s="8">
        <v>0</v>
      </c>
      <c r="O82" s="8">
        <v>0</v>
      </c>
      <c r="P82" s="8">
        <v>4</v>
      </c>
      <c r="Q82" s="8">
        <v>11</v>
      </c>
      <c r="R82" s="8">
        <v>1</v>
      </c>
      <c r="S82" s="8">
        <v>28.12</v>
      </c>
      <c r="T82" t="s">
        <v>259</v>
      </c>
      <c r="U82" s="9">
        <v>1.83</v>
      </c>
      <c r="V82" s="10">
        <v>101.60469088000001</v>
      </c>
      <c r="W82" s="6" t="s">
        <v>369</v>
      </c>
      <c r="X82">
        <f t="shared" si="5"/>
        <v>1</v>
      </c>
      <c r="Y82" s="14">
        <v>77</v>
      </c>
      <c r="Z82" s="1" t="s">
        <v>507</v>
      </c>
      <c r="AA82" s="1">
        <v>73</v>
      </c>
      <c r="AE82" s="1">
        <v>67</v>
      </c>
      <c r="AF82" s="1">
        <v>75</v>
      </c>
      <c r="AG82" s="1">
        <v>79</v>
      </c>
      <c r="AQ82" s="7">
        <v>20</v>
      </c>
      <c r="AR82" s="1">
        <v>10</v>
      </c>
      <c r="AS82" s="1">
        <f t="shared" si="8"/>
        <v>2</v>
      </c>
      <c r="AT82">
        <v>74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2</v>
      </c>
      <c r="BB82">
        <v>0</v>
      </c>
      <c r="BC82">
        <v>2</v>
      </c>
      <c r="BD82">
        <v>0</v>
      </c>
      <c r="BE82">
        <v>2</v>
      </c>
      <c r="BF82">
        <v>0</v>
      </c>
      <c r="BG82">
        <v>19</v>
      </c>
      <c r="BH82">
        <v>1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 s="16"/>
    </row>
    <row r="83" spans="1:71" hidden="1" x14ac:dyDescent="0.2">
      <c r="A83" s="1" t="s">
        <v>5</v>
      </c>
      <c r="B83" s="7" t="s">
        <v>178</v>
      </c>
      <c r="C83" s="1" t="s">
        <v>114</v>
      </c>
      <c r="D83" s="1"/>
      <c r="G83" s="1" t="str">
        <f t="shared" si="4"/>
        <v/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T83" t="s">
        <v>279</v>
      </c>
      <c r="U83" s="9">
        <v>1.98</v>
      </c>
      <c r="V83" s="10">
        <v>111.58372302000001</v>
      </c>
      <c r="W83" s="6" t="s">
        <v>370</v>
      </c>
      <c r="X83">
        <f t="shared" si="5"/>
        <v>0</v>
      </c>
      <c r="Z83" s="1" t="s">
        <v>508</v>
      </c>
      <c r="AQ83" s="7"/>
      <c r="BS83" s="16"/>
    </row>
    <row r="84" spans="1:71" hidden="1" x14ac:dyDescent="0.2">
      <c r="A84" s="1" t="s">
        <v>5</v>
      </c>
      <c r="B84" s="7" t="s">
        <v>179</v>
      </c>
      <c r="C84" s="1" t="s">
        <v>114</v>
      </c>
      <c r="D84" s="1"/>
      <c r="G84" s="1" t="str">
        <f t="shared" si="4"/>
        <v/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T84" t="s">
        <v>284</v>
      </c>
      <c r="U84" s="9">
        <v>1.96</v>
      </c>
      <c r="V84" s="10" t="s">
        <v>470</v>
      </c>
      <c r="W84" s="6" t="s">
        <v>371</v>
      </c>
      <c r="X84">
        <f t="shared" si="5"/>
        <v>0</v>
      </c>
      <c r="Y84" s="14">
        <v>80</v>
      </c>
      <c r="Z84" s="1" t="s">
        <v>506</v>
      </c>
      <c r="AA84" s="1">
        <v>85</v>
      </c>
      <c r="AG84" s="1">
        <v>83</v>
      </c>
      <c r="AJ84" s="1">
        <v>29</v>
      </c>
      <c r="AK84" s="1">
        <v>65</v>
      </c>
      <c r="AQ84" s="7"/>
      <c r="BS84" s="16"/>
    </row>
    <row r="85" spans="1:71" hidden="1" x14ac:dyDescent="0.2">
      <c r="A85" s="1" t="s">
        <v>5</v>
      </c>
      <c r="B85" s="7" t="s">
        <v>180</v>
      </c>
      <c r="C85" s="1" t="s">
        <v>114</v>
      </c>
      <c r="D85" s="6"/>
      <c r="G85" s="1" t="str">
        <f t="shared" si="4"/>
        <v/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T85" t="s">
        <v>279</v>
      </c>
      <c r="U85" s="9">
        <v>1.98</v>
      </c>
      <c r="V85" s="10">
        <v>106.59420695</v>
      </c>
      <c r="W85" s="6" t="s">
        <v>372</v>
      </c>
      <c r="X85">
        <f t="shared" si="5"/>
        <v>0</v>
      </c>
      <c r="Y85" s="14">
        <v>69</v>
      </c>
      <c r="Z85" s="1" t="s">
        <v>507</v>
      </c>
      <c r="AA85" s="1">
        <v>63</v>
      </c>
      <c r="AF85" s="1">
        <v>69</v>
      </c>
      <c r="AH85" s="1">
        <v>85</v>
      </c>
      <c r="AI85" s="1">
        <v>88</v>
      </c>
      <c r="AQ85" s="7"/>
      <c r="BS85" s="16"/>
    </row>
    <row r="86" spans="1:71" hidden="1" x14ac:dyDescent="0.2">
      <c r="A86" s="1" t="s">
        <v>5</v>
      </c>
      <c r="B86" s="7" t="s">
        <v>181</v>
      </c>
      <c r="C86" s="1" t="s">
        <v>114</v>
      </c>
      <c r="D86" s="8" t="s">
        <v>293</v>
      </c>
      <c r="E86" s="1">
        <f>G86-F86+1</f>
        <v>3</v>
      </c>
      <c r="F86" s="1" t="str">
        <f>LEFT(D86, SEARCH("-",D86,1)-1)</f>
        <v>2017</v>
      </c>
      <c r="G86" s="1" t="str">
        <f t="shared" si="4"/>
        <v>2019</v>
      </c>
      <c r="H86" s="8">
        <v>10</v>
      </c>
      <c r="I86" s="8">
        <v>7</v>
      </c>
      <c r="J86" s="8">
        <v>3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4</v>
      </c>
      <c r="Q86" s="8">
        <v>5</v>
      </c>
      <c r="R86" s="8">
        <v>1</v>
      </c>
      <c r="S86" s="8">
        <v>45</v>
      </c>
      <c r="T86" t="s">
        <v>254</v>
      </c>
      <c r="U86" s="9">
        <v>1.85</v>
      </c>
      <c r="V86" s="10">
        <v>107.95498406</v>
      </c>
      <c r="W86" s="6" t="s">
        <v>373</v>
      </c>
      <c r="X86">
        <f t="shared" si="5"/>
        <v>1</v>
      </c>
      <c r="Y86" s="14">
        <v>66</v>
      </c>
      <c r="Z86" s="1" t="s">
        <v>506</v>
      </c>
      <c r="AA86" s="1">
        <v>44</v>
      </c>
      <c r="AE86" s="1">
        <v>72</v>
      </c>
      <c r="AF86" s="1">
        <v>82</v>
      </c>
      <c r="AQ86" s="7">
        <v>64</v>
      </c>
      <c r="AR86" s="1">
        <v>22</v>
      </c>
      <c r="AS86" s="1">
        <f t="shared" si="8"/>
        <v>2.9090909090909092</v>
      </c>
      <c r="AT86">
        <v>313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2</v>
      </c>
      <c r="BB86">
        <v>1</v>
      </c>
      <c r="BC86">
        <v>13</v>
      </c>
      <c r="BD86">
        <v>0</v>
      </c>
      <c r="BE86">
        <v>5</v>
      </c>
      <c r="BF86">
        <v>0</v>
      </c>
      <c r="BG86">
        <v>76</v>
      </c>
      <c r="BH86">
        <v>4</v>
      </c>
      <c r="BI86">
        <v>2</v>
      </c>
      <c r="BJ86">
        <v>1</v>
      </c>
      <c r="BK86">
        <v>1</v>
      </c>
      <c r="BL86">
        <v>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 s="16"/>
    </row>
    <row r="87" spans="1:71" x14ac:dyDescent="0.2">
      <c r="A87" s="1" t="s">
        <v>5</v>
      </c>
      <c r="B87" s="7" t="s">
        <v>182</v>
      </c>
      <c r="C87" s="1" t="s">
        <v>114</v>
      </c>
      <c r="D87" s="8" t="s">
        <v>375</v>
      </c>
      <c r="E87" s="1">
        <f>G87-F87+1</f>
        <v>2</v>
      </c>
      <c r="F87" s="1" t="str">
        <f>LEFT(D87, SEARCH("-",D87,1)-1)</f>
        <v>2017</v>
      </c>
      <c r="G87" s="1" t="str">
        <f t="shared" si="4"/>
        <v>2018</v>
      </c>
      <c r="H87" s="8">
        <v>3</v>
      </c>
      <c r="I87" s="8">
        <v>1</v>
      </c>
      <c r="J87" s="8">
        <v>2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1</v>
      </c>
      <c r="Q87" s="8">
        <v>2</v>
      </c>
      <c r="R87" s="8">
        <v>0</v>
      </c>
      <c r="S87" s="8">
        <v>33.33</v>
      </c>
      <c r="T87" t="s">
        <v>274</v>
      </c>
      <c r="U87" s="9">
        <v>1.93</v>
      </c>
      <c r="V87" s="10">
        <v>114.75886961</v>
      </c>
      <c r="W87" s="6" t="s">
        <v>374</v>
      </c>
      <c r="X87">
        <f t="shared" si="5"/>
        <v>1</v>
      </c>
      <c r="Y87" s="14">
        <v>60</v>
      </c>
      <c r="Z87" s="1" t="s">
        <v>509</v>
      </c>
      <c r="AA87" s="1">
        <v>72</v>
      </c>
      <c r="AB87" s="1">
        <v>71</v>
      </c>
      <c r="AE87" s="1">
        <v>70</v>
      </c>
      <c r="AL87" s="1">
        <v>29</v>
      </c>
      <c r="AQ87" s="7"/>
      <c r="BS87" s="16"/>
    </row>
    <row r="88" spans="1:71" hidden="1" x14ac:dyDescent="0.2">
      <c r="A88" s="1" t="s">
        <v>5</v>
      </c>
      <c r="B88" s="7" t="s">
        <v>183</v>
      </c>
      <c r="C88" s="1" t="s">
        <v>114</v>
      </c>
      <c r="D88" s="8" t="s">
        <v>258</v>
      </c>
      <c r="E88" s="1">
        <f>G88-F88+1</f>
        <v>4</v>
      </c>
      <c r="F88" s="1" t="str">
        <f>LEFT(D88, SEARCH("-",D88,1)-1)</f>
        <v>2016</v>
      </c>
      <c r="G88" s="1" t="str">
        <f t="shared" si="4"/>
        <v>2019</v>
      </c>
      <c r="H88" s="8">
        <v>8</v>
      </c>
      <c r="I88" s="8">
        <v>5</v>
      </c>
      <c r="J88" s="8">
        <v>3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4</v>
      </c>
      <c r="Q88" s="8">
        <v>4</v>
      </c>
      <c r="R88" s="8">
        <v>0</v>
      </c>
      <c r="S88" s="8">
        <v>50</v>
      </c>
      <c r="T88" t="s">
        <v>254</v>
      </c>
      <c r="U88" s="9">
        <v>1.88</v>
      </c>
      <c r="V88" s="10">
        <v>114.75886961</v>
      </c>
      <c r="W88" s="6" t="s">
        <v>376</v>
      </c>
      <c r="X88">
        <f t="shared" si="5"/>
        <v>1</v>
      </c>
      <c r="Y88" s="14">
        <v>69</v>
      </c>
      <c r="Z88" s="1" t="s">
        <v>507</v>
      </c>
      <c r="AA88" s="1">
        <v>73</v>
      </c>
      <c r="AE88" s="1">
        <v>61</v>
      </c>
      <c r="AF88" s="1">
        <v>78</v>
      </c>
      <c r="AQ88" s="7">
        <v>1</v>
      </c>
      <c r="AR88" s="1">
        <v>2</v>
      </c>
      <c r="AS88" s="1">
        <f t="shared" si="8"/>
        <v>0.5</v>
      </c>
      <c r="AT88">
        <v>16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</v>
      </c>
      <c r="BD88">
        <v>0</v>
      </c>
      <c r="BE88">
        <v>1</v>
      </c>
      <c r="BF88">
        <v>0</v>
      </c>
      <c r="BG88">
        <v>3</v>
      </c>
      <c r="BH88">
        <v>0</v>
      </c>
      <c r="BI88">
        <v>0</v>
      </c>
      <c r="BJ88">
        <v>0</v>
      </c>
      <c r="BK88">
        <v>0</v>
      </c>
      <c r="BL88">
        <v>1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 s="16"/>
    </row>
    <row r="89" spans="1:71" hidden="1" x14ac:dyDescent="0.2">
      <c r="A89" s="1" t="s">
        <v>5</v>
      </c>
      <c r="B89" s="7" t="s">
        <v>184</v>
      </c>
      <c r="C89" s="1" t="s">
        <v>114</v>
      </c>
      <c r="D89" s="8" t="s">
        <v>301</v>
      </c>
      <c r="E89" s="1">
        <f>G89-F89+1</f>
        <v>7</v>
      </c>
      <c r="F89" s="1" t="str">
        <f>LEFT(D89, SEARCH("-",D89,1)-1)</f>
        <v>2013</v>
      </c>
      <c r="G89" s="1" t="str">
        <f t="shared" si="4"/>
        <v>2019</v>
      </c>
      <c r="H89" s="8">
        <v>11</v>
      </c>
      <c r="I89" s="8">
        <v>10</v>
      </c>
      <c r="J89" s="8">
        <v>1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4</v>
      </c>
      <c r="Q89" s="8">
        <v>6</v>
      </c>
      <c r="R89" s="8">
        <v>1</v>
      </c>
      <c r="S89" s="8">
        <v>40.9</v>
      </c>
      <c r="T89" t="s">
        <v>279</v>
      </c>
      <c r="U89" s="9">
        <v>2.0099999999999998</v>
      </c>
      <c r="V89" s="10">
        <v>119.74838568000001</v>
      </c>
      <c r="W89" s="6" t="s">
        <v>377</v>
      </c>
      <c r="X89">
        <f t="shared" si="5"/>
        <v>1</v>
      </c>
      <c r="Y89" s="14">
        <v>86</v>
      </c>
      <c r="Z89" s="1" t="s">
        <v>506</v>
      </c>
      <c r="AA89" s="1">
        <v>87</v>
      </c>
      <c r="AF89" s="1">
        <v>91</v>
      </c>
      <c r="AH89" s="1">
        <v>89</v>
      </c>
      <c r="AI89" s="1">
        <v>89</v>
      </c>
      <c r="AQ89" s="7">
        <v>42</v>
      </c>
      <c r="AR89" s="1">
        <v>44</v>
      </c>
      <c r="AS89" s="1">
        <f t="shared" si="8"/>
        <v>0.95454545454545459</v>
      </c>
      <c r="AT89">
        <v>376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2</v>
      </c>
      <c r="BB89">
        <v>0</v>
      </c>
      <c r="BC89">
        <v>13</v>
      </c>
      <c r="BD89">
        <v>0</v>
      </c>
      <c r="BE89">
        <v>16</v>
      </c>
      <c r="BF89">
        <v>1</v>
      </c>
      <c r="BG89">
        <v>70</v>
      </c>
      <c r="BH89">
        <v>6</v>
      </c>
      <c r="BI89">
        <v>2</v>
      </c>
      <c r="BJ89">
        <v>2</v>
      </c>
      <c r="BK89">
        <v>1</v>
      </c>
      <c r="BL89">
        <v>4</v>
      </c>
      <c r="BM89">
        <v>0</v>
      </c>
      <c r="BN89">
        <v>2</v>
      </c>
      <c r="BO89">
        <v>19</v>
      </c>
      <c r="BP89">
        <v>0</v>
      </c>
      <c r="BQ89">
        <v>0</v>
      </c>
      <c r="BR89">
        <v>0</v>
      </c>
      <c r="BS89" s="16"/>
    </row>
    <row r="90" spans="1:71" hidden="1" x14ac:dyDescent="0.2">
      <c r="A90" s="1" t="s">
        <v>5</v>
      </c>
      <c r="B90" s="7" t="s">
        <v>185</v>
      </c>
      <c r="C90" s="1" t="s">
        <v>114</v>
      </c>
      <c r="D90" s="1"/>
      <c r="G90" s="1" t="str">
        <f t="shared" si="4"/>
        <v/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T90" t="s">
        <v>284</v>
      </c>
      <c r="U90" s="9">
        <v>1.75</v>
      </c>
      <c r="V90" s="10">
        <v>97.97595192</v>
      </c>
      <c r="W90" s="13" t="s">
        <v>378</v>
      </c>
      <c r="X90">
        <f t="shared" si="5"/>
        <v>0</v>
      </c>
      <c r="Y90" s="14">
        <v>67</v>
      </c>
      <c r="Z90" s="1" t="s">
        <v>507</v>
      </c>
      <c r="AA90" s="1">
        <v>84</v>
      </c>
      <c r="AG90" s="1">
        <v>74</v>
      </c>
      <c r="AJ90" s="1">
        <v>77</v>
      </c>
      <c r="AK90" s="1">
        <v>66</v>
      </c>
      <c r="AQ90" s="7"/>
      <c r="BS90" s="18"/>
    </row>
    <row r="91" spans="1:71" hidden="1" x14ac:dyDescent="0.2">
      <c r="A91" s="1" t="s">
        <v>5</v>
      </c>
      <c r="B91" s="7" t="s">
        <v>186</v>
      </c>
      <c r="C91" s="1" t="s">
        <v>114</v>
      </c>
      <c r="D91" s="8" t="s">
        <v>335</v>
      </c>
      <c r="E91" s="1">
        <f>G91-F91+1</f>
        <v>6</v>
      </c>
      <c r="F91" s="1" t="str">
        <f>LEFT(D91, SEARCH("-",D91,1)-1)</f>
        <v>2014</v>
      </c>
      <c r="G91" s="1" t="str">
        <f t="shared" si="4"/>
        <v>2019</v>
      </c>
      <c r="H91" s="8">
        <v>24</v>
      </c>
      <c r="I91" s="8">
        <v>22</v>
      </c>
      <c r="J91" s="8">
        <v>2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8</v>
      </c>
      <c r="Q91" s="8">
        <v>15</v>
      </c>
      <c r="R91" s="8">
        <v>1</v>
      </c>
      <c r="S91" s="8">
        <v>35.409999999999997</v>
      </c>
      <c r="T91" t="s">
        <v>279</v>
      </c>
      <c r="U91" s="9">
        <v>1.98</v>
      </c>
      <c r="V91" s="10">
        <v>118.84120094000001</v>
      </c>
      <c r="W91" s="6" t="s">
        <v>379</v>
      </c>
      <c r="X91">
        <f t="shared" si="5"/>
        <v>1</v>
      </c>
      <c r="Y91" s="14">
        <v>76</v>
      </c>
      <c r="Z91" s="1" t="s">
        <v>507</v>
      </c>
      <c r="AA91" s="1">
        <v>46</v>
      </c>
      <c r="AF91" s="1">
        <v>76</v>
      </c>
      <c r="AH91" s="1">
        <v>85</v>
      </c>
      <c r="AI91" s="1">
        <v>82</v>
      </c>
      <c r="AQ91" s="7">
        <v>14</v>
      </c>
      <c r="AR91" s="1">
        <v>25</v>
      </c>
      <c r="AS91" s="1">
        <f t="shared" si="8"/>
        <v>0.56000000000000005</v>
      </c>
      <c r="AT91">
        <v>222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8</v>
      </c>
      <c r="BD91">
        <v>0</v>
      </c>
      <c r="BE91">
        <v>8</v>
      </c>
      <c r="BF91">
        <v>1</v>
      </c>
      <c r="BG91">
        <v>68</v>
      </c>
      <c r="BH91">
        <v>1</v>
      </c>
      <c r="BI91">
        <v>0</v>
      </c>
      <c r="BJ91">
        <v>1</v>
      </c>
      <c r="BK91">
        <v>1</v>
      </c>
      <c r="BL91">
        <v>2</v>
      </c>
      <c r="BM91">
        <v>0</v>
      </c>
      <c r="BN91">
        <v>0</v>
      </c>
      <c r="BO91">
        <v>1</v>
      </c>
      <c r="BP91">
        <v>1</v>
      </c>
      <c r="BQ91">
        <v>0</v>
      </c>
      <c r="BR91">
        <v>0</v>
      </c>
      <c r="BS91" s="16"/>
    </row>
    <row r="92" spans="1:71" x14ac:dyDescent="0.2">
      <c r="A92" s="1" t="s">
        <v>5</v>
      </c>
      <c r="B92" s="7" t="s">
        <v>187</v>
      </c>
      <c r="C92" s="1" t="s">
        <v>114</v>
      </c>
      <c r="D92" s="1"/>
      <c r="G92" s="1" t="str">
        <f t="shared" si="4"/>
        <v/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T92" t="s">
        <v>274</v>
      </c>
      <c r="U92" s="9">
        <v>1.93</v>
      </c>
      <c r="V92" s="10">
        <v>113.85168487</v>
      </c>
      <c r="W92" s="6" t="s">
        <v>380</v>
      </c>
      <c r="X92">
        <f t="shared" si="5"/>
        <v>0</v>
      </c>
      <c r="Y92" s="14">
        <v>64</v>
      </c>
      <c r="Z92" s="1" t="s">
        <v>506</v>
      </c>
      <c r="AA92" s="1">
        <v>77</v>
      </c>
      <c r="AB92" s="1">
        <v>72</v>
      </c>
      <c r="AE92" s="1">
        <v>80</v>
      </c>
      <c r="AL92" s="1">
        <v>29</v>
      </c>
      <c r="AQ92" s="7"/>
      <c r="BS92" s="16"/>
    </row>
    <row r="93" spans="1:71" hidden="1" x14ac:dyDescent="0.2">
      <c r="A93" s="1" t="s">
        <v>5</v>
      </c>
      <c r="B93" s="7" t="s">
        <v>188</v>
      </c>
      <c r="C93" s="1" t="s">
        <v>114</v>
      </c>
      <c r="D93" s="8" t="s">
        <v>258</v>
      </c>
      <c r="E93" s="1">
        <f>G93-F93+1</f>
        <v>4</v>
      </c>
      <c r="F93" s="1" t="str">
        <f>LEFT(D93, SEARCH("-",D93,1)-1)</f>
        <v>2016</v>
      </c>
      <c r="G93" s="1" t="str">
        <f t="shared" si="4"/>
        <v>2019</v>
      </c>
      <c r="H93" s="8">
        <v>15</v>
      </c>
      <c r="I93" s="8">
        <v>9</v>
      </c>
      <c r="J93" s="8">
        <v>6</v>
      </c>
      <c r="K93" s="8">
        <v>5</v>
      </c>
      <c r="L93" s="8">
        <v>1</v>
      </c>
      <c r="M93" s="8">
        <v>0</v>
      </c>
      <c r="N93" s="8">
        <v>0</v>
      </c>
      <c r="O93" s="8">
        <v>0</v>
      </c>
      <c r="P93" s="8">
        <v>6</v>
      </c>
      <c r="Q93" s="8">
        <v>8</v>
      </c>
      <c r="R93" s="8">
        <v>1</v>
      </c>
      <c r="S93" s="8">
        <v>43.33</v>
      </c>
      <c r="T93" t="s">
        <v>259</v>
      </c>
      <c r="U93" s="9">
        <v>1.91</v>
      </c>
      <c r="V93" s="10">
        <v>104.77983747</v>
      </c>
      <c r="W93" s="6" t="s">
        <v>377</v>
      </c>
      <c r="X93">
        <f t="shared" si="5"/>
        <v>1</v>
      </c>
      <c r="Y93" s="14">
        <v>86</v>
      </c>
      <c r="Z93" s="1" t="s">
        <v>506</v>
      </c>
      <c r="AA93" s="1">
        <v>77</v>
      </c>
      <c r="AE93" s="1">
        <v>76</v>
      </c>
      <c r="AF93" s="1">
        <v>85</v>
      </c>
      <c r="AG93" s="1">
        <v>72</v>
      </c>
      <c r="AQ93" s="7">
        <v>124</v>
      </c>
      <c r="AR93" s="1">
        <v>38</v>
      </c>
      <c r="AS93" s="1">
        <f t="shared" si="8"/>
        <v>3.263157894736842</v>
      </c>
      <c r="AT93">
        <v>314</v>
      </c>
      <c r="AU93">
        <v>5</v>
      </c>
      <c r="AV93">
        <v>1</v>
      </c>
      <c r="AW93">
        <v>0</v>
      </c>
      <c r="AX93">
        <v>0</v>
      </c>
      <c r="AY93">
        <v>0</v>
      </c>
      <c r="AZ93">
        <v>0</v>
      </c>
      <c r="BA93">
        <v>6</v>
      </c>
      <c r="BB93">
        <v>3</v>
      </c>
      <c r="BC93">
        <v>15</v>
      </c>
      <c r="BD93">
        <v>0</v>
      </c>
      <c r="BE93">
        <v>11</v>
      </c>
      <c r="BF93">
        <v>1</v>
      </c>
      <c r="BG93">
        <v>52</v>
      </c>
      <c r="BH93">
        <v>7</v>
      </c>
      <c r="BI93">
        <v>1</v>
      </c>
      <c r="BJ93">
        <v>0</v>
      </c>
      <c r="BK93">
        <v>0</v>
      </c>
      <c r="BL93">
        <v>5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 s="16"/>
    </row>
    <row r="94" spans="1:71" hidden="1" x14ac:dyDescent="0.2">
      <c r="A94" s="1" t="s">
        <v>5</v>
      </c>
      <c r="B94" s="7" t="s">
        <v>189</v>
      </c>
      <c r="C94" s="1" t="s">
        <v>114</v>
      </c>
      <c r="D94" s="8" t="s">
        <v>258</v>
      </c>
      <c r="E94" s="1">
        <f>G94-F94+1</f>
        <v>4</v>
      </c>
      <c r="F94" s="1" t="str">
        <f>LEFT(D94, SEARCH("-",D94,1)-1)</f>
        <v>2016</v>
      </c>
      <c r="G94" s="1" t="str">
        <f t="shared" si="4"/>
        <v>2019</v>
      </c>
      <c r="H94" s="8">
        <v>11</v>
      </c>
      <c r="I94" s="8">
        <v>9</v>
      </c>
      <c r="J94" s="8">
        <v>2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5</v>
      </c>
      <c r="Q94" s="8">
        <v>5</v>
      </c>
      <c r="R94" s="8">
        <v>1</v>
      </c>
      <c r="S94" s="8">
        <v>50</v>
      </c>
      <c r="T94" t="s">
        <v>254</v>
      </c>
      <c r="U94" s="9">
        <v>1.8</v>
      </c>
      <c r="V94" s="10">
        <v>119.74838568000001</v>
      </c>
      <c r="W94" s="6" t="s">
        <v>381</v>
      </c>
      <c r="X94">
        <f t="shared" si="5"/>
        <v>1</v>
      </c>
      <c r="Z94" s="1" t="s">
        <v>506</v>
      </c>
      <c r="AQ94" s="7">
        <v>1</v>
      </c>
      <c r="AR94" s="1">
        <v>7</v>
      </c>
      <c r="AS94" s="1">
        <f t="shared" si="8"/>
        <v>0.14285714285714285</v>
      </c>
      <c r="AT94">
        <v>173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1</v>
      </c>
      <c r="BD94">
        <v>0</v>
      </c>
      <c r="BE94">
        <v>3</v>
      </c>
      <c r="BF94">
        <v>0</v>
      </c>
      <c r="BG94">
        <v>27</v>
      </c>
      <c r="BH94">
        <v>6</v>
      </c>
      <c r="BI94">
        <v>0</v>
      </c>
      <c r="BJ94">
        <v>2</v>
      </c>
      <c r="BK94">
        <v>2</v>
      </c>
      <c r="BL94">
        <v>1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 s="16"/>
    </row>
    <row r="95" spans="1:71" x14ac:dyDescent="0.2">
      <c r="A95" s="1" t="s">
        <v>5</v>
      </c>
      <c r="B95" s="7" t="s">
        <v>190</v>
      </c>
      <c r="C95" s="1" t="s">
        <v>114</v>
      </c>
      <c r="D95" s="8" t="s">
        <v>256</v>
      </c>
      <c r="E95" s="1">
        <f>G95-F95+1</f>
        <v>1</v>
      </c>
      <c r="F95" s="1" t="str">
        <f>LEFT(D95, SEARCH("-",D95,1)-1)</f>
        <v>2019</v>
      </c>
      <c r="G95" s="1" t="str">
        <f t="shared" si="4"/>
        <v>2019</v>
      </c>
      <c r="H95" s="8">
        <v>4</v>
      </c>
      <c r="I95" s="8">
        <v>4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1</v>
      </c>
      <c r="Q95" s="8">
        <v>3</v>
      </c>
      <c r="R95" s="8">
        <v>0</v>
      </c>
      <c r="S95" s="8">
        <v>25</v>
      </c>
      <c r="T95" t="s">
        <v>274</v>
      </c>
      <c r="U95" s="9">
        <v>1.93</v>
      </c>
      <c r="V95" s="10">
        <v>105.68702221000001</v>
      </c>
      <c r="W95" s="6" t="s">
        <v>382</v>
      </c>
      <c r="X95">
        <f t="shared" si="5"/>
        <v>1</v>
      </c>
      <c r="Y95" s="14">
        <v>73</v>
      </c>
      <c r="Z95" s="1" t="s">
        <v>506</v>
      </c>
      <c r="AA95" s="1">
        <v>73</v>
      </c>
      <c r="AG95" s="1">
        <v>82</v>
      </c>
      <c r="AJ95" s="1">
        <v>63</v>
      </c>
      <c r="AK95" s="1">
        <v>64</v>
      </c>
      <c r="AQ95" s="7">
        <v>47</v>
      </c>
      <c r="AR95" s="1">
        <v>33</v>
      </c>
      <c r="AS95" s="1">
        <f t="shared" si="8"/>
        <v>1.4242424242424243</v>
      </c>
      <c r="AT95">
        <v>302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3</v>
      </c>
      <c r="BB95">
        <v>1</v>
      </c>
      <c r="BC95">
        <v>12</v>
      </c>
      <c r="BD95">
        <v>0</v>
      </c>
      <c r="BE95">
        <v>23</v>
      </c>
      <c r="BF95">
        <v>2</v>
      </c>
      <c r="BG95">
        <v>66</v>
      </c>
      <c r="BH95">
        <v>6</v>
      </c>
      <c r="BI95">
        <v>3</v>
      </c>
      <c r="BJ95">
        <v>2</v>
      </c>
      <c r="BK95">
        <v>1</v>
      </c>
      <c r="BL95">
        <v>6</v>
      </c>
      <c r="BM95">
        <v>0</v>
      </c>
      <c r="BN95">
        <v>2</v>
      </c>
      <c r="BO95">
        <v>11</v>
      </c>
      <c r="BP95">
        <v>0</v>
      </c>
      <c r="BQ95">
        <v>0</v>
      </c>
      <c r="BR95">
        <v>0</v>
      </c>
      <c r="BS95" s="16"/>
    </row>
    <row r="96" spans="1:71" hidden="1" x14ac:dyDescent="0.2">
      <c r="A96" s="1" t="s">
        <v>5</v>
      </c>
      <c r="B96" s="7" t="s">
        <v>191</v>
      </c>
      <c r="C96" s="1" t="s">
        <v>114</v>
      </c>
      <c r="D96" s="8" t="s">
        <v>384</v>
      </c>
      <c r="E96" s="1">
        <f>G96-F96+1</f>
        <v>1</v>
      </c>
      <c r="F96" s="1" t="str">
        <f>LEFT(D96, SEARCH("-",D96,1)-1)</f>
        <v>2016</v>
      </c>
      <c r="G96" s="1" t="str">
        <f t="shared" si="4"/>
        <v>2016</v>
      </c>
      <c r="H96" s="8">
        <v>1</v>
      </c>
      <c r="I96" s="8">
        <v>0</v>
      </c>
      <c r="J96" s="8">
        <v>1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1</v>
      </c>
      <c r="R96" s="8">
        <v>0</v>
      </c>
      <c r="S96" s="8">
        <v>0</v>
      </c>
      <c r="T96" s="6" t="s">
        <v>254</v>
      </c>
      <c r="U96" s="9">
        <v>1.83</v>
      </c>
      <c r="V96" s="10">
        <v>117.9340162</v>
      </c>
      <c r="W96" s="6" t="s">
        <v>383</v>
      </c>
      <c r="X96">
        <f t="shared" si="5"/>
        <v>1</v>
      </c>
      <c r="Y96" s="14">
        <v>72</v>
      </c>
      <c r="Z96" s="1" t="s">
        <v>506</v>
      </c>
      <c r="AA96" s="1">
        <v>70</v>
      </c>
      <c r="AE96" s="1">
        <v>75</v>
      </c>
      <c r="AF96" s="1">
        <v>63</v>
      </c>
      <c r="AQ96" s="7"/>
      <c r="BS96" s="16"/>
    </row>
    <row r="97" spans="1:71" hidden="1" x14ac:dyDescent="0.2">
      <c r="A97" s="1" t="s">
        <v>5</v>
      </c>
      <c r="B97" s="7" t="s">
        <v>192</v>
      </c>
      <c r="C97" s="1" t="s">
        <v>114</v>
      </c>
      <c r="D97" s="8" t="s">
        <v>357</v>
      </c>
      <c r="E97" s="1">
        <f>G97-F97+1</f>
        <v>5</v>
      </c>
      <c r="F97" s="1" t="str">
        <f>LEFT(D97, SEARCH("-",D97,1)-1)</f>
        <v>2015</v>
      </c>
      <c r="G97" s="1" t="str">
        <f t="shared" si="4"/>
        <v>2019</v>
      </c>
      <c r="H97" s="8">
        <v>7</v>
      </c>
      <c r="I97" s="8">
        <v>3</v>
      </c>
      <c r="J97" s="8">
        <v>4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2</v>
      </c>
      <c r="Q97" s="8">
        <v>4</v>
      </c>
      <c r="R97" s="8">
        <v>1</v>
      </c>
      <c r="S97" s="8">
        <v>35.71</v>
      </c>
      <c r="T97" t="s">
        <v>279</v>
      </c>
      <c r="U97" s="9">
        <v>2.0099999999999998</v>
      </c>
      <c r="V97" s="10">
        <v>115.66605435000001</v>
      </c>
      <c r="W97" s="6" t="s">
        <v>385</v>
      </c>
      <c r="X97">
        <f t="shared" si="5"/>
        <v>1</v>
      </c>
      <c r="Y97" s="14">
        <v>91</v>
      </c>
      <c r="Z97" s="1" t="s">
        <v>506</v>
      </c>
      <c r="AA97" s="1">
        <v>83</v>
      </c>
      <c r="AF97" s="1">
        <v>84</v>
      </c>
      <c r="AH97" s="1">
        <v>91</v>
      </c>
      <c r="AI97" s="1">
        <v>91</v>
      </c>
      <c r="AQ97" s="7">
        <v>25</v>
      </c>
      <c r="AR97" s="1">
        <v>24</v>
      </c>
      <c r="AS97" s="1">
        <f t="shared" si="8"/>
        <v>1.0416666666666667</v>
      </c>
      <c r="AT97">
        <v>202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</v>
      </c>
      <c r="BB97">
        <v>1</v>
      </c>
      <c r="BC97">
        <v>9</v>
      </c>
      <c r="BD97">
        <v>0</v>
      </c>
      <c r="BE97">
        <v>4</v>
      </c>
      <c r="BF97">
        <v>0</v>
      </c>
      <c r="BG97">
        <v>39</v>
      </c>
      <c r="BH97">
        <v>4</v>
      </c>
      <c r="BI97">
        <v>0</v>
      </c>
      <c r="BJ97">
        <v>3</v>
      </c>
      <c r="BK97">
        <v>2</v>
      </c>
      <c r="BL97">
        <v>2</v>
      </c>
      <c r="BM97">
        <v>0</v>
      </c>
      <c r="BN97">
        <v>0</v>
      </c>
      <c r="BO97">
        <v>10</v>
      </c>
      <c r="BP97">
        <v>0</v>
      </c>
      <c r="BQ97">
        <v>0</v>
      </c>
      <c r="BR97">
        <v>0</v>
      </c>
      <c r="BS97" s="16"/>
    </row>
    <row r="98" spans="1:71" hidden="1" x14ac:dyDescent="0.2">
      <c r="A98" s="1" t="s">
        <v>5</v>
      </c>
      <c r="B98" s="7" t="s">
        <v>193</v>
      </c>
      <c r="C98" s="1" t="s">
        <v>114</v>
      </c>
      <c r="D98" s="1"/>
      <c r="G98" s="1" t="str">
        <f t="shared" si="4"/>
        <v/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T98" t="s">
        <v>259</v>
      </c>
      <c r="U98" s="9">
        <v>1.8</v>
      </c>
      <c r="V98" s="10">
        <v>105.68702221000001</v>
      </c>
      <c r="W98" s="6" t="s">
        <v>386</v>
      </c>
      <c r="X98">
        <f t="shared" ref="X98:X129" si="9">IF(ISBLANK(D98),0,1)</f>
        <v>0</v>
      </c>
      <c r="Y98" s="14">
        <v>66</v>
      </c>
      <c r="Z98" s="1" t="s">
        <v>507</v>
      </c>
      <c r="AA98" s="1">
        <v>76</v>
      </c>
      <c r="AE98" s="1">
        <v>64</v>
      </c>
      <c r="AF98" s="1">
        <v>65</v>
      </c>
      <c r="AG98" s="1">
        <v>74</v>
      </c>
      <c r="AQ98" s="7"/>
      <c r="BS98" s="16"/>
    </row>
    <row r="99" spans="1:71" x14ac:dyDescent="0.2">
      <c r="A99" s="1" t="s">
        <v>5</v>
      </c>
      <c r="B99" s="7" t="s">
        <v>194</v>
      </c>
      <c r="C99" s="1" t="s">
        <v>114</v>
      </c>
      <c r="D99" s="12" t="s">
        <v>357</v>
      </c>
      <c r="E99" s="1">
        <f>G99-F99+1</f>
        <v>5</v>
      </c>
      <c r="F99" s="1" t="str">
        <f>LEFT(D99, SEARCH("-",D99,1)-1)</f>
        <v>2015</v>
      </c>
      <c r="G99" s="1" t="str">
        <f t="shared" si="4"/>
        <v>2019</v>
      </c>
      <c r="H99" s="12">
        <v>13</v>
      </c>
      <c r="I99" s="12">
        <v>10</v>
      </c>
      <c r="J99" s="12">
        <v>3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6</v>
      </c>
      <c r="Q99" s="12">
        <v>6</v>
      </c>
      <c r="R99" s="12">
        <v>1</v>
      </c>
      <c r="S99" s="12">
        <v>50</v>
      </c>
      <c r="T99" t="s">
        <v>274</v>
      </c>
      <c r="U99" s="9">
        <v>1.85</v>
      </c>
      <c r="V99" s="10">
        <v>101.60469088000001</v>
      </c>
      <c r="W99" s="6" t="s">
        <v>387</v>
      </c>
      <c r="X99">
        <f t="shared" si="9"/>
        <v>1</v>
      </c>
      <c r="Y99" s="14">
        <v>79</v>
      </c>
      <c r="Z99" s="1" t="s">
        <v>506</v>
      </c>
      <c r="AA99" s="1">
        <v>55</v>
      </c>
      <c r="AG99" s="1">
        <v>76</v>
      </c>
      <c r="AJ99" s="1">
        <v>29</v>
      </c>
      <c r="AK99" s="1">
        <v>66</v>
      </c>
      <c r="AQ99" s="7">
        <v>61</v>
      </c>
      <c r="AR99" s="1">
        <v>13</v>
      </c>
      <c r="AS99" s="1">
        <f t="shared" si="8"/>
        <v>4.6923076923076925</v>
      </c>
      <c r="AT99">
        <v>102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14</v>
      </c>
      <c r="BB99">
        <v>1</v>
      </c>
      <c r="BC99">
        <v>7</v>
      </c>
      <c r="BD99">
        <v>0</v>
      </c>
      <c r="BE99">
        <v>4</v>
      </c>
      <c r="BF99">
        <v>2</v>
      </c>
      <c r="BG99">
        <v>20</v>
      </c>
      <c r="BH99">
        <v>2</v>
      </c>
      <c r="BI99">
        <v>0</v>
      </c>
      <c r="BJ99">
        <v>0</v>
      </c>
      <c r="BK99">
        <v>0</v>
      </c>
      <c r="BL99">
        <v>2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 s="16"/>
    </row>
    <row r="100" spans="1:71" hidden="1" x14ac:dyDescent="0.2">
      <c r="A100" s="1" t="s">
        <v>5</v>
      </c>
      <c r="B100" s="7" t="s">
        <v>195</v>
      </c>
      <c r="C100" s="1" t="s">
        <v>115</v>
      </c>
      <c r="D100" s="8" t="s">
        <v>256</v>
      </c>
      <c r="E100" s="1">
        <f>G100-F100+1</f>
        <v>1</v>
      </c>
      <c r="F100" s="1" t="str">
        <f>LEFT(D100, SEARCH("-",D100,1)-1)</f>
        <v>2019</v>
      </c>
      <c r="G100" s="1" t="str">
        <f t="shared" si="4"/>
        <v>2019</v>
      </c>
      <c r="H100" s="8">
        <v>3</v>
      </c>
      <c r="I100" s="8">
        <v>2</v>
      </c>
      <c r="J100" s="8">
        <v>1</v>
      </c>
      <c r="K100" s="8">
        <v>15</v>
      </c>
      <c r="L100" s="8">
        <v>3</v>
      </c>
      <c r="M100" s="8">
        <v>0</v>
      </c>
      <c r="N100" s="8">
        <v>0</v>
      </c>
      <c r="O100" s="8">
        <v>0</v>
      </c>
      <c r="P100" s="8">
        <v>0</v>
      </c>
      <c r="Q100" s="8">
        <v>2</v>
      </c>
      <c r="R100" s="8">
        <v>1</v>
      </c>
      <c r="S100" s="8">
        <v>16.66</v>
      </c>
      <c r="T100" t="s">
        <v>311</v>
      </c>
      <c r="U100" s="9">
        <v>1.75</v>
      </c>
      <c r="V100" s="10">
        <v>83.914588450000011</v>
      </c>
      <c r="W100" s="6" t="s">
        <v>388</v>
      </c>
      <c r="X100">
        <f t="shared" si="9"/>
        <v>1</v>
      </c>
      <c r="Y100" s="14">
        <v>76</v>
      </c>
      <c r="Z100" s="1" t="s">
        <v>506</v>
      </c>
      <c r="AA100" s="1">
        <v>68</v>
      </c>
      <c r="AB100" s="1">
        <v>79</v>
      </c>
      <c r="AC100" s="1">
        <v>55</v>
      </c>
      <c r="AD100" s="1">
        <v>85</v>
      </c>
      <c r="AQ100" s="7">
        <v>137</v>
      </c>
      <c r="AR100" s="1">
        <v>23</v>
      </c>
      <c r="AS100" s="1">
        <f t="shared" si="8"/>
        <v>5.9565217391304346</v>
      </c>
      <c r="AT100">
        <v>160</v>
      </c>
      <c r="AU100">
        <v>15</v>
      </c>
      <c r="AV100">
        <v>3</v>
      </c>
      <c r="AW100">
        <v>0</v>
      </c>
      <c r="AX100">
        <v>0</v>
      </c>
      <c r="AY100">
        <v>0</v>
      </c>
      <c r="AZ100">
        <v>0</v>
      </c>
      <c r="BA100">
        <v>9</v>
      </c>
      <c r="BB100">
        <v>6</v>
      </c>
      <c r="BC100">
        <v>5</v>
      </c>
      <c r="BD100">
        <v>1</v>
      </c>
      <c r="BE100">
        <v>4</v>
      </c>
      <c r="BF100">
        <v>1</v>
      </c>
      <c r="BG100">
        <v>11</v>
      </c>
      <c r="BH100">
        <v>3</v>
      </c>
      <c r="BI100">
        <v>1</v>
      </c>
      <c r="BJ100">
        <v>1</v>
      </c>
      <c r="BK100">
        <v>0</v>
      </c>
      <c r="BL100">
        <v>0</v>
      </c>
      <c r="BM100">
        <v>2</v>
      </c>
      <c r="BN100">
        <v>5</v>
      </c>
      <c r="BO100">
        <v>0</v>
      </c>
      <c r="BP100">
        <v>0</v>
      </c>
      <c r="BQ100">
        <v>0</v>
      </c>
      <c r="BR100">
        <v>0</v>
      </c>
      <c r="BS100" s="16"/>
    </row>
    <row r="101" spans="1:71" hidden="1" x14ac:dyDescent="0.2">
      <c r="A101" s="1" t="s">
        <v>5</v>
      </c>
      <c r="B101" s="7" t="s">
        <v>196</v>
      </c>
      <c r="C101" s="1" t="s">
        <v>115</v>
      </c>
      <c r="D101" s="8" t="s">
        <v>340</v>
      </c>
      <c r="E101" s="1">
        <f>G101-F101+1</f>
        <v>2</v>
      </c>
      <c r="F101" s="1" t="str">
        <f>LEFT(D101, SEARCH("-",D101,1)-1)</f>
        <v>2018</v>
      </c>
      <c r="G101" s="1" t="str">
        <f t="shared" si="4"/>
        <v>2019</v>
      </c>
      <c r="H101" s="8">
        <v>3</v>
      </c>
      <c r="I101" s="8">
        <v>1</v>
      </c>
      <c r="J101" s="8">
        <v>2</v>
      </c>
      <c r="K101" s="8">
        <v>5</v>
      </c>
      <c r="L101" s="8">
        <v>1</v>
      </c>
      <c r="M101" s="8">
        <v>0</v>
      </c>
      <c r="N101" s="8">
        <v>0</v>
      </c>
      <c r="O101" s="8">
        <v>0</v>
      </c>
      <c r="P101" s="8">
        <v>1</v>
      </c>
      <c r="Q101" s="8">
        <v>1</v>
      </c>
      <c r="R101" s="8">
        <v>1</v>
      </c>
      <c r="S101" s="8">
        <v>50</v>
      </c>
      <c r="T101" t="s">
        <v>302</v>
      </c>
      <c r="U101" s="9">
        <v>1.88</v>
      </c>
      <c r="V101" s="10">
        <v>103.87265273</v>
      </c>
      <c r="W101" s="6" t="s">
        <v>389</v>
      </c>
      <c r="X101">
        <f t="shared" si="9"/>
        <v>1</v>
      </c>
      <c r="Y101" s="14">
        <v>66</v>
      </c>
      <c r="Z101" s="1" t="s">
        <v>508</v>
      </c>
      <c r="AA101" s="1">
        <v>73</v>
      </c>
      <c r="AB101" s="1">
        <v>71</v>
      </c>
      <c r="AP101" s="1">
        <v>73</v>
      </c>
      <c r="AQ101" s="7">
        <v>10</v>
      </c>
      <c r="AR101" s="1">
        <v>3</v>
      </c>
      <c r="AS101" s="1">
        <f t="shared" si="8"/>
        <v>3.3333333333333335</v>
      </c>
      <c r="AT101">
        <v>47</v>
      </c>
      <c r="AU101">
        <v>5</v>
      </c>
      <c r="AV101">
        <v>1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1</v>
      </c>
      <c r="BC101">
        <v>0</v>
      </c>
      <c r="BD101">
        <v>0</v>
      </c>
      <c r="BE101">
        <v>1</v>
      </c>
      <c r="BF101">
        <v>0</v>
      </c>
      <c r="BG101">
        <v>11</v>
      </c>
      <c r="BH101">
        <v>2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1</v>
      </c>
      <c r="BO101">
        <v>0</v>
      </c>
      <c r="BP101">
        <v>0</v>
      </c>
      <c r="BQ101">
        <v>0</v>
      </c>
      <c r="BR101">
        <v>0</v>
      </c>
      <c r="BS101" s="16"/>
    </row>
    <row r="102" spans="1:71" hidden="1" x14ac:dyDescent="0.2">
      <c r="A102" s="1" t="s">
        <v>5</v>
      </c>
      <c r="B102" s="7" t="s">
        <v>197</v>
      </c>
      <c r="C102" s="1" t="s">
        <v>115</v>
      </c>
      <c r="D102" s="8" t="s">
        <v>256</v>
      </c>
      <c r="E102" s="1">
        <f>G102-F102+1</f>
        <v>1</v>
      </c>
      <c r="F102" s="1" t="str">
        <f>LEFT(D102, SEARCH("-",D102,1)-1)</f>
        <v>2019</v>
      </c>
      <c r="G102" s="1" t="str">
        <f t="shared" si="4"/>
        <v>2019</v>
      </c>
      <c r="H102" s="8">
        <v>4</v>
      </c>
      <c r="I102" s="8">
        <v>0</v>
      </c>
      <c r="J102" s="8">
        <v>4</v>
      </c>
      <c r="K102" s="8">
        <v>2</v>
      </c>
      <c r="L102" s="8">
        <v>0</v>
      </c>
      <c r="M102" s="8">
        <v>1</v>
      </c>
      <c r="N102" s="8">
        <v>0</v>
      </c>
      <c r="O102" s="8">
        <v>0</v>
      </c>
      <c r="P102" s="8">
        <v>1</v>
      </c>
      <c r="Q102" s="8">
        <v>2</v>
      </c>
      <c r="R102" s="8">
        <v>1</v>
      </c>
      <c r="S102" s="8">
        <v>37.5</v>
      </c>
      <c r="T102" t="s">
        <v>297</v>
      </c>
      <c r="U102" s="9">
        <v>1.85</v>
      </c>
      <c r="V102" s="10">
        <v>92.986435850000007</v>
      </c>
      <c r="W102" s="6" t="s">
        <v>390</v>
      </c>
      <c r="X102">
        <f t="shared" si="9"/>
        <v>1</v>
      </c>
      <c r="Y102" s="14">
        <v>85</v>
      </c>
      <c r="Z102" s="1" t="s">
        <v>507</v>
      </c>
      <c r="AA102" s="1">
        <v>80</v>
      </c>
      <c r="AB102" s="1">
        <v>88</v>
      </c>
      <c r="AC102" s="1">
        <v>56</v>
      </c>
      <c r="AO102" s="1">
        <v>90</v>
      </c>
      <c r="AQ102" s="7">
        <v>114</v>
      </c>
      <c r="AR102" s="1">
        <v>22</v>
      </c>
      <c r="AS102" s="1">
        <f t="shared" si="8"/>
        <v>5.1818181818181817</v>
      </c>
      <c r="AT102">
        <v>105</v>
      </c>
      <c r="AU102">
        <v>2</v>
      </c>
      <c r="AV102">
        <v>0</v>
      </c>
      <c r="AW102">
        <v>1</v>
      </c>
      <c r="AX102">
        <v>1</v>
      </c>
      <c r="AY102">
        <v>0</v>
      </c>
      <c r="AZ102">
        <v>0</v>
      </c>
      <c r="BA102">
        <v>8</v>
      </c>
      <c r="BB102">
        <v>3</v>
      </c>
      <c r="BC102">
        <v>4</v>
      </c>
      <c r="BD102">
        <v>1</v>
      </c>
      <c r="BE102">
        <v>29</v>
      </c>
      <c r="BF102">
        <v>2</v>
      </c>
      <c r="BG102">
        <v>4</v>
      </c>
      <c r="BH102">
        <v>5</v>
      </c>
      <c r="BI102">
        <v>1</v>
      </c>
      <c r="BJ102">
        <v>0</v>
      </c>
      <c r="BK102">
        <v>0</v>
      </c>
      <c r="BL102">
        <v>0</v>
      </c>
      <c r="BM102">
        <v>6</v>
      </c>
      <c r="BN102">
        <v>9</v>
      </c>
      <c r="BO102">
        <v>0</v>
      </c>
      <c r="BP102">
        <v>0</v>
      </c>
      <c r="BQ102">
        <v>0</v>
      </c>
      <c r="BR102">
        <v>0</v>
      </c>
      <c r="BS102" s="16"/>
    </row>
    <row r="103" spans="1:71" hidden="1" x14ac:dyDescent="0.2">
      <c r="A103" s="1" t="s">
        <v>5</v>
      </c>
      <c r="B103" s="7" t="s">
        <v>198</v>
      </c>
      <c r="C103" s="1" t="s">
        <v>115</v>
      </c>
      <c r="D103" s="8" t="s">
        <v>338</v>
      </c>
      <c r="E103" s="1">
        <f>G103-F103+1</f>
        <v>8</v>
      </c>
      <c r="F103" s="1" t="str">
        <f>LEFT(D103, SEARCH("-",D103,1)-1)</f>
        <v>2012</v>
      </c>
      <c r="G103" s="1" t="str">
        <f t="shared" si="4"/>
        <v>2019</v>
      </c>
      <c r="H103" s="8">
        <v>36</v>
      </c>
      <c r="I103" s="8">
        <v>35</v>
      </c>
      <c r="J103" s="8">
        <v>1</v>
      </c>
      <c r="K103" s="8">
        <v>66</v>
      </c>
      <c r="L103" s="8">
        <v>12</v>
      </c>
      <c r="M103" s="8">
        <v>0</v>
      </c>
      <c r="N103" s="8">
        <v>2</v>
      </c>
      <c r="O103" s="8">
        <v>0</v>
      </c>
      <c r="P103" s="8">
        <v>12</v>
      </c>
      <c r="Q103" s="8">
        <v>24</v>
      </c>
      <c r="R103" s="8">
        <v>0</v>
      </c>
      <c r="S103" s="8">
        <v>33.33</v>
      </c>
      <c r="T103" t="s">
        <v>315</v>
      </c>
      <c r="U103" s="9">
        <v>1.83</v>
      </c>
      <c r="V103" s="10">
        <v>87.996919779999999</v>
      </c>
      <c r="W103" s="6" t="s">
        <v>391</v>
      </c>
      <c r="X103">
        <f t="shared" si="9"/>
        <v>1</v>
      </c>
      <c r="Y103" s="14">
        <v>80</v>
      </c>
      <c r="Z103" s="1" t="s">
        <v>507</v>
      </c>
      <c r="AA103" s="1">
        <v>78</v>
      </c>
      <c r="AD103" s="1">
        <v>87</v>
      </c>
      <c r="AM103" s="1">
        <v>87</v>
      </c>
      <c r="AN103" s="1">
        <v>81</v>
      </c>
      <c r="AQ103" s="7">
        <v>162</v>
      </c>
      <c r="AR103" s="1">
        <v>18</v>
      </c>
      <c r="AS103" s="1">
        <f t="shared" si="8"/>
        <v>9</v>
      </c>
      <c r="AT103">
        <v>96</v>
      </c>
      <c r="AU103">
        <v>5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5</v>
      </c>
      <c r="BB103">
        <v>4</v>
      </c>
      <c r="BC103">
        <v>8</v>
      </c>
      <c r="BD103">
        <v>0</v>
      </c>
      <c r="BE103">
        <v>6</v>
      </c>
      <c r="BF103">
        <v>2</v>
      </c>
      <c r="BG103">
        <v>4</v>
      </c>
      <c r="BH103">
        <v>1</v>
      </c>
      <c r="BI103">
        <v>0</v>
      </c>
      <c r="BJ103">
        <v>0</v>
      </c>
      <c r="BK103">
        <v>0</v>
      </c>
      <c r="BL103">
        <v>1</v>
      </c>
      <c r="BM103">
        <v>12</v>
      </c>
      <c r="BN103">
        <v>4</v>
      </c>
      <c r="BO103">
        <v>0</v>
      </c>
      <c r="BP103">
        <v>0</v>
      </c>
      <c r="BQ103">
        <v>0</v>
      </c>
      <c r="BR103">
        <v>0</v>
      </c>
      <c r="BS103" s="16"/>
    </row>
    <row r="104" spans="1:71" hidden="1" x14ac:dyDescent="0.2">
      <c r="A104" s="1" t="s">
        <v>5</v>
      </c>
      <c r="B104" s="7" t="s">
        <v>199</v>
      </c>
      <c r="C104" s="1" t="s">
        <v>115</v>
      </c>
      <c r="D104" s="1"/>
      <c r="G104" s="1" t="str">
        <f t="shared" si="4"/>
        <v/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T104" s="6" t="s">
        <v>292</v>
      </c>
      <c r="U104" s="9">
        <v>1.75</v>
      </c>
      <c r="V104" s="10">
        <v>78.925072380000003</v>
      </c>
      <c r="W104" s="6" t="s">
        <v>392</v>
      </c>
      <c r="X104">
        <f t="shared" si="9"/>
        <v>0</v>
      </c>
      <c r="Y104" s="14">
        <v>78</v>
      </c>
      <c r="Z104" s="1" t="s">
        <v>507</v>
      </c>
      <c r="AA104" s="1">
        <v>82</v>
      </c>
      <c r="AC104" s="1">
        <v>86</v>
      </c>
      <c r="AL104" s="1">
        <v>74</v>
      </c>
      <c r="AQ104" s="7"/>
      <c r="BS104" s="16"/>
    </row>
    <row r="105" spans="1:71" hidden="1" x14ac:dyDescent="0.2">
      <c r="A105" s="1" t="s">
        <v>5</v>
      </c>
      <c r="B105" s="7" t="s">
        <v>200</v>
      </c>
      <c r="C105" s="1" t="s">
        <v>115</v>
      </c>
      <c r="D105" s="1"/>
      <c r="G105" s="1" t="str">
        <f t="shared" si="4"/>
        <v/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T105" t="s">
        <v>302</v>
      </c>
      <c r="U105" s="9">
        <v>1.83</v>
      </c>
      <c r="V105" s="10">
        <v>84.821773190000002</v>
      </c>
      <c r="W105" s="6" t="s">
        <v>393</v>
      </c>
      <c r="X105">
        <f t="shared" si="9"/>
        <v>0</v>
      </c>
      <c r="Y105" s="14">
        <v>61</v>
      </c>
      <c r="Z105" s="1" t="s">
        <v>510</v>
      </c>
      <c r="AA105" s="1">
        <v>58</v>
      </c>
      <c r="AB105" s="1">
        <v>77</v>
      </c>
      <c r="AP105" s="1">
        <v>76</v>
      </c>
      <c r="AQ105" s="7"/>
      <c r="BS105" s="16"/>
    </row>
    <row r="106" spans="1:71" hidden="1" x14ac:dyDescent="0.2">
      <c r="A106" s="1" t="s">
        <v>5</v>
      </c>
      <c r="B106" s="7" t="s">
        <v>201</v>
      </c>
      <c r="C106" s="1" t="s">
        <v>115</v>
      </c>
      <c r="D106" s="8" t="s">
        <v>256</v>
      </c>
      <c r="E106" s="1">
        <f t="shared" ref="E106:E114" si="10">G106-F106+1</f>
        <v>1</v>
      </c>
      <c r="F106" s="1" t="str">
        <f t="shared" ref="F106:F114" si="11">LEFT(D106, SEARCH("-",D106,1)-1)</f>
        <v>2019</v>
      </c>
      <c r="G106" s="1" t="str">
        <f t="shared" si="4"/>
        <v>2019</v>
      </c>
      <c r="H106" s="8">
        <v>4</v>
      </c>
      <c r="I106" s="8">
        <v>4</v>
      </c>
      <c r="J106" s="8">
        <v>0</v>
      </c>
      <c r="K106" s="8">
        <v>10</v>
      </c>
      <c r="L106" s="8">
        <v>2</v>
      </c>
      <c r="M106" s="8">
        <v>0</v>
      </c>
      <c r="N106" s="8">
        <v>0</v>
      </c>
      <c r="O106" s="8">
        <v>0</v>
      </c>
      <c r="P106" s="8">
        <v>1</v>
      </c>
      <c r="Q106" s="8">
        <v>2</v>
      </c>
      <c r="R106" s="8">
        <v>1</v>
      </c>
      <c r="S106" s="8">
        <v>37.5</v>
      </c>
      <c r="T106" t="s">
        <v>302</v>
      </c>
      <c r="U106" s="9">
        <v>1.8</v>
      </c>
      <c r="V106" s="10">
        <v>85.728957930000007</v>
      </c>
      <c r="W106" s="6" t="s">
        <v>394</v>
      </c>
      <c r="X106">
        <f t="shared" si="9"/>
        <v>1</v>
      </c>
      <c r="Y106" s="14">
        <v>76</v>
      </c>
      <c r="Z106" s="1" t="s">
        <v>507</v>
      </c>
      <c r="AA106" s="1">
        <v>66</v>
      </c>
      <c r="AB106" s="1">
        <v>80</v>
      </c>
      <c r="AP106" s="1">
        <v>73</v>
      </c>
      <c r="AQ106" s="7">
        <v>133</v>
      </c>
      <c r="AR106" s="1">
        <v>35</v>
      </c>
      <c r="AS106" s="1">
        <f t="shared" si="8"/>
        <v>3.8</v>
      </c>
      <c r="AT106">
        <v>275</v>
      </c>
      <c r="AU106">
        <v>10</v>
      </c>
      <c r="AV106">
        <v>2</v>
      </c>
      <c r="AW106">
        <v>0</v>
      </c>
      <c r="AX106">
        <v>0</v>
      </c>
      <c r="AY106">
        <v>0</v>
      </c>
      <c r="AZ106">
        <v>0</v>
      </c>
      <c r="BA106">
        <v>18</v>
      </c>
      <c r="BB106">
        <v>5</v>
      </c>
      <c r="BC106">
        <v>13</v>
      </c>
      <c r="BD106">
        <v>0</v>
      </c>
      <c r="BE106">
        <v>33</v>
      </c>
      <c r="BF106">
        <v>2</v>
      </c>
      <c r="BG106">
        <v>40</v>
      </c>
      <c r="BH106">
        <v>8</v>
      </c>
      <c r="BI106">
        <v>0</v>
      </c>
      <c r="BJ106">
        <v>3</v>
      </c>
      <c r="BK106">
        <v>3</v>
      </c>
      <c r="BL106">
        <v>1</v>
      </c>
      <c r="BM106">
        <v>3</v>
      </c>
      <c r="BN106">
        <v>0</v>
      </c>
      <c r="BO106">
        <v>1</v>
      </c>
      <c r="BP106">
        <v>0</v>
      </c>
      <c r="BQ106">
        <v>0</v>
      </c>
      <c r="BR106">
        <v>0</v>
      </c>
      <c r="BS106" s="16"/>
    </row>
    <row r="107" spans="1:71" hidden="1" x14ac:dyDescent="0.2">
      <c r="A107" s="1" t="s">
        <v>5</v>
      </c>
      <c r="B107" s="7" t="s">
        <v>202</v>
      </c>
      <c r="C107" s="1" t="s">
        <v>115</v>
      </c>
      <c r="D107" s="8" t="s">
        <v>293</v>
      </c>
      <c r="E107" s="1">
        <f t="shared" si="10"/>
        <v>3</v>
      </c>
      <c r="F107" s="1" t="str">
        <f t="shared" si="11"/>
        <v>2017</v>
      </c>
      <c r="G107" s="1" t="str">
        <f t="shared" si="4"/>
        <v>2019</v>
      </c>
      <c r="H107" s="8">
        <v>12</v>
      </c>
      <c r="I107" s="8">
        <v>12</v>
      </c>
      <c r="J107" s="8">
        <v>0</v>
      </c>
      <c r="K107" s="8">
        <v>25</v>
      </c>
      <c r="L107" s="8">
        <v>5</v>
      </c>
      <c r="M107" s="8">
        <v>0</v>
      </c>
      <c r="N107" s="8">
        <v>0</v>
      </c>
      <c r="O107" s="8">
        <v>0</v>
      </c>
      <c r="P107" s="8">
        <v>7</v>
      </c>
      <c r="Q107" s="8">
        <v>5</v>
      </c>
      <c r="R107" s="8">
        <v>0</v>
      </c>
      <c r="S107" s="8">
        <v>58.33</v>
      </c>
      <c r="T107" t="s">
        <v>302</v>
      </c>
      <c r="U107" s="9">
        <v>1.85</v>
      </c>
      <c r="V107" s="10">
        <v>95.707990070000008</v>
      </c>
      <c r="W107" s="6" t="s">
        <v>395</v>
      </c>
      <c r="X107">
        <f t="shared" si="9"/>
        <v>1</v>
      </c>
      <c r="Y107" s="14">
        <v>72</v>
      </c>
      <c r="Z107" s="1" t="s">
        <v>507</v>
      </c>
      <c r="AA107" s="1">
        <v>78</v>
      </c>
      <c r="AB107" s="1">
        <v>73</v>
      </c>
      <c r="AP107" s="1">
        <v>75</v>
      </c>
      <c r="AQ107" s="7">
        <v>21</v>
      </c>
      <c r="AR107" s="1">
        <v>14</v>
      </c>
      <c r="AS107" s="1">
        <f t="shared" si="8"/>
        <v>1.5</v>
      </c>
      <c r="AT107">
        <v>137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2</v>
      </c>
      <c r="BB107">
        <v>0</v>
      </c>
      <c r="BC107">
        <v>4</v>
      </c>
      <c r="BD107">
        <v>0</v>
      </c>
      <c r="BE107">
        <v>11</v>
      </c>
      <c r="BF107">
        <v>2</v>
      </c>
      <c r="BG107">
        <v>5</v>
      </c>
      <c r="BH107">
        <v>4</v>
      </c>
      <c r="BI107">
        <v>0</v>
      </c>
      <c r="BJ107">
        <v>1</v>
      </c>
      <c r="BK107">
        <v>1</v>
      </c>
      <c r="BL107">
        <v>0</v>
      </c>
      <c r="BM107">
        <v>2</v>
      </c>
      <c r="BN107">
        <v>1</v>
      </c>
      <c r="BO107">
        <v>0</v>
      </c>
      <c r="BP107">
        <v>0</v>
      </c>
      <c r="BQ107">
        <v>0</v>
      </c>
      <c r="BR107">
        <v>0</v>
      </c>
      <c r="BS107" s="16"/>
    </row>
    <row r="108" spans="1:71" hidden="1" x14ac:dyDescent="0.2">
      <c r="A108" s="1" t="s">
        <v>5</v>
      </c>
      <c r="B108" s="7" t="s">
        <v>203</v>
      </c>
      <c r="C108" s="1" t="s">
        <v>115</v>
      </c>
      <c r="D108" s="8" t="s">
        <v>340</v>
      </c>
      <c r="E108" s="1">
        <f t="shared" si="10"/>
        <v>2</v>
      </c>
      <c r="F108" s="1" t="str">
        <f t="shared" si="11"/>
        <v>2018</v>
      </c>
      <c r="G108" s="1" t="str">
        <f t="shared" si="4"/>
        <v>2019</v>
      </c>
      <c r="H108" s="8">
        <v>6</v>
      </c>
      <c r="I108" s="8">
        <v>4</v>
      </c>
      <c r="J108" s="8">
        <v>2</v>
      </c>
      <c r="K108" s="8">
        <v>20</v>
      </c>
      <c r="L108" s="8">
        <v>4</v>
      </c>
      <c r="M108" s="8">
        <v>0</v>
      </c>
      <c r="N108" s="8">
        <v>0</v>
      </c>
      <c r="O108" s="8">
        <v>0</v>
      </c>
      <c r="P108" s="8">
        <v>2</v>
      </c>
      <c r="Q108" s="8">
        <v>4</v>
      </c>
      <c r="R108" s="8">
        <v>0</v>
      </c>
      <c r="S108" s="8">
        <v>33.33</v>
      </c>
      <c r="T108" t="s">
        <v>315</v>
      </c>
      <c r="U108" s="9">
        <v>1.93</v>
      </c>
      <c r="V108" s="10">
        <v>99.79032140000001</v>
      </c>
      <c r="W108" s="6" t="s">
        <v>396</v>
      </c>
      <c r="X108">
        <f t="shared" si="9"/>
        <v>1</v>
      </c>
      <c r="Y108" s="14">
        <v>75</v>
      </c>
      <c r="Z108" s="1" t="s">
        <v>506</v>
      </c>
      <c r="AA108" s="1">
        <v>77</v>
      </c>
      <c r="AD108" s="1">
        <v>87</v>
      </c>
      <c r="AM108" s="1">
        <v>86</v>
      </c>
      <c r="AN108" s="1">
        <v>84</v>
      </c>
      <c r="AQ108" s="7">
        <v>323</v>
      </c>
      <c r="AR108" s="1">
        <v>47</v>
      </c>
      <c r="AS108" s="1">
        <f t="shared" si="8"/>
        <v>6.8723404255319149</v>
      </c>
      <c r="AT108">
        <v>254</v>
      </c>
      <c r="AU108">
        <v>15</v>
      </c>
      <c r="AV108">
        <v>3</v>
      </c>
      <c r="AW108">
        <v>0</v>
      </c>
      <c r="AX108">
        <v>0</v>
      </c>
      <c r="AY108">
        <v>0</v>
      </c>
      <c r="AZ108">
        <v>0</v>
      </c>
      <c r="BA108">
        <v>14</v>
      </c>
      <c r="BB108">
        <v>10</v>
      </c>
      <c r="BC108">
        <v>18</v>
      </c>
      <c r="BD108">
        <v>0</v>
      </c>
      <c r="BE108">
        <v>15</v>
      </c>
      <c r="BF108">
        <v>2</v>
      </c>
      <c r="BG108">
        <v>18</v>
      </c>
      <c r="BH108">
        <v>4</v>
      </c>
      <c r="BI108">
        <v>1</v>
      </c>
      <c r="BJ108">
        <v>6</v>
      </c>
      <c r="BK108">
        <v>6</v>
      </c>
      <c r="BL108">
        <v>0</v>
      </c>
      <c r="BM108">
        <v>7</v>
      </c>
      <c r="BN108">
        <v>7</v>
      </c>
      <c r="BO108">
        <v>0</v>
      </c>
      <c r="BP108">
        <v>0</v>
      </c>
      <c r="BQ108">
        <v>0</v>
      </c>
      <c r="BR108">
        <v>0</v>
      </c>
      <c r="BS108" s="16"/>
    </row>
    <row r="109" spans="1:71" hidden="1" x14ac:dyDescent="0.2">
      <c r="A109" s="1" t="s">
        <v>5</v>
      </c>
      <c r="B109" s="7" t="s">
        <v>204</v>
      </c>
      <c r="C109" s="1" t="s">
        <v>115</v>
      </c>
      <c r="D109" s="8" t="s">
        <v>301</v>
      </c>
      <c r="E109" s="1">
        <f t="shared" si="10"/>
        <v>7</v>
      </c>
      <c r="F109" s="1" t="str">
        <f t="shared" si="11"/>
        <v>2013</v>
      </c>
      <c r="G109" s="1" t="str">
        <f t="shared" si="4"/>
        <v>2019</v>
      </c>
      <c r="H109" s="8">
        <v>17</v>
      </c>
      <c r="I109" s="8">
        <v>16</v>
      </c>
      <c r="J109" s="8">
        <v>1</v>
      </c>
      <c r="K109" s="8">
        <v>20</v>
      </c>
      <c r="L109" s="8">
        <v>4</v>
      </c>
      <c r="M109" s="8">
        <v>0</v>
      </c>
      <c r="N109" s="8">
        <v>0</v>
      </c>
      <c r="O109" s="8">
        <v>0</v>
      </c>
      <c r="P109" s="8">
        <v>6</v>
      </c>
      <c r="Q109" s="8">
        <v>10</v>
      </c>
      <c r="R109" s="8">
        <v>1</v>
      </c>
      <c r="S109" s="8">
        <v>38.229999999999997</v>
      </c>
      <c r="T109" t="s">
        <v>311</v>
      </c>
      <c r="U109" s="9">
        <v>1.88</v>
      </c>
      <c r="V109" s="10">
        <v>96.615174809999999</v>
      </c>
      <c r="W109" s="6" t="s">
        <v>397</v>
      </c>
      <c r="X109">
        <f t="shared" si="9"/>
        <v>1</v>
      </c>
      <c r="Y109" s="14">
        <v>85</v>
      </c>
      <c r="Z109" s="1" t="s">
        <v>511</v>
      </c>
      <c r="AA109" s="1">
        <v>87</v>
      </c>
      <c r="AB109" s="1">
        <v>71</v>
      </c>
      <c r="AC109" s="1">
        <v>79</v>
      </c>
      <c r="AD109" s="1">
        <v>92</v>
      </c>
      <c r="AQ109" s="7">
        <v>162</v>
      </c>
      <c r="AR109" s="1">
        <v>26</v>
      </c>
      <c r="AS109" s="1">
        <f t="shared" si="8"/>
        <v>6.2307692307692308</v>
      </c>
      <c r="AT109">
        <v>211</v>
      </c>
      <c r="AU109">
        <v>0</v>
      </c>
      <c r="AV109">
        <v>0</v>
      </c>
      <c r="AW109">
        <v>1</v>
      </c>
      <c r="AX109">
        <v>0</v>
      </c>
      <c r="AY109">
        <v>0</v>
      </c>
      <c r="AZ109">
        <v>0</v>
      </c>
      <c r="BA109">
        <v>12</v>
      </c>
      <c r="BB109">
        <v>4</v>
      </c>
      <c r="BC109">
        <v>7</v>
      </c>
      <c r="BD109">
        <v>0</v>
      </c>
      <c r="BE109">
        <v>12</v>
      </c>
      <c r="BF109">
        <v>2</v>
      </c>
      <c r="BG109">
        <v>6</v>
      </c>
      <c r="BH109">
        <v>3</v>
      </c>
      <c r="BI109">
        <v>2</v>
      </c>
      <c r="BJ109">
        <v>2</v>
      </c>
      <c r="BK109">
        <v>2</v>
      </c>
      <c r="BL109">
        <v>0</v>
      </c>
      <c r="BM109">
        <v>2</v>
      </c>
      <c r="BN109">
        <v>9</v>
      </c>
      <c r="BO109">
        <v>0</v>
      </c>
      <c r="BP109">
        <v>0</v>
      </c>
      <c r="BQ109">
        <v>0</v>
      </c>
      <c r="BR109">
        <v>0</v>
      </c>
      <c r="BS109" s="16"/>
    </row>
    <row r="110" spans="1:71" hidden="1" x14ac:dyDescent="0.2">
      <c r="A110" s="1" t="s">
        <v>5</v>
      </c>
      <c r="B110" s="7" t="s">
        <v>205</v>
      </c>
      <c r="C110" s="1" t="s">
        <v>115</v>
      </c>
      <c r="D110" s="8" t="s">
        <v>340</v>
      </c>
      <c r="E110" s="1">
        <f t="shared" si="10"/>
        <v>2</v>
      </c>
      <c r="F110" s="1" t="str">
        <f t="shared" si="11"/>
        <v>2018</v>
      </c>
      <c r="G110" s="1" t="str">
        <f t="shared" si="4"/>
        <v>2019</v>
      </c>
      <c r="H110" s="8">
        <v>3</v>
      </c>
      <c r="I110" s="8">
        <v>2</v>
      </c>
      <c r="J110" s="8">
        <v>1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2</v>
      </c>
      <c r="R110" s="8">
        <v>1</v>
      </c>
      <c r="S110" s="8">
        <v>16.66</v>
      </c>
      <c r="T110" t="s">
        <v>311</v>
      </c>
      <c r="U110" s="9">
        <v>1.85</v>
      </c>
      <c r="V110" s="10">
        <v>93.893620589999998</v>
      </c>
      <c r="W110" s="6" t="s">
        <v>398</v>
      </c>
      <c r="X110">
        <f t="shared" si="9"/>
        <v>1</v>
      </c>
      <c r="Y110" s="14">
        <v>70</v>
      </c>
      <c r="Z110" s="1" t="s">
        <v>512</v>
      </c>
      <c r="AA110" s="1">
        <v>84</v>
      </c>
      <c r="AB110" s="1">
        <v>75</v>
      </c>
      <c r="AC110" s="1">
        <v>86</v>
      </c>
      <c r="AD110" s="1">
        <v>29</v>
      </c>
      <c r="AQ110" s="7">
        <v>28</v>
      </c>
      <c r="AR110" s="1">
        <v>12</v>
      </c>
      <c r="AS110" s="1">
        <f t="shared" si="8"/>
        <v>2.3333333333333335</v>
      </c>
      <c r="AT110">
        <v>140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2</v>
      </c>
      <c r="BB110">
        <v>1</v>
      </c>
      <c r="BC110">
        <v>4</v>
      </c>
      <c r="BD110">
        <v>1</v>
      </c>
      <c r="BE110">
        <v>2</v>
      </c>
      <c r="BF110">
        <v>0</v>
      </c>
      <c r="BG110">
        <v>5</v>
      </c>
      <c r="BH110">
        <v>4</v>
      </c>
      <c r="BI110">
        <v>1</v>
      </c>
      <c r="BJ110">
        <v>2</v>
      </c>
      <c r="BK110">
        <v>1</v>
      </c>
      <c r="BL110">
        <v>1</v>
      </c>
      <c r="BM110">
        <v>2</v>
      </c>
      <c r="BN110">
        <v>3</v>
      </c>
      <c r="BO110">
        <v>0</v>
      </c>
      <c r="BP110">
        <v>0</v>
      </c>
      <c r="BQ110">
        <v>0</v>
      </c>
      <c r="BR110">
        <v>0</v>
      </c>
      <c r="BS110" s="16"/>
    </row>
    <row r="111" spans="1:71" hidden="1" x14ac:dyDescent="0.2">
      <c r="A111" s="1" t="s">
        <v>5</v>
      </c>
      <c r="B111" s="7" t="s">
        <v>206</v>
      </c>
      <c r="C111" s="1" t="s">
        <v>115</v>
      </c>
      <c r="D111" s="8" t="s">
        <v>293</v>
      </c>
      <c r="E111" s="1">
        <f t="shared" si="10"/>
        <v>3</v>
      </c>
      <c r="F111" s="1" t="str">
        <f t="shared" si="11"/>
        <v>2017</v>
      </c>
      <c r="G111" s="1" t="str">
        <f t="shared" si="4"/>
        <v>2019</v>
      </c>
      <c r="H111" s="8">
        <v>14</v>
      </c>
      <c r="I111" s="8">
        <v>6</v>
      </c>
      <c r="J111" s="8">
        <v>8</v>
      </c>
      <c r="K111" s="8">
        <v>5</v>
      </c>
      <c r="L111" s="8">
        <v>1</v>
      </c>
      <c r="M111" s="8">
        <v>0</v>
      </c>
      <c r="N111" s="8">
        <v>0</v>
      </c>
      <c r="O111" s="8">
        <v>0</v>
      </c>
      <c r="P111" s="8">
        <v>6</v>
      </c>
      <c r="Q111" s="8">
        <v>7</v>
      </c>
      <c r="R111" s="8">
        <v>1</v>
      </c>
      <c r="S111" s="8">
        <v>46.42</v>
      </c>
      <c r="T111" t="s">
        <v>292</v>
      </c>
      <c r="U111" s="9">
        <v>1.78</v>
      </c>
      <c r="V111" s="10">
        <v>79.832257120000008</v>
      </c>
      <c r="W111" s="6" t="s">
        <v>399</v>
      </c>
      <c r="X111">
        <f t="shared" si="9"/>
        <v>1</v>
      </c>
      <c r="Y111" s="14">
        <v>76</v>
      </c>
      <c r="Z111" s="1" t="s">
        <v>507</v>
      </c>
      <c r="AA111" s="1">
        <v>51</v>
      </c>
      <c r="AC111" s="1">
        <v>57</v>
      </c>
      <c r="AL111" s="1">
        <v>75</v>
      </c>
      <c r="AQ111" s="7">
        <v>56</v>
      </c>
      <c r="AR111" s="1">
        <v>18</v>
      </c>
      <c r="AS111" s="1">
        <f t="shared" si="8"/>
        <v>3.1111111111111112</v>
      </c>
      <c r="AT111">
        <v>187</v>
      </c>
      <c r="AU111">
        <v>5</v>
      </c>
      <c r="AV111">
        <v>1</v>
      </c>
      <c r="AW111">
        <v>1</v>
      </c>
      <c r="AX111">
        <v>0</v>
      </c>
      <c r="AY111">
        <v>0</v>
      </c>
      <c r="AZ111">
        <v>0</v>
      </c>
      <c r="BA111">
        <v>2</v>
      </c>
      <c r="BB111">
        <v>3</v>
      </c>
      <c r="BC111">
        <v>5</v>
      </c>
      <c r="BD111">
        <v>0</v>
      </c>
      <c r="BE111">
        <v>186</v>
      </c>
      <c r="BF111">
        <v>3</v>
      </c>
      <c r="BG111">
        <v>12</v>
      </c>
      <c r="BH111">
        <v>4</v>
      </c>
      <c r="BI111">
        <v>1</v>
      </c>
      <c r="BJ111">
        <v>5</v>
      </c>
      <c r="BK111">
        <v>2</v>
      </c>
      <c r="BL111">
        <v>3</v>
      </c>
      <c r="BM111">
        <v>19</v>
      </c>
      <c r="BN111">
        <v>2</v>
      </c>
      <c r="BO111">
        <v>0</v>
      </c>
      <c r="BP111">
        <v>0</v>
      </c>
      <c r="BQ111">
        <v>0</v>
      </c>
      <c r="BR111">
        <v>0</v>
      </c>
      <c r="BS111" s="16"/>
    </row>
    <row r="112" spans="1:71" hidden="1" x14ac:dyDescent="0.2">
      <c r="A112" s="1" t="s">
        <v>5</v>
      </c>
      <c r="B112" s="7" t="s">
        <v>207</v>
      </c>
      <c r="C112" s="1" t="s">
        <v>115</v>
      </c>
      <c r="D112" s="8" t="s">
        <v>401</v>
      </c>
      <c r="E112" s="1">
        <f t="shared" si="10"/>
        <v>5</v>
      </c>
      <c r="F112" s="1" t="str">
        <f t="shared" si="11"/>
        <v>2013</v>
      </c>
      <c r="G112" s="1" t="str">
        <f t="shared" si="4"/>
        <v>2017</v>
      </c>
      <c r="H112" s="8">
        <v>6</v>
      </c>
      <c r="I112" s="8">
        <v>0</v>
      </c>
      <c r="J112" s="8">
        <v>6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3</v>
      </c>
      <c r="Q112" s="8">
        <v>3</v>
      </c>
      <c r="R112" s="8">
        <v>0</v>
      </c>
      <c r="S112" s="8">
        <v>50</v>
      </c>
      <c r="T112" t="s">
        <v>292</v>
      </c>
      <c r="U112" s="9">
        <v>1.78</v>
      </c>
      <c r="V112" s="10">
        <v>79.832257120000008</v>
      </c>
      <c r="W112" s="6" t="s">
        <v>400</v>
      </c>
      <c r="X112">
        <f t="shared" si="9"/>
        <v>1</v>
      </c>
      <c r="Y112" s="14">
        <v>85</v>
      </c>
      <c r="Z112" s="1" t="s">
        <v>506</v>
      </c>
      <c r="AA112" s="1">
        <v>57</v>
      </c>
      <c r="AC112" s="1">
        <v>91</v>
      </c>
      <c r="AL112" s="1">
        <v>81</v>
      </c>
      <c r="AQ112" s="7"/>
      <c r="BS112" s="16"/>
    </row>
    <row r="113" spans="1:71" hidden="1" x14ac:dyDescent="0.2">
      <c r="A113" s="1" t="s">
        <v>5</v>
      </c>
      <c r="B113" s="7" t="s">
        <v>208</v>
      </c>
      <c r="C113" s="1" t="s">
        <v>115</v>
      </c>
      <c r="D113" s="8" t="s">
        <v>357</v>
      </c>
      <c r="E113" s="1">
        <f t="shared" si="10"/>
        <v>5</v>
      </c>
      <c r="F113" s="1" t="str">
        <f t="shared" si="11"/>
        <v>2015</v>
      </c>
      <c r="G113" s="1" t="str">
        <f t="shared" si="4"/>
        <v>2019</v>
      </c>
      <c r="H113" s="8">
        <v>22</v>
      </c>
      <c r="I113" s="8">
        <v>22</v>
      </c>
      <c r="J113" s="8">
        <v>0</v>
      </c>
      <c r="K113" s="8">
        <v>71</v>
      </c>
      <c r="L113" s="8">
        <v>3</v>
      </c>
      <c r="M113" s="8">
        <v>13</v>
      </c>
      <c r="N113" s="8">
        <v>10</v>
      </c>
      <c r="O113" s="8">
        <v>0</v>
      </c>
      <c r="P113" s="8">
        <v>9</v>
      </c>
      <c r="Q113" s="8">
        <v>12</v>
      </c>
      <c r="R113" s="8">
        <v>1</v>
      </c>
      <c r="S113" s="8">
        <v>43.18</v>
      </c>
      <c r="T113" t="s">
        <v>297</v>
      </c>
      <c r="U113" s="9">
        <v>1.83</v>
      </c>
      <c r="V113" s="10">
        <v>86.636142669999998</v>
      </c>
      <c r="W113" s="6" t="s">
        <v>402</v>
      </c>
      <c r="X113">
        <f t="shared" si="9"/>
        <v>1</v>
      </c>
      <c r="Y113" s="14">
        <v>76</v>
      </c>
      <c r="Z113" s="1" t="s">
        <v>491</v>
      </c>
      <c r="AA113" s="1">
        <v>57</v>
      </c>
      <c r="AB113" s="1">
        <v>88</v>
      </c>
      <c r="AC113" s="1">
        <v>81</v>
      </c>
      <c r="AO113" s="1">
        <v>86</v>
      </c>
      <c r="AQ113" s="7">
        <v>168</v>
      </c>
      <c r="AR113" s="1">
        <v>33</v>
      </c>
      <c r="AS113" s="1">
        <f t="shared" si="8"/>
        <v>5.0909090909090908</v>
      </c>
      <c r="AT113">
        <v>315</v>
      </c>
      <c r="AU113">
        <v>17</v>
      </c>
      <c r="AV113">
        <v>1</v>
      </c>
      <c r="AW113">
        <v>4</v>
      </c>
      <c r="AX113">
        <v>3</v>
      </c>
      <c r="AY113">
        <v>2</v>
      </c>
      <c r="AZ113">
        <v>0</v>
      </c>
      <c r="BA113">
        <v>5</v>
      </c>
      <c r="BB113">
        <v>2</v>
      </c>
      <c r="BC113">
        <v>8</v>
      </c>
      <c r="BD113">
        <v>2</v>
      </c>
      <c r="BE113">
        <v>137</v>
      </c>
      <c r="BF113">
        <v>5</v>
      </c>
      <c r="BG113">
        <v>26</v>
      </c>
      <c r="BH113">
        <v>14</v>
      </c>
      <c r="BI113">
        <v>1</v>
      </c>
      <c r="BJ113">
        <v>5</v>
      </c>
      <c r="BK113">
        <v>2</v>
      </c>
      <c r="BL113">
        <v>2</v>
      </c>
      <c r="BM113">
        <v>39</v>
      </c>
      <c r="BN113">
        <v>10</v>
      </c>
      <c r="BO113">
        <v>1</v>
      </c>
      <c r="BP113">
        <v>0</v>
      </c>
      <c r="BQ113">
        <v>0</v>
      </c>
      <c r="BR113">
        <v>0</v>
      </c>
      <c r="BS113" s="16"/>
    </row>
    <row r="114" spans="1:71" hidden="1" x14ac:dyDescent="0.2">
      <c r="A114" s="1" t="s">
        <v>5</v>
      </c>
      <c r="B114" s="7" t="s">
        <v>209</v>
      </c>
      <c r="C114" s="1" t="s">
        <v>115</v>
      </c>
      <c r="D114" s="8" t="s">
        <v>404</v>
      </c>
      <c r="E114" s="1">
        <f t="shared" si="10"/>
        <v>6</v>
      </c>
      <c r="F114" s="1" t="str">
        <f t="shared" si="11"/>
        <v>2012</v>
      </c>
      <c r="G114" s="1" t="str">
        <f t="shared" si="4"/>
        <v>2017</v>
      </c>
      <c r="H114" s="8">
        <v>17</v>
      </c>
      <c r="I114" s="8">
        <v>12</v>
      </c>
      <c r="J114" s="8">
        <v>5</v>
      </c>
      <c r="K114" s="8">
        <v>10</v>
      </c>
      <c r="L114" s="8">
        <v>2</v>
      </c>
      <c r="M114" s="8">
        <v>0</v>
      </c>
      <c r="N114" s="8">
        <v>0</v>
      </c>
      <c r="O114" s="8">
        <v>0</v>
      </c>
      <c r="P114" s="8">
        <v>4</v>
      </c>
      <c r="Q114" s="8">
        <v>13</v>
      </c>
      <c r="R114" s="8">
        <v>0</v>
      </c>
      <c r="S114" s="8">
        <v>23.52</v>
      </c>
      <c r="T114" t="s">
        <v>302</v>
      </c>
      <c r="U114" s="9">
        <v>1.85</v>
      </c>
      <c r="V114" s="10">
        <v>100.69750614</v>
      </c>
      <c r="W114" s="6" t="s">
        <v>403</v>
      </c>
      <c r="X114">
        <f t="shared" si="9"/>
        <v>1</v>
      </c>
      <c r="Y114" s="14">
        <v>81</v>
      </c>
      <c r="Z114" s="1" t="s">
        <v>506</v>
      </c>
      <c r="AA114" s="1">
        <v>79</v>
      </c>
      <c r="AB114" s="1">
        <v>85</v>
      </c>
      <c r="AP114" s="1">
        <v>86</v>
      </c>
      <c r="AQ114" s="7"/>
      <c r="BS114" s="16"/>
    </row>
    <row r="115" spans="1:71" hidden="1" x14ac:dyDescent="0.2">
      <c r="A115" s="1" t="s">
        <v>5</v>
      </c>
      <c r="B115" s="7" t="s">
        <v>210</v>
      </c>
      <c r="C115" s="1" t="s">
        <v>115</v>
      </c>
      <c r="D115" s="1"/>
      <c r="G115" s="1" t="str">
        <f t="shared" si="4"/>
        <v/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T115" t="s">
        <v>406</v>
      </c>
      <c r="U115" s="9">
        <v>1.87</v>
      </c>
      <c r="V115" s="10" t="s">
        <v>454</v>
      </c>
      <c r="W115" s="6" t="s">
        <v>405</v>
      </c>
      <c r="X115">
        <f t="shared" si="9"/>
        <v>0</v>
      </c>
      <c r="Y115" s="14">
        <v>76</v>
      </c>
      <c r="Z115" s="1" t="s">
        <v>507</v>
      </c>
      <c r="AA115" s="1">
        <v>59</v>
      </c>
      <c r="AB115" s="1">
        <v>72</v>
      </c>
      <c r="AC115" s="1">
        <v>82</v>
      </c>
      <c r="AD115" s="1">
        <v>92</v>
      </c>
      <c r="AQ115" s="7"/>
      <c r="BS115" s="16"/>
    </row>
    <row r="116" spans="1:71" hidden="1" x14ac:dyDescent="0.2">
      <c r="A116" s="1" t="s">
        <v>5</v>
      </c>
      <c r="B116" s="7" t="s">
        <v>211</v>
      </c>
      <c r="C116" s="1" t="s">
        <v>115</v>
      </c>
      <c r="D116" s="1"/>
      <c r="G116" s="1" t="str">
        <f t="shared" si="4"/>
        <v/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T116" t="s">
        <v>311</v>
      </c>
      <c r="U116" s="9">
        <v>1.95</v>
      </c>
      <c r="V116" s="10" t="s">
        <v>471</v>
      </c>
      <c r="W116" s="6" t="s">
        <v>407</v>
      </c>
      <c r="X116">
        <f t="shared" si="9"/>
        <v>0</v>
      </c>
      <c r="Y116" s="14">
        <v>70</v>
      </c>
      <c r="Z116" s="1" t="s">
        <v>507</v>
      </c>
      <c r="AA116" s="1">
        <v>38</v>
      </c>
      <c r="AB116" s="1">
        <v>64</v>
      </c>
      <c r="AC116" s="1">
        <v>44</v>
      </c>
      <c r="AD116" s="1">
        <v>29</v>
      </c>
      <c r="AQ116" s="7"/>
      <c r="BS116" s="16"/>
    </row>
    <row r="117" spans="1:71" hidden="1" x14ac:dyDescent="0.2">
      <c r="A117" s="1" t="s">
        <v>6</v>
      </c>
      <c r="B117" s="7" t="s">
        <v>212</v>
      </c>
      <c r="C117" s="1" t="s">
        <v>114</v>
      </c>
      <c r="D117" s="1"/>
      <c r="G117" s="1" t="str">
        <f t="shared" si="4"/>
        <v/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T117" t="s">
        <v>254</v>
      </c>
      <c r="U117" s="9">
        <v>1.88</v>
      </c>
      <c r="V117" s="10">
        <v>132.90256441</v>
      </c>
      <c r="W117" s="6" t="s">
        <v>408</v>
      </c>
      <c r="X117">
        <f t="shared" si="9"/>
        <v>0</v>
      </c>
      <c r="Y117" s="14">
        <v>84</v>
      </c>
      <c r="Z117" s="1" t="s">
        <v>513</v>
      </c>
      <c r="AA117" s="1">
        <v>79</v>
      </c>
      <c r="AE117" s="1">
        <v>75</v>
      </c>
      <c r="AF117" s="1">
        <v>76</v>
      </c>
      <c r="AQ117" s="7"/>
      <c r="BS117" s="16"/>
    </row>
    <row r="118" spans="1:71" hidden="1" x14ac:dyDescent="0.2">
      <c r="A118" s="1" t="s">
        <v>6</v>
      </c>
      <c r="B118" s="7" t="s">
        <v>213</v>
      </c>
      <c r="C118" s="1" t="s">
        <v>114</v>
      </c>
      <c r="D118" s="8" t="s">
        <v>357</v>
      </c>
      <c r="E118" s="1">
        <f>G118-F118+1</f>
        <v>5</v>
      </c>
      <c r="F118" s="1" t="str">
        <f>LEFT(D118, SEARCH("-",D118,1)-1)</f>
        <v>2015</v>
      </c>
      <c r="G118" s="1" t="str">
        <f t="shared" si="4"/>
        <v>2019</v>
      </c>
      <c r="H118" s="8">
        <v>21</v>
      </c>
      <c r="I118" s="8">
        <v>18</v>
      </c>
      <c r="J118" s="8">
        <v>3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14</v>
      </c>
      <c r="Q118" s="8">
        <v>6</v>
      </c>
      <c r="R118" s="8">
        <v>1</v>
      </c>
      <c r="S118" s="8">
        <v>69.040000000000006</v>
      </c>
      <c r="T118" t="s">
        <v>254</v>
      </c>
      <c r="U118" s="9">
        <v>1.88</v>
      </c>
      <c r="V118" s="10">
        <v>117.9340162</v>
      </c>
      <c r="W118" s="6" t="s">
        <v>409</v>
      </c>
      <c r="X118">
        <f t="shared" si="9"/>
        <v>1</v>
      </c>
      <c r="Y118" s="14">
        <v>78</v>
      </c>
      <c r="Z118" s="1" t="s">
        <v>514</v>
      </c>
      <c r="AA118" s="1">
        <v>80</v>
      </c>
      <c r="AE118" s="1">
        <v>71</v>
      </c>
      <c r="AF118" s="1">
        <v>89</v>
      </c>
      <c r="AQ118" s="7">
        <v>17</v>
      </c>
      <c r="AR118" s="1">
        <v>27</v>
      </c>
      <c r="AS118" s="1">
        <f t="shared" si="8"/>
        <v>0.62962962962962965</v>
      </c>
      <c r="AT118">
        <v>246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</v>
      </c>
      <c r="BB118">
        <v>0</v>
      </c>
      <c r="BC118">
        <v>6</v>
      </c>
      <c r="BD118">
        <v>0</v>
      </c>
      <c r="BE118">
        <v>10</v>
      </c>
      <c r="BF118">
        <v>1</v>
      </c>
      <c r="BG118">
        <v>30</v>
      </c>
      <c r="BH118">
        <v>4</v>
      </c>
      <c r="BI118">
        <v>2</v>
      </c>
      <c r="BJ118">
        <v>2</v>
      </c>
      <c r="BK118">
        <v>1</v>
      </c>
      <c r="BL118">
        <v>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 s="16"/>
    </row>
    <row r="119" spans="1:71" hidden="1" x14ac:dyDescent="0.2">
      <c r="A119" s="1" t="s">
        <v>6</v>
      </c>
      <c r="B119" s="7" t="s">
        <v>214</v>
      </c>
      <c r="C119" s="1" t="s">
        <v>114</v>
      </c>
      <c r="D119" s="8" t="s">
        <v>340</v>
      </c>
      <c r="E119" s="1">
        <f>G119-F119+1</f>
        <v>2</v>
      </c>
      <c r="F119" s="1" t="str">
        <f>LEFT(D119, SEARCH("-",D119,1)-1)</f>
        <v>2018</v>
      </c>
      <c r="G119" s="1" t="str">
        <f t="shared" si="4"/>
        <v>2019</v>
      </c>
      <c r="H119" s="8">
        <v>5</v>
      </c>
      <c r="I119" s="8">
        <v>0</v>
      </c>
      <c r="J119" s="8">
        <v>5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3</v>
      </c>
      <c r="Q119" s="8">
        <v>2</v>
      </c>
      <c r="R119" s="8">
        <v>0</v>
      </c>
      <c r="S119" s="8">
        <v>60</v>
      </c>
      <c r="T119" t="s">
        <v>254</v>
      </c>
      <c r="U119" s="9">
        <v>1.83</v>
      </c>
      <c r="V119" s="10">
        <v>113.85168487</v>
      </c>
      <c r="W119" s="6" t="s">
        <v>410</v>
      </c>
      <c r="X119">
        <f t="shared" si="9"/>
        <v>1</v>
      </c>
      <c r="Y119" s="14">
        <v>72</v>
      </c>
      <c r="Z119" s="1" t="s">
        <v>514</v>
      </c>
      <c r="AA119" s="1">
        <v>70</v>
      </c>
      <c r="AE119" s="1">
        <v>70</v>
      </c>
      <c r="AF119" s="1">
        <v>84</v>
      </c>
      <c r="AQ119" s="7">
        <v>0</v>
      </c>
      <c r="AR119" s="1">
        <v>0</v>
      </c>
      <c r="BS119" s="16"/>
    </row>
    <row r="120" spans="1:71" hidden="1" x14ac:dyDescent="0.2">
      <c r="A120" s="1" t="s">
        <v>6</v>
      </c>
      <c r="B120" s="7" t="s">
        <v>215</v>
      </c>
      <c r="C120" s="1" t="s">
        <v>114</v>
      </c>
      <c r="D120" s="8" t="s">
        <v>340</v>
      </c>
      <c r="E120" s="1">
        <f>G120-F120+1</f>
        <v>2</v>
      </c>
      <c r="F120" s="1" t="str">
        <f>LEFT(D120, SEARCH("-",D120,1)-1)</f>
        <v>2018</v>
      </c>
      <c r="G120" s="1" t="str">
        <f t="shared" si="4"/>
        <v>2019</v>
      </c>
      <c r="H120" s="8">
        <v>10</v>
      </c>
      <c r="I120" s="8">
        <v>2</v>
      </c>
      <c r="J120" s="8">
        <v>8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8</v>
      </c>
      <c r="Q120" s="8">
        <v>2</v>
      </c>
      <c r="R120" s="8">
        <v>0</v>
      </c>
      <c r="S120" s="8">
        <v>80</v>
      </c>
      <c r="T120" t="s">
        <v>259</v>
      </c>
      <c r="U120" s="9">
        <v>1.83</v>
      </c>
      <c r="V120" s="10">
        <v>103.87265273</v>
      </c>
      <c r="W120" s="6" t="s">
        <v>411</v>
      </c>
      <c r="X120">
        <f t="shared" si="9"/>
        <v>1</v>
      </c>
      <c r="Y120" s="14">
        <v>62</v>
      </c>
      <c r="Z120" s="1" t="s">
        <v>515</v>
      </c>
      <c r="AA120" s="1">
        <v>49</v>
      </c>
      <c r="AE120" s="1">
        <v>73</v>
      </c>
      <c r="AF120" s="1">
        <v>64</v>
      </c>
      <c r="AG120" s="1">
        <v>74</v>
      </c>
      <c r="AQ120" s="7">
        <v>13</v>
      </c>
      <c r="AR120" s="1">
        <v>19</v>
      </c>
      <c r="AS120" s="1">
        <f t="shared" si="8"/>
        <v>0.68421052631578949</v>
      </c>
      <c r="AT120">
        <v>114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3</v>
      </c>
      <c r="BD120">
        <v>0</v>
      </c>
      <c r="BE120">
        <v>4</v>
      </c>
      <c r="BF120">
        <v>0</v>
      </c>
      <c r="BG120">
        <v>28</v>
      </c>
      <c r="BH120">
        <v>2</v>
      </c>
      <c r="BI120">
        <v>2</v>
      </c>
      <c r="BJ120">
        <v>1</v>
      </c>
      <c r="BK120">
        <v>0</v>
      </c>
      <c r="BL120">
        <v>1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 s="16"/>
    </row>
    <row r="121" spans="1:71" hidden="1" x14ac:dyDescent="0.2">
      <c r="A121" s="1" t="s">
        <v>6</v>
      </c>
      <c r="B121" s="7" t="s">
        <v>216</v>
      </c>
      <c r="C121" s="1" t="s">
        <v>114</v>
      </c>
      <c r="D121" s="8" t="s">
        <v>256</v>
      </c>
      <c r="E121" s="1">
        <f>G121-F121+1</f>
        <v>1</v>
      </c>
      <c r="F121" s="1" t="str">
        <f>LEFT(D121, SEARCH("-",D121,1)-1)</f>
        <v>2019</v>
      </c>
      <c r="G121" s="1" t="str">
        <f t="shared" si="4"/>
        <v>2019</v>
      </c>
      <c r="H121" s="8">
        <v>1</v>
      </c>
      <c r="I121" s="8">
        <v>0</v>
      </c>
      <c r="J121" s="8">
        <v>1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1</v>
      </c>
      <c r="Q121" s="8">
        <v>0</v>
      </c>
      <c r="R121" s="8">
        <v>0</v>
      </c>
      <c r="S121" s="8">
        <v>100</v>
      </c>
      <c r="T121" t="s">
        <v>259</v>
      </c>
      <c r="U121" s="9">
        <v>1.88</v>
      </c>
      <c r="V121" s="10">
        <v>109.76935354000001</v>
      </c>
      <c r="W121" s="6" t="s">
        <v>412</v>
      </c>
      <c r="X121">
        <f t="shared" si="9"/>
        <v>1</v>
      </c>
      <c r="Y121" s="14">
        <v>65</v>
      </c>
      <c r="Z121" s="1" t="s">
        <v>514</v>
      </c>
      <c r="AA121" s="1">
        <v>49</v>
      </c>
      <c r="AE121" s="1">
        <v>61</v>
      </c>
      <c r="AF121" s="1">
        <v>73</v>
      </c>
      <c r="AG121" s="1">
        <v>29</v>
      </c>
      <c r="AQ121" s="7">
        <v>0</v>
      </c>
      <c r="AR121" s="1">
        <v>0</v>
      </c>
      <c r="BS121" s="16"/>
    </row>
    <row r="122" spans="1:71" hidden="1" x14ac:dyDescent="0.2">
      <c r="A122" s="1" t="s">
        <v>6</v>
      </c>
      <c r="B122" s="7" t="s">
        <v>217</v>
      </c>
      <c r="C122" s="1" t="s">
        <v>114</v>
      </c>
      <c r="D122" s="8" t="s">
        <v>338</v>
      </c>
      <c r="E122" s="1">
        <f>G122-F122+1</f>
        <v>8</v>
      </c>
      <c r="F122" s="1" t="str">
        <f>LEFT(D122, SEARCH("-",D122,1)-1)</f>
        <v>2012</v>
      </c>
      <c r="G122" s="1" t="str">
        <f t="shared" si="4"/>
        <v>2019</v>
      </c>
      <c r="H122" s="8">
        <v>34</v>
      </c>
      <c r="I122" s="8">
        <v>15</v>
      </c>
      <c r="J122" s="8">
        <v>19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24</v>
      </c>
      <c r="Q122" s="8">
        <v>9</v>
      </c>
      <c r="R122" s="8">
        <v>1</v>
      </c>
      <c r="S122" s="8">
        <v>72.05</v>
      </c>
      <c r="T122" t="s">
        <v>259</v>
      </c>
      <c r="U122" s="9">
        <v>1.85</v>
      </c>
      <c r="V122" s="10">
        <v>111.58372302000001</v>
      </c>
      <c r="W122" s="6" t="s">
        <v>413</v>
      </c>
      <c r="X122">
        <f t="shared" si="9"/>
        <v>1</v>
      </c>
      <c r="Y122" s="14">
        <v>77</v>
      </c>
      <c r="Z122" s="1" t="s">
        <v>514</v>
      </c>
      <c r="AA122" s="1">
        <v>76</v>
      </c>
      <c r="AE122" s="1">
        <v>76</v>
      </c>
      <c r="AF122" s="1">
        <v>89</v>
      </c>
      <c r="AG122" s="1">
        <v>79</v>
      </c>
      <c r="AQ122" s="7">
        <v>35</v>
      </c>
      <c r="AR122" s="1">
        <v>33</v>
      </c>
      <c r="AS122" s="1">
        <f t="shared" si="8"/>
        <v>1.0606060606060606</v>
      </c>
      <c r="AT122">
        <v>272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2</v>
      </c>
      <c r="BB122">
        <v>0</v>
      </c>
      <c r="BC122">
        <v>12</v>
      </c>
      <c r="BD122">
        <v>0</v>
      </c>
      <c r="BE122">
        <v>6</v>
      </c>
      <c r="BF122">
        <v>0</v>
      </c>
      <c r="BG122">
        <v>43</v>
      </c>
      <c r="BH122">
        <v>4</v>
      </c>
      <c r="BI122">
        <v>0</v>
      </c>
      <c r="BJ122">
        <v>3</v>
      </c>
      <c r="BK122">
        <v>1</v>
      </c>
      <c r="BL122">
        <v>0</v>
      </c>
      <c r="BM122">
        <v>1</v>
      </c>
      <c r="BN122">
        <v>0</v>
      </c>
      <c r="BO122">
        <v>0</v>
      </c>
      <c r="BP122">
        <v>0</v>
      </c>
      <c r="BQ122">
        <v>0</v>
      </c>
      <c r="BR122">
        <v>0</v>
      </c>
      <c r="BS122" s="16"/>
    </row>
    <row r="123" spans="1:71" hidden="1" x14ac:dyDescent="0.2">
      <c r="A123" s="1" t="s">
        <v>6</v>
      </c>
      <c r="B123" s="7" t="s">
        <v>218</v>
      </c>
      <c r="C123" s="1" t="s">
        <v>114</v>
      </c>
      <c r="D123" s="1"/>
      <c r="G123" s="1" t="str">
        <f t="shared" si="4"/>
        <v/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T123" t="s">
        <v>254</v>
      </c>
      <c r="U123" s="9">
        <v>1.88</v>
      </c>
      <c r="V123" s="10">
        <v>111.58372302000001</v>
      </c>
      <c r="W123" s="6" t="s">
        <v>414</v>
      </c>
      <c r="X123">
        <f t="shared" si="9"/>
        <v>0</v>
      </c>
      <c r="Y123" s="14">
        <v>59</v>
      </c>
      <c r="Z123" s="1" t="s">
        <v>515</v>
      </c>
      <c r="AA123" s="1">
        <v>68</v>
      </c>
      <c r="AE123" s="1">
        <v>69</v>
      </c>
      <c r="AF123" s="1">
        <v>61</v>
      </c>
      <c r="AQ123" s="7"/>
      <c r="BS123" s="16"/>
    </row>
    <row r="124" spans="1:71" hidden="1" x14ac:dyDescent="0.2">
      <c r="A124" s="1" t="s">
        <v>6</v>
      </c>
      <c r="B124" s="7" t="s">
        <v>219</v>
      </c>
      <c r="C124" s="1" t="s">
        <v>114</v>
      </c>
      <c r="D124" s="1"/>
      <c r="G124" s="1" t="str">
        <f t="shared" si="4"/>
        <v/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T124" t="s">
        <v>254</v>
      </c>
      <c r="U124" s="9">
        <v>1.91</v>
      </c>
      <c r="V124" s="10">
        <v>126.55227123</v>
      </c>
      <c r="W124" s="6" t="s">
        <v>415</v>
      </c>
      <c r="X124">
        <f t="shared" si="9"/>
        <v>0</v>
      </c>
      <c r="Z124" s="1" t="s">
        <v>516</v>
      </c>
      <c r="AQ124" s="7"/>
      <c r="BS124" s="16"/>
    </row>
    <row r="125" spans="1:71" hidden="1" x14ac:dyDescent="0.2">
      <c r="A125" s="1" t="s">
        <v>6</v>
      </c>
      <c r="B125" s="7" t="s">
        <v>220</v>
      </c>
      <c r="C125" s="1" t="s">
        <v>114</v>
      </c>
      <c r="D125" s="8" t="s">
        <v>256</v>
      </c>
      <c r="E125" s="1">
        <f>G125-F125+1</f>
        <v>1</v>
      </c>
      <c r="F125" s="1" t="str">
        <f>LEFT(D125, SEARCH("-",D125,1)-1)</f>
        <v>2019</v>
      </c>
      <c r="G125" s="1" t="str">
        <f t="shared" si="4"/>
        <v>2019</v>
      </c>
      <c r="H125" s="8">
        <v>4</v>
      </c>
      <c r="I125" s="8">
        <v>0</v>
      </c>
      <c r="J125" s="8">
        <v>4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4</v>
      </c>
      <c r="Q125" s="8">
        <v>0</v>
      </c>
      <c r="R125" s="8">
        <v>0</v>
      </c>
      <c r="S125" s="8">
        <v>100</v>
      </c>
      <c r="T125" t="s">
        <v>254</v>
      </c>
      <c r="U125" s="9">
        <v>1.83</v>
      </c>
      <c r="V125" s="10">
        <v>117.9340162</v>
      </c>
      <c r="W125" s="6" t="s">
        <v>416</v>
      </c>
      <c r="X125">
        <f t="shared" si="9"/>
        <v>1</v>
      </c>
      <c r="Y125" s="14">
        <v>72</v>
      </c>
      <c r="Z125" s="1" t="s">
        <v>513</v>
      </c>
      <c r="AA125" s="1">
        <v>75</v>
      </c>
      <c r="AE125" s="1">
        <v>67</v>
      </c>
      <c r="AF125" s="1">
        <v>70</v>
      </c>
      <c r="AQ125" s="7">
        <v>2</v>
      </c>
      <c r="AR125" s="1">
        <v>8</v>
      </c>
      <c r="AS125" s="1">
        <f t="shared" si="8"/>
        <v>0.25</v>
      </c>
      <c r="AT125">
        <v>93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1</v>
      </c>
      <c r="BB125">
        <v>0</v>
      </c>
      <c r="BC125">
        <v>2</v>
      </c>
      <c r="BD125">
        <v>0</v>
      </c>
      <c r="BE125">
        <v>1</v>
      </c>
      <c r="BF125">
        <v>0</v>
      </c>
      <c r="BG125">
        <v>18</v>
      </c>
      <c r="BH125">
        <v>3</v>
      </c>
      <c r="BI125">
        <v>1</v>
      </c>
      <c r="BJ125">
        <v>0</v>
      </c>
      <c r="BK125">
        <v>0</v>
      </c>
      <c r="BL125">
        <v>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 s="16"/>
    </row>
    <row r="126" spans="1:71" hidden="1" x14ac:dyDescent="0.2">
      <c r="A126" s="1" t="s">
        <v>6</v>
      </c>
      <c r="B126" s="7" t="s">
        <v>221</v>
      </c>
      <c r="C126" s="1" t="s">
        <v>114</v>
      </c>
      <c r="D126" s="8" t="s">
        <v>335</v>
      </c>
      <c r="E126" s="1">
        <f>G126-F126+1</f>
        <v>6</v>
      </c>
      <c r="F126" s="1" t="str">
        <f>LEFT(D126, SEARCH("-",D126,1)-1)</f>
        <v>2014</v>
      </c>
      <c r="G126" s="1" t="str">
        <f t="shared" si="4"/>
        <v>2019</v>
      </c>
      <c r="H126" s="8">
        <v>18</v>
      </c>
      <c r="I126" s="8">
        <v>10</v>
      </c>
      <c r="J126" s="8">
        <v>8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12</v>
      </c>
      <c r="Q126" s="8">
        <v>6</v>
      </c>
      <c r="R126" s="8">
        <v>0</v>
      </c>
      <c r="S126" s="8">
        <v>66.66</v>
      </c>
      <c r="T126" t="s">
        <v>279</v>
      </c>
      <c r="U126" s="9">
        <v>2.0099999999999998</v>
      </c>
      <c r="V126" s="10">
        <v>120.65557042</v>
      </c>
      <c r="W126" s="6" t="s">
        <v>417</v>
      </c>
      <c r="X126">
        <f t="shared" si="9"/>
        <v>1</v>
      </c>
      <c r="Y126" s="14">
        <v>74</v>
      </c>
      <c r="Z126" s="1" t="s">
        <v>514</v>
      </c>
      <c r="AA126" s="1">
        <v>47</v>
      </c>
      <c r="AF126" s="1">
        <v>86</v>
      </c>
      <c r="AH126" s="1">
        <v>80</v>
      </c>
      <c r="AI126" s="1">
        <v>89</v>
      </c>
      <c r="AQ126" s="7">
        <v>18</v>
      </c>
      <c r="AR126" s="1">
        <v>12</v>
      </c>
      <c r="AS126" s="1">
        <f t="shared" si="8"/>
        <v>1.5</v>
      </c>
      <c r="AT126">
        <v>89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8</v>
      </c>
      <c r="BD126">
        <v>0</v>
      </c>
      <c r="BE126">
        <v>0</v>
      </c>
      <c r="BF126">
        <v>0</v>
      </c>
      <c r="BG126">
        <v>19</v>
      </c>
      <c r="BH126">
        <v>1</v>
      </c>
      <c r="BI126">
        <v>0</v>
      </c>
      <c r="BJ126">
        <v>2</v>
      </c>
      <c r="BK126">
        <v>2</v>
      </c>
      <c r="BL126">
        <v>0</v>
      </c>
      <c r="BM126">
        <v>0</v>
      </c>
      <c r="BN126">
        <v>0</v>
      </c>
      <c r="BO126">
        <v>2</v>
      </c>
      <c r="BP126">
        <v>0</v>
      </c>
      <c r="BQ126">
        <v>0</v>
      </c>
      <c r="BR126">
        <v>0</v>
      </c>
      <c r="BS126" s="16"/>
    </row>
    <row r="127" spans="1:71" hidden="1" x14ac:dyDescent="0.2">
      <c r="A127" s="1" t="s">
        <v>6</v>
      </c>
      <c r="B127" s="7" t="s">
        <v>222</v>
      </c>
      <c r="C127" s="1" t="s">
        <v>114</v>
      </c>
      <c r="D127" s="8" t="s">
        <v>256</v>
      </c>
      <c r="E127" s="1">
        <f>G127-F127+1</f>
        <v>1</v>
      </c>
      <c r="F127" s="1" t="str">
        <f>LEFT(D127, SEARCH("-",D127,1)-1)</f>
        <v>2019</v>
      </c>
      <c r="G127" s="1" t="str">
        <f t="shared" si="4"/>
        <v>2019</v>
      </c>
      <c r="H127" s="8">
        <v>5</v>
      </c>
      <c r="I127" s="8">
        <v>4</v>
      </c>
      <c r="J127" s="8">
        <v>1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5</v>
      </c>
      <c r="Q127" s="8">
        <v>0</v>
      </c>
      <c r="R127" s="8">
        <v>0</v>
      </c>
      <c r="S127" s="8">
        <v>100</v>
      </c>
      <c r="T127" t="s">
        <v>279</v>
      </c>
      <c r="U127" s="9">
        <v>2.0299999999999998</v>
      </c>
      <c r="V127" s="10">
        <v>116.57323909</v>
      </c>
      <c r="W127" s="6" t="s">
        <v>418</v>
      </c>
      <c r="X127">
        <f t="shared" si="9"/>
        <v>1</v>
      </c>
      <c r="Y127" s="14">
        <v>71</v>
      </c>
      <c r="Z127" s="1" t="s">
        <v>517</v>
      </c>
      <c r="AA127" s="1">
        <v>66</v>
      </c>
      <c r="AF127" s="1">
        <v>85</v>
      </c>
      <c r="AH127" s="1">
        <v>88</v>
      </c>
      <c r="AI127" s="1">
        <v>90</v>
      </c>
      <c r="AQ127" s="7">
        <v>22</v>
      </c>
      <c r="AR127" s="1">
        <v>12</v>
      </c>
      <c r="AS127" s="1">
        <f t="shared" si="8"/>
        <v>1.8333333333333333</v>
      </c>
      <c r="AT127">
        <v>258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6</v>
      </c>
      <c r="BD127">
        <v>0</v>
      </c>
      <c r="BE127">
        <v>4</v>
      </c>
      <c r="BF127">
        <v>0</v>
      </c>
      <c r="BG127">
        <v>18</v>
      </c>
      <c r="BH127">
        <v>3</v>
      </c>
      <c r="BI127">
        <v>4</v>
      </c>
      <c r="BJ127">
        <v>2</v>
      </c>
      <c r="BK127">
        <v>2</v>
      </c>
      <c r="BL127">
        <v>3</v>
      </c>
      <c r="BM127">
        <v>0</v>
      </c>
      <c r="BN127">
        <v>0</v>
      </c>
      <c r="BO127">
        <v>10</v>
      </c>
      <c r="BP127">
        <v>1</v>
      </c>
      <c r="BQ127">
        <v>0</v>
      </c>
      <c r="BR127">
        <v>0</v>
      </c>
      <c r="BS127" s="16"/>
    </row>
    <row r="128" spans="1:71" hidden="1" x14ac:dyDescent="0.2">
      <c r="A128" s="1" t="s">
        <v>6</v>
      </c>
      <c r="B128" s="7" t="s">
        <v>223</v>
      </c>
      <c r="C128" s="1" t="s">
        <v>114</v>
      </c>
      <c r="D128" s="8" t="s">
        <v>298</v>
      </c>
      <c r="E128" s="1">
        <f>G128-F128+1</f>
        <v>1</v>
      </c>
      <c r="F128" s="1" t="str">
        <f>LEFT(D128, SEARCH("-",D128,1)-1)</f>
        <v>2018</v>
      </c>
      <c r="G128" s="1" t="str">
        <f t="shared" si="4"/>
        <v>2018</v>
      </c>
      <c r="H128" s="8">
        <v>1</v>
      </c>
      <c r="I128" s="8">
        <v>0</v>
      </c>
      <c r="J128" s="8">
        <v>1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1</v>
      </c>
      <c r="Q128" s="8">
        <v>0</v>
      </c>
      <c r="R128" s="8">
        <v>0</v>
      </c>
      <c r="S128" s="8">
        <v>100</v>
      </c>
      <c r="T128" t="s">
        <v>279</v>
      </c>
      <c r="U128" s="9">
        <v>1.98</v>
      </c>
      <c r="V128" s="10">
        <v>115.66605435000001</v>
      </c>
      <c r="W128" s="6" t="s">
        <v>419</v>
      </c>
      <c r="X128">
        <f t="shared" si="9"/>
        <v>1</v>
      </c>
      <c r="Y128" s="14">
        <v>68</v>
      </c>
      <c r="Z128" s="1" t="s">
        <v>513</v>
      </c>
      <c r="AA128" s="1">
        <v>66</v>
      </c>
      <c r="AF128" s="1">
        <v>86</v>
      </c>
      <c r="AH128" s="1">
        <v>80</v>
      </c>
      <c r="AI128" s="1">
        <v>86</v>
      </c>
      <c r="AQ128" s="7"/>
      <c r="BS128" s="16"/>
    </row>
    <row r="129" spans="1:71" hidden="1" x14ac:dyDescent="0.2">
      <c r="A129" s="1" t="s">
        <v>6</v>
      </c>
      <c r="B129" s="7" t="s">
        <v>224</v>
      </c>
      <c r="C129" s="1" t="s">
        <v>114</v>
      </c>
      <c r="D129" s="8" t="s">
        <v>421</v>
      </c>
      <c r="E129" s="1">
        <f>G129-F129+1</f>
        <v>13</v>
      </c>
      <c r="F129" s="1" t="str">
        <f>LEFT(D129, SEARCH("-",D129,1)-1)</f>
        <v>2007</v>
      </c>
      <c r="G129" s="1" t="str">
        <f t="shared" si="4"/>
        <v>2019</v>
      </c>
      <c r="H129" s="8">
        <v>53</v>
      </c>
      <c r="I129" s="8">
        <v>51</v>
      </c>
      <c r="J129" s="8">
        <v>2</v>
      </c>
      <c r="K129" s="8">
        <v>5</v>
      </c>
      <c r="L129" s="8">
        <v>1</v>
      </c>
      <c r="M129" s="8">
        <v>0</v>
      </c>
      <c r="N129" s="8">
        <v>0</v>
      </c>
      <c r="O129" s="8">
        <v>0</v>
      </c>
      <c r="P129" s="8">
        <v>34</v>
      </c>
      <c r="Q129" s="8">
        <v>18</v>
      </c>
      <c r="R129" s="8">
        <v>1</v>
      </c>
      <c r="S129" s="8">
        <v>65.09</v>
      </c>
      <c r="T129" t="s">
        <v>279</v>
      </c>
      <c r="U129" s="9">
        <v>1.98</v>
      </c>
      <c r="V129" s="10">
        <v>121.56275516000001</v>
      </c>
      <c r="W129" s="6" t="s">
        <v>420</v>
      </c>
      <c r="X129">
        <f t="shared" si="9"/>
        <v>1</v>
      </c>
      <c r="Y129" s="14">
        <v>77</v>
      </c>
      <c r="Z129" s="1" t="s">
        <v>517</v>
      </c>
      <c r="AA129" s="1">
        <v>85</v>
      </c>
      <c r="AF129" s="1">
        <v>71</v>
      </c>
      <c r="AH129" s="1">
        <v>81</v>
      </c>
      <c r="AI129" s="1">
        <v>83</v>
      </c>
      <c r="AQ129" s="7">
        <v>28</v>
      </c>
      <c r="AR129" s="1">
        <v>33</v>
      </c>
      <c r="AS129" s="1">
        <f t="shared" si="8"/>
        <v>0.84848484848484851</v>
      </c>
      <c r="AT129">
        <v>350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0</v>
      </c>
      <c r="BC129">
        <v>6</v>
      </c>
      <c r="BD129">
        <v>0</v>
      </c>
      <c r="BE129">
        <v>14</v>
      </c>
      <c r="BF129">
        <v>3</v>
      </c>
      <c r="BG129">
        <v>71</v>
      </c>
      <c r="BH129">
        <v>4</v>
      </c>
      <c r="BI129">
        <v>0</v>
      </c>
      <c r="BJ129">
        <v>1</v>
      </c>
      <c r="BK129">
        <v>1</v>
      </c>
      <c r="BL129">
        <v>3</v>
      </c>
      <c r="BM129">
        <v>0</v>
      </c>
      <c r="BN129">
        <v>1</v>
      </c>
      <c r="BO129">
        <v>7</v>
      </c>
      <c r="BP129">
        <v>0</v>
      </c>
      <c r="BQ129">
        <v>0</v>
      </c>
      <c r="BR129">
        <v>0</v>
      </c>
      <c r="BS129" s="16"/>
    </row>
    <row r="130" spans="1:71" hidden="1" x14ac:dyDescent="0.2">
      <c r="A130" s="1" t="s">
        <v>6</v>
      </c>
      <c r="B130" s="7" t="s">
        <v>225</v>
      </c>
      <c r="C130" s="1" t="s">
        <v>114</v>
      </c>
      <c r="D130" s="1"/>
      <c r="G130" s="1" t="str">
        <f t="shared" ref="G130:G193" si="12">RIGHT(D130,4)</f>
        <v/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T130" t="s">
        <v>279</v>
      </c>
      <c r="U130" s="9">
        <v>1.98</v>
      </c>
      <c r="V130" s="10">
        <v>116.57323909</v>
      </c>
      <c r="W130" s="6" t="s">
        <v>422</v>
      </c>
      <c r="X130">
        <f t="shared" ref="X130:X154" si="13">IF(ISBLANK(D130),0,1)</f>
        <v>0</v>
      </c>
      <c r="Z130" s="1" t="s">
        <v>518</v>
      </c>
      <c r="AQ130" s="7"/>
      <c r="BS130" s="16"/>
    </row>
    <row r="131" spans="1:71" hidden="1" x14ac:dyDescent="0.2">
      <c r="A131" s="1" t="s">
        <v>6</v>
      </c>
      <c r="B131" s="7" t="s">
        <v>226</v>
      </c>
      <c r="C131" s="1" t="s">
        <v>114</v>
      </c>
      <c r="D131" s="8" t="s">
        <v>293</v>
      </c>
      <c r="E131" s="1">
        <f t="shared" ref="E131:E141" si="14">G131-F131+1</f>
        <v>3</v>
      </c>
      <c r="F131" s="1" t="str">
        <f t="shared" ref="F131:F141" si="15">LEFT(D131, SEARCH("-",D131,1)-1)</f>
        <v>2017</v>
      </c>
      <c r="G131" s="1" t="str">
        <f t="shared" si="12"/>
        <v>2019</v>
      </c>
      <c r="H131" s="8">
        <v>9</v>
      </c>
      <c r="I131" s="8">
        <v>6</v>
      </c>
      <c r="J131" s="8">
        <v>3</v>
      </c>
      <c r="K131" s="8">
        <v>10</v>
      </c>
      <c r="L131" s="8">
        <v>2</v>
      </c>
      <c r="M131" s="8">
        <v>0</v>
      </c>
      <c r="N131" s="8">
        <v>0</v>
      </c>
      <c r="O131" s="8">
        <v>0</v>
      </c>
      <c r="P131" s="8">
        <v>6</v>
      </c>
      <c r="Q131" s="8">
        <v>3</v>
      </c>
      <c r="R131" s="8">
        <v>0</v>
      </c>
      <c r="S131" s="8">
        <v>66.66</v>
      </c>
      <c r="T131" t="s">
        <v>279</v>
      </c>
      <c r="U131" s="9">
        <v>1.96</v>
      </c>
      <c r="V131" s="10">
        <v>110.67653828</v>
      </c>
      <c r="W131" s="6" t="s">
        <v>423</v>
      </c>
      <c r="X131">
        <f t="shared" si="13"/>
        <v>1</v>
      </c>
      <c r="Y131" s="14">
        <v>65</v>
      </c>
      <c r="Z131" s="1" t="s">
        <v>515</v>
      </c>
      <c r="AA131" s="1">
        <v>73</v>
      </c>
      <c r="AF131" s="1">
        <v>70</v>
      </c>
      <c r="AH131" s="1">
        <v>87</v>
      </c>
      <c r="AI131" s="1">
        <v>88</v>
      </c>
      <c r="AQ131" s="7">
        <v>10</v>
      </c>
      <c r="AR131" s="1">
        <v>13</v>
      </c>
      <c r="AS131" s="1">
        <f t="shared" ref="AS131:AS193" si="16">AQ131/AR131</f>
        <v>0.76923076923076927</v>
      </c>
      <c r="AT131">
        <v>103</v>
      </c>
      <c r="AU131">
        <v>5</v>
      </c>
      <c r="AV131">
        <v>1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5</v>
      </c>
      <c r="BD131">
        <v>0</v>
      </c>
      <c r="BE131">
        <v>3</v>
      </c>
      <c r="BF131">
        <v>0</v>
      </c>
      <c r="BG131">
        <v>22</v>
      </c>
      <c r="BH131">
        <v>4</v>
      </c>
      <c r="BI131">
        <v>0</v>
      </c>
      <c r="BJ131">
        <v>1</v>
      </c>
      <c r="BK131">
        <v>1</v>
      </c>
      <c r="BL131">
        <v>0</v>
      </c>
      <c r="BM131">
        <v>0</v>
      </c>
      <c r="BN131">
        <v>1</v>
      </c>
      <c r="BO131">
        <v>3</v>
      </c>
      <c r="BP131">
        <v>0</v>
      </c>
      <c r="BQ131">
        <v>0</v>
      </c>
      <c r="BR131">
        <v>0</v>
      </c>
      <c r="BS131" s="16"/>
    </row>
    <row r="132" spans="1:71" x14ac:dyDescent="0.2">
      <c r="A132" s="1" t="s">
        <v>6</v>
      </c>
      <c r="B132" s="7" t="s">
        <v>227</v>
      </c>
      <c r="C132" s="1" t="s">
        <v>114</v>
      </c>
      <c r="D132" s="8" t="s">
        <v>425</v>
      </c>
      <c r="E132" s="1">
        <f t="shared" si="14"/>
        <v>7</v>
      </c>
      <c r="F132" s="1" t="str">
        <f t="shared" si="15"/>
        <v>2012</v>
      </c>
      <c r="G132" s="1" t="str">
        <f t="shared" si="12"/>
        <v>2018</v>
      </c>
      <c r="H132" s="8">
        <v>8</v>
      </c>
      <c r="I132" s="8">
        <v>5</v>
      </c>
      <c r="J132" s="8">
        <v>3</v>
      </c>
      <c r="K132" s="8">
        <v>5</v>
      </c>
      <c r="L132" s="8">
        <v>1</v>
      </c>
      <c r="M132" s="8">
        <v>0</v>
      </c>
      <c r="N132" s="8">
        <v>0</v>
      </c>
      <c r="O132" s="8">
        <v>0</v>
      </c>
      <c r="P132" s="8">
        <v>5</v>
      </c>
      <c r="Q132" s="8">
        <v>3</v>
      </c>
      <c r="R132" s="8">
        <v>0</v>
      </c>
      <c r="S132" s="8">
        <v>62.5</v>
      </c>
      <c r="T132" t="s">
        <v>274</v>
      </c>
      <c r="U132" s="9">
        <v>1.96</v>
      </c>
      <c r="V132" s="10">
        <v>105.68702221000001</v>
      </c>
      <c r="W132" s="6" t="s">
        <v>424</v>
      </c>
      <c r="X132">
        <f t="shared" si="13"/>
        <v>1</v>
      </c>
      <c r="Y132" s="14">
        <v>72</v>
      </c>
      <c r="Z132" s="1" t="s">
        <v>514</v>
      </c>
      <c r="AA132" s="1">
        <v>58</v>
      </c>
      <c r="AG132" s="1">
        <v>29</v>
      </c>
      <c r="AJ132" s="1">
        <v>29</v>
      </c>
      <c r="AK132" s="1">
        <v>29</v>
      </c>
      <c r="AQ132" s="7"/>
      <c r="BS132" s="16"/>
    </row>
    <row r="133" spans="1:71" x14ac:dyDescent="0.2">
      <c r="A133" s="1" t="s">
        <v>6</v>
      </c>
      <c r="B133" s="7" t="s">
        <v>228</v>
      </c>
      <c r="C133" s="1" t="s">
        <v>114</v>
      </c>
      <c r="D133" s="8" t="s">
        <v>256</v>
      </c>
      <c r="E133" s="1">
        <f t="shared" si="14"/>
        <v>1</v>
      </c>
      <c r="F133" s="1" t="str">
        <f t="shared" si="15"/>
        <v>2019</v>
      </c>
      <c r="G133" s="1" t="str">
        <f t="shared" si="12"/>
        <v>2019</v>
      </c>
      <c r="H133" s="8">
        <v>5</v>
      </c>
      <c r="I133" s="8">
        <v>1</v>
      </c>
      <c r="J133" s="8">
        <v>4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5</v>
      </c>
      <c r="Q133" s="8">
        <v>0</v>
      </c>
      <c r="R133" s="8">
        <v>0</v>
      </c>
      <c r="S133" s="8">
        <v>100</v>
      </c>
      <c r="T133" t="s">
        <v>274</v>
      </c>
      <c r="U133" s="9">
        <v>1.91</v>
      </c>
      <c r="V133" s="10">
        <v>101.60469088000001</v>
      </c>
      <c r="W133" s="6" t="s">
        <v>426</v>
      </c>
      <c r="X133">
        <f t="shared" si="13"/>
        <v>1</v>
      </c>
      <c r="Y133" s="14">
        <v>64</v>
      </c>
      <c r="Z133" s="1" t="s">
        <v>515</v>
      </c>
      <c r="AA133" s="1">
        <v>64</v>
      </c>
      <c r="AG133" s="1">
        <v>69</v>
      </c>
      <c r="AJ133" s="1">
        <v>72</v>
      </c>
      <c r="AK133" s="1">
        <v>64</v>
      </c>
      <c r="AQ133" s="7">
        <v>29</v>
      </c>
      <c r="AR133" s="1">
        <v>10</v>
      </c>
      <c r="AS133" s="1">
        <f t="shared" si="16"/>
        <v>2.9</v>
      </c>
      <c r="AT133">
        <v>108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7</v>
      </c>
      <c r="BD133">
        <v>1</v>
      </c>
      <c r="BE133">
        <v>2</v>
      </c>
      <c r="BF133">
        <v>0</v>
      </c>
      <c r="BG133">
        <v>30</v>
      </c>
      <c r="BH133">
        <v>3</v>
      </c>
      <c r="BI133">
        <v>1</v>
      </c>
      <c r="BJ133">
        <v>1</v>
      </c>
      <c r="BK133">
        <v>1</v>
      </c>
      <c r="BL133">
        <v>0</v>
      </c>
      <c r="BM133">
        <v>0</v>
      </c>
      <c r="BN133">
        <v>1</v>
      </c>
      <c r="BO133">
        <v>2</v>
      </c>
      <c r="BP133">
        <v>0</v>
      </c>
      <c r="BQ133">
        <v>0</v>
      </c>
      <c r="BR133">
        <v>0</v>
      </c>
      <c r="BS133" s="16"/>
    </row>
    <row r="134" spans="1:71" x14ac:dyDescent="0.2">
      <c r="A134" s="1" t="s">
        <v>6</v>
      </c>
      <c r="B134" s="7" t="s">
        <v>229</v>
      </c>
      <c r="C134" s="1" t="s">
        <v>114</v>
      </c>
      <c r="D134" s="8" t="s">
        <v>425</v>
      </c>
      <c r="E134" s="1">
        <f t="shared" si="14"/>
        <v>7</v>
      </c>
      <c r="F134" s="1" t="str">
        <f t="shared" si="15"/>
        <v>2012</v>
      </c>
      <c r="G134" s="1" t="str">
        <f t="shared" si="12"/>
        <v>2018</v>
      </c>
      <c r="H134" s="8">
        <v>31</v>
      </c>
      <c r="I134" s="8">
        <v>27</v>
      </c>
      <c r="J134" s="8">
        <v>4</v>
      </c>
      <c r="K134" s="8">
        <v>15</v>
      </c>
      <c r="L134" s="8">
        <v>3</v>
      </c>
      <c r="M134" s="8">
        <v>0</v>
      </c>
      <c r="N134" s="8">
        <v>0</v>
      </c>
      <c r="O134" s="8">
        <v>0</v>
      </c>
      <c r="P134" s="8">
        <v>22</v>
      </c>
      <c r="Q134" s="8">
        <v>8</v>
      </c>
      <c r="R134" s="8">
        <v>1</v>
      </c>
      <c r="S134" s="8">
        <v>72.58</v>
      </c>
      <c r="T134" t="s">
        <v>274</v>
      </c>
      <c r="U134" s="9">
        <v>1.88</v>
      </c>
      <c r="V134" s="10">
        <v>109.76935354000001</v>
      </c>
      <c r="W134" s="6" t="s">
        <v>427</v>
      </c>
      <c r="X134">
        <f t="shared" si="13"/>
        <v>1</v>
      </c>
      <c r="Z134" s="1" t="s">
        <v>519</v>
      </c>
      <c r="AQ134" s="7"/>
      <c r="BS134" s="16"/>
    </row>
    <row r="135" spans="1:71" x14ac:dyDescent="0.2">
      <c r="A135" s="1" t="s">
        <v>6</v>
      </c>
      <c r="B135" s="7" t="s">
        <v>230</v>
      </c>
      <c r="C135" s="1" t="s">
        <v>114</v>
      </c>
      <c r="D135" s="8" t="s">
        <v>258</v>
      </c>
      <c r="E135" s="1">
        <f t="shared" si="14"/>
        <v>4</v>
      </c>
      <c r="F135" s="1" t="str">
        <f t="shared" si="15"/>
        <v>2016</v>
      </c>
      <c r="G135" s="1" t="str">
        <f t="shared" si="12"/>
        <v>2019</v>
      </c>
      <c r="H135" s="8">
        <v>14</v>
      </c>
      <c r="I135" s="8">
        <v>12</v>
      </c>
      <c r="J135" s="8">
        <v>2</v>
      </c>
      <c r="K135" s="8">
        <v>10</v>
      </c>
      <c r="L135" s="8">
        <v>2</v>
      </c>
      <c r="M135" s="8">
        <v>0</v>
      </c>
      <c r="N135" s="8">
        <v>0</v>
      </c>
      <c r="O135" s="8">
        <v>0</v>
      </c>
      <c r="P135" s="8">
        <v>9</v>
      </c>
      <c r="Q135" s="8">
        <v>5</v>
      </c>
      <c r="R135" s="8">
        <v>0</v>
      </c>
      <c r="S135" s="8">
        <v>64.28</v>
      </c>
      <c r="T135" t="s">
        <v>274</v>
      </c>
      <c r="U135" s="9">
        <v>1.88</v>
      </c>
      <c r="V135" s="10">
        <v>102.96546799000001</v>
      </c>
      <c r="W135" s="6" t="s">
        <v>428</v>
      </c>
      <c r="X135">
        <f t="shared" si="13"/>
        <v>1</v>
      </c>
      <c r="Y135" s="14">
        <v>62</v>
      </c>
      <c r="Z135" s="1" t="s">
        <v>515</v>
      </c>
      <c r="AA135" s="1">
        <v>64</v>
      </c>
      <c r="AB135" s="1">
        <v>63</v>
      </c>
      <c r="AE135" s="1">
        <v>65</v>
      </c>
      <c r="AL135" s="1">
        <v>74</v>
      </c>
      <c r="AQ135" s="7">
        <v>81</v>
      </c>
      <c r="AR135" s="1">
        <v>51</v>
      </c>
      <c r="AS135" s="1">
        <f t="shared" si="16"/>
        <v>1.588235294117647</v>
      </c>
      <c r="AT135">
        <v>309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2</v>
      </c>
      <c r="BB135">
        <v>1</v>
      </c>
      <c r="BC135">
        <v>15</v>
      </c>
      <c r="BD135">
        <v>0</v>
      </c>
      <c r="BE135">
        <v>10</v>
      </c>
      <c r="BF135">
        <v>0</v>
      </c>
      <c r="BG135">
        <v>62</v>
      </c>
      <c r="BH135">
        <v>13</v>
      </c>
      <c r="BI135">
        <v>0</v>
      </c>
      <c r="BJ135">
        <v>5</v>
      </c>
      <c r="BK135">
        <v>2</v>
      </c>
      <c r="BL135">
        <v>3</v>
      </c>
      <c r="BM135">
        <v>0</v>
      </c>
      <c r="BN135">
        <v>8</v>
      </c>
      <c r="BO135">
        <v>1</v>
      </c>
      <c r="BP135">
        <v>0</v>
      </c>
      <c r="BQ135">
        <v>0</v>
      </c>
      <c r="BR135">
        <v>0</v>
      </c>
      <c r="BS135" s="16"/>
    </row>
    <row r="136" spans="1:71" hidden="1" x14ac:dyDescent="0.2">
      <c r="A136" s="1" t="s">
        <v>6</v>
      </c>
      <c r="B136" s="7" t="s">
        <v>231</v>
      </c>
      <c r="C136" s="1" t="s">
        <v>114</v>
      </c>
      <c r="D136" s="8" t="s">
        <v>340</v>
      </c>
      <c r="E136" s="1">
        <f t="shared" si="14"/>
        <v>2</v>
      </c>
      <c r="F136" s="1" t="str">
        <f t="shared" si="15"/>
        <v>2018</v>
      </c>
      <c r="G136" s="1" t="str">
        <f t="shared" si="12"/>
        <v>2019</v>
      </c>
      <c r="H136" s="8">
        <v>9</v>
      </c>
      <c r="I136" s="8">
        <v>9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7</v>
      </c>
      <c r="Q136" s="8">
        <v>2</v>
      </c>
      <c r="R136" s="8">
        <v>0</v>
      </c>
      <c r="S136" s="8">
        <v>77.77</v>
      </c>
      <c r="T136" t="s">
        <v>284</v>
      </c>
      <c r="U136" s="9">
        <v>1.85</v>
      </c>
      <c r="V136" s="10">
        <v>94.800805330000003</v>
      </c>
      <c r="W136" s="6" t="s">
        <v>429</v>
      </c>
      <c r="X136">
        <f t="shared" si="13"/>
        <v>1</v>
      </c>
      <c r="Y136" s="14">
        <v>76</v>
      </c>
      <c r="Z136" s="1" t="s">
        <v>513</v>
      </c>
      <c r="AA136" s="1">
        <v>79</v>
      </c>
      <c r="AG136" s="1">
        <v>80</v>
      </c>
      <c r="AJ136" s="1">
        <v>76</v>
      </c>
      <c r="AK136" s="1">
        <v>65</v>
      </c>
      <c r="AQ136" s="7">
        <v>45</v>
      </c>
      <c r="AR136" s="1">
        <v>30</v>
      </c>
      <c r="AS136" s="1">
        <f t="shared" si="16"/>
        <v>1.5</v>
      </c>
      <c r="AT136">
        <v>383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2</v>
      </c>
      <c r="BB136">
        <v>0</v>
      </c>
      <c r="BC136">
        <v>12</v>
      </c>
      <c r="BD136">
        <v>1</v>
      </c>
      <c r="BE136">
        <v>12</v>
      </c>
      <c r="BF136">
        <v>1</v>
      </c>
      <c r="BG136">
        <v>83</v>
      </c>
      <c r="BH136">
        <v>4</v>
      </c>
      <c r="BI136">
        <v>4</v>
      </c>
      <c r="BJ136">
        <v>3</v>
      </c>
      <c r="BK136">
        <v>3</v>
      </c>
      <c r="BL136">
        <v>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 s="16"/>
    </row>
    <row r="137" spans="1:71" x14ac:dyDescent="0.2">
      <c r="A137" s="1" t="s">
        <v>6</v>
      </c>
      <c r="B137" s="7" t="s">
        <v>232</v>
      </c>
      <c r="C137" s="1" t="s">
        <v>114</v>
      </c>
      <c r="D137" s="8" t="s">
        <v>338</v>
      </c>
      <c r="E137" s="1">
        <f t="shared" si="14"/>
        <v>8</v>
      </c>
      <c r="F137" s="1" t="str">
        <f t="shared" si="15"/>
        <v>2012</v>
      </c>
      <c r="G137" s="1" t="str">
        <f t="shared" si="12"/>
        <v>2019</v>
      </c>
      <c r="H137" s="8">
        <v>35</v>
      </c>
      <c r="I137" s="8">
        <v>19</v>
      </c>
      <c r="J137" s="8">
        <v>16</v>
      </c>
      <c r="K137" s="8">
        <v>5</v>
      </c>
      <c r="L137" s="8">
        <v>1</v>
      </c>
      <c r="M137" s="8">
        <v>0</v>
      </c>
      <c r="N137" s="8">
        <v>0</v>
      </c>
      <c r="O137" s="8">
        <v>0</v>
      </c>
      <c r="P137" s="8">
        <v>25</v>
      </c>
      <c r="Q137" s="8">
        <v>9</v>
      </c>
      <c r="R137" s="8">
        <v>1</v>
      </c>
      <c r="S137" s="8">
        <v>72.849999999999994</v>
      </c>
      <c r="T137" t="s">
        <v>274</v>
      </c>
      <c r="U137" s="9">
        <v>1.88</v>
      </c>
      <c r="V137" s="10">
        <v>99.79032140000001</v>
      </c>
      <c r="W137" s="6" t="s">
        <v>430</v>
      </c>
      <c r="X137">
        <f t="shared" si="13"/>
        <v>1</v>
      </c>
      <c r="Y137" s="14">
        <v>72</v>
      </c>
      <c r="Z137" s="1" t="s">
        <v>517</v>
      </c>
      <c r="AA137" s="1">
        <v>69</v>
      </c>
      <c r="AG137" s="1">
        <v>81</v>
      </c>
      <c r="AJ137" s="1">
        <v>66</v>
      </c>
      <c r="AK137" s="1">
        <v>55</v>
      </c>
      <c r="AQ137" s="7">
        <v>12</v>
      </c>
      <c r="AR137" s="1">
        <v>14</v>
      </c>
      <c r="AS137" s="1">
        <f t="shared" si="16"/>
        <v>0.8571428571428571</v>
      </c>
      <c r="AT137">
        <v>320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</v>
      </c>
      <c r="BB137">
        <v>0</v>
      </c>
      <c r="BC137">
        <v>3</v>
      </c>
      <c r="BD137">
        <v>0</v>
      </c>
      <c r="BE137">
        <v>17</v>
      </c>
      <c r="BF137">
        <v>0</v>
      </c>
      <c r="BG137">
        <v>67</v>
      </c>
      <c r="BH137">
        <v>2</v>
      </c>
      <c r="BI137">
        <v>2</v>
      </c>
      <c r="BJ137">
        <v>2</v>
      </c>
      <c r="BK137">
        <v>2</v>
      </c>
      <c r="BL137">
        <v>5</v>
      </c>
      <c r="BM137">
        <v>0</v>
      </c>
      <c r="BN137">
        <v>0</v>
      </c>
      <c r="BO137">
        <v>12</v>
      </c>
      <c r="BP137">
        <v>0</v>
      </c>
      <c r="BQ137">
        <v>0</v>
      </c>
      <c r="BR137">
        <v>0</v>
      </c>
      <c r="BS137" s="16"/>
    </row>
    <row r="138" spans="1:71" hidden="1" x14ac:dyDescent="0.2">
      <c r="A138" s="1" t="s">
        <v>6</v>
      </c>
      <c r="B138" s="7" t="s">
        <v>233</v>
      </c>
      <c r="C138" s="1" t="s">
        <v>115</v>
      </c>
      <c r="D138" s="8" t="s">
        <v>357</v>
      </c>
      <c r="E138" s="1">
        <f t="shared" si="14"/>
        <v>5</v>
      </c>
      <c r="F138" s="1" t="str">
        <f t="shared" si="15"/>
        <v>2015</v>
      </c>
      <c r="G138" s="1" t="str">
        <f t="shared" si="12"/>
        <v>2019</v>
      </c>
      <c r="H138" s="8">
        <v>19</v>
      </c>
      <c r="I138" s="8">
        <v>12</v>
      </c>
      <c r="J138" s="8">
        <v>7</v>
      </c>
      <c r="K138" s="8">
        <v>20</v>
      </c>
      <c r="L138" s="8">
        <v>4</v>
      </c>
      <c r="M138" s="8">
        <v>0</v>
      </c>
      <c r="N138" s="8">
        <v>0</v>
      </c>
      <c r="O138" s="8">
        <v>0</v>
      </c>
      <c r="P138" s="8">
        <v>14</v>
      </c>
      <c r="Q138" s="8">
        <v>4</v>
      </c>
      <c r="R138" s="8">
        <v>1</v>
      </c>
      <c r="S138" s="8">
        <v>76.31</v>
      </c>
      <c r="T138" t="s">
        <v>292</v>
      </c>
      <c r="U138" s="9">
        <v>1.78</v>
      </c>
      <c r="V138" s="10">
        <v>84.821773190000002</v>
      </c>
      <c r="W138" s="6" t="s">
        <v>431</v>
      </c>
      <c r="X138">
        <f t="shared" si="13"/>
        <v>1</v>
      </c>
      <c r="Y138" s="14">
        <v>84</v>
      </c>
      <c r="Z138" s="1" t="s">
        <v>514</v>
      </c>
      <c r="AA138" s="1">
        <v>55</v>
      </c>
      <c r="AC138" s="1">
        <v>91</v>
      </c>
      <c r="AL138" s="1">
        <v>75</v>
      </c>
      <c r="AQ138" s="7">
        <v>47</v>
      </c>
      <c r="AR138" s="1">
        <v>17</v>
      </c>
      <c r="AS138" s="1">
        <f t="shared" si="16"/>
        <v>2.7647058823529411</v>
      </c>
      <c r="AT138">
        <v>247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3</v>
      </c>
      <c r="BB138">
        <v>2</v>
      </c>
      <c r="BC138">
        <v>5</v>
      </c>
      <c r="BD138">
        <v>0</v>
      </c>
      <c r="BE138">
        <v>222</v>
      </c>
      <c r="BF138">
        <v>4</v>
      </c>
      <c r="BG138">
        <v>27</v>
      </c>
      <c r="BH138">
        <v>9</v>
      </c>
      <c r="BI138">
        <v>1</v>
      </c>
      <c r="BJ138">
        <v>9</v>
      </c>
      <c r="BK138">
        <v>7</v>
      </c>
      <c r="BL138">
        <v>3</v>
      </c>
      <c r="BM138">
        <v>31</v>
      </c>
      <c r="BN138">
        <v>1</v>
      </c>
      <c r="BO138">
        <v>0</v>
      </c>
      <c r="BP138">
        <v>0</v>
      </c>
      <c r="BQ138">
        <v>0</v>
      </c>
      <c r="BR138">
        <v>0</v>
      </c>
      <c r="BS138" s="16"/>
    </row>
    <row r="139" spans="1:71" hidden="1" x14ac:dyDescent="0.2">
      <c r="A139" s="1" t="s">
        <v>6</v>
      </c>
      <c r="B139" s="7" t="s">
        <v>234</v>
      </c>
      <c r="C139" s="1" t="s">
        <v>115</v>
      </c>
      <c r="D139" s="8" t="s">
        <v>404</v>
      </c>
      <c r="E139" s="1">
        <f t="shared" si="14"/>
        <v>6</v>
      </c>
      <c r="F139" s="1" t="str">
        <f t="shared" si="15"/>
        <v>2012</v>
      </c>
      <c r="G139" s="1" t="str">
        <f t="shared" si="12"/>
        <v>2017</v>
      </c>
      <c r="H139" s="8">
        <v>16</v>
      </c>
      <c r="I139" s="8">
        <v>13</v>
      </c>
      <c r="J139" s="8">
        <v>3</v>
      </c>
      <c r="K139" s="8">
        <v>20</v>
      </c>
      <c r="L139" s="8">
        <v>4</v>
      </c>
      <c r="M139" s="8">
        <v>0</v>
      </c>
      <c r="N139" s="8">
        <v>0</v>
      </c>
      <c r="O139" s="8">
        <v>0</v>
      </c>
      <c r="P139" s="8">
        <v>10</v>
      </c>
      <c r="Q139" s="8">
        <v>6</v>
      </c>
      <c r="R139" s="8">
        <v>0</v>
      </c>
      <c r="S139" s="8">
        <v>62.5</v>
      </c>
      <c r="T139" t="s">
        <v>292</v>
      </c>
      <c r="U139" s="9">
        <v>1.83</v>
      </c>
      <c r="V139" s="10">
        <v>87.996919779999999</v>
      </c>
      <c r="W139" s="6" t="s">
        <v>432</v>
      </c>
      <c r="X139">
        <f t="shared" si="13"/>
        <v>1</v>
      </c>
      <c r="Y139" s="14">
        <v>77</v>
      </c>
      <c r="Z139" s="1" t="s">
        <v>492</v>
      </c>
      <c r="AA139" s="1">
        <v>75</v>
      </c>
      <c r="AC139" s="1">
        <v>82</v>
      </c>
      <c r="AL139" s="1">
        <v>85</v>
      </c>
      <c r="AQ139" s="7"/>
      <c r="BS139" s="16"/>
    </row>
    <row r="140" spans="1:71" hidden="1" x14ac:dyDescent="0.2">
      <c r="A140" s="1" t="s">
        <v>6</v>
      </c>
      <c r="B140" s="7" t="s">
        <v>235</v>
      </c>
      <c r="C140" s="1" t="s">
        <v>115</v>
      </c>
      <c r="D140" s="8" t="s">
        <v>256</v>
      </c>
      <c r="E140" s="1">
        <f t="shared" si="14"/>
        <v>1</v>
      </c>
      <c r="F140" s="1" t="str">
        <f t="shared" si="15"/>
        <v>2019</v>
      </c>
      <c r="G140" s="1" t="str">
        <f t="shared" si="12"/>
        <v>2019</v>
      </c>
      <c r="H140" s="8">
        <v>1</v>
      </c>
      <c r="I140" s="8">
        <v>1</v>
      </c>
      <c r="J140" s="8">
        <v>0</v>
      </c>
      <c r="K140" s="8">
        <v>5</v>
      </c>
      <c r="L140" s="8">
        <v>1</v>
      </c>
      <c r="M140" s="8">
        <v>0</v>
      </c>
      <c r="N140" s="8">
        <v>0</v>
      </c>
      <c r="O140" s="8">
        <v>0</v>
      </c>
      <c r="P140" s="8">
        <v>1</v>
      </c>
      <c r="Q140" s="8">
        <v>0</v>
      </c>
      <c r="R140" s="8">
        <v>0</v>
      </c>
      <c r="S140" s="8">
        <v>100</v>
      </c>
      <c r="T140" t="s">
        <v>292</v>
      </c>
      <c r="U140" s="9">
        <v>1.78</v>
      </c>
      <c r="V140" s="10">
        <v>76.657110529999997</v>
      </c>
      <c r="W140" s="6" t="s">
        <v>433</v>
      </c>
      <c r="X140">
        <f t="shared" si="13"/>
        <v>1</v>
      </c>
      <c r="Y140" s="14">
        <v>80</v>
      </c>
      <c r="Z140" s="1" t="s">
        <v>513</v>
      </c>
      <c r="AA140" s="1">
        <v>64</v>
      </c>
      <c r="AC140" s="1">
        <v>92</v>
      </c>
      <c r="AL140" s="1">
        <v>75</v>
      </c>
      <c r="AQ140" s="7">
        <v>24</v>
      </c>
      <c r="AR140" s="1">
        <v>7</v>
      </c>
      <c r="AS140" s="1">
        <f t="shared" si="16"/>
        <v>3.4285714285714284</v>
      </c>
      <c r="AT140">
        <v>52</v>
      </c>
      <c r="AU140">
        <v>5</v>
      </c>
      <c r="AV140">
        <v>1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1</v>
      </c>
      <c r="BD140">
        <v>0</v>
      </c>
      <c r="BE140">
        <v>33</v>
      </c>
      <c r="BF140">
        <v>0</v>
      </c>
      <c r="BG140">
        <v>5</v>
      </c>
      <c r="BH140">
        <v>2</v>
      </c>
      <c r="BI140">
        <v>1</v>
      </c>
      <c r="BJ140">
        <v>3</v>
      </c>
      <c r="BK140">
        <v>2</v>
      </c>
      <c r="BL140">
        <v>0</v>
      </c>
      <c r="BM140">
        <v>6</v>
      </c>
      <c r="BN140">
        <v>0</v>
      </c>
      <c r="BO140">
        <v>0</v>
      </c>
      <c r="BP140">
        <v>0</v>
      </c>
      <c r="BQ140">
        <v>0</v>
      </c>
      <c r="BR140">
        <v>0</v>
      </c>
      <c r="BS140" s="16"/>
    </row>
    <row r="141" spans="1:71" hidden="1" x14ac:dyDescent="0.2">
      <c r="A141" s="1" t="s">
        <v>6</v>
      </c>
      <c r="B141" s="7" t="s">
        <v>236</v>
      </c>
      <c r="C141" s="1" t="s">
        <v>115</v>
      </c>
      <c r="D141" s="8" t="s">
        <v>301</v>
      </c>
      <c r="E141" s="1">
        <f t="shared" si="14"/>
        <v>7</v>
      </c>
      <c r="F141" s="1" t="str">
        <f t="shared" si="15"/>
        <v>2013</v>
      </c>
      <c r="G141" s="1" t="str">
        <f t="shared" si="12"/>
        <v>2019</v>
      </c>
      <c r="H141" s="8">
        <v>30</v>
      </c>
      <c r="I141" s="8">
        <v>24</v>
      </c>
      <c r="J141" s="8">
        <v>6</v>
      </c>
      <c r="K141" s="8">
        <v>123</v>
      </c>
      <c r="L141" s="8">
        <v>3</v>
      </c>
      <c r="M141" s="8">
        <v>24</v>
      </c>
      <c r="N141" s="8">
        <v>17</v>
      </c>
      <c r="O141" s="8">
        <v>3</v>
      </c>
      <c r="P141" s="8">
        <v>21</v>
      </c>
      <c r="Q141" s="8">
        <v>8</v>
      </c>
      <c r="R141" s="8">
        <v>1</v>
      </c>
      <c r="S141" s="8">
        <v>71.66</v>
      </c>
      <c r="T141" t="s">
        <v>297</v>
      </c>
      <c r="U141" s="9">
        <v>1.88</v>
      </c>
      <c r="V141" s="10">
        <v>89.811289260000009</v>
      </c>
      <c r="W141" s="6" t="s">
        <v>434</v>
      </c>
      <c r="X141">
        <f t="shared" si="13"/>
        <v>1</v>
      </c>
      <c r="Y141" s="14">
        <v>82</v>
      </c>
      <c r="Z141" s="1" t="s">
        <v>510</v>
      </c>
      <c r="AA141" s="1">
        <v>70</v>
      </c>
      <c r="AB141" s="1">
        <v>79</v>
      </c>
      <c r="AC141" s="1">
        <v>53</v>
      </c>
      <c r="AO141" s="1">
        <v>90</v>
      </c>
      <c r="AQ141" s="7">
        <v>57</v>
      </c>
      <c r="AR141" s="1">
        <v>22</v>
      </c>
      <c r="AS141" s="1">
        <f t="shared" si="16"/>
        <v>2.5909090909090908</v>
      </c>
      <c r="AT141">
        <v>207</v>
      </c>
      <c r="AU141">
        <v>21</v>
      </c>
      <c r="AV141">
        <v>0</v>
      </c>
      <c r="AW141">
        <v>2</v>
      </c>
      <c r="AX141">
        <v>3</v>
      </c>
      <c r="AY141">
        <v>5</v>
      </c>
      <c r="AZ141">
        <v>0</v>
      </c>
      <c r="BA141">
        <v>2</v>
      </c>
      <c r="BB141">
        <v>2</v>
      </c>
      <c r="BC141">
        <v>9</v>
      </c>
      <c r="BD141">
        <v>0</v>
      </c>
      <c r="BE141">
        <v>37</v>
      </c>
      <c r="BF141">
        <v>1</v>
      </c>
      <c r="BG141">
        <v>32</v>
      </c>
      <c r="BH141">
        <v>4</v>
      </c>
      <c r="BI141">
        <v>0</v>
      </c>
      <c r="BJ141">
        <v>5</v>
      </c>
      <c r="BK141">
        <v>1</v>
      </c>
      <c r="BL141">
        <v>1</v>
      </c>
      <c r="BM141">
        <v>32</v>
      </c>
      <c r="BN141">
        <v>10</v>
      </c>
      <c r="BO141">
        <v>0</v>
      </c>
      <c r="BP141">
        <v>0</v>
      </c>
      <c r="BQ141">
        <v>0</v>
      </c>
      <c r="BR141">
        <v>0</v>
      </c>
      <c r="BS141" s="16"/>
    </row>
    <row r="142" spans="1:71" hidden="1" x14ac:dyDescent="0.2">
      <c r="A142" s="1" t="s">
        <v>6</v>
      </c>
      <c r="B142" s="7" t="s">
        <v>237</v>
      </c>
      <c r="C142" s="1" t="s">
        <v>115</v>
      </c>
      <c r="D142" s="1"/>
      <c r="G142" s="1" t="str">
        <f t="shared" si="12"/>
        <v/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T142" t="s">
        <v>297</v>
      </c>
      <c r="U142" s="9">
        <v>1.83</v>
      </c>
      <c r="V142" s="10">
        <v>91.625658740000006</v>
      </c>
      <c r="W142" s="6" t="s">
        <v>435</v>
      </c>
      <c r="X142">
        <f t="shared" si="13"/>
        <v>0</v>
      </c>
      <c r="Z142" s="1" t="s">
        <v>508</v>
      </c>
      <c r="AQ142" s="7"/>
      <c r="BS142" s="16"/>
    </row>
    <row r="143" spans="1:71" hidden="1" x14ac:dyDescent="0.2">
      <c r="A143" s="1" t="s">
        <v>6</v>
      </c>
      <c r="B143" s="7" t="s">
        <v>238</v>
      </c>
      <c r="C143" s="1" t="s">
        <v>115</v>
      </c>
      <c r="D143" s="1"/>
      <c r="G143" s="1" t="str">
        <f t="shared" si="12"/>
        <v/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T143" t="s">
        <v>297</v>
      </c>
      <c r="U143" s="9">
        <v>1.78</v>
      </c>
      <c r="V143" s="10">
        <v>85.728957930000007</v>
      </c>
      <c r="W143" s="6" t="s">
        <v>436</v>
      </c>
      <c r="X143">
        <f t="shared" si="13"/>
        <v>0</v>
      </c>
      <c r="Y143" s="14">
        <v>72</v>
      </c>
      <c r="Z143" s="1" t="s">
        <v>513</v>
      </c>
      <c r="AA143" s="1">
        <v>63</v>
      </c>
      <c r="AB143" s="1">
        <v>78</v>
      </c>
      <c r="AC143" s="1">
        <v>58</v>
      </c>
      <c r="AO143" s="1">
        <v>91</v>
      </c>
      <c r="AQ143" s="7"/>
      <c r="BS143" s="16"/>
    </row>
    <row r="144" spans="1:71" hidden="1" x14ac:dyDescent="0.2">
      <c r="A144" s="1" t="s">
        <v>6</v>
      </c>
      <c r="B144" s="7" t="s">
        <v>239</v>
      </c>
      <c r="C144" s="1" t="s">
        <v>115</v>
      </c>
      <c r="D144" s="12" t="s">
        <v>340</v>
      </c>
      <c r="E144" s="1">
        <f>G144-F144+1</f>
        <v>2</v>
      </c>
      <c r="F144" s="1" t="str">
        <f>LEFT(D144, SEARCH("-",D144,1)-1)</f>
        <v>2018</v>
      </c>
      <c r="G144" s="1" t="str">
        <f t="shared" si="12"/>
        <v>2019</v>
      </c>
      <c r="H144" s="12">
        <v>9</v>
      </c>
      <c r="I144" s="12">
        <v>9</v>
      </c>
      <c r="J144" s="12">
        <v>0</v>
      </c>
      <c r="K144" s="12">
        <v>10</v>
      </c>
      <c r="L144" s="12">
        <v>2</v>
      </c>
      <c r="M144" s="12">
        <v>0</v>
      </c>
      <c r="N144" s="12">
        <v>0</v>
      </c>
      <c r="O144" s="12">
        <v>0</v>
      </c>
      <c r="P144" s="12">
        <v>7</v>
      </c>
      <c r="Q144" s="12">
        <v>2</v>
      </c>
      <c r="R144" s="12">
        <v>0</v>
      </c>
      <c r="S144" s="12">
        <v>77.77</v>
      </c>
      <c r="T144" t="s">
        <v>302</v>
      </c>
      <c r="U144" s="9">
        <v>1.88</v>
      </c>
      <c r="V144" s="10">
        <v>100.69750614</v>
      </c>
      <c r="W144" s="6" t="s">
        <v>437</v>
      </c>
      <c r="X144">
        <f t="shared" si="13"/>
        <v>1</v>
      </c>
      <c r="Y144" s="14">
        <v>67</v>
      </c>
      <c r="Z144" s="1" t="s">
        <v>514</v>
      </c>
      <c r="AA144" s="1">
        <v>69</v>
      </c>
      <c r="AB144" s="1">
        <v>72</v>
      </c>
      <c r="AP144" s="1">
        <v>75</v>
      </c>
      <c r="AQ144" s="7">
        <v>116</v>
      </c>
      <c r="AR144" s="1">
        <v>33</v>
      </c>
      <c r="AS144" s="1">
        <f t="shared" si="16"/>
        <v>3.5151515151515151</v>
      </c>
      <c r="AT144">
        <v>298</v>
      </c>
      <c r="AU144">
        <v>5</v>
      </c>
      <c r="AV144">
        <v>1</v>
      </c>
      <c r="AW144">
        <v>0</v>
      </c>
      <c r="AX144">
        <v>0</v>
      </c>
      <c r="AY144">
        <v>0</v>
      </c>
      <c r="AZ144">
        <v>0</v>
      </c>
      <c r="BA144">
        <v>8</v>
      </c>
      <c r="BB144">
        <v>3</v>
      </c>
      <c r="BC144">
        <v>14</v>
      </c>
      <c r="BD144">
        <v>0</v>
      </c>
      <c r="BE144">
        <v>13</v>
      </c>
      <c r="BF144">
        <v>1</v>
      </c>
      <c r="BG144">
        <v>39</v>
      </c>
      <c r="BH144">
        <v>4</v>
      </c>
      <c r="BI144">
        <v>2</v>
      </c>
      <c r="BJ144">
        <v>4</v>
      </c>
      <c r="BK144">
        <v>2</v>
      </c>
      <c r="BL144">
        <v>2</v>
      </c>
      <c r="BM144">
        <v>4</v>
      </c>
      <c r="BN144">
        <v>2</v>
      </c>
      <c r="BO144">
        <v>0</v>
      </c>
      <c r="BP144">
        <v>0</v>
      </c>
      <c r="BQ144">
        <v>0</v>
      </c>
      <c r="BR144">
        <v>0</v>
      </c>
      <c r="BS144" s="16"/>
    </row>
    <row r="145" spans="1:71" hidden="1" x14ac:dyDescent="0.2">
      <c r="A145" s="1" t="s">
        <v>6</v>
      </c>
      <c r="B145" s="7" t="s">
        <v>240</v>
      </c>
      <c r="C145" s="1" t="s">
        <v>115</v>
      </c>
      <c r="D145" s="1"/>
      <c r="G145" s="1" t="str">
        <f t="shared" si="12"/>
        <v/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T145" t="s">
        <v>302</v>
      </c>
      <c r="U145" s="9">
        <v>1.83</v>
      </c>
      <c r="V145" s="10">
        <v>92.986435850000007</v>
      </c>
      <c r="W145" s="6" t="s">
        <v>438</v>
      </c>
      <c r="X145">
        <f t="shared" si="13"/>
        <v>0</v>
      </c>
      <c r="Y145" s="14">
        <v>88</v>
      </c>
      <c r="Z145" s="1" t="s">
        <v>511</v>
      </c>
      <c r="AA145" s="1">
        <v>92</v>
      </c>
      <c r="AB145" s="1">
        <v>78</v>
      </c>
      <c r="AP145" s="1">
        <v>76</v>
      </c>
      <c r="AQ145" s="7"/>
      <c r="BS145" s="16"/>
    </row>
    <row r="146" spans="1:71" hidden="1" x14ac:dyDescent="0.2">
      <c r="A146" s="1" t="s">
        <v>6</v>
      </c>
      <c r="B146" s="7" t="s">
        <v>241</v>
      </c>
      <c r="C146" s="1" t="s">
        <v>115</v>
      </c>
      <c r="D146" s="8" t="s">
        <v>340</v>
      </c>
      <c r="E146" s="1">
        <f>G146-F146+1</f>
        <v>2</v>
      </c>
      <c r="F146" s="1" t="str">
        <f>LEFT(D146, SEARCH("-",D146,1)-1)</f>
        <v>2018</v>
      </c>
      <c r="G146" s="1" t="str">
        <f t="shared" si="12"/>
        <v>2019</v>
      </c>
      <c r="H146" s="8">
        <v>7</v>
      </c>
      <c r="I146" s="8">
        <v>2</v>
      </c>
      <c r="J146" s="8">
        <v>5</v>
      </c>
      <c r="K146" s="8">
        <v>5</v>
      </c>
      <c r="L146" s="8">
        <v>1</v>
      </c>
      <c r="M146" s="8">
        <v>0</v>
      </c>
      <c r="N146" s="8">
        <v>0</v>
      </c>
      <c r="O146" s="8">
        <v>0</v>
      </c>
      <c r="P146" s="8">
        <v>7</v>
      </c>
      <c r="Q146" s="8">
        <v>0</v>
      </c>
      <c r="R146" s="8">
        <v>0</v>
      </c>
      <c r="S146" s="8">
        <v>100</v>
      </c>
      <c r="T146" t="s">
        <v>302</v>
      </c>
      <c r="U146" s="9">
        <v>1.88</v>
      </c>
      <c r="V146" s="10">
        <v>111.58372302000001</v>
      </c>
      <c r="W146" s="6" t="s">
        <v>439</v>
      </c>
      <c r="X146">
        <f t="shared" si="13"/>
        <v>1</v>
      </c>
      <c r="Y146" s="14">
        <v>65</v>
      </c>
      <c r="Z146" s="1" t="s">
        <v>517</v>
      </c>
      <c r="AA146" s="1">
        <v>48</v>
      </c>
      <c r="AB146" s="1">
        <v>68</v>
      </c>
      <c r="AP146" s="1">
        <v>57</v>
      </c>
      <c r="AQ146" s="7">
        <v>31</v>
      </c>
      <c r="AR146" s="1">
        <v>10</v>
      </c>
      <c r="AS146" s="1">
        <f t="shared" si="16"/>
        <v>3.1</v>
      </c>
      <c r="AT146">
        <v>102</v>
      </c>
      <c r="AU146">
        <v>5</v>
      </c>
      <c r="AV146">
        <v>1</v>
      </c>
      <c r="AW146">
        <v>0</v>
      </c>
      <c r="AX146">
        <v>0</v>
      </c>
      <c r="AY146">
        <v>0</v>
      </c>
      <c r="AZ146">
        <v>0</v>
      </c>
      <c r="BA146">
        <v>5</v>
      </c>
      <c r="BB146">
        <v>0</v>
      </c>
      <c r="BC146">
        <v>4</v>
      </c>
      <c r="BD146">
        <v>0</v>
      </c>
      <c r="BE146">
        <v>11</v>
      </c>
      <c r="BF146">
        <v>1</v>
      </c>
      <c r="BG146">
        <v>15</v>
      </c>
      <c r="BH146">
        <v>0</v>
      </c>
      <c r="BI146">
        <v>1</v>
      </c>
      <c r="BJ146">
        <v>0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0</v>
      </c>
      <c r="BQ146">
        <v>0</v>
      </c>
      <c r="BR146">
        <v>0</v>
      </c>
      <c r="BS146" s="16"/>
    </row>
    <row r="147" spans="1:71" hidden="1" x14ac:dyDescent="0.2">
      <c r="A147" s="1" t="s">
        <v>6</v>
      </c>
      <c r="B147" s="7" t="s">
        <v>242</v>
      </c>
      <c r="C147" s="1" t="s">
        <v>115</v>
      </c>
      <c r="D147" s="8" t="s">
        <v>441</v>
      </c>
      <c r="E147" s="1">
        <f>G147-F147+1</f>
        <v>9</v>
      </c>
      <c r="F147" s="1" t="str">
        <f>LEFT(D147, SEARCH("-",D147,1)-1)</f>
        <v>2011</v>
      </c>
      <c r="G147" s="1" t="str">
        <f t="shared" si="12"/>
        <v>2019</v>
      </c>
      <c r="H147" s="8">
        <v>37</v>
      </c>
      <c r="I147" s="8">
        <v>35</v>
      </c>
      <c r="J147" s="8">
        <v>2</v>
      </c>
      <c r="K147" s="8">
        <v>95</v>
      </c>
      <c r="L147" s="8">
        <v>19</v>
      </c>
      <c r="M147" s="8">
        <v>0</v>
      </c>
      <c r="N147" s="8">
        <v>0</v>
      </c>
      <c r="O147" s="8">
        <v>0</v>
      </c>
      <c r="P147" s="8">
        <v>26</v>
      </c>
      <c r="Q147" s="8">
        <v>10</v>
      </c>
      <c r="R147" s="8">
        <v>1</v>
      </c>
      <c r="S147" s="8">
        <v>71.62</v>
      </c>
      <c r="T147" t="s">
        <v>311</v>
      </c>
      <c r="U147" s="9">
        <v>1.93</v>
      </c>
      <c r="V147" s="10">
        <v>104.77983747</v>
      </c>
      <c r="W147" s="6" t="s">
        <v>440</v>
      </c>
      <c r="X147">
        <f t="shared" si="13"/>
        <v>1</v>
      </c>
      <c r="Y147" s="14">
        <v>75</v>
      </c>
      <c r="Z147" s="1" t="s">
        <v>517</v>
      </c>
      <c r="AA147" s="1">
        <v>61</v>
      </c>
      <c r="AB147" s="1">
        <v>66</v>
      </c>
      <c r="AC147" s="1">
        <v>59</v>
      </c>
      <c r="AD147" s="1">
        <v>93</v>
      </c>
      <c r="AQ147" s="7">
        <v>129</v>
      </c>
      <c r="AR147" s="1">
        <v>21</v>
      </c>
      <c r="AS147" s="1">
        <f t="shared" si="16"/>
        <v>6.1428571428571432</v>
      </c>
      <c r="AT147">
        <v>248</v>
      </c>
      <c r="AU147">
        <v>10</v>
      </c>
      <c r="AV147">
        <v>2</v>
      </c>
      <c r="AW147">
        <v>0</v>
      </c>
      <c r="AX147">
        <v>0</v>
      </c>
      <c r="AY147">
        <v>0</v>
      </c>
      <c r="AZ147">
        <v>0</v>
      </c>
      <c r="BA147">
        <v>7</v>
      </c>
      <c r="BB147">
        <v>2</v>
      </c>
      <c r="BC147">
        <v>10</v>
      </c>
      <c r="BD147">
        <v>1</v>
      </c>
      <c r="BE147">
        <v>3</v>
      </c>
      <c r="BF147">
        <v>1</v>
      </c>
      <c r="BG147">
        <v>19</v>
      </c>
      <c r="BH147">
        <v>1</v>
      </c>
      <c r="BI147">
        <v>5</v>
      </c>
      <c r="BJ147">
        <v>4</v>
      </c>
      <c r="BK147">
        <v>4</v>
      </c>
      <c r="BL147">
        <v>2</v>
      </c>
      <c r="BM147">
        <v>0</v>
      </c>
      <c r="BN147">
        <v>3</v>
      </c>
      <c r="BO147">
        <v>1</v>
      </c>
      <c r="BP147">
        <v>0</v>
      </c>
      <c r="BQ147">
        <v>0</v>
      </c>
      <c r="BR147">
        <v>0</v>
      </c>
      <c r="BS147" s="16"/>
    </row>
    <row r="148" spans="1:71" hidden="1" x14ac:dyDescent="0.2">
      <c r="A148" s="1" t="s">
        <v>6</v>
      </c>
      <c r="B148" s="7" t="s">
        <v>243</v>
      </c>
      <c r="C148" s="1" t="s">
        <v>115</v>
      </c>
      <c r="D148" s="8" t="s">
        <v>340</v>
      </c>
      <c r="E148" s="1">
        <f>G148-F148+1</f>
        <v>2</v>
      </c>
      <c r="F148" s="1" t="str">
        <f>LEFT(D148, SEARCH("-",D148,1)-1)</f>
        <v>2018</v>
      </c>
      <c r="G148" s="1" t="str">
        <f t="shared" si="12"/>
        <v>2019</v>
      </c>
      <c r="H148" s="8">
        <v>7</v>
      </c>
      <c r="I148" s="8">
        <v>7</v>
      </c>
      <c r="J148" s="8">
        <v>0</v>
      </c>
      <c r="K148" s="8">
        <v>15</v>
      </c>
      <c r="L148" s="8">
        <v>3</v>
      </c>
      <c r="M148" s="8">
        <v>0</v>
      </c>
      <c r="N148" s="8">
        <v>0</v>
      </c>
      <c r="O148" s="8">
        <v>0</v>
      </c>
      <c r="P148" s="8">
        <v>6</v>
      </c>
      <c r="Q148" s="8">
        <v>1</v>
      </c>
      <c r="R148" s="8">
        <v>0</v>
      </c>
      <c r="S148" s="8">
        <v>85.71</v>
      </c>
      <c r="T148" t="s">
        <v>309</v>
      </c>
      <c r="U148" s="9">
        <v>1.88</v>
      </c>
      <c r="V148" s="10">
        <v>93.893620589999998</v>
      </c>
      <c r="W148" s="6" t="s">
        <v>442</v>
      </c>
      <c r="X148">
        <f t="shared" si="13"/>
        <v>1</v>
      </c>
      <c r="Y148" s="14">
        <v>74</v>
      </c>
      <c r="Z148" s="1" t="s">
        <v>513</v>
      </c>
      <c r="AA148" s="1">
        <v>76</v>
      </c>
      <c r="AB148" s="1">
        <v>73</v>
      </c>
      <c r="AC148" s="1">
        <v>85</v>
      </c>
      <c r="AD148" s="1">
        <v>92</v>
      </c>
      <c r="AQ148" s="7">
        <v>257</v>
      </c>
      <c r="AR148" s="1">
        <v>44</v>
      </c>
      <c r="AS148" s="1">
        <f t="shared" si="16"/>
        <v>5.8409090909090908</v>
      </c>
      <c r="AT148">
        <v>400</v>
      </c>
      <c r="AU148">
        <v>15</v>
      </c>
      <c r="AV148">
        <v>3</v>
      </c>
      <c r="AW148">
        <v>1</v>
      </c>
      <c r="AX148">
        <v>0</v>
      </c>
      <c r="AY148">
        <v>0</v>
      </c>
      <c r="AZ148">
        <v>0</v>
      </c>
      <c r="BA148">
        <v>8</v>
      </c>
      <c r="BB148">
        <v>9</v>
      </c>
      <c r="BC148">
        <v>13</v>
      </c>
      <c r="BD148">
        <v>0</v>
      </c>
      <c r="BE148">
        <v>10</v>
      </c>
      <c r="BF148">
        <v>4</v>
      </c>
      <c r="BG148">
        <v>12</v>
      </c>
      <c r="BH148">
        <v>4</v>
      </c>
      <c r="BI148">
        <v>1</v>
      </c>
      <c r="BJ148">
        <v>4</v>
      </c>
      <c r="BK148">
        <v>3</v>
      </c>
      <c r="BL148">
        <v>2</v>
      </c>
      <c r="BM148">
        <v>10</v>
      </c>
      <c r="BN148">
        <v>17</v>
      </c>
      <c r="BO148">
        <v>0</v>
      </c>
      <c r="BP148">
        <v>0</v>
      </c>
      <c r="BQ148">
        <v>0</v>
      </c>
      <c r="BR148">
        <v>0</v>
      </c>
      <c r="BS148" s="16"/>
    </row>
    <row r="149" spans="1:71" hidden="1" x14ac:dyDescent="0.2">
      <c r="A149" s="1" t="s">
        <v>6</v>
      </c>
      <c r="B149" s="7" t="s">
        <v>244</v>
      </c>
      <c r="C149" s="1" t="s">
        <v>115</v>
      </c>
      <c r="D149" s="1"/>
      <c r="G149" s="1" t="str">
        <f t="shared" si="12"/>
        <v/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T149" t="s">
        <v>406</v>
      </c>
      <c r="U149" s="9">
        <v>1.85</v>
      </c>
      <c r="V149" s="10">
        <v>99.79032140000001</v>
      </c>
      <c r="W149" s="6" t="s">
        <v>443</v>
      </c>
      <c r="X149">
        <f t="shared" si="13"/>
        <v>0</v>
      </c>
      <c r="Y149" s="14">
        <v>71</v>
      </c>
      <c r="Z149" s="1" t="s">
        <v>513</v>
      </c>
      <c r="AA149" s="1">
        <v>54</v>
      </c>
      <c r="AB149" s="1">
        <v>72</v>
      </c>
      <c r="AC149" s="1">
        <v>81</v>
      </c>
      <c r="AD149" s="1">
        <v>93</v>
      </c>
      <c r="AQ149" s="7"/>
      <c r="BS149" s="16"/>
    </row>
    <row r="150" spans="1:71" hidden="1" x14ac:dyDescent="0.2">
      <c r="A150" s="1" t="s">
        <v>6</v>
      </c>
      <c r="B150" s="7" t="s">
        <v>245</v>
      </c>
      <c r="C150" s="1" t="s">
        <v>115</v>
      </c>
      <c r="D150" s="1"/>
      <c r="G150" s="1" t="str">
        <f t="shared" si="12"/>
        <v/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T150" t="s">
        <v>309</v>
      </c>
      <c r="U150" s="9">
        <v>1.85</v>
      </c>
      <c r="V150" s="10" t="s">
        <v>465</v>
      </c>
      <c r="W150" s="6" t="s">
        <v>444</v>
      </c>
      <c r="X150">
        <f t="shared" si="13"/>
        <v>0</v>
      </c>
      <c r="Y150" s="14">
        <v>76</v>
      </c>
      <c r="Z150" s="1" t="s">
        <v>514</v>
      </c>
      <c r="AA150" s="1">
        <v>61</v>
      </c>
      <c r="AD150" s="1">
        <v>89</v>
      </c>
      <c r="AM150" s="1">
        <v>91</v>
      </c>
      <c r="AN150" s="1">
        <v>81</v>
      </c>
      <c r="AQ150" s="7"/>
      <c r="BS150" s="16"/>
    </row>
    <row r="151" spans="1:71" hidden="1" x14ac:dyDescent="0.2">
      <c r="A151" s="1" t="s">
        <v>6</v>
      </c>
      <c r="B151" s="7" t="s">
        <v>246</v>
      </c>
      <c r="C151" s="1" t="s">
        <v>115</v>
      </c>
      <c r="D151" s="1"/>
      <c r="G151" s="1" t="str">
        <f t="shared" si="12"/>
        <v/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T151" t="s">
        <v>311</v>
      </c>
      <c r="U151" s="9">
        <v>1.91</v>
      </c>
      <c r="V151" s="10">
        <v>87.996919779999999</v>
      </c>
      <c r="W151" s="6" t="s">
        <v>445</v>
      </c>
      <c r="X151">
        <f t="shared" si="13"/>
        <v>0</v>
      </c>
      <c r="Y151" s="14">
        <v>74</v>
      </c>
      <c r="Z151" s="1" t="s">
        <v>508</v>
      </c>
      <c r="AA151" s="1">
        <v>85</v>
      </c>
      <c r="AB151" s="1">
        <v>77</v>
      </c>
      <c r="AC151" s="1">
        <v>85</v>
      </c>
      <c r="AD151" s="1">
        <v>82</v>
      </c>
      <c r="AQ151" s="7"/>
      <c r="BS151" s="16"/>
    </row>
    <row r="152" spans="1:71" hidden="1" x14ac:dyDescent="0.2">
      <c r="A152" s="1" t="s">
        <v>6</v>
      </c>
      <c r="B152" s="7" t="s">
        <v>247</v>
      </c>
      <c r="C152" s="1" t="s">
        <v>115</v>
      </c>
      <c r="D152" s="8" t="s">
        <v>256</v>
      </c>
      <c r="E152" s="1">
        <f>G152-F152+1</f>
        <v>1</v>
      </c>
      <c r="F152" s="1" t="str">
        <f>LEFT(D152, SEARCH("-",D152,1)-1)</f>
        <v>2019</v>
      </c>
      <c r="G152" s="1" t="str">
        <f t="shared" si="12"/>
        <v>2019</v>
      </c>
      <c r="H152" s="8">
        <v>1</v>
      </c>
      <c r="I152" s="8">
        <v>1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1</v>
      </c>
      <c r="Q152" s="8">
        <v>0</v>
      </c>
      <c r="R152" s="8">
        <v>0</v>
      </c>
      <c r="S152" s="8">
        <v>100</v>
      </c>
      <c r="T152" t="s">
        <v>311</v>
      </c>
      <c r="U152" s="9">
        <v>1.83</v>
      </c>
      <c r="V152" s="10">
        <v>90.718474000000001</v>
      </c>
      <c r="W152" s="6" t="s">
        <v>446</v>
      </c>
      <c r="X152">
        <f t="shared" si="13"/>
        <v>1</v>
      </c>
      <c r="Y152" s="14">
        <v>59</v>
      </c>
      <c r="Z152" s="1" t="s">
        <v>520</v>
      </c>
      <c r="AA152" s="1">
        <v>61</v>
      </c>
      <c r="AB152" s="1">
        <v>71</v>
      </c>
      <c r="AC152" s="1">
        <v>82</v>
      </c>
      <c r="AD152" s="1">
        <v>92</v>
      </c>
      <c r="AQ152" s="7">
        <v>72</v>
      </c>
      <c r="AR152" s="1">
        <v>12</v>
      </c>
      <c r="AS152" s="1">
        <f t="shared" si="16"/>
        <v>6</v>
      </c>
      <c r="AT152">
        <v>80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</v>
      </c>
      <c r="BB152">
        <v>0</v>
      </c>
      <c r="BC152">
        <v>9</v>
      </c>
      <c r="BD152">
        <v>0</v>
      </c>
      <c r="BE152">
        <v>1</v>
      </c>
      <c r="BF152">
        <v>0</v>
      </c>
      <c r="BG152">
        <v>3</v>
      </c>
      <c r="BH152">
        <v>0</v>
      </c>
      <c r="BI152">
        <v>0</v>
      </c>
      <c r="BJ152">
        <v>1</v>
      </c>
      <c r="BK152">
        <v>0</v>
      </c>
      <c r="BL152">
        <v>0</v>
      </c>
      <c r="BM152">
        <v>1</v>
      </c>
      <c r="BN152">
        <v>0</v>
      </c>
      <c r="BO152">
        <v>0</v>
      </c>
      <c r="BP152">
        <v>0</v>
      </c>
      <c r="BQ152">
        <v>0</v>
      </c>
      <c r="BR152">
        <v>0</v>
      </c>
      <c r="BS152" s="16"/>
    </row>
    <row r="153" spans="1:71" hidden="1" x14ac:dyDescent="0.2">
      <c r="A153" s="1" t="s">
        <v>6</v>
      </c>
      <c r="B153" s="7" t="s">
        <v>248</v>
      </c>
      <c r="C153" s="1" t="s">
        <v>115</v>
      </c>
      <c r="D153" s="8" t="s">
        <v>448</v>
      </c>
      <c r="E153" s="1">
        <f>G153-F153+1</f>
        <v>10</v>
      </c>
      <c r="F153" s="1" t="str">
        <f>LEFT(D153, SEARCH("-",D153,1)-1)</f>
        <v>2009</v>
      </c>
      <c r="G153" s="1" t="str">
        <f t="shared" si="12"/>
        <v>2018</v>
      </c>
      <c r="H153" s="8">
        <v>37</v>
      </c>
      <c r="I153" s="8">
        <v>35</v>
      </c>
      <c r="J153" s="8">
        <v>2</v>
      </c>
      <c r="K153" s="8">
        <v>388</v>
      </c>
      <c r="L153" s="8">
        <v>9</v>
      </c>
      <c r="M153" s="8">
        <v>35</v>
      </c>
      <c r="N153" s="8">
        <v>91</v>
      </c>
      <c r="O153" s="8">
        <v>0</v>
      </c>
      <c r="P153" s="8">
        <v>24</v>
      </c>
      <c r="Q153" s="8">
        <v>13</v>
      </c>
      <c r="R153" s="8">
        <v>0</v>
      </c>
      <c r="S153" s="8">
        <v>64.86</v>
      </c>
      <c r="T153" t="s">
        <v>315</v>
      </c>
      <c r="U153" s="9">
        <v>1.78</v>
      </c>
      <c r="V153" s="10">
        <v>80.739441859999999</v>
      </c>
      <c r="W153" s="6" t="s">
        <v>447</v>
      </c>
      <c r="X153">
        <f t="shared" si="13"/>
        <v>1</v>
      </c>
      <c r="Y153" s="14">
        <v>79</v>
      </c>
      <c r="Z153" s="1" t="s">
        <v>514</v>
      </c>
      <c r="AA153" s="1">
        <v>82</v>
      </c>
      <c r="AD153" s="1">
        <v>85</v>
      </c>
      <c r="AM153" s="1">
        <v>90</v>
      </c>
      <c r="AN153" s="1">
        <v>89</v>
      </c>
      <c r="AQ153" s="7"/>
      <c r="BS153" s="16"/>
    </row>
    <row r="154" spans="1:71" hidden="1" x14ac:dyDescent="0.2">
      <c r="A154" s="1" t="s">
        <v>6</v>
      </c>
      <c r="B154" s="7" t="s">
        <v>249</v>
      </c>
      <c r="C154" s="1" t="s">
        <v>115</v>
      </c>
      <c r="D154" s="8" t="s">
        <v>335</v>
      </c>
      <c r="E154" s="1">
        <f>G154-F154+1</f>
        <v>6</v>
      </c>
      <c r="F154" s="1" t="str">
        <f>LEFT(D154, SEARCH("-",D154,1)-1)</f>
        <v>2014</v>
      </c>
      <c r="G154" s="1" t="str">
        <f t="shared" si="12"/>
        <v>2019</v>
      </c>
      <c r="H154" s="8">
        <v>27</v>
      </c>
      <c r="I154" s="8">
        <v>24</v>
      </c>
      <c r="J154" s="8">
        <v>3</v>
      </c>
      <c r="K154" s="8">
        <v>35</v>
      </c>
      <c r="L154" s="8">
        <v>7</v>
      </c>
      <c r="M154" s="8">
        <v>0</v>
      </c>
      <c r="N154" s="8">
        <v>0</v>
      </c>
      <c r="O154" s="8">
        <v>0</v>
      </c>
      <c r="P154" s="8">
        <v>18</v>
      </c>
      <c r="Q154" s="8">
        <v>8</v>
      </c>
      <c r="R154" s="8">
        <v>1</v>
      </c>
      <c r="S154" s="8">
        <v>68.510000000000005</v>
      </c>
      <c r="T154" t="s">
        <v>309</v>
      </c>
      <c r="U154" s="9">
        <v>1.88</v>
      </c>
      <c r="V154" s="10">
        <v>84.821773190000002</v>
      </c>
      <c r="W154" s="6" t="s">
        <v>449</v>
      </c>
      <c r="X154">
        <f t="shared" si="13"/>
        <v>1</v>
      </c>
      <c r="Y154" s="14">
        <v>86</v>
      </c>
      <c r="Z154" s="1" t="s">
        <v>511</v>
      </c>
      <c r="AA154" s="1">
        <v>59</v>
      </c>
      <c r="AB154" s="1">
        <v>73</v>
      </c>
      <c r="AC154" s="1">
        <v>81</v>
      </c>
      <c r="AD154" s="1">
        <v>92</v>
      </c>
      <c r="AQ154" s="7">
        <v>216</v>
      </c>
      <c r="AR154" s="1">
        <v>49</v>
      </c>
      <c r="AS154" s="1">
        <f t="shared" si="16"/>
        <v>4.408163265306122</v>
      </c>
      <c r="AT154">
        <v>339</v>
      </c>
      <c r="AU154">
        <v>0</v>
      </c>
      <c r="AV154">
        <v>0</v>
      </c>
      <c r="AW154">
        <v>1</v>
      </c>
      <c r="AX154">
        <v>0</v>
      </c>
      <c r="AY154">
        <v>0</v>
      </c>
      <c r="AZ154">
        <v>0</v>
      </c>
      <c r="BA154">
        <v>13</v>
      </c>
      <c r="BB154">
        <v>4</v>
      </c>
      <c r="BC154">
        <v>7</v>
      </c>
      <c r="BD154">
        <v>0</v>
      </c>
      <c r="BE154">
        <v>20</v>
      </c>
      <c r="BF154">
        <v>5</v>
      </c>
      <c r="BG154">
        <v>7</v>
      </c>
      <c r="BH154">
        <v>3</v>
      </c>
      <c r="BI154">
        <v>1</v>
      </c>
      <c r="BJ154">
        <v>4</v>
      </c>
      <c r="BK154">
        <v>2</v>
      </c>
      <c r="BL154">
        <v>0</v>
      </c>
      <c r="BM154">
        <v>9</v>
      </c>
      <c r="BN154">
        <v>24</v>
      </c>
      <c r="BO154">
        <v>0</v>
      </c>
      <c r="BP154">
        <v>0</v>
      </c>
      <c r="BQ154">
        <v>0</v>
      </c>
      <c r="BR154">
        <v>0</v>
      </c>
      <c r="BS154" s="16"/>
    </row>
    <row r="155" spans="1:71" hidden="1" x14ac:dyDescent="0.2">
      <c r="A155" s="1" t="s">
        <v>35</v>
      </c>
      <c r="B155" s="1" t="s">
        <v>544</v>
      </c>
      <c r="C155" s="1" t="s">
        <v>114</v>
      </c>
      <c r="D155" s="1" t="s">
        <v>258</v>
      </c>
      <c r="E155" s="1">
        <f>G155-F155+1</f>
        <v>4</v>
      </c>
      <c r="F155" s="1" t="str">
        <f>LEFT(D155, SEARCH("-",D155,1)-1)</f>
        <v>2016</v>
      </c>
      <c r="G155" s="1" t="str">
        <f t="shared" si="12"/>
        <v>2019</v>
      </c>
      <c r="H155" s="1">
        <v>7</v>
      </c>
      <c r="I155" s="1">
        <v>0</v>
      </c>
      <c r="J155" s="1">
        <v>7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5</v>
      </c>
      <c r="Q155" s="1">
        <v>1</v>
      </c>
      <c r="R155" s="1">
        <v>1</v>
      </c>
      <c r="S155" s="1">
        <v>78.569999999999993</v>
      </c>
      <c r="T155" t="s">
        <v>259</v>
      </c>
      <c r="U155" s="9">
        <v>1.83</v>
      </c>
      <c r="V155" s="10">
        <v>112</v>
      </c>
      <c r="W155" t="s">
        <v>576</v>
      </c>
      <c r="X155">
        <v>1</v>
      </c>
      <c r="Y155" s="14">
        <v>78</v>
      </c>
      <c r="Z155" s="1" t="s">
        <v>577</v>
      </c>
      <c r="AA155" s="1">
        <v>87</v>
      </c>
      <c r="AE155" s="1">
        <v>70</v>
      </c>
      <c r="AF155" s="1">
        <v>69</v>
      </c>
      <c r="AG155" s="1">
        <v>80</v>
      </c>
      <c r="AQ155" s="1">
        <v>4</v>
      </c>
      <c r="AR155" s="1">
        <v>5</v>
      </c>
      <c r="AS155" s="1">
        <f t="shared" si="16"/>
        <v>0.8</v>
      </c>
      <c r="AT155">
        <v>52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3</v>
      </c>
      <c r="BD155">
        <v>0</v>
      </c>
      <c r="BE155">
        <v>1</v>
      </c>
      <c r="BF155">
        <v>0</v>
      </c>
      <c r="BG155">
        <v>15</v>
      </c>
      <c r="BH155">
        <v>3</v>
      </c>
      <c r="BI155">
        <v>1</v>
      </c>
      <c r="BJ155">
        <v>1</v>
      </c>
      <c r="BK155">
        <v>1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</row>
    <row r="156" spans="1:71" hidden="1" x14ac:dyDescent="0.2">
      <c r="A156" s="1" t="s">
        <v>35</v>
      </c>
      <c r="B156" s="1" t="s">
        <v>545</v>
      </c>
      <c r="C156" s="1" t="s">
        <v>114</v>
      </c>
      <c r="D156" s="1" t="s">
        <v>256</v>
      </c>
      <c r="E156" s="1">
        <f>G156-F156+1</f>
        <v>1</v>
      </c>
      <c r="F156" s="1" t="str">
        <f>LEFT(D156, SEARCH("-",D156,1)-1)</f>
        <v>2019</v>
      </c>
      <c r="G156" s="1" t="str">
        <f t="shared" si="12"/>
        <v>2019</v>
      </c>
      <c r="H156" s="1">
        <v>5</v>
      </c>
      <c r="I156" s="1">
        <v>5</v>
      </c>
      <c r="J156" s="1">
        <v>0</v>
      </c>
      <c r="K156" s="1">
        <v>10</v>
      </c>
      <c r="L156" s="1">
        <v>2</v>
      </c>
      <c r="M156" s="1">
        <v>0</v>
      </c>
      <c r="N156" s="1">
        <v>0</v>
      </c>
      <c r="O156" s="1">
        <v>0</v>
      </c>
      <c r="P156" s="1">
        <v>3</v>
      </c>
      <c r="Q156" s="1">
        <v>1</v>
      </c>
      <c r="R156" s="1">
        <v>1</v>
      </c>
      <c r="S156" s="1">
        <v>70</v>
      </c>
      <c r="T156" t="s">
        <v>284</v>
      </c>
      <c r="U156" s="9">
        <v>1.85</v>
      </c>
      <c r="V156" s="10">
        <v>110</v>
      </c>
      <c r="W156" t="s">
        <v>578</v>
      </c>
      <c r="X156">
        <v>1</v>
      </c>
      <c r="Y156" s="14">
        <v>73</v>
      </c>
      <c r="Z156" s="1" t="s">
        <v>512</v>
      </c>
      <c r="AA156" s="1">
        <v>86</v>
      </c>
      <c r="AG156" s="1">
        <v>86</v>
      </c>
      <c r="AJ156" s="1">
        <v>67</v>
      </c>
      <c r="AK156" s="1">
        <v>64</v>
      </c>
      <c r="AQ156" s="1">
        <v>66</v>
      </c>
      <c r="AR156" s="1">
        <v>28</v>
      </c>
      <c r="AS156" s="1">
        <f t="shared" si="16"/>
        <v>2.3571428571428572</v>
      </c>
      <c r="AT156">
        <v>361</v>
      </c>
      <c r="AU156">
        <v>10</v>
      </c>
      <c r="AV156">
        <v>2</v>
      </c>
      <c r="AW156">
        <v>0</v>
      </c>
      <c r="AX156">
        <v>0</v>
      </c>
      <c r="AY156">
        <v>0</v>
      </c>
      <c r="AZ156">
        <v>0</v>
      </c>
      <c r="BA156">
        <v>4</v>
      </c>
      <c r="BB156">
        <v>3</v>
      </c>
      <c r="BC156">
        <v>11</v>
      </c>
      <c r="BD156">
        <v>0</v>
      </c>
      <c r="BE156">
        <v>10</v>
      </c>
      <c r="BF156">
        <v>0</v>
      </c>
      <c r="BG156">
        <v>86</v>
      </c>
      <c r="BH156">
        <v>10</v>
      </c>
      <c r="BI156">
        <v>5</v>
      </c>
      <c r="BJ156">
        <v>3</v>
      </c>
      <c r="BK156">
        <v>1</v>
      </c>
      <c r="BL156">
        <v>8</v>
      </c>
      <c r="BM156">
        <v>0</v>
      </c>
      <c r="BN156">
        <v>0</v>
      </c>
      <c r="BO156">
        <v>0</v>
      </c>
      <c r="BP156">
        <v>0</v>
      </c>
      <c r="BQ156">
        <v>1</v>
      </c>
      <c r="BR156">
        <v>0</v>
      </c>
    </row>
    <row r="157" spans="1:71" hidden="1" x14ac:dyDescent="0.2">
      <c r="A157" s="1" t="s">
        <v>35</v>
      </c>
      <c r="B157" s="1" t="s">
        <v>560</v>
      </c>
      <c r="C157" s="1" t="s">
        <v>114</v>
      </c>
      <c r="D157" s="1"/>
      <c r="G157" s="1" t="str">
        <f t="shared" si="12"/>
        <v/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T157" t="s">
        <v>259</v>
      </c>
      <c r="U157" s="9">
        <v>1.88</v>
      </c>
      <c r="V157" s="10">
        <v>105</v>
      </c>
      <c r="W157" t="s">
        <v>579</v>
      </c>
      <c r="X157">
        <v>0</v>
      </c>
      <c r="Z157" s="1" t="s">
        <v>519</v>
      </c>
    </row>
    <row r="158" spans="1:71" x14ac:dyDescent="0.2">
      <c r="A158" s="1" t="s">
        <v>35</v>
      </c>
      <c r="B158" s="1" t="s">
        <v>561</v>
      </c>
      <c r="C158" s="1" t="s">
        <v>114</v>
      </c>
      <c r="D158" s="1"/>
      <c r="G158" s="1" t="str">
        <f t="shared" si="12"/>
        <v/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T158" t="s">
        <v>274</v>
      </c>
      <c r="U158" s="9">
        <v>1.88</v>
      </c>
      <c r="V158" s="10">
        <v>102</v>
      </c>
      <c r="W158" t="s">
        <v>580</v>
      </c>
      <c r="X158">
        <v>0</v>
      </c>
      <c r="Z158" s="1" t="s">
        <v>511</v>
      </c>
    </row>
    <row r="159" spans="1:71" hidden="1" x14ac:dyDescent="0.2">
      <c r="A159" s="1" t="s">
        <v>35</v>
      </c>
      <c r="B159" s="1" t="s">
        <v>546</v>
      </c>
      <c r="C159" s="1" t="s">
        <v>114</v>
      </c>
      <c r="D159" s="1"/>
      <c r="G159" s="1" t="str">
        <f t="shared" si="12"/>
        <v/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T159" t="s">
        <v>279</v>
      </c>
      <c r="U159" s="9">
        <v>1.98</v>
      </c>
      <c r="V159" s="10">
        <v>108</v>
      </c>
      <c r="W159" t="s">
        <v>581</v>
      </c>
      <c r="X159">
        <v>0</v>
      </c>
      <c r="Z159" s="1" t="s">
        <v>519</v>
      </c>
    </row>
    <row r="160" spans="1:71" hidden="1" x14ac:dyDescent="0.2">
      <c r="A160" s="1" t="s">
        <v>35</v>
      </c>
      <c r="B160" s="1" t="s">
        <v>547</v>
      </c>
      <c r="C160" s="1" t="s">
        <v>114</v>
      </c>
      <c r="D160" s="1" t="s">
        <v>256</v>
      </c>
      <c r="E160" s="1">
        <f>G160-F160+1</f>
        <v>1</v>
      </c>
      <c r="F160" s="1" t="str">
        <f>LEFT(D160, SEARCH("-",D160,1)-1)</f>
        <v>2019</v>
      </c>
      <c r="G160" s="1" t="str">
        <f t="shared" si="12"/>
        <v>2019</v>
      </c>
      <c r="H160" s="1">
        <v>4</v>
      </c>
      <c r="I160" s="1">
        <v>1</v>
      </c>
      <c r="J160" s="1">
        <v>3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2</v>
      </c>
      <c r="Q160" s="1">
        <v>1</v>
      </c>
      <c r="R160" s="1">
        <v>1</v>
      </c>
      <c r="S160" s="1">
        <v>62.5</v>
      </c>
      <c r="T160" t="s">
        <v>254</v>
      </c>
      <c r="U160" s="9">
        <v>1.85</v>
      </c>
      <c r="V160" s="10">
        <v>117</v>
      </c>
      <c r="W160" t="s">
        <v>438</v>
      </c>
      <c r="X160">
        <v>1</v>
      </c>
      <c r="Y160" s="14">
        <v>72</v>
      </c>
      <c r="Z160" s="1" t="s">
        <v>520</v>
      </c>
      <c r="AA160" s="1">
        <v>91</v>
      </c>
      <c r="AE160" s="1">
        <v>64</v>
      </c>
      <c r="AF160" s="1">
        <v>79</v>
      </c>
      <c r="AQ160" s="1">
        <v>21</v>
      </c>
      <c r="AR160" s="1">
        <v>21</v>
      </c>
      <c r="AS160" s="1">
        <f t="shared" si="16"/>
        <v>1</v>
      </c>
      <c r="AT160">
        <v>142</v>
      </c>
      <c r="AU160">
        <v>0</v>
      </c>
      <c r="AV160">
        <v>0</v>
      </c>
      <c r="AW160">
        <v>1</v>
      </c>
      <c r="AX160">
        <v>0</v>
      </c>
      <c r="AY160">
        <v>0</v>
      </c>
      <c r="AZ160">
        <v>0</v>
      </c>
      <c r="BA160">
        <v>4</v>
      </c>
      <c r="BB160">
        <v>0</v>
      </c>
      <c r="BC160">
        <v>9</v>
      </c>
      <c r="BD160">
        <v>0</v>
      </c>
      <c r="BE160">
        <v>5</v>
      </c>
      <c r="BF160">
        <v>1</v>
      </c>
      <c r="BG160">
        <v>25</v>
      </c>
      <c r="BH160">
        <v>5</v>
      </c>
      <c r="BI160">
        <v>1</v>
      </c>
      <c r="BJ160">
        <v>1</v>
      </c>
      <c r="BK160">
        <v>1</v>
      </c>
      <c r="BL160">
        <v>1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</row>
    <row r="161" spans="1:70" hidden="1" x14ac:dyDescent="0.2">
      <c r="A161" s="1" t="s">
        <v>35</v>
      </c>
      <c r="B161" s="1" t="s">
        <v>548</v>
      </c>
      <c r="C161" s="1" t="s">
        <v>114</v>
      </c>
      <c r="D161" s="1" t="s">
        <v>258</v>
      </c>
      <c r="E161" s="1">
        <f>G161-F161+1</f>
        <v>4</v>
      </c>
      <c r="F161" s="1" t="str">
        <f>LEFT(D161, SEARCH("-",D161,1)-1)</f>
        <v>2016</v>
      </c>
      <c r="G161" s="1" t="str">
        <f t="shared" si="12"/>
        <v>2019</v>
      </c>
      <c r="H161" s="1">
        <v>18</v>
      </c>
      <c r="I161" s="1">
        <v>6</v>
      </c>
      <c r="J161" s="1">
        <v>12</v>
      </c>
      <c r="K161" s="1">
        <v>5</v>
      </c>
      <c r="L161" s="1">
        <v>1</v>
      </c>
      <c r="M161" s="1">
        <v>0</v>
      </c>
      <c r="N161" s="1">
        <v>0</v>
      </c>
      <c r="O161" s="1">
        <v>0</v>
      </c>
      <c r="P161" s="1">
        <v>12</v>
      </c>
      <c r="Q161" s="1">
        <v>5</v>
      </c>
      <c r="R161" s="1">
        <v>1</v>
      </c>
      <c r="S161" s="1">
        <v>69.44</v>
      </c>
      <c r="T161" t="s">
        <v>259</v>
      </c>
      <c r="U161" s="9">
        <v>1.8</v>
      </c>
      <c r="V161" s="10">
        <v>108</v>
      </c>
      <c r="W161" t="s">
        <v>582</v>
      </c>
      <c r="X161">
        <v>1</v>
      </c>
      <c r="Y161" s="14">
        <v>92</v>
      </c>
      <c r="Z161" s="1" t="s">
        <v>511</v>
      </c>
      <c r="AA161" s="1">
        <v>84</v>
      </c>
      <c r="AE161" s="1">
        <v>79</v>
      </c>
      <c r="AF161" s="1">
        <v>91</v>
      </c>
      <c r="AG161" s="1">
        <v>67</v>
      </c>
      <c r="AQ161" s="1">
        <v>68</v>
      </c>
      <c r="AR161" s="1">
        <v>23</v>
      </c>
      <c r="AS161" s="1">
        <f t="shared" si="16"/>
        <v>2.9565217391304346</v>
      </c>
      <c r="AT161">
        <v>348</v>
      </c>
      <c r="AU161">
        <v>5</v>
      </c>
      <c r="AV161">
        <v>1</v>
      </c>
      <c r="AW161">
        <v>1</v>
      </c>
      <c r="AX161">
        <v>0</v>
      </c>
      <c r="AY161">
        <v>0</v>
      </c>
      <c r="AZ161">
        <v>0</v>
      </c>
      <c r="BA161">
        <v>3</v>
      </c>
      <c r="BB161">
        <v>1</v>
      </c>
      <c r="BC161">
        <v>13</v>
      </c>
      <c r="BD161">
        <v>0</v>
      </c>
      <c r="BE161">
        <v>6</v>
      </c>
      <c r="BF161">
        <v>0</v>
      </c>
      <c r="BG161">
        <v>78</v>
      </c>
      <c r="BH161">
        <v>5</v>
      </c>
      <c r="BI161">
        <v>2</v>
      </c>
      <c r="BJ161">
        <v>3</v>
      </c>
      <c r="BK161">
        <v>3</v>
      </c>
      <c r="BL161">
        <v>1</v>
      </c>
      <c r="BM161">
        <v>0</v>
      </c>
      <c r="BN161">
        <v>1</v>
      </c>
      <c r="BO161">
        <v>0</v>
      </c>
      <c r="BP161">
        <v>0</v>
      </c>
      <c r="BQ161">
        <v>0</v>
      </c>
      <c r="BR161">
        <v>0</v>
      </c>
    </row>
    <row r="162" spans="1:70" hidden="1" x14ac:dyDescent="0.2">
      <c r="A162" s="1" t="s">
        <v>35</v>
      </c>
      <c r="B162" s="1" t="s">
        <v>549</v>
      </c>
      <c r="C162" s="1" t="s">
        <v>114</v>
      </c>
      <c r="D162" s="1"/>
      <c r="G162" s="1" t="str">
        <f t="shared" si="12"/>
        <v/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T162" t="s">
        <v>284</v>
      </c>
      <c r="U162" s="9">
        <v>1.96</v>
      </c>
      <c r="V162" s="10">
        <v>110</v>
      </c>
      <c r="W162" t="s">
        <v>583</v>
      </c>
      <c r="X162">
        <v>0</v>
      </c>
      <c r="Z162" s="1" t="s">
        <v>509</v>
      </c>
    </row>
    <row r="163" spans="1:70" x14ac:dyDescent="0.2">
      <c r="A163" s="1" t="s">
        <v>35</v>
      </c>
      <c r="B163" s="1" t="s">
        <v>550</v>
      </c>
      <c r="C163" s="1" t="s">
        <v>114</v>
      </c>
      <c r="D163" s="1" t="s">
        <v>258</v>
      </c>
      <c r="E163" s="1">
        <f>G163-F163+1</f>
        <v>4</v>
      </c>
      <c r="F163" s="1" t="str">
        <f>LEFT(D163, SEARCH("-",D163,1)-1)</f>
        <v>2016</v>
      </c>
      <c r="G163" s="1" t="str">
        <f t="shared" si="12"/>
        <v>2019</v>
      </c>
      <c r="H163" s="1">
        <v>15</v>
      </c>
      <c r="I163" s="1">
        <v>14</v>
      </c>
      <c r="J163" s="1">
        <v>1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11</v>
      </c>
      <c r="Q163" s="1">
        <v>4</v>
      </c>
      <c r="R163" s="1">
        <v>0</v>
      </c>
      <c r="S163" s="1">
        <v>73.33</v>
      </c>
      <c r="T163" t="s">
        <v>584</v>
      </c>
      <c r="U163" s="9">
        <v>1.98</v>
      </c>
      <c r="V163" s="10">
        <v>110</v>
      </c>
      <c r="W163" t="s">
        <v>585</v>
      </c>
      <c r="X163">
        <v>1</v>
      </c>
      <c r="Y163" s="14">
        <v>86</v>
      </c>
      <c r="Z163" s="1" t="s">
        <v>511</v>
      </c>
      <c r="AA163" s="1">
        <v>87</v>
      </c>
      <c r="AG163" s="1">
        <v>83</v>
      </c>
      <c r="AJ163" s="1">
        <v>81</v>
      </c>
      <c r="AK163" s="1">
        <v>76</v>
      </c>
      <c r="AQ163" s="1">
        <v>4</v>
      </c>
      <c r="AR163" s="1">
        <v>6</v>
      </c>
      <c r="AS163" s="1">
        <f t="shared" si="16"/>
        <v>0.66666666666666663</v>
      </c>
      <c r="AT163">
        <v>53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1</v>
      </c>
      <c r="BD163">
        <v>0</v>
      </c>
      <c r="BE163">
        <v>2</v>
      </c>
      <c r="BF163">
        <v>0</v>
      </c>
      <c r="BG163">
        <v>10</v>
      </c>
      <c r="BH163">
        <v>0</v>
      </c>
      <c r="BI163">
        <v>1</v>
      </c>
      <c r="BJ163">
        <v>0</v>
      </c>
      <c r="BK163">
        <v>0</v>
      </c>
      <c r="BL163">
        <v>1</v>
      </c>
      <c r="BM163">
        <v>0</v>
      </c>
      <c r="BN163">
        <v>2</v>
      </c>
      <c r="BO163">
        <v>3</v>
      </c>
      <c r="BP163">
        <v>0</v>
      </c>
      <c r="BQ163">
        <v>0</v>
      </c>
      <c r="BR163">
        <v>0</v>
      </c>
    </row>
    <row r="164" spans="1:70" hidden="1" x14ac:dyDescent="0.2">
      <c r="A164" s="1" t="s">
        <v>35</v>
      </c>
      <c r="B164" s="1" t="s">
        <v>551</v>
      </c>
      <c r="C164" s="1" t="s">
        <v>114</v>
      </c>
      <c r="D164" s="1" t="s">
        <v>357</v>
      </c>
      <c r="E164" s="1">
        <f>G164-F164+1</f>
        <v>5</v>
      </c>
      <c r="F164" s="1" t="str">
        <f>LEFT(D164, SEARCH("-",D164,1)-1)</f>
        <v>2015</v>
      </c>
      <c r="G164" s="1" t="str">
        <f t="shared" si="12"/>
        <v>2019</v>
      </c>
      <c r="H164" s="1">
        <v>17</v>
      </c>
      <c r="I164" s="1">
        <v>14</v>
      </c>
      <c r="J164" s="1">
        <v>3</v>
      </c>
      <c r="K164" s="1">
        <v>10</v>
      </c>
      <c r="L164" s="1">
        <v>2</v>
      </c>
      <c r="M164" s="1">
        <v>0</v>
      </c>
      <c r="N164" s="1">
        <v>0</v>
      </c>
      <c r="O164" s="1">
        <v>0</v>
      </c>
      <c r="P164" s="1">
        <v>12</v>
      </c>
      <c r="Q164" s="1">
        <v>4</v>
      </c>
      <c r="R164" s="1">
        <v>1</v>
      </c>
      <c r="S164" s="1">
        <v>73.52</v>
      </c>
      <c r="T164" t="s">
        <v>279</v>
      </c>
      <c r="U164" s="9">
        <v>1.98</v>
      </c>
      <c r="V164" s="10">
        <v>117</v>
      </c>
      <c r="W164" t="s">
        <v>586</v>
      </c>
      <c r="X164">
        <v>1</v>
      </c>
      <c r="Y164" s="14">
        <v>90</v>
      </c>
      <c r="Z164" s="1" t="s">
        <v>511</v>
      </c>
      <c r="AA164" s="1">
        <v>91</v>
      </c>
      <c r="AF164" s="1">
        <v>91</v>
      </c>
      <c r="AH164" s="1">
        <v>87</v>
      </c>
      <c r="AI164" s="1">
        <v>82</v>
      </c>
      <c r="AQ164" s="1">
        <v>36</v>
      </c>
      <c r="AR164" s="1">
        <v>21</v>
      </c>
      <c r="AS164" s="1">
        <f t="shared" si="16"/>
        <v>1.7142857142857142</v>
      </c>
      <c r="AT164">
        <v>320</v>
      </c>
      <c r="AU164">
        <v>5</v>
      </c>
      <c r="AV164">
        <v>1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3</v>
      </c>
      <c r="BC164">
        <v>6</v>
      </c>
      <c r="BD164">
        <v>1</v>
      </c>
      <c r="BE164">
        <v>10</v>
      </c>
      <c r="BF164">
        <v>0</v>
      </c>
      <c r="BG164">
        <v>67</v>
      </c>
      <c r="BH164">
        <v>6</v>
      </c>
      <c r="BI164">
        <v>0</v>
      </c>
      <c r="BJ164">
        <v>4</v>
      </c>
      <c r="BK164">
        <v>3</v>
      </c>
      <c r="BL164">
        <v>1</v>
      </c>
      <c r="BM164">
        <v>0</v>
      </c>
      <c r="BN164">
        <v>2</v>
      </c>
      <c r="BO164">
        <v>17</v>
      </c>
      <c r="BP164">
        <v>1</v>
      </c>
      <c r="BQ164">
        <v>0</v>
      </c>
      <c r="BR164">
        <v>0</v>
      </c>
    </row>
    <row r="165" spans="1:70" hidden="1" x14ac:dyDescent="0.2">
      <c r="A165" s="1" t="s">
        <v>35</v>
      </c>
      <c r="B165" s="1" t="s">
        <v>552</v>
      </c>
      <c r="C165" s="1" t="s">
        <v>114</v>
      </c>
      <c r="D165" s="1" t="s">
        <v>301</v>
      </c>
      <c r="E165" s="1">
        <f>G165-F165+1</f>
        <v>7</v>
      </c>
      <c r="F165" s="1" t="str">
        <f>LEFT(D165, SEARCH("-",D165,1)-1)</f>
        <v>2013</v>
      </c>
      <c r="G165" s="1" t="str">
        <f t="shared" si="12"/>
        <v>2019</v>
      </c>
      <c r="H165" s="1">
        <v>27</v>
      </c>
      <c r="I165" s="1">
        <v>22</v>
      </c>
      <c r="J165" s="1">
        <v>5</v>
      </c>
      <c r="K165" s="1">
        <v>5</v>
      </c>
      <c r="L165" s="1">
        <v>1</v>
      </c>
      <c r="M165" s="1">
        <v>0</v>
      </c>
      <c r="N165" s="1">
        <v>0</v>
      </c>
      <c r="O165" s="1">
        <v>0</v>
      </c>
      <c r="P165" s="1">
        <v>19</v>
      </c>
      <c r="Q165" s="1">
        <v>7</v>
      </c>
      <c r="R165" s="1">
        <v>1</v>
      </c>
      <c r="S165" s="1">
        <v>72.22</v>
      </c>
      <c r="T165" t="s">
        <v>279</v>
      </c>
      <c r="U165" s="9">
        <v>1.98</v>
      </c>
      <c r="V165" s="10">
        <v>115</v>
      </c>
      <c r="W165" t="s">
        <v>587</v>
      </c>
      <c r="X165">
        <v>1</v>
      </c>
      <c r="Y165" s="14">
        <v>71</v>
      </c>
      <c r="Z165" s="1" t="s">
        <v>518</v>
      </c>
      <c r="AA165" s="1">
        <v>71</v>
      </c>
      <c r="AF165" s="1">
        <v>86</v>
      </c>
      <c r="AH165" s="1">
        <v>84</v>
      </c>
      <c r="AI165" s="1">
        <v>81</v>
      </c>
      <c r="AQ165" s="1">
        <v>20</v>
      </c>
      <c r="AR165" s="1">
        <v>10</v>
      </c>
      <c r="AS165" s="1">
        <f t="shared" si="16"/>
        <v>2</v>
      </c>
      <c r="AT165">
        <v>189</v>
      </c>
      <c r="AU165">
        <v>5</v>
      </c>
      <c r="AV165">
        <v>1</v>
      </c>
      <c r="AW165">
        <v>0</v>
      </c>
      <c r="AX165">
        <v>0</v>
      </c>
      <c r="AY165">
        <v>0</v>
      </c>
      <c r="AZ165">
        <v>0</v>
      </c>
      <c r="BA165">
        <v>2</v>
      </c>
      <c r="BB165">
        <v>2</v>
      </c>
      <c r="BC165">
        <v>3</v>
      </c>
      <c r="BD165">
        <v>0</v>
      </c>
      <c r="BE165">
        <v>4</v>
      </c>
      <c r="BF165">
        <v>0</v>
      </c>
      <c r="BG165">
        <v>46</v>
      </c>
      <c r="BH165">
        <v>9</v>
      </c>
      <c r="BI165">
        <v>0</v>
      </c>
      <c r="BJ165">
        <v>2</v>
      </c>
      <c r="BK165">
        <v>2</v>
      </c>
      <c r="BL165">
        <v>0</v>
      </c>
      <c r="BM165">
        <v>0</v>
      </c>
      <c r="BN165">
        <v>1</v>
      </c>
      <c r="BO165">
        <v>12</v>
      </c>
      <c r="BP165">
        <v>0</v>
      </c>
      <c r="BQ165">
        <v>0</v>
      </c>
      <c r="BR165">
        <v>0</v>
      </c>
    </row>
    <row r="166" spans="1:70" hidden="1" x14ac:dyDescent="0.2">
      <c r="A166" s="1" t="s">
        <v>35</v>
      </c>
      <c r="B166" s="1" t="s">
        <v>553</v>
      </c>
      <c r="C166" s="1" t="s">
        <v>114</v>
      </c>
      <c r="D166" s="1" t="s">
        <v>328</v>
      </c>
      <c r="E166" s="1">
        <f>G166-F166+1</f>
        <v>10</v>
      </c>
      <c r="F166" s="1" t="str">
        <f>LEFT(D166, SEARCH("-",D166,1)-1)</f>
        <v>2010</v>
      </c>
      <c r="G166" s="1" t="str">
        <f t="shared" si="12"/>
        <v>2019</v>
      </c>
      <c r="H166" s="1">
        <v>29</v>
      </c>
      <c r="I166" s="1">
        <v>20</v>
      </c>
      <c r="J166" s="1">
        <v>9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21</v>
      </c>
      <c r="Q166" s="1">
        <v>7</v>
      </c>
      <c r="R166" s="1">
        <v>1</v>
      </c>
      <c r="S166" s="1">
        <v>74.13</v>
      </c>
      <c r="T166" t="s">
        <v>279</v>
      </c>
      <c r="U166" s="9">
        <v>2.0099999999999998</v>
      </c>
      <c r="V166" s="10">
        <v>113</v>
      </c>
      <c r="W166" t="s">
        <v>588</v>
      </c>
      <c r="X166">
        <v>1</v>
      </c>
      <c r="Y166" s="14">
        <v>77</v>
      </c>
      <c r="Z166" s="1" t="s">
        <v>510</v>
      </c>
      <c r="AA166" s="1">
        <v>53</v>
      </c>
      <c r="AG166" s="1">
        <v>68</v>
      </c>
      <c r="AJ166" s="1">
        <v>64</v>
      </c>
      <c r="AK166" s="1">
        <v>59</v>
      </c>
      <c r="AQ166" s="1">
        <v>22</v>
      </c>
      <c r="AR166" s="1">
        <v>15</v>
      </c>
      <c r="AS166" s="1">
        <f t="shared" si="16"/>
        <v>1.4666666666666666</v>
      </c>
      <c r="AT166">
        <v>185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3</v>
      </c>
      <c r="BB166">
        <v>0</v>
      </c>
      <c r="BC166">
        <v>6</v>
      </c>
      <c r="BD166">
        <v>0</v>
      </c>
      <c r="BE166">
        <v>2</v>
      </c>
      <c r="BF166">
        <v>0</v>
      </c>
      <c r="BG166">
        <v>40</v>
      </c>
      <c r="BH166">
        <v>3</v>
      </c>
      <c r="BI166">
        <v>1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5</v>
      </c>
      <c r="BP166">
        <v>2</v>
      </c>
      <c r="BQ166">
        <v>0</v>
      </c>
      <c r="BR166">
        <v>0</v>
      </c>
    </row>
    <row r="167" spans="1:70" x14ac:dyDescent="0.2">
      <c r="A167" s="1" t="s">
        <v>35</v>
      </c>
      <c r="B167" s="1" t="s">
        <v>554</v>
      </c>
      <c r="C167" s="1" t="s">
        <v>114</v>
      </c>
      <c r="D167" s="1"/>
      <c r="G167" s="1" t="str">
        <f t="shared" si="12"/>
        <v/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T167" t="s">
        <v>274</v>
      </c>
      <c r="U167" s="9">
        <v>1.9</v>
      </c>
      <c r="V167" s="10">
        <v>94</v>
      </c>
      <c r="W167" t="s">
        <v>589</v>
      </c>
      <c r="X167">
        <v>0</v>
      </c>
      <c r="Y167" s="14">
        <v>80</v>
      </c>
      <c r="Z167" s="1" t="s">
        <v>510</v>
      </c>
      <c r="AA167" s="1">
        <v>85</v>
      </c>
      <c r="AG167" s="1">
        <v>87</v>
      </c>
      <c r="AJ167" s="1">
        <v>29</v>
      </c>
      <c r="AK167" s="1">
        <v>61</v>
      </c>
    </row>
    <row r="168" spans="1:70" hidden="1" x14ac:dyDescent="0.2">
      <c r="A168" s="1" t="s">
        <v>35</v>
      </c>
      <c r="B168" s="1" t="s">
        <v>555</v>
      </c>
      <c r="C168" s="1" t="s">
        <v>114</v>
      </c>
      <c r="D168" s="1" t="s">
        <v>277</v>
      </c>
      <c r="E168" s="1">
        <f>G168-F168+1</f>
        <v>6</v>
      </c>
      <c r="F168" s="1" t="str">
        <f>LEFT(D168, SEARCH("-",D168,1)-1)</f>
        <v>2013</v>
      </c>
      <c r="G168" s="1" t="str">
        <f t="shared" si="12"/>
        <v>2018</v>
      </c>
      <c r="H168" s="1">
        <v>27</v>
      </c>
      <c r="I168" s="1">
        <v>21</v>
      </c>
      <c r="J168" s="1">
        <v>6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20</v>
      </c>
      <c r="Q168" s="1">
        <v>7</v>
      </c>
      <c r="R168" s="1">
        <v>0</v>
      </c>
      <c r="S168" s="1">
        <v>74.069999999999993</v>
      </c>
      <c r="T168" t="s">
        <v>254</v>
      </c>
      <c r="U168" s="9">
        <v>1.83</v>
      </c>
      <c r="V168" s="10">
        <v>113</v>
      </c>
      <c r="W168" t="s">
        <v>590</v>
      </c>
      <c r="X168">
        <v>1</v>
      </c>
      <c r="Y168" s="14">
        <v>69</v>
      </c>
      <c r="Z168" s="1" t="s">
        <v>591</v>
      </c>
      <c r="AA168" s="1">
        <v>82</v>
      </c>
      <c r="AE168" s="1">
        <v>65</v>
      </c>
      <c r="AF168" s="1">
        <v>86</v>
      </c>
    </row>
    <row r="169" spans="1:70" hidden="1" x14ac:dyDescent="0.2">
      <c r="A169" s="1" t="s">
        <v>35</v>
      </c>
      <c r="B169" s="1" t="s">
        <v>562</v>
      </c>
      <c r="C169" s="1" t="s">
        <v>114</v>
      </c>
      <c r="D169" s="1"/>
      <c r="G169" s="1" t="str">
        <f t="shared" si="12"/>
        <v/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T169" t="s">
        <v>279</v>
      </c>
      <c r="U169" s="9">
        <v>2.0299999999999998</v>
      </c>
      <c r="V169" s="10">
        <v>122</v>
      </c>
      <c r="W169" t="s">
        <v>592</v>
      </c>
      <c r="X169">
        <v>0</v>
      </c>
      <c r="Y169" s="14">
        <v>71</v>
      </c>
      <c r="Z169" s="1" t="s">
        <v>510</v>
      </c>
      <c r="AA169" s="1">
        <v>77</v>
      </c>
      <c r="AF169" s="1">
        <v>78</v>
      </c>
      <c r="AH169" s="1">
        <v>82</v>
      </c>
      <c r="AI169" s="1">
        <v>85</v>
      </c>
    </row>
    <row r="170" spans="1:70" hidden="1" x14ac:dyDescent="0.2">
      <c r="A170" s="1" t="s">
        <v>35</v>
      </c>
      <c r="B170" s="1" t="s">
        <v>556</v>
      </c>
      <c r="C170" s="1" t="s">
        <v>114</v>
      </c>
      <c r="D170" s="1" t="s">
        <v>293</v>
      </c>
      <c r="E170" s="1">
        <f>G170-F170+1</f>
        <v>3</v>
      </c>
      <c r="F170" s="1" t="str">
        <f>LEFT(D170, SEARCH("-",D170,1)-1)</f>
        <v>2017</v>
      </c>
      <c r="G170" s="1" t="str">
        <f t="shared" si="12"/>
        <v>2019</v>
      </c>
      <c r="H170" s="1">
        <v>11</v>
      </c>
      <c r="I170" s="1">
        <v>6</v>
      </c>
      <c r="J170" s="1">
        <v>5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6</v>
      </c>
      <c r="Q170" s="1">
        <v>4</v>
      </c>
      <c r="R170" s="1">
        <v>1</v>
      </c>
      <c r="S170" s="1">
        <v>59.09</v>
      </c>
      <c r="T170" t="s">
        <v>254</v>
      </c>
      <c r="U170" s="9">
        <v>1.83</v>
      </c>
      <c r="V170" s="10">
        <v>113</v>
      </c>
      <c r="W170" t="s">
        <v>593</v>
      </c>
      <c r="X170">
        <v>1</v>
      </c>
      <c r="Y170" s="14">
        <v>78</v>
      </c>
      <c r="Z170" s="1" t="s">
        <v>591</v>
      </c>
      <c r="AA170" s="1">
        <v>86</v>
      </c>
      <c r="AE170" s="1">
        <v>70</v>
      </c>
      <c r="AF170" s="1">
        <v>86</v>
      </c>
      <c r="AQ170" s="1">
        <v>63</v>
      </c>
      <c r="AR170" s="1">
        <v>36</v>
      </c>
      <c r="AS170" s="1">
        <f t="shared" si="16"/>
        <v>1.75</v>
      </c>
      <c r="AT170">
        <v>281</v>
      </c>
      <c r="AU170">
        <v>0</v>
      </c>
      <c r="AV170">
        <v>0</v>
      </c>
      <c r="AW170">
        <v>1</v>
      </c>
      <c r="AX170">
        <v>0</v>
      </c>
      <c r="AY170">
        <v>0</v>
      </c>
      <c r="AZ170">
        <v>0</v>
      </c>
      <c r="BA170">
        <v>5</v>
      </c>
      <c r="BB170">
        <v>2</v>
      </c>
      <c r="BC170">
        <v>13</v>
      </c>
      <c r="BD170">
        <v>0</v>
      </c>
      <c r="BE170">
        <v>15</v>
      </c>
      <c r="BF170">
        <v>0</v>
      </c>
      <c r="BG170">
        <v>44</v>
      </c>
      <c r="BH170">
        <v>5</v>
      </c>
      <c r="BI170">
        <v>0</v>
      </c>
      <c r="BJ170">
        <v>4</v>
      </c>
      <c r="BK170">
        <v>3</v>
      </c>
      <c r="BL170">
        <v>6</v>
      </c>
      <c r="BM170">
        <v>1</v>
      </c>
      <c r="BN170">
        <v>0</v>
      </c>
      <c r="BO170">
        <v>0</v>
      </c>
      <c r="BP170">
        <v>1</v>
      </c>
      <c r="BQ170">
        <v>0</v>
      </c>
      <c r="BR170">
        <v>0</v>
      </c>
    </row>
    <row r="171" spans="1:70" hidden="1" x14ac:dyDescent="0.2">
      <c r="A171" s="1" t="s">
        <v>35</v>
      </c>
      <c r="B171" s="1" t="s">
        <v>563</v>
      </c>
      <c r="C171" s="1" t="s">
        <v>114</v>
      </c>
      <c r="D171" s="1"/>
      <c r="G171" s="1" t="str">
        <f t="shared" si="12"/>
        <v/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T171" t="s">
        <v>254</v>
      </c>
      <c r="U171" s="9">
        <v>1.89</v>
      </c>
      <c r="V171" s="10">
        <v>124</v>
      </c>
      <c r="W171" t="s">
        <v>594</v>
      </c>
      <c r="X171">
        <v>0</v>
      </c>
      <c r="Y171" s="14">
        <v>71</v>
      </c>
      <c r="Z171" s="1" t="s">
        <v>519</v>
      </c>
      <c r="AA171" s="1">
        <v>86</v>
      </c>
      <c r="AE171" s="1">
        <v>77</v>
      </c>
      <c r="AF171" s="1">
        <v>65</v>
      </c>
    </row>
    <row r="172" spans="1:70" x14ac:dyDescent="0.2">
      <c r="A172" s="1" t="s">
        <v>35</v>
      </c>
      <c r="B172" s="1" t="s">
        <v>557</v>
      </c>
      <c r="C172" s="1" t="s">
        <v>114</v>
      </c>
      <c r="D172" s="1" t="s">
        <v>298</v>
      </c>
      <c r="E172" s="1">
        <f>G172-F172+1</f>
        <v>1</v>
      </c>
      <c r="F172" s="1" t="str">
        <f>LEFT(D172, SEARCH("-",D172,1)-1)</f>
        <v>2018</v>
      </c>
      <c r="G172" s="1" t="str">
        <f t="shared" si="12"/>
        <v>2018</v>
      </c>
      <c r="H172" s="1">
        <v>3</v>
      </c>
      <c r="I172" s="1">
        <v>0</v>
      </c>
      <c r="J172" s="1">
        <v>3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2</v>
      </c>
      <c r="Q172" s="1">
        <v>1</v>
      </c>
      <c r="R172" s="1">
        <v>0</v>
      </c>
      <c r="S172" s="1">
        <v>66.66</v>
      </c>
      <c r="T172" t="s">
        <v>274</v>
      </c>
      <c r="U172" s="9">
        <v>1.86</v>
      </c>
      <c r="V172" s="10">
        <v>103</v>
      </c>
      <c r="W172" t="s">
        <v>595</v>
      </c>
      <c r="X172">
        <v>1</v>
      </c>
      <c r="Y172" s="14">
        <v>67</v>
      </c>
      <c r="Z172" s="1" t="s">
        <v>519</v>
      </c>
      <c r="AA172" s="1">
        <v>87</v>
      </c>
      <c r="AG172" s="1">
        <v>81</v>
      </c>
      <c r="AJ172" s="1">
        <v>77</v>
      </c>
      <c r="AK172" s="1">
        <v>69</v>
      </c>
    </row>
    <row r="173" spans="1:70" hidden="1" x14ac:dyDescent="0.2">
      <c r="A173" s="1" t="s">
        <v>35</v>
      </c>
      <c r="B173" s="1" t="s">
        <v>558</v>
      </c>
      <c r="C173" s="1" t="s">
        <v>114</v>
      </c>
      <c r="D173" s="1" t="s">
        <v>301</v>
      </c>
      <c r="E173" s="1">
        <f>G173-F173+1</f>
        <v>7</v>
      </c>
      <c r="F173" s="1" t="str">
        <f>LEFT(D173, SEARCH("-",D173,1)-1)</f>
        <v>2013</v>
      </c>
      <c r="G173" s="1" t="str">
        <f t="shared" si="12"/>
        <v>2019</v>
      </c>
      <c r="H173" s="1">
        <v>30</v>
      </c>
      <c r="I173" s="1">
        <v>11</v>
      </c>
      <c r="J173" s="1">
        <v>19</v>
      </c>
      <c r="K173" s="1">
        <v>5</v>
      </c>
      <c r="L173" s="1">
        <v>1</v>
      </c>
      <c r="M173" s="1">
        <v>0</v>
      </c>
      <c r="N173" s="1">
        <v>0</v>
      </c>
      <c r="O173" s="1">
        <v>0</v>
      </c>
      <c r="P173" s="1">
        <v>23</v>
      </c>
      <c r="Q173" s="1">
        <v>7</v>
      </c>
      <c r="R173" s="1">
        <v>0</v>
      </c>
      <c r="S173" s="1">
        <v>76.66</v>
      </c>
      <c r="T173" t="s">
        <v>254</v>
      </c>
      <c r="U173" s="9">
        <v>1.82</v>
      </c>
      <c r="V173" s="10">
        <v>118</v>
      </c>
      <c r="W173" t="s">
        <v>596</v>
      </c>
      <c r="X173">
        <v>1</v>
      </c>
      <c r="Y173" s="14">
        <v>89</v>
      </c>
      <c r="Z173" s="1" t="s">
        <v>511</v>
      </c>
      <c r="AA173" s="1">
        <v>91</v>
      </c>
      <c r="AE173" s="1">
        <v>76</v>
      </c>
      <c r="AF173" s="1">
        <v>85</v>
      </c>
      <c r="AQ173" s="1">
        <v>33</v>
      </c>
      <c r="AR173" s="1">
        <v>23</v>
      </c>
      <c r="AS173" s="1">
        <f t="shared" si="16"/>
        <v>1.4347826086956521</v>
      </c>
      <c r="AT173">
        <v>119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1</v>
      </c>
      <c r="BB173">
        <v>0</v>
      </c>
      <c r="BC173">
        <v>11</v>
      </c>
      <c r="BD173">
        <v>0</v>
      </c>
      <c r="BE173">
        <v>3</v>
      </c>
      <c r="BF173">
        <v>0</v>
      </c>
      <c r="BG173">
        <v>38</v>
      </c>
      <c r="BH173">
        <v>1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</row>
    <row r="174" spans="1:70" hidden="1" x14ac:dyDescent="0.2">
      <c r="A174" s="1" t="s">
        <v>35</v>
      </c>
      <c r="B174" s="1" t="s">
        <v>559</v>
      </c>
      <c r="C174" s="1" t="s">
        <v>114</v>
      </c>
      <c r="D174" s="1" t="s">
        <v>340</v>
      </c>
      <c r="E174" s="1">
        <f>G174-F174+1</f>
        <v>2</v>
      </c>
      <c r="F174" s="1" t="str">
        <f>LEFT(D174, SEARCH("-",D174,1)-1)</f>
        <v>2018</v>
      </c>
      <c r="G174" s="1" t="str">
        <f t="shared" si="12"/>
        <v>2019</v>
      </c>
      <c r="H174" s="1">
        <v>5</v>
      </c>
      <c r="I174" s="1">
        <v>0</v>
      </c>
      <c r="J174" s="1">
        <v>5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3</v>
      </c>
      <c r="Q174" s="1">
        <v>2</v>
      </c>
      <c r="R174" s="1">
        <v>0</v>
      </c>
      <c r="S174" s="1">
        <v>60</v>
      </c>
      <c r="T174" t="s">
        <v>254</v>
      </c>
      <c r="U174" s="9">
        <v>1.91</v>
      </c>
      <c r="V174" s="10">
        <v>132</v>
      </c>
      <c r="W174" t="s">
        <v>597</v>
      </c>
      <c r="X174">
        <v>1</v>
      </c>
      <c r="Y174" s="14">
        <v>77</v>
      </c>
      <c r="Z174" s="1" t="s">
        <v>577</v>
      </c>
      <c r="AA174" s="1">
        <v>85</v>
      </c>
      <c r="AE174" s="1">
        <v>69</v>
      </c>
      <c r="AF174" s="1">
        <v>88</v>
      </c>
      <c r="AQ174" s="1">
        <v>0</v>
      </c>
      <c r="AR174" s="1">
        <v>3</v>
      </c>
      <c r="AS174" s="1">
        <f t="shared" si="16"/>
        <v>0</v>
      </c>
      <c r="AT174">
        <v>40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1</v>
      </c>
      <c r="BF174">
        <v>0</v>
      </c>
      <c r="BG174">
        <v>21</v>
      </c>
      <c r="BH174">
        <v>1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</row>
    <row r="175" spans="1:70" hidden="1" x14ac:dyDescent="0.2">
      <c r="A175" s="1" t="s">
        <v>35</v>
      </c>
      <c r="B175" s="1" t="s">
        <v>564</v>
      </c>
      <c r="C175" s="1" t="s">
        <v>115</v>
      </c>
      <c r="D175" s="1" t="s">
        <v>258</v>
      </c>
      <c r="E175" s="1">
        <f>G175-F175+1</f>
        <v>4</v>
      </c>
      <c r="F175" s="1" t="str">
        <f>LEFT(D175, SEARCH("-",D175,1)-1)</f>
        <v>2016</v>
      </c>
      <c r="G175" s="1" t="str">
        <f t="shared" si="12"/>
        <v>2019</v>
      </c>
      <c r="H175" s="1">
        <v>14</v>
      </c>
      <c r="I175" s="1">
        <v>12</v>
      </c>
      <c r="J175" s="1">
        <v>2</v>
      </c>
      <c r="K175" s="1">
        <v>31</v>
      </c>
      <c r="L175" s="1">
        <v>5</v>
      </c>
      <c r="M175" s="1">
        <v>0</v>
      </c>
      <c r="N175" s="1">
        <v>2</v>
      </c>
      <c r="O175" s="1">
        <v>0</v>
      </c>
      <c r="P175" s="1">
        <v>9</v>
      </c>
      <c r="Q175" s="1">
        <v>4</v>
      </c>
      <c r="R175" s="1">
        <v>1</v>
      </c>
      <c r="S175" s="1">
        <v>67.849999999999994</v>
      </c>
      <c r="T175" t="s">
        <v>598</v>
      </c>
      <c r="U175" s="9">
        <v>1.84</v>
      </c>
      <c r="V175" s="10">
        <v>92</v>
      </c>
      <c r="W175" t="s">
        <v>599</v>
      </c>
      <c r="X175">
        <v>1</v>
      </c>
      <c r="Y175" s="14">
        <v>85</v>
      </c>
      <c r="Z175" s="1" t="s">
        <v>511</v>
      </c>
      <c r="AA175" s="1">
        <v>81</v>
      </c>
      <c r="AB175" s="1">
        <v>78</v>
      </c>
      <c r="AP175" s="1">
        <v>74</v>
      </c>
      <c r="AQ175" s="1">
        <v>274</v>
      </c>
      <c r="AR175" s="1">
        <v>50</v>
      </c>
      <c r="AS175" s="1">
        <f t="shared" si="16"/>
        <v>5.48</v>
      </c>
      <c r="AT175">
        <v>400</v>
      </c>
      <c r="AU175">
        <v>5</v>
      </c>
      <c r="AV175">
        <v>1</v>
      </c>
      <c r="AW175">
        <v>3</v>
      </c>
      <c r="AX175">
        <v>0</v>
      </c>
      <c r="AY175">
        <v>0</v>
      </c>
      <c r="AZ175">
        <v>0</v>
      </c>
      <c r="BA175">
        <v>13</v>
      </c>
      <c r="BB175">
        <v>4</v>
      </c>
      <c r="BC175">
        <v>9</v>
      </c>
      <c r="BD175">
        <v>1</v>
      </c>
      <c r="BE175">
        <v>36</v>
      </c>
      <c r="BF175">
        <v>5</v>
      </c>
      <c r="BG175">
        <v>7</v>
      </c>
      <c r="BH175">
        <v>5</v>
      </c>
      <c r="BI175">
        <v>0</v>
      </c>
      <c r="BJ175">
        <v>8</v>
      </c>
      <c r="BK175">
        <v>4</v>
      </c>
      <c r="BL175">
        <v>2</v>
      </c>
      <c r="BM175">
        <v>18</v>
      </c>
      <c r="BN175">
        <v>25</v>
      </c>
      <c r="BO175">
        <v>1</v>
      </c>
      <c r="BP175">
        <v>0</v>
      </c>
      <c r="BQ175">
        <v>0</v>
      </c>
      <c r="BR175">
        <v>0</v>
      </c>
    </row>
    <row r="176" spans="1:70" hidden="1" x14ac:dyDescent="0.2">
      <c r="A176" s="1" t="s">
        <v>35</v>
      </c>
      <c r="B176" s="1" t="s">
        <v>565</v>
      </c>
      <c r="C176" s="1" t="s">
        <v>115</v>
      </c>
      <c r="D176" s="1"/>
      <c r="G176" s="1" t="str">
        <f t="shared" si="12"/>
        <v/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T176" t="s">
        <v>302</v>
      </c>
      <c r="U176" s="9">
        <v>1.93</v>
      </c>
      <c r="V176" s="10">
        <v>98</v>
      </c>
      <c r="W176" t="s">
        <v>600</v>
      </c>
      <c r="X176">
        <v>0</v>
      </c>
      <c r="Y176" s="14">
        <v>85</v>
      </c>
      <c r="Z176" s="1" t="s">
        <v>577</v>
      </c>
      <c r="AA176" s="1">
        <v>90</v>
      </c>
      <c r="AB176" s="1">
        <v>75</v>
      </c>
      <c r="AP176" s="1">
        <v>79</v>
      </c>
    </row>
    <row r="177" spans="1:70" hidden="1" x14ac:dyDescent="0.2">
      <c r="A177" s="1" t="s">
        <v>35</v>
      </c>
      <c r="B177" s="1" t="s">
        <v>601</v>
      </c>
      <c r="C177" s="1" t="s">
        <v>115</v>
      </c>
      <c r="D177" s="1"/>
      <c r="G177" s="1" t="str">
        <f t="shared" si="12"/>
        <v/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T177" t="s">
        <v>302</v>
      </c>
      <c r="U177" s="9">
        <v>1.88</v>
      </c>
      <c r="V177" s="10">
        <v>86</v>
      </c>
      <c r="W177" t="s">
        <v>605</v>
      </c>
      <c r="X177">
        <v>0</v>
      </c>
      <c r="Y177" s="14">
        <v>68</v>
      </c>
      <c r="Z177" s="1" t="s">
        <v>510</v>
      </c>
      <c r="AA177" s="1">
        <v>81</v>
      </c>
      <c r="AB177" s="1">
        <v>73</v>
      </c>
      <c r="AP177" s="1">
        <v>76</v>
      </c>
    </row>
    <row r="178" spans="1:70" hidden="1" x14ac:dyDescent="0.2">
      <c r="A178" s="1" t="s">
        <v>35</v>
      </c>
      <c r="B178" s="1" t="s">
        <v>566</v>
      </c>
      <c r="C178" s="1" t="s">
        <v>115</v>
      </c>
      <c r="D178" s="1" t="s">
        <v>338</v>
      </c>
      <c r="E178" s="1">
        <f>G178-F178+1</f>
        <v>8</v>
      </c>
      <c r="F178" s="1" t="str">
        <f>LEFT(D178, SEARCH("-",D178,1)-1)</f>
        <v>2012</v>
      </c>
      <c r="G178" s="1" t="str">
        <f t="shared" si="12"/>
        <v>2019</v>
      </c>
      <c r="H178" s="1">
        <v>34</v>
      </c>
      <c r="I178" s="1">
        <v>34</v>
      </c>
      <c r="J178" s="1">
        <v>0</v>
      </c>
      <c r="K178" s="1">
        <v>402</v>
      </c>
      <c r="L178" s="1">
        <v>5</v>
      </c>
      <c r="M178" s="1">
        <v>64</v>
      </c>
      <c r="N178" s="1">
        <v>83</v>
      </c>
      <c r="O178" s="1">
        <v>0</v>
      </c>
      <c r="P178" s="1">
        <v>25</v>
      </c>
      <c r="Q178" s="1">
        <v>8</v>
      </c>
      <c r="R178" s="1">
        <v>1</v>
      </c>
      <c r="S178" s="1">
        <v>75</v>
      </c>
      <c r="T178" t="s">
        <v>297</v>
      </c>
      <c r="U178" s="9">
        <v>1.88</v>
      </c>
      <c r="V178" s="10">
        <v>90</v>
      </c>
      <c r="W178" t="s">
        <v>606</v>
      </c>
      <c r="X178">
        <v>1</v>
      </c>
      <c r="Y178" s="14">
        <v>89</v>
      </c>
      <c r="Z178" s="1" t="s">
        <v>511</v>
      </c>
      <c r="AA178" s="1">
        <v>90</v>
      </c>
      <c r="AB178" s="1">
        <v>74</v>
      </c>
      <c r="AC178" s="1">
        <v>45</v>
      </c>
      <c r="AO178" s="1">
        <v>92</v>
      </c>
      <c r="AQ178" s="1">
        <v>85</v>
      </c>
      <c r="AR178" s="1">
        <v>31</v>
      </c>
      <c r="AS178" s="1">
        <f t="shared" si="16"/>
        <v>2.7419354838709675</v>
      </c>
      <c r="AT178">
        <v>370</v>
      </c>
      <c r="AU178">
        <v>59</v>
      </c>
      <c r="AV178">
        <v>1</v>
      </c>
      <c r="AW178">
        <v>2</v>
      </c>
      <c r="AX178">
        <v>15</v>
      </c>
      <c r="AY178">
        <v>8</v>
      </c>
      <c r="AZ178">
        <v>0</v>
      </c>
      <c r="BA178">
        <v>4</v>
      </c>
      <c r="BB178">
        <v>3</v>
      </c>
      <c r="BC178">
        <v>5</v>
      </c>
      <c r="BD178">
        <v>0</v>
      </c>
      <c r="BE178">
        <v>114</v>
      </c>
      <c r="BF178">
        <v>3</v>
      </c>
      <c r="BG178">
        <v>42</v>
      </c>
      <c r="BH178">
        <v>11</v>
      </c>
      <c r="BI178">
        <v>4</v>
      </c>
      <c r="BJ178">
        <v>13</v>
      </c>
      <c r="BK178">
        <v>5</v>
      </c>
      <c r="BL178">
        <v>2</v>
      </c>
      <c r="BM178">
        <v>46</v>
      </c>
      <c r="BN178">
        <v>3</v>
      </c>
      <c r="BO178">
        <v>1</v>
      </c>
      <c r="BP178">
        <v>0</v>
      </c>
      <c r="BQ178">
        <v>0</v>
      </c>
      <c r="BR178">
        <v>0</v>
      </c>
    </row>
    <row r="179" spans="1:70" hidden="1" x14ac:dyDescent="0.2">
      <c r="A179" s="1" t="s">
        <v>35</v>
      </c>
      <c r="B179" s="1" t="s">
        <v>567</v>
      </c>
      <c r="C179" s="1" t="s">
        <v>115</v>
      </c>
      <c r="D179" s="1" t="s">
        <v>335</v>
      </c>
      <c r="E179" s="1">
        <f>G179-F179+1</f>
        <v>6</v>
      </c>
      <c r="F179" s="1" t="str">
        <f>LEFT(D179, SEARCH("-",D179,1)-1)</f>
        <v>2014</v>
      </c>
      <c r="G179" s="1" t="str">
        <f t="shared" si="12"/>
        <v>2019</v>
      </c>
      <c r="H179" s="1">
        <v>26</v>
      </c>
      <c r="I179" s="1">
        <v>19</v>
      </c>
      <c r="J179" s="1">
        <v>7</v>
      </c>
      <c r="K179" s="1">
        <v>101</v>
      </c>
      <c r="L179" s="1">
        <v>5</v>
      </c>
      <c r="M179" s="1">
        <v>17</v>
      </c>
      <c r="N179" s="1">
        <v>13</v>
      </c>
      <c r="O179" s="1">
        <v>1</v>
      </c>
      <c r="P179" s="1">
        <v>20</v>
      </c>
      <c r="Q179" s="1">
        <v>5</v>
      </c>
      <c r="R179" s="1">
        <v>1</v>
      </c>
      <c r="S179" s="1">
        <v>78.84</v>
      </c>
      <c r="T179" t="s">
        <v>297</v>
      </c>
      <c r="U179" s="9">
        <v>1.75</v>
      </c>
      <c r="V179" s="10">
        <v>80</v>
      </c>
      <c r="W179" t="s">
        <v>354</v>
      </c>
      <c r="X179">
        <v>1</v>
      </c>
      <c r="Y179" s="14">
        <v>71</v>
      </c>
      <c r="Z179" s="1" t="s">
        <v>520</v>
      </c>
      <c r="AA179" s="1">
        <v>87</v>
      </c>
      <c r="AB179" s="1">
        <v>74</v>
      </c>
      <c r="AC179" s="1">
        <v>57</v>
      </c>
      <c r="AO179" s="1">
        <v>90</v>
      </c>
      <c r="AQ179" s="1">
        <v>34</v>
      </c>
      <c r="AR179" s="1">
        <v>12</v>
      </c>
      <c r="AS179" s="1">
        <f t="shared" si="16"/>
        <v>2.8333333333333335</v>
      </c>
      <c r="AT179">
        <v>53</v>
      </c>
      <c r="AU179">
        <v>13</v>
      </c>
      <c r="AV179">
        <v>1</v>
      </c>
      <c r="AW179">
        <v>0</v>
      </c>
      <c r="AX179">
        <v>4</v>
      </c>
      <c r="AY179">
        <v>0</v>
      </c>
      <c r="AZ179">
        <v>0</v>
      </c>
      <c r="BA179">
        <v>3</v>
      </c>
      <c r="BB179">
        <v>1</v>
      </c>
      <c r="BC179">
        <v>6</v>
      </c>
      <c r="BD179">
        <v>0</v>
      </c>
      <c r="BE179">
        <v>16</v>
      </c>
      <c r="BF179">
        <v>0</v>
      </c>
      <c r="BG179">
        <v>9</v>
      </c>
      <c r="BH179">
        <v>0</v>
      </c>
      <c r="BI179">
        <v>0</v>
      </c>
      <c r="BJ179">
        <v>1</v>
      </c>
      <c r="BK179">
        <v>1</v>
      </c>
      <c r="BL179">
        <v>0</v>
      </c>
      <c r="BM179">
        <v>9</v>
      </c>
      <c r="BN179">
        <v>2</v>
      </c>
      <c r="BO179">
        <v>0</v>
      </c>
      <c r="BP179">
        <v>0</v>
      </c>
      <c r="BQ179">
        <v>0</v>
      </c>
      <c r="BR179">
        <v>0</v>
      </c>
    </row>
    <row r="180" spans="1:70" hidden="1" x14ac:dyDescent="0.2">
      <c r="A180" s="1" t="s">
        <v>35</v>
      </c>
      <c r="B180" s="1" t="s">
        <v>602</v>
      </c>
      <c r="C180" s="1" t="s">
        <v>115</v>
      </c>
      <c r="D180" s="1"/>
      <c r="G180" s="1" t="str">
        <f t="shared" si="12"/>
        <v/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T180" t="s">
        <v>315</v>
      </c>
      <c r="U180" s="9">
        <v>1.82</v>
      </c>
      <c r="V180" s="10">
        <v>92</v>
      </c>
      <c r="W180" t="s">
        <v>607</v>
      </c>
      <c r="X180">
        <v>0</v>
      </c>
      <c r="Z180" s="1" t="s">
        <v>510</v>
      </c>
    </row>
    <row r="181" spans="1:70" hidden="1" x14ac:dyDescent="0.2">
      <c r="A181" s="1" t="s">
        <v>35</v>
      </c>
      <c r="B181" s="1" t="s">
        <v>568</v>
      </c>
      <c r="C181" s="1" t="s">
        <v>115</v>
      </c>
      <c r="D181" s="1"/>
      <c r="G181" s="1" t="str">
        <f t="shared" si="12"/>
        <v/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T181" t="s">
        <v>292</v>
      </c>
      <c r="U181" s="9">
        <v>1.82</v>
      </c>
      <c r="V181" s="10">
        <v>89</v>
      </c>
      <c r="W181" t="s">
        <v>608</v>
      </c>
      <c r="X181">
        <v>0</v>
      </c>
      <c r="Y181" s="14">
        <v>80</v>
      </c>
      <c r="Z181" s="1" t="s">
        <v>508</v>
      </c>
      <c r="AA181" s="1">
        <v>83</v>
      </c>
      <c r="AC181" s="1">
        <v>92</v>
      </c>
      <c r="AL181" s="1">
        <v>74</v>
      </c>
    </row>
    <row r="182" spans="1:70" hidden="1" x14ac:dyDescent="0.2">
      <c r="A182" s="1" t="s">
        <v>35</v>
      </c>
      <c r="B182" s="1" t="s">
        <v>569</v>
      </c>
      <c r="C182" s="1" t="s">
        <v>115</v>
      </c>
      <c r="D182" s="1" t="s">
        <v>317</v>
      </c>
      <c r="E182" s="1">
        <f>G182-F182+1</f>
        <v>4</v>
      </c>
      <c r="F182" s="1" t="str">
        <f>LEFT(D182, SEARCH("-",D182,1)-1)</f>
        <v>2015</v>
      </c>
      <c r="G182" s="1" t="str">
        <f t="shared" si="12"/>
        <v>2018</v>
      </c>
      <c r="H182" s="1">
        <v>19</v>
      </c>
      <c r="I182" s="1">
        <v>17</v>
      </c>
      <c r="J182" s="1">
        <v>2</v>
      </c>
      <c r="K182" s="1">
        <v>50</v>
      </c>
      <c r="L182" s="1">
        <v>10</v>
      </c>
      <c r="M182" s="1">
        <v>0</v>
      </c>
      <c r="N182" s="1">
        <v>0</v>
      </c>
      <c r="O182" s="1">
        <v>0</v>
      </c>
      <c r="P182" s="1">
        <v>14</v>
      </c>
      <c r="Q182" s="1">
        <v>5</v>
      </c>
      <c r="R182" s="1">
        <v>0</v>
      </c>
      <c r="S182" s="1">
        <v>73.680000000000007</v>
      </c>
      <c r="T182" t="s">
        <v>302</v>
      </c>
      <c r="U182" s="9">
        <v>1.83</v>
      </c>
      <c r="V182" s="10">
        <v>91</v>
      </c>
      <c r="W182" t="s">
        <v>609</v>
      </c>
      <c r="X182">
        <v>1</v>
      </c>
      <c r="Y182" s="14">
        <v>72</v>
      </c>
      <c r="Z182" s="1" t="s">
        <v>519</v>
      </c>
      <c r="AA182" s="1">
        <v>77</v>
      </c>
      <c r="AB182" s="1">
        <v>77</v>
      </c>
      <c r="AP182" s="1">
        <v>85</v>
      </c>
    </row>
    <row r="183" spans="1:70" hidden="1" x14ac:dyDescent="0.2">
      <c r="A183" s="1" t="s">
        <v>35</v>
      </c>
      <c r="B183" s="1" t="s">
        <v>570</v>
      </c>
      <c r="C183" s="1" t="s">
        <v>115</v>
      </c>
      <c r="D183" s="1" t="s">
        <v>335</v>
      </c>
      <c r="E183" s="1">
        <f>G183-F183+1</f>
        <v>6</v>
      </c>
      <c r="F183" s="1" t="str">
        <f>LEFT(D183, SEARCH("-",D183,1)-1)</f>
        <v>2014</v>
      </c>
      <c r="G183" s="1" t="str">
        <f t="shared" si="12"/>
        <v>2019</v>
      </c>
      <c r="H183" s="1">
        <v>20</v>
      </c>
      <c r="I183" s="1">
        <v>19</v>
      </c>
      <c r="J183" s="1">
        <v>1</v>
      </c>
      <c r="K183" s="1">
        <v>50</v>
      </c>
      <c r="L183" s="1">
        <v>10</v>
      </c>
      <c r="M183" s="1">
        <v>0</v>
      </c>
      <c r="N183" s="1">
        <v>0</v>
      </c>
      <c r="O183" s="1">
        <v>0</v>
      </c>
      <c r="P183" s="1">
        <v>14</v>
      </c>
      <c r="Q183" s="1">
        <v>5</v>
      </c>
      <c r="R183" s="1">
        <v>1</v>
      </c>
      <c r="S183" s="1">
        <v>72.5</v>
      </c>
      <c r="T183" t="s">
        <v>311</v>
      </c>
      <c r="U183" s="9">
        <v>1.86</v>
      </c>
      <c r="V183" s="10">
        <v>92</v>
      </c>
      <c r="W183" t="s">
        <v>610</v>
      </c>
      <c r="X183">
        <v>1</v>
      </c>
      <c r="Y183" s="14">
        <v>77</v>
      </c>
      <c r="Z183" s="1" t="s">
        <v>520</v>
      </c>
      <c r="AA183" s="1">
        <v>83</v>
      </c>
      <c r="AB183" s="1">
        <v>83</v>
      </c>
      <c r="AC183" s="1">
        <v>55</v>
      </c>
      <c r="AD183" s="1">
        <v>92</v>
      </c>
      <c r="AQ183" s="1">
        <v>284</v>
      </c>
      <c r="AR183" s="1">
        <v>52</v>
      </c>
      <c r="AS183" s="1">
        <f t="shared" si="16"/>
        <v>5.4615384615384617</v>
      </c>
      <c r="AT183">
        <v>389</v>
      </c>
      <c r="AU183">
        <v>30</v>
      </c>
      <c r="AV183">
        <v>6</v>
      </c>
      <c r="AW183">
        <v>1</v>
      </c>
      <c r="AX183">
        <v>0</v>
      </c>
      <c r="AY183">
        <v>0</v>
      </c>
      <c r="AZ183">
        <v>0</v>
      </c>
      <c r="BA183">
        <v>9</v>
      </c>
      <c r="BB183">
        <v>11</v>
      </c>
      <c r="BC183">
        <v>15</v>
      </c>
      <c r="BD183">
        <v>0</v>
      </c>
      <c r="BE183">
        <v>16</v>
      </c>
      <c r="BF183">
        <v>4</v>
      </c>
      <c r="BG183">
        <v>36</v>
      </c>
      <c r="BH183">
        <v>5</v>
      </c>
      <c r="BI183">
        <v>3</v>
      </c>
      <c r="BJ183">
        <v>6</v>
      </c>
      <c r="BK183">
        <v>2</v>
      </c>
      <c r="BL183">
        <v>2</v>
      </c>
      <c r="BM183">
        <v>7</v>
      </c>
      <c r="BN183">
        <v>23</v>
      </c>
      <c r="BO183">
        <v>0</v>
      </c>
      <c r="BP183">
        <v>0</v>
      </c>
      <c r="BQ183">
        <v>0</v>
      </c>
      <c r="BR183">
        <v>0</v>
      </c>
    </row>
    <row r="184" spans="1:70" hidden="1" x14ac:dyDescent="0.2">
      <c r="A184" s="1" t="s">
        <v>35</v>
      </c>
      <c r="B184" s="1" t="s">
        <v>603</v>
      </c>
      <c r="C184" s="1" t="s">
        <v>115</v>
      </c>
      <c r="D184" s="1"/>
      <c r="G184" s="1" t="str">
        <f t="shared" si="12"/>
        <v/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T184" t="s">
        <v>311</v>
      </c>
      <c r="U184" s="9">
        <v>1.85</v>
      </c>
      <c r="V184" s="10">
        <v>99</v>
      </c>
      <c r="W184" t="s">
        <v>611</v>
      </c>
      <c r="X184">
        <v>0</v>
      </c>
      <c r="Z184" s="1" t="s">
        <v>508</v>
      </c>
    </row>
    <row r="185" spans="1:70" hidden="1" x14ac:dyDescent="0.2">
      <c r="A185" s="1" t="s">
        <v>35</v>
      </c>
      <c r="B185" s="1" t="s">
        <v>571</v>
      </c>
      <c r="C185" s="1" t="s">
        <v>115</v>
      </c>
      <c r="D185" s="1" t="s">
        <v>338</v>
      </c>
      <c r="E185" s="1">
        <f>G185-F185+1</f>
        <v>8</v>
      </c>
      <c r="F185" s="1" t="str">
        <f>LEFT(D185, SEARCH("-",D185,1)-1)</f>
        <v>2012</v>
      </c>
      <c r="G185" s="1" t="str">
        <f t="shared" si="12"/>
        <v>2019</v>
      </c>
      <c r="H185" s="1">
        <v>14</v>
      </c>
      <c r="I185" s="1">
        <v>11</v>
      </c>
      <c r="J185" s="1">
        <v>3</v>
      </c>
      <c r="K185" s="1">
        <v>25</v>
      </c>
      <c r="L185" s="1">
        <v>5</v>
      </c>
      <c r="M185" s="1">
        <v>0</v>
      </c>
      <c r="N185" s="1">
        <v>0</v>
      </c>
      <c r="O185" s="1">
        <v>0</v>
      </c>
      <c r="P185" s="1">
        <v>10</v>
      </c>
      <c r="Q185" s="1">
        <v>3</v>
      </c>
      <c r="R185" s="1">
        <v>1</v>
      </c>
      <c r="S185" s="1">
        <v>75</v>
      </c>
      <c r="T185" t="s">
        <v>302</v>
      </c>
      <c r="U185" s="9">
        <v>1.85</v>
      </c>
      <c r="V185" s="10">
        <v>114</v>
      </c>
      <c r="W185" t="s">
        <v>612</v>
      </c>
      <c r="X185">
        <v>1</v>
      </c>
      <c r="Y185" s="14">
        <v>71</v>
      </c>
      <c r="Z185" s="1" t="s">
        <v>520</v>
      </c>
      <c r="AA185" s="1">
        <v>74</v>
      </c>
      <c r="AB185" s="1">
        <v>75</v>
      </c>
      <c r="AP185" s="1">
        <v>79</v>
      </c>
      <c r="AQ185" s="1">
        <v>182</v>
      </c>
      <c r="AR185" s="1">
        <v>38</v>
      </c>
      <c r="AS185" s="1">
        <f t="shared" si="16"/>
        <v>4.7894736842105265</v>
      </c>
      <c r="AT185">
        <v>354</v>
      </c>
      <c r="AU185">
        <v>10</v>
      </c>
      <c r="AV185">
        <v>2</v>
      </c>
      <c r="AW185">
        <v>1</v>
      </c>
      <c r="AX185">
        <v>0</v>
      </c>
      <c r="AY185">
        <v>0</v>
      </c>
      <c r="AZ185">
        <v>0</v>
      </c>
      <c r="BA185">
        <v>11</v>
      </c>
      <c r="BB185">
        <v>6</v>
      </c>
      <c r="BC185">
        <v>18</v>
      </c>
      <c r="BD185">
        <v>0</v>
      </c>
      <c r="BE185">
        <v>15</v>
      </c>
      <c r="BF185">
        <v>3</v>
      </c>
      <c r="BG185">
        <v>28</v>
      </c>
      <c r="BH185">
        <v>11</v>
      </c>
      <c r="BI185">
        <v>1</v>
      </c>
      <c r="BJ185">
        <v>3</v>
      </c>
      <c r="BK185">
        <v>2</v>
      </c>
      <c r="BL185">
        <v>1</v>
      </c>
      <c r="BM185">
        <v>0</v>
      </c>
      <c r="BN185">
        <v>0</v>
      </c>
      <c r="BO185">
        <v>1</v>
      </c>
      <c r="BP185">
        <v>0</v>
      </c>
      <c r="BQ185">
        <v>0</v>
      </c>
      <c r="BR185">
        <v>0</v>
      </c>
    </row>
    <row r="186" spans="1:70" hidden="1" x14ac:dyDescent="0.2">
      <c r="A186" s="1" t="s">
        <v>35</v>
      </c>
      <c r="B186" s="1" t="s">
        <v>604</v>
      </c>
      <c r="C186" s="1" t="s">
        <v>115</v>
      </c>
      <c r="D186" s="1"/>
      <c r="G186" s="1" t="str">
        <f t="shared" si="12"/>
        <v/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T186" t="s">
        <v>297</v>
      </c>
      <c r="U186" s="9">
        <v>1.82</v>
      </c>
      <c r="V186" s="10">
        <v>91</v>
      </c>
      <c r="W186" t="s">
        <v>613</v>
      </c>
      <c r="X186">
        <v>0</v>
      </c>
      <c r="Y186" s="14">
        <v>56</v>
      </c>
      <c r="Z186" s="1" t="s">
        <v>518</v>
      </c>
      <c r="AA186" s="1">
        <v>46</v>
      </c>
      <c r="AB186" s="1">
        <v>69</v>
      </c>
      <c r="AP186" s="1">
        <v>78</v>
      </c>
    </row>
    <row r="187" spans="1:70" hidden="1" x14ac:dyDescent="0.2">
      <c r="A187" s="1" t="s">
        <v>35</v>
      </c>
      <c r="B187" s="1" t="s">
        <v>572</v>
      </c>
      <c r="C187" s="1" t="s">
        <v>115</v>
      </c>
      <c r="D187" s="1" t="s">
        <v>317</v>
      </c>
      <c r="E187" s="1">
        <f>G187-F187+1</f>
        <v>4</v>
      </c>
      <c r="F187" s="1" t="str">
        <f>LEFT(D187, SEARCH("-",D187,1)-1)</f>
        <v>2015</v>
      </c>
      <c r="G187" s="1" t="str">
        <f t="shared" si="12"/>
        <v>2018</v>
      </c>
      <c r="H187" s="1">
        <v>17</v>
      </c>
      <c r="I187" s="1">
        <v>16</v>
      </c>
      <c r="J187" s="1">
        <v>1</v>
      </c>
      <c r="K187" s="1">
        <v>40</v>
      </c>
      <c r="L187" s="1">
        <v>8</v>
      </c>
      <c r="M187" s="1">
        <v>0</v>
      </c>
      <c r="N187" s="1">
        <v>0</v>
      </c>
      <c r="O187" s="1">
        <v>0</v>
      </c>
      <c r="P187" s="1">
        <v>12</v>
      </c>
      <c r="Q187" s="1">
        <v>5</v>
      </c>
      <c r="R187" s="1">
        <v>0</v>
      </c>
      <c r="S187" s="1">
        <v>70.58</v>
      </c>
      <c r="T187" t="s">
        <v>309</v>
      </c>
      <c r="U187" s="9">
        <v>1.88</v>
      </c>
      <c r="V187" s="10">
        <v>95</v>
      </c>
      <c r="W187" t="s">
        <v>614</v>
      </c>
      <c r="X187">
        <v>1</v>
      </c>
      <c r="Y187" s="14">
        <v>77</v>
      </c>
      <c r="Z187" s="1" t="s">
        <v>519</v>
      </c>
      <c r="AA187" s="1">
        <v>72</v>
      </c>
      <c r="AB187" s="1">
        <v>80</v>
      </c>
      <c r="AC187" s="1">
        <v>57</v>
      </c>
      <c r="AD187" s="1">
        <v>92</v>
      </c>
    </row>
    <row r="188" spans="1:70" hidden="1" x14ac:dyDescent="0.2">
      <c r="A188" s="1" t="s">
        <v>35</v>
      </c>
      <c r="B188" s="1" t="s">
        <v>573</v>
      </c>
      <c r="C188" s="1" t="s">
        <v>115</v>
      </c>
      <c r="D188" s="1" t="s">
        <v>328</v>
      </c>
      <c r="E188" s="1">
        <f>G188-F188+1</f>
        <v>10</v>
      </c>
      <c r="F188" s="1" t="str">
        <f>LEFT(D188, SEARCH("-",D188,1)-1)</f>
        <v>2010</v>
      </c>
      <c r="G188" s="1" t="str">
        <f t="shared" si="12"/>
        <v>2019</v>
      </c>
      <c r="H188" s="1">
        <v>37</v>
      </c>
      <c r="I188" s="1">
        <v>29</v>
      </c>
      <c r="J188" s="1">
        <v>8</v>
      </c>
      <c r="K188" s="1">
        <v>25</v>
      </c>
      <c r="L188" s="1">
        <v>5</v>
      </c>
      <c r="M188" s="1">
        <v>0</v>
      </c>
      <c r="N188" s="1">
        <v>0</v>
      </c>
      <c r="O188" s="1">
        <v>0</v>
      </c>
      <c r="P188" s="1">
        <v>29</v>
      </c>
      <c r="Q188" s="1">
        <v>6</v>
      </c>
      <c r="R188" s="1">
        <v>2</v>
      </c>
      <c r="S188" s="1">
        <v>81.08</v>
      </c>
      <c r="T188" t="s">
        <v>292</v>
      </c>
      <c r="U188" s="9">
        <v>1.78</v>
      </c>
      <c r="V188" s="10">
        <v>92</v>
      </c>
      <c r="W188" t="s">
        <v>615</v>
      </c>
      <c r="X188">
        <v>1</v>
      </c>
      <c r="Y188" s="14">
        <v>80</v>
      </c>
      <c r="Z188" s="1" t="s">
        <v>520</v>
      </c>
      <c r="AA188" s="1">
        <v>79</v>
      </c>
      <c r="AC188" s="1">
        <v>94</v>
      </c>
      <c r="AL188" s="1">
        <v>74</v>
      </c>
      <c r="AQ188" s="1">
        <v>54</v>
      </c>
      <c r="AR188" s="1">
        <v>25</v>
      </c>
      <c r="AS188" s="1">
        <f t="shared" si="16"/>
        <v>2.16</v>
      </c>
      <c r="AT188">
        <v>363</v>
      </c>
      <c r="AU188">
        <v>0</v>
      </c>
      <c r="AV188">
        <v>0</v>
      </c>
      <c r="AW188">
        <v>1</v>
      </c>
      <c r="AX188">
        <v>0</v>
      </c>
      <c r="AY188">
        <v>0</v>
      </c>
      <c r="AZ188">
        <v>0</v>
      </c>
      <c r="BA188">
        <v>1</v>
      </c>
      <c r="BB188">
        <v>2</v>
      </c>
      <c r="BC188">
        <v>10</v>
      </c>
      <c r="BD188">
        <v>0</v>
      </c>
      <c r="BE188">
        <v>362</v>
      </c>
      <c r="BF188">
        <v>3</v>
      </c>
      <c r="BG188">
        <v>13</v>
      </c>
      <c r="BH188">
        <v>5</v>
      </c>
      <c r="BI188">
        <v>0</v>
      </c>
      <c r="BJ188">
        <v>5</v>
      </c>
      <c r="BK188">
        <v>5</v>
      </c>
      <c r="BL188">
        <v>0</v>
      </c>
      <c r="BM188">
        <v>70</v>
      </c>
      <c r="BN188">
        <v>2</v>
      </c>
      <c r="BO188">
        <v>1</v>
      </c>
      <c r="BP188">
        <v>0</v>
      </c>
      <c r="BQ188">
        <v>0</v>
      </c>
      <c r="BR188">
        <v>0</v>
      </c>
    </row>
    <row r="189" spans="1:70" hidden="1" x14ac:dyDescent="0.2">
      <c r="A189" s="1" t="s">
        <v>35</v>
      </c>
      <c r="B189" s="1" t="s">
        <v>574</v>
      </c>
      <c r="C189" s="1" t="s">
        <v>115</v>
      </c>
      <c r="D189" s="1"/>
      <c r="G189" s="1" t="str">
        <f t="shared" si="12"/>
        <v/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T189" t="s">
        <v>292</v>
      </c>
      <c r="U189" s="9">
        <v>1.77</v>
      </c>
      <c r="V189" s="10">
        <v>84</v>
      </c>
      <c r="W189" t="s">
        <v>616</v>
      </c>
      <c r="X189">
        <v>0</v>
      </c>
      <c r="Z189" s="1" t="s">
        <v>510</v>
      </c>
    </row>
    <row r="190" spans="1:70" hidden="1" x14ac:dyDescent="0.2">
      <c r="A190" s="1" t="s">
        <v>35</v>
      </c>
      <c r="B190" s="1" t="s">
        <v>575</v>
      </c>
      <c r="C190" s="1" t="s">
        <v>115</v>
      </c>
      <c r="G190" s="1" t="str">
        <f t="shared" si="12"/>
        <v/>
      </c>
      <c r="T190" t="s">
        <v>315</v>
      </c>
      <c r="U190" s="9">
        <v>1.83</v>
      </c>
      <c r="V190" s="10">
        <v>82</v>
      </c>
      <c r="W190" t="s">
        <v>617</v>
      </c>
      <c r="X190">
        <v>0</v>
      </c>
      <c r="Z190" s="1" t="s">
        <v>831</v>
      </c>
    </row>
    <row r="191" spans="1:70" hidden="1" x14ac:dyDescent="0.2">
      <c r="A191" s="1" t="s">
        <v>4</v>
      </c>
      <c r="B191" s="1" t="s">
        <v>618</v>
      </c>
      <c r="C191" s="1" t="s">
        <v>114</v>
      </c>
      <c r="D191" t="s">
        <v>653</v>
      </c>
      <c r="E191" s="1">
        <f>G191-F191+1</f>
        <v>2</v>
      </c>
      <c r="F191" s="1" t="str">
        <f>LEFT(D191, SEARCH("-",D191,1)-1)</f>
        <v>2016</v>
      </c>
      <c r="G191" s="1" t="str">
        <f t="shared" si="12"/>
        <v>2017</v>
      </c>
      <c r="H191">
        <v>3</v>
      </c>
      <c r="I191">
        <v>0</v>
      </c>
      <c r="J191">
        <v>3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3</v>
      </c>
      <c r="R191">
        <v>0</v>
      </c>
      <c r="S191" s="1">
        <v>0</v>
      </c>
      <c r="T191" t="s">
        <v>254</v>
      </c>
      <c r="U191" s="9">
        <v>1.84</v>
      </c>
      <c r="V191" s="10">
        <v>118</v>
      </c>
      <c r="W191" t="s">
        <v>654</v>
      </c>
      <c r="X191">
        <v>1</v>
      </c>
      <c r="Y191" s="14">
        <v>81</v>
      </c>
      <c r="Z191" s="1" t="s">
        <v>655</v>
      </c>
      <c r="AA191" s="1">
        <v>71</v>
      </c>
      <c r="AE191" s="1">
        <v>78</v>
      </c>
      <c r="AF191" s="1">
        <v>82</v>
      </c>
    </row>
    <row r="192" spans="1:70" hidden="1" x14ac:dyDescent="0.2">
      <c r="A192" s="1" t="s">
        <v>4</v>
      </c>
      <c r="B192" s="1" t="s">
        <v>619</v>
      </c>
      <c r="C192" s="1" t="s">
        <v>114</v>
      </c>
      <c r="G192" s="1" t="str">
        <f t="shared" si="12"/>
        <v/>
      </c>
      <c r="T192" t="s">
        <v>254</v>
      </c>
      <c r="U192" s="9">
        <v>1.81</v>
      </c>
      <c r="V192" s="10">
        <v>108</v>
      </c>
      <c r="W192" t="s">
        <v>656</v>
      </c>
      <c r="X192">
        <v>0</v>
      </c>
      <c r="Y192" s="14">
        <v>60</v>
      </c>
      <c r="Z192" s="1" t="s">
        <v>657</v>
      </c>
      <c r="AA192" s="1">
        <v>88</v>
      </c>
      <c r="AE192" s="1">
        <v>75</v>
      </c>
      <c r="AF192" s="1">
        <v>83</v>
      </c>
    </row>
    <row r="193" spans="1:70" hidden="1" x14ac:dyDescent="0.2">
      <c r="A193" s="1" t="s">
        <v>4</v>
      </c>
      <c r="B193" s="1" t="s">
        <v>620</v>
      </c>
      <c r="C193" s="1" t="s">
        <v>114</v>
      </c>
      <c r="D193" t="s">
        <v>258</v>
      </c>
      <c r="E193" s="1">
        <f>G193-F193+1</f>
        <v>4</v>
      </c>
      <c r="F193" s="1" t="str">
        <f>LEFT(D193, SEARCH("-",D193,1)-1)</f>
        <v>2016</v>
      </c>
      <c r="G193" s="1" t="str">
        <f t="shared" si="12"/>
        <v>2019</v>
      </c>
      <c r="H193">
        <v>19</v>
      </c>
      <c r="I193">
        <v>18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19</v>
      </c>
      <c r="R193">
        <v>0</v>
      </c>
      <c r="S193" s="1">
        <v>0</v>
      </c>
      <c r="T193" t="s">
        <v>254</v>
      </c>
      <c r="U193" s="9">
        <v>1.83</v>
      </c>
      <c r="V193" s="10">
        <v>111</v>
      </c>
      <c r="W193" t="s">
        <v>658</v>
      </c>
      <c r="X193">
        <v>1</v>
      </c>
      <c r="Y193" s="14">
        <v>62</v>
      </c>
      <c r="Z193" s="1" t="s">
        <v>657</v>
      </c>
      <c r="AA193" s="1">
        <v>73</v>
      </c>
      <c r="AE193" s="1">
        <v>75</v>
      </c>
      <c r="AF193" s="1">
        <v>84</v>
      </c>
      <c r="AQ193" s="1">
        <v>27</v>
      </c>
      <c r="AR193" s="1">
        <v>18</v>
      </c>
      <c r="AS193" s="1">
        <f t="shared" si="16"/>
        <v>1.5</v>
      </c>
      <c r="AT193">
        <v>258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0</v>
      </c>
      <c r="BC193">
        <v>7</v>
      </c>
      <c r="BD193">
        <v>0</v>
      </c>
      <c r="BE193">
        <v>0</v>
      </c>
      <c r="BF193">
        <v>0</v>
      </c>
      <c r="BG193">
        <v>38</v>
      </c>
      <c r="BH193">
        <v>2</v>
      </c>
      <c r="BI193">
        <v>1</v>
      </c>
      <c r="BJ193">
        <v>1</v>
      </c>
      <c r="BK193">
        <v>1</v>
      </c>
      <c r="BL193">
        <v>5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</row>
    <row r="194" spans="1:70" hidden="1" x14ac:dyDescent="0.2">
      <c r="A194" s="1" t="s">
        <v>4</v>
      </c>
      <c r="B194" s="1" t="s">
        <v>621</v>
      </c>
      <c r="C194" s="1" t="s">
        <v>114</v>
      </c>
      <c r="G194" s="1" t="str">
        <f t="shared" ref="G194:G225" si="17">RIGHT(D194,4)</f>
        <v/>
      </c>
      <c r="T194" t="s">
        <v>254</v>
      </c>
      <c r="U194" s="9">
        <v>1.86</v>
      </c>
      <c r="V194" s="10">
        <v>126</v>
      </c>
      <c r="W194" t="s">
        <v>659</v>
      </c>
      <c r="X194">
        <v>0</v>
      </c>
      <c r="Y194" s="14">
        <v>72</v>
      </c>
      <c r="Z194" s="1" t="s">
        <v>660</v>
      </c>
      <c r="AA194" s="1">
        <v>87</v>
      </c>
      <c r="AE194" s="1">
        <v>83</v>
      </c>
      <c r="AF194" s="1">
        <v>90</v>
      </c>
    </row>
    <row r="195" spans="1:70" hidden="1" x14ac:dyDescent="0.2">
      <c r="A195" s="1" t="s">
        <v>4</v>
      </c>
      <c r="B195" s="1" t="s">
        <v>622</v>
      </c>
      <c r="C195" s="1" t="s">
        <v>114</v>
      </c>
      <c r="G195" s="1" t="str">
        <f t="shared" si="17"/>
        <v/>
      </c>
      <c r="T195" t="s">
        <v>254</v>
      </c>
      <c r="U195" s="9">
        <v>1.86</v>
      </c>
      <c r="V195" s="10">
        <v>106</v>
      </c>
      <c r="W195" t="s">
        <v>661</v>
      </c>
      <c r="X195">
        <v>0</v>
      </c>
      <c r="Y195" s="14">
        <v>59</v>
      </c>
      <c r="Z195" s="1" t="s">
        <v>657</v>
      </c>
      <c r="AA195" s="1">
        <v>88</v>
      </c>
      <c r="AE195" s="1">
        <v>76</v>
      </c>
      <c r="AF195" s="1">
        <v>85</v>
      </c>
    </row>
    <row r="196" spans="1:70" hidden="1" x14ac:dyDescent="0.2">
      <c r="A196" s="1" t="s">
        <v>4</v>
      </c>
      <c r="B196" s="1" t="s">
        <v>623</v>
      </c>
      <c r="C196" s="1" t="s">
        <v>114</v>
      </c>
      <c r="D196" t="s">
        <v>340</v>
      </c>
      <c r="E196" s="1">
        <f>G196-F196+1</f>
        <v>2</v>
      </c>
      <c r="F196" s="1" t="str">
        <f>LEFT(D196, SEARCH("-",D196,1)-1)</f>
        <v>2018</v>
      </c>
      <c r="G196" s="1" t="str">
        <f t="shared" si="17"/>
        <v>2019</v>
      </c>
      <c r="H196">
        <v>7</v>
      </c>
      <c r="I196">
        <v>2</v>
      </c>
      <c r="J196">
        <v>5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7</v>
      </c>
      <c r="R196">
        <v>0</v>
      </c>
      <c r="S196" s="1">
        <v>0</v>
      </c>
      <c r="T196" t="s">
        <v>259</v>
      </c>
      <c r="U196" s="9">
        <v>1.8</v>
      </c>
      <c r="V196" s="10">
        <v>105</v>
      </c>
      <c r="W196" t="s">
        <v>662</v>
      </c>
      <c r="X196">
        <v>1</v>
      </c>
      <c r="Y196" s="14">
        <v>59</v>
      </c>
      <c r="Z196" s="1" t="s">
        <v>657</v>
      </c>
      <c r="AA196" s="1">
        <v>81</v>
      </c>
      <c r="AE196" s="1">
        <v>79</v>
      </c>
      <c r="AF196" s="1">
        <v>91</v>
      </c>
      <c r="AG196" s="1">
        <v>29</v>
      </c>
      <c r="AQ196" s="1">
        <v>15</v>
      </c>
      <c r="AR196" s="1">
        <v>19</v>
      </c>
      <c r="AS196" s="1">
        <f t="shared" ref="AS196:AS224" si="18">AQ196/AR196</f>
        <v>0.78947368421052633</v>
      </c>
      <c r="AT196">
        <v>114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2</v>
      </c>
      <c r="BD196">
        <v>0</v>
      </c>
      <c r="BE196">
        <v>2</v>
      </c>
      <c r="BF196">
        <v>0</v>
      </c>
      <c r="BG196">
        <v>16</v>
      </c>
      <c r="BH196">
        <v>2</v>
      </c>
      <c r="BI196">
        <v>0</v>
      </c>
      <c r="BJ196">
        <v>1</v>
      </c>
      <c r="BK196">
        <v>0</v>
      </c>
      <c r="BL196">
        <v>2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</row>
    <row r="197" spans="1:70" hidden="1" x14ac:dyDescent="0.2">
      <c r="A197" s="1" t="s">
        <v>4</v>
      </c>
      <c r="B197" s="1" t="s">
        <v>624</v>
      </c>
      <c r="C197" s="1" t="s">
        <v>114</v>
      </c>
      <c r="D197" t="s">
        <v>306</v>
      </c>
      <c r="E197" s="1">
        <f>G197-F197+1</f>
        <v>3</v>
      </c>
      <c r="F197" s="1" t="str">
        <f>LEFT(D197, SEARCH("-",D197,1)-1)</f>
        <v>2016</v>
      </c>
      <c r="G197" s="1" t="str">
        <f t="shared" si="17"/>
        <v>2018</v>
      </c>
      <c r="H197">
        <v>4</v>
      </c>
      <c r="I197">
        <v>0</v>
      </c>
      <c r="J197">
        <v>4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4</v>
      </c>
      <c r="R197">
        <v>0</v>
      </c>
      <c r="S197" s="1">
        <v>0</v>
      </c>
      <c r="T197" t="s">
        <v>259</v>
      </c>
      <c r="U197" s="9">
        <v>1.8</v>
      </c>
      <c r="V197" s="10">
        <v>98</v>
      </c>
      <c r="W197" t="s">
        <v>663</v>
      </c>
      <c r="X197">
        <v>1</v>
      </c>
      <c r="Y197" s="14">
        <v>48</v>
      </c>
      <c r="Z197" s="1" t="s">
        <v>657</v>
      </c>
      <c r="AA197" s="1">
        <v>81</v>
      </c>
      <c r="AE197" s="1">
        <v>66</v>
      </c>
      <c r="AF197" s="1">
        <v>76</v>
      </c>
      <c r="AG197" s="1">
        <v>77</v>
      </c>
    </row>
    <row r="198" spans="1:70" hidden="1" x14ac:dyDescent="0.2">
      <c r="A198" s="1" t="s">
        <v>4</v>
      </c>
      <c r="B198" s="1" t="s">
        <v>625</v>
      </c>
      <c r="C198" s="1" t="s">
        <v>114</v>
      </c>
      <c r="G198" s="1" t="str">
        <f t="shared" si="17"/>
        <v/>
      </c>
      <c r="T198" t="s">
        <v>254</v>
      </c>
      <c r="U198" s="9">
        <v>1.75</v>
      </c>
      <c r="V198" s="10">
        <v>115</v>
      </c>
      <c r="W198" t="s">
        <v>664</v>
      </c>
      <c r="X198">
        <v>0</v>
      </c>
      <c r="Y198" s="14">
        <v>51</v>
      </c>
      <c r="Z198" s="1" t="s">
        <v>660</v>
      </c>
      <c r="AA198" s="1">
        <v>55</v>
      </c>
      <c r="AE198" s="1">
        <v>63</v>
      </c>
      <c r="AF198" s="1">
        <v>66</v>
      </c>
      <c r="AG198" s="1">
        <v>29</v>
      </c>
    </row>
    <row r="199" spans="1:70" hidden="1" x14ac:dyDescent="0.2">
      <c r="A199" s="1" t="s">
        <v>4</v>
      </c>
      <c r="B199" s="1" t="s">
        <v>626</v>
      </c>
      <c r="C199" s="1" t="s">
        <v>114</v>
      </c>
      <c r="D199" t="s">
        <v>340</v>
      </c>
      <c r="E199" s="1">
        <f>G199-F199+1</f>
        <v>2</v>
      </c>
      <c r="F199" s="1" t="str">
        <f>LEFT(D199, SEARCH("-",D199,1)-1)</f>
        <v>2018</v>
      </c>
      <c r="G199" s="1" t="str">
        <f t="shared" si="17"/>
        <v>2019</v>
      </c>
      <c r="H199">
        <v>9</v>
      </c>
      <c r="I199">
        <v>9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9</v>
      </c>
      <c r="R199">
        <v>0</v>
      </c>
      <c r="S199" s="1">
        <v>0</v>
      </c>
      <c r="T199" t="s">
        <v>279</v>
      </c>
      <c r="U199" s="9">
        <v>1.98</v>
      </c>
      <c r="V199" s="10">
        <v>108</v>
      </c>
      <c r="W199" t="s">
        <v>665</v>
      </c>
      <c r="X199">
        <v>1</v>
      </c>
      <c r="Y199" s="14">
        <v>63</v>
      </c>
      <c r="Z199" s="1" t="s">
        <v>660</v>
      </c>
      <c r="AA199" s="1">
        <v>61</v>
      </c>
      <c r="AF199" s="1">
        <v>73</v>
      </c>
      <c r="AH199" s="1">
        <v>86</v>
      </c>
      <c r="AI199" s="1">
        <v>81</v>
      </c>
      <c r="AQ199" s="1">
        <v>16</v>
      </c>
      <c r="AR199" s="1">
        <v>16</v>
      </c>
      <c r="AS199" s="1">
        <f t="shared" si="18"/>
        <v>1</v>
      </c>
      <c r="AT199">
        <v>230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1</v>
      </c>
      <c r="BC199">
        <v>3</v>
      </c>
      <c r="BD199">
        <v>0</v>
      </c>
      <c r="BE199">
        <v>7</v>
      </c>
      <c r="BF199">
        <v>2</v>
      </c>
      <c r="BG199">
        <v>47</v>
      </c>
      <c r="BH199">
        <v>7</v>
      </c>
      <c r="BI199">
        <v>1</v>
      </c>
      <c r="BJ199">
        <v>1</v>
      </c>
      <c r="BK199">
        <v>1</v>
      </c>
      <c r="BL199">
        <v>2</v>
      </c>
      <c r="BM199">
        <v>0</v>
      </c>
      <c r="BN199">
        <v>0</v>
      </c>
      <c r="BO199">
        <v>7</v>
      </c>
      <c r="BP199">
        <v>1</v>
      </c>
      <c r="BQ199">
        <v>0</v>
      </c>
      <c r="BR199">
        <v>0</v>
      </c>
    </row>
    <row r="200" spans="1:70" hidden="1" x14ac:dyDescent="0.2">
      <c r="A200" s="1" t="s">
        <v>4</v>
      </c>
      <c r="B200" s="1" t="s">
        <v>627</v>
      </c>
      <c r="C200" s="1" t="s">
        <v>114</v>
      </c>
      <c r="G200" s="1" t="str">
        <f t="shared" si="17"/>
        <v/>
      </c>
      <c r="T200" t="s">
        <v>666</v>
      </c>
      <c r="U200" s="9">
        <v>1.96</v>
      </c>
      <c r="V200" s="10">
        <v>124</v>
      </c>
      <c r="W200" t="s">
        <v>667</v>
      </c>
      <c r="X200">
        <v>0</v>
      </c>
      <c r="Y200" s="14">
        <v>65</v>
      </c>
      <c r="Z200" s="1" t="s">
        <v>660</v>
      </c>
      <c r="AA200" s="1">
        <v>80</v>
      </c>
      <c r="AF200" s="1">
        <v>78</v>
      </c>
      <c r="AH200" s="1">
        <v>81</v>
      </c>
      <c r="AI200" s="1">
        <v>81</v>
      </c>
    </row>
    <row r="201" spans="1:70" hidden="1" x14ac:dyDescent="0.2">
      <c r="A201" s="1" t="s">
        <v>4</v>
      </c>
      <c r="B201" s="1" t="s">
        <v>628</v>
      </c>
      <c r="C201" s="1" t="s">
        <v>114</v>
      </c>
      <c r="D201" t="s">
        <v>293</v>
      </c>
      <c r="E201" s="1">
        <f>G201-F201+1</f>
        <v>3</v>
      </c>
      <c r="F201" s="1" t="str">
        <f>LEFT(D201, SEARCH("-",D201,1)-1)</f>
        <v>2017</v>
      </c>
      <c r="G201" s="1" t="str">
        <f t="shared" si="17"/>
        <v>2019</v>
      </c>
      <c r="H201">
        <v>9</v>
      </c>
      <c r="I201">
        <v>3</v>
      </c>
      <c r="J201">
        <v>6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9</v>
      </c>
      <c r="R201">
        <v>0</v>
      </c>
      <c r="S201" s="1">
        <v>0</v>
      </c>
      <c r="T201" t="s">
        <v>279</v>
      </c>
      <c r="U201" s="9">
        <v>1.98</v>
      </c>
      <c r="V201" s="10">
        <v>108</v>
      </c>
      <c r="W201" t="s">
        <v>668</v>
      </c>
      <c r="X201">
        <v>1</v>
      </c>
      <c r="Y201" s="14">
        <v>67</v>
      </c>
      <c r="Z201" s="1" t="s">
        <v>660</v>
      </c>
      <c r="AA201" s="1">
        <v>82</v>
      </c>
      <c r="AF201" s="1">
        <v>61</v>
      </c>
      <c r="AH201" s="1">
        <v>85</v>
      </c>
      <c r="AI201" s="1">
        <v>89</v>
      </c>
      <c r="AQ201" s="1">
        <v>133</v>
      </c>
      <c r="AR201" s="1">
        <v>44</v>
      </c>
      <c r="AS201" s="1">
        <f t="shared" si="18"/>
        <v>3.0227272727272729</v>
      </c>
      <c r="AT201">
        <v>298</v>
      </c>
      <c r="AU201">
        <v>0</v>
      </c>
      <c r="AV201">
        <v>0</v>
      </c>
      <c r="AW201">
        <v>1</v>
      </c>
      <c r="AX201">
        <v>0</v>
      </c>
      <c r="AY201">
        <v>0</v>
      </c>
      <c r="AZ201">
        <v>0</v>
      </c>
      <c r="BA201">
        <v>8</v>
      </c>
      <c r="BB201">
        <v>2</v>
      </c>
      <c r="BC201">
        <v>15</v>
      </c>
      <c r="BD201">
        <v>0</v>
      </c>
      <c r="BE201">
        <v>17</v>
      </c>
      <c r="BF201">
        <v>5</v>
      </c>
      <c r="BG201">
        <v>39</v>
      </c>
      <c r="BH201">
        <v>7</v>
      </c>
      <c r="BI201">
        <v>0</v>
      </c>
      <c r="BJ201">
        <v>2</v>
      </c>
      <c r="BK201">
        <v>2</v>
      </c>
      <c r="BL201">
        <v>2</v>
      </c>
      <c r="BM201">
        <v>1</v>
      </c>
      <c r="BN201">
        <v>0</v>
      </c>
      <c r="BO201">
        <v>17</v>
      </c>
      <c r="BP201">
        <v>1</v>
      </c>
      <c r="BQ201">
        <v>0</v>
      </c>
      <c r="BR201">
        <v>0</v>
      </c>
    </row>
    <row r="202" spans="1:70" hidden="1" x14ac:dyDescent="0.2">
      <c r="A202" s="1" t="s">
        <v>4</v>
      </c>
      <c r="B202" s="1" t="s">
        <v>629</v>
      </c>
      <c r="C202" s="1" t="s">
        <v>114</v>
      </c>
      <c r="D202" t="s">
        <v>256</v>
      </c>
      <c r="E202" s="1">
        <f>G202-F202+1</f>
        <v>1</v>
      </c>
      <c r="F202" s="1" t="str">
        <f>LEFT(D202, SEARCH("-",D202,1)-1)</f>
        <v>2019</v>
      </c>
      <c r="G202" s="1" t="str">
        <f t="shared" si="17"/>
        <v>2019</v>
      </c>
      <c r="H202">
        <v>5</v>
      </c>
      <c r="I202">
        <v>3</v>
      </c>
      <c r="J202">
        <v>2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5</v>
      </c>
      <c r="R202">
        <v>0</v>
      </c>
      <c r="S202" s="1">
        <v>0</v>
      </c>
      <c r="T202" t="s">
        <v>279</v>
      </c>
      <c r="U202" s="9">
        <v>1.96</v>
      </c>
      <c r="V202" s="10">
        <v>120</v>
      </c>
      <c r="W202" t="s">
        <v>669</v>
      </c>
      <c r="X202">
        <v>1</v>
      </c>
      <c r="Y202" s="14">
        <v>47</v>
      </c>
      <c r="Z202" s="1" t="s">
        <v>657</v>
      </c>
      <c r="AA202" s="1">
        <v>81</v>
      </c>
      <c r="AG202" s="1">
        <v>67</v>
      </c>
      <c r="AJ202" s="1">
        <v>64</v>
      </c>
      <c r="AK202" s="1">
        <v>54</v>
      </c>
      <c r="AQ202" s="1">
        <v>17</v>
      </c>
      <c r="AR202" s="1">
        <v>20</v>
      </c>
      <c r="AS202" s="1">
        <f t="shared" si="18"/>
        <v>0.85</v>
      </c>
      <c r="AT202">
        <v>280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2</v>
      </c>
      <c r="BB202">
        <v>0</v>
      </c>
      <c r="BC202">
        <v>7</v>
      </c>
      <c r="BD202">
        <v>0</v>
      </c>
      <c r="BE202">
        <v>12</v>
      </c>
      <c r="BF202">
        <v>2</v>
      </c>
      <c r="BG202">
        <v>47</v>
      </c>
      <c r="BH202">
        <v>8</v>
      </c>
      <c r="BI202">
        <v>2</v>
      </c>
      <c r="BJ202">
        <v>0</v>
      </c>
      <c r="BK202">
        <v>0</v>
      </c>
      <c r="BL202">
        <v>0</v>
      </c>
      <c r="BM202">
        <v>0</v>
      </c>
      <c r="BN202">
        <v>1</v>
      </c>
      <c r="BO202">
        <v>1</v>
      </c>
      <c r="BP202">
        <v>0</v>
      </c>
      <c r="BQ202">
        <v>0</v>
      </c>
      <c r="BR202">
        <v>0</v>
      </c>
    </row>
    <row r="203" spans="1:70" x14ac:dyDescent="0.2">
      <c r="A203" s="1" t="s">
        <v>4</v>
      </c>
      <c r="B203" s="1" t="s">
        <v>630</v>
      </c>
      <c r="C203" s="1" t="s">
        <v>114</v>
      </c>
      <c r="D203" t="s">
        <v>670</v>
      </c>
      <c r="E203" s="1">
        <f>G203-F203+1</f>
        <v>14</v>
      </c>
      <c r="F203" s="1" t="str">
        <f>LEFT(D203, SEARCH("-",D203,1)-1)</f>
        <v>2006</v>
      </c>
      <c r="G203" s="1" t="str">
        <f t="shared" si="17"/>
        <v>2019</v>
      </c>
      <c r="H203">
        <v>52</v>
      </c>
      <c r="I203">
        <v>43</v>
      </c>
      <c r="J203">
        <v>9</v>
      </c>
      <c r="K203">
        <v>5</v>
      </c>
      <c r="L203">
        <v>1</v>
      </c>
      <c r="M203">
        <v>0</v>
      </c>
      <c r="N203">
        <v>0</v>
      </c>
      <c r="O203">
        <v>0</v>
      </c>
      <c r="P203">
        <v>8</v>
      </c>
      <c r="Q203">
        <v>43</v>
      </c>
      <c r="R203">
        <v>1</v>
      </c>
      <c r="S203" s="1">
        <v>16.34</v>
      </c>
      <c r="T203" t="s">
        <v>274</v>
      </c>
      <c r="U203" s="9">
        <v>1.93</v>
      </c>
      <c r="V203" s="10">
        <v>107</v>
      </c>
      <c r="W203" t="s">
        <v>671</v>
      </c>
      <c r="X203">
        <v>1</v>
      </c>
      <c r="Y203" s="14">
        <v>63</v>
      </c>
      <c r="Z203" s="1" t="s">
        <v>660</v>
      </c>
      <c r="AA203" s="1">
        <v>77</v>
      </c>
      <c r="AG203" s="1">
        <v>80</v>
      </c>
      <c r="AJ203" s="1">
        <v>67</v>
      </c>
      <c r="AK203" s="1">
        <v>57</v>
      </c>
      <c r="AQ203" s="1">
        <v>8</v>
      </c>
      <c r="AR203" s="1">
        <v>5</v>
      </c>
      <c r="AS203" s="1">
        <f t="shared" si="18"/>
        <v>1.6</v>
      </c>
      <c r="AT203">
        <v>59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3</v>
      </c>
      <c r="BD203">
        <v>0</v>
      </c>
      <c r="BE203">
        <v>0</v>
      </c>
      <c r="BF203">
        <v>0</v>
      </c>
      <c r="BG203">
        <v>15</v>
      </c>
      <c r="BH203">
        <v>1</v>
      </c>
      <c r="BI203">
        <v>0</v>
      </c>
      <c r="BJ203">
        <v>1</v>
      </c>
      <c r="BK203">
        <v>1</v>
      </c>
      <c r="BL203">
        <v>1</v>
      </c>
      <c r="BM203">
        <v>0</v>
      </c>
      <c r="BN203">
        <v>0</v>
      </c>
      <c r="BO203">
        <v>1</v>
      </c>
      <c r="BP203">
        <v>0</v>
      </c>
      <c r="BQ203">
        <v>0</v>
      </c>
      <c r="BR203">
        <v>0</v>
      </c>
    </row>
    <row r="204" spans="1:70" x14ac:dyDescent="0.2">
      <c r="A204" s="1" t="s">
        <v>4</v>
      </c>
      <c r="B204" s="1" t="s">
        <v>631</v>
      </c>
      <c r="C204" s="1" t="s">
        <v>114</v>
      </c>
      <c r="G204" s="1" t="str">
        <f t="shared" si="17"/>
        <v/>
      </c>
      <c r="T204" t="s">
        <v>274</v>
      </c>
      <c r="U204" s="9">
        <v>1.91</v>
      </c>
      <c r="V204" s="10">
        <v>115</v>
      </c>
      <c r="W204" t="s">
        <v>672</v>
      </c>
      <c r="X204">
        <v>0</v>
      </c>
      <c r="Y204" s="14">
        <v>58</v>
      </c>
      <c r="Z204" s="1" t="s">
        <v>660</v>
      </c>
      <c r="AA204" s="1">
        <v>79</v>
      </c>
      <c r="AF204" s="1">
        <v>70</v>
      </c>
      <c r="AH204" s="1">
        <v>76</v>
      </c>
      <c r="AI204" s="1">
        <v>29</v>
      </c>
    </row>
    <row r="205" spans="1:70" x14ac:dyDescent="0.2">
      <c r="A205" s="1" t="s">
        <v>4</v>
      </c>
      <c r="B205" s="1" t="s">
        <v>632</v>
      </c>
      <c r="C205" s="1" t="s">
        <v>114</v>
      </c>
      <c r="D205" t="s">
        <v>298</v>
      </c>
      <c r="E205" s="1">
        <f>G205-F205+1</f>
        <v>1</v>
      </c>
      <c r="F205" s="1" t="str">
        <f>LEFT(D205, SEARCH("-",D205,1)-1)</f>
        <v>2018</v>
      </c>
      <c r="G205" s="1" t="str">
        <f t="shared" si="17"/>
        <v>2018</v>
      </c>
      <c r="H205">
        <v>2</v>
      </c>
      <c r="I205">
        <v>0</v>
      </c>
      <c r="J205">
        <v>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2</v>
      </c>
      <c r="R205">
        <v>0</v>
      </c>
      <c r="S205" s="1">
        <v>0</v>
      </c>
      <c r="T205" t="s">
        <v>274</v>
      </c>
      <c r="U205" s="9">
        <v>1.95</v>
      </c>
      <c r="V205" s="10">
        <v>106</v>
      </c>
      <c r="W205" t="s">
        <v>673</v>
      </c>
      <c r="X205">
        <v>1</v>
      </c>
      <c r="Y205" s="14">
        <v>47</v>
      </c>
      <c r="Z205" s="1" t="s">
        <v>657</v>
      </c>
      <c r="AA205" s="1">
        <v>91</v>
      </c>
      <c r="AB205" s="1">
        <v>83</v>
      </c>
      <c r="AE205" s="1">
        <v>70</v>
      </c>
      <c r="AL205" s="1">
        <v>29</v>
      </c>
    </row>
    <row r="206" spans="1:70" hidden="1" x14ac:dyDescent="0.2">
      <c r="A206" s="1" t="s">
        <v>4</v>
      </c>
      <c r="B206" s="1" t="s">
        <v>633</v>
      </c>
      <c r="C206" s="1" t="s">
        <v>114</v>
      </c>
      <c r="G206" s="1" t="str">
        <f t="shared" si="17"/>
        <v/>
      </c>
      <c r="T206" t="s">
        <v>284</v>
      </c>
      <c r="U206" s="9">
        <v>1.93</v>
      </c>
      <c r="V206" s="10">
        <v>104</v>
      </c>
      <c r="W206" t="s">
        <v>674</v>
      </c>
      <c r="X206">
        <v>0</v>
      </c>
      <c r="Y206" s="14">
        <v>48</v>
      </c>
      <c r="Z206" s="14" t="s">
        <v>657</v>
      </c>
      <c r="AA206" s="1">
        <v>83</v>
      </c>
      <c r="AB206" s="1">
        <v>61</v>
      </c>
      <c r="AE206" s="1">
        <v>70</v>
      </c>
      <c r="AL206" s="1">
        <v>29</v>
      </c>
    </row>
    <row r="207" spans="1:70" hidden="1" x14ac:dyDescent="0.2">
      <c r="A207" s="1" t="s">
        <v>4</v>
      </c>
      <c r="B207" s="1" t="s">
        <v>634</v>
      </c>
      <c r="C207" s="1" t="s">
        <v>114</v>
      </c>
      <c r="D207" t="s">
        <v>340</v>
      </c>
      <c r="E207" s="1">
        <f>G207-F207+1</f>
        <v>2</v>
      </c>
      <c r="F207" s="1" t="str">
        <f>LEFT(D207, SEARCH("-",D207,1)-1)</f>
        <v>2018</v>
      </c>
      <c r="G207" s="1" t="str">
        <f t="shared" si="17"/>
        <v>2019</v>
      </c>
      <c r="H207">
        <v>9</v>
      </c>
      <c r="I207">
        <v>8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9</v>
      </c>
      <c r="R207">
        <v>0</v>
      </c>
      <c r="S207" s="1">
        <v>0</v>
      </c>
      <c r="T207" t="s">
        <v>279</v>
      </c>
      <c r="U207" s="9">
        <v>1.94</v>
      </c>
      <c r="V207" s="10">
        <v>110</v>
      </c>
      <c r="W207" t="s">
        <v>675</v>
      </c>
      <c r="X207">
        <v>1</v>
      </c>
      <c r="Y207" s="14">
        <v>64</v>
      </c>
      <c r="Z207" s="1" t="s">
        <v>660</v>
      </c>
      <c r="AA207" s="1">
        <v>83</v>
      </c>
      <c r="AG207" s="1">
        <v>70</v>
      </c>
      <c r="AJ207" s="1">
        <v>64</v>
      </c>
      <c r="AK207" s="1">
        <v>54</v>
      </c>
      <c r="AQ207" s="1">
        <v>24</v>
      </c>
      <c r="AR207" s="1">
        <v>41</v>
      </c>
      <c r="AS207" s="1">
        <f t="shared" si="18"/>
        <v>0.58536585365853655</v>
      </c>
      <c r="AT207">
        <v>179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4</v>
      </c>
      <c r="BB207">
        <v>0</v>
      </c>
      <c r="BC207">
        <v>12</v>
      </c>
      <c r="BD207">
        <v>0</v>
      </c>
      <c r="BE207">
        <v>5</v>
      </c>
      <c r="BF207">
        <v>2</v>
      </c>
      <c r="BG207">
        <v>44</v>
      </c>
      <c r="BH207">
        <v>1</v>
      </c>
      <c r="BI207">
        <v>0</v>
      </c>
      <c r="BJ207">
        <v>1</v>
      </c>
      <c r="BK207">
        <v>0</v>
      </c>
      <c r="BL207">
        <v>1</v>
      </c>
      <c r="BM207">
        <v>0</v>
      </c>
      <c r="BN207">
        <v>1</v>
      </c>
      <c r="BO207">
        <v>3</v>
      </c>
      <c r="BP207">
        <v>0</v>
      </c>
      <c r="BQ207">
        <v>0</v>
      </c>
      <c r="BR207">
        <v>0</v>
      </c>
    </row>
    <row r="208" spans="1:70" x14ac:dyDescent="0.2">
      <c r="A208" s="1" t="s">
        <v>4</v>
      </c>
      <c r="B208" s="1" t="s">
        <v>635</v>
      </c>
      <c r="C208" s="1" t="s">
        <v>114</v>
      </c>
      <c r="D208" t="s">
        <v>340</v>
      </c>
      <c r="E208" s="1">
        <f>G208-F208+1</f>
        <v>2</v>
      </c>
      <c r="F208" s="1" t="str">
        <f>LEFT(D208, SEARCH("-",D208,1)-1)</f>
        <v>2018</v>
      </c>
      <c r="G208" s="1" t="str">
        <f t="shared" si="17"/>
        <v>2019</v>
      </c>
      <c r="H208">
        <v>3</v>
      </c>
      <c r="I208">
        <v>2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3</v>
      </c>
      <c r="R208">
        <v>0</v>
      </c>
      <c r="S208" s="1">
        <v>0</v>
      </c>
      <c r="T208" t="s">
        <v>274</v>
      </c>
      <c r="U208" s="9">
        <v>1.88</v>
      </c>
      <c r="V208" s="10">
        <v>106</v>
      </c>
      <c r="W208" t="s">
        <v>676</v>
      </c>
      <c r="X208">
        <v>1</v>
      </c>
      <c r="Y208" s="14">
        <v>69</v>
      </c>
      <c r="Z208" s="1" t="s">
        <v>508</v>
      </c>
      <c r="AA208" s="1">
        <v>76</v>
      </c>
      <c r="AG208" s="1">
        <v>80</v>
      </c>
      <c r="AJ208" s="1">
        <v>63</v>
      </c>
      <c r="AK208" s="1">
        <v>66</v>
      </c>
      <c r="AQ208" s="1">
        <v>68</v>
      </c>
      <c r="AR208" s="1">
        <v>24</v>
      </c>
      <c r="AS208" s="1">
        <f t="shared" si="18"/>
        <v>2.8333333333333335</v>
      </c>
      <c r="AT208">
        <v>112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9</v>
      </c>
      <c r="BB208">
        <v>1</v>
      </c>
      <c r="BC208">
        <v>14</v>
      </c>
      <c r="BD208">
        <v>0</v>
      </c>
      <c r="BE208">
        <v>4</v>
      </c>
      <c r="BF208">
        <v>2</v>
      </c>
      <c r="BG208">
        <v>11</v>
      </c>
      <c r="BH208">
        <v>4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</row>
    <row r="209" spans="1:70" x14ac:dyDescent="0.2">
      <c r="A209" s="1" t="s">
        <v>4</v>
      </c>
      <c r="B209" s="1" t="s">
        <v>636</v>
      </c>
      <c r="C209" s="1" t="s">
        <v>114</v>
      </c>
      <c r="D209" t="s">
        <v>258</v>
      </c>
      <c r="E209" s="1">
        <f>G209-F209+1</f>
        <v>4</v>
      </c>
      <c r="F209" s="1" t="str">
        <f>LEFT(D209, SEARCH("-",D209,1)-1)</f>
        <v>2016</v>
      </c>
      <c r="G209" s="1" t="str">
        <f t="shared" si="17"/>
        <v>2019</v>
      </c>
      <c r="H209">
        <v>15</v>
      </c>
      <c r="I209">
        <v>10</v>
      </c>
      <c r="J209">
        <v>5</v>
      </c>
      <c r="K209">
        <v>5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15</v>
      </c>
      <c r="R209">
        <v>0</v>
      </c>
      <c r="S209" s="1">
        <v>0</v>
      </c>
      <c r="T209" t="s">
        <v>274</v>
      </c>
      <c r="U209" s="9">
        <v>1.94</v>
      </c>
      <c r="V209" s="10">
        <v>110</v>
      </c>
      <c r="W209" t="s">
        <v>677</v>
      </c>
      <c r="X209">
        <v>1</v>
      </c>
      <c r="Y209" s="14">
        <v>70</v>
      </c>
      <c r="Z209" s="1" t="s">
        <v>660</v>
      </c>
      <c r="AA209" s="1">
        <v>92</v>
      </c>
      <c r="AG209" s="1">
        <v>75</v>
      </c>
      <c r="AJ209" s="1">
        <v>68</v>
      </c>
      <c r="AK209" s="1">
        <v>56</v>
      </c>
      <c r="AQ209" s="1">
        <v>122</v>
      </c>
      <c r="AR209" s="1">
        <v>60</v>
      </c>
      <c r="AS209" s="1">
        <f t="shared" si="18"/>
        <v>2.0333333333333332</v>
      </c>
      <c r="AT209">
        <v>383</v>
      </c>
      <c r="AU209">
        <v>5</v>
      </c>
      <c r="AV209">
        <v>1</v>
      </c>
      <c r="AW209">
        <v>0</v>
      </c>
      <c r="AX209">
        <v>0</v>
      </c>
      <c r="AY209">
        <v>0</v>
      </c>
      <c r="AZ209">
        <v>0</v>
      </c>
      <c r="BA209">
        <v>2</v>
      </c>
      <c r="BB209">
        <v>0</v>
      </c>
      <c r="BC209">
        <v>32</v>
      </c>
      <c r="BD209">
        <v>0</v>
      </c>
      <c r="BE209">
        <v>17</v>
      </c>
      <c r="BF209">
        <v>0</v>
      </c>
      <c r="BG209">
        <v>60</v>
      </c>
      <c r="BH209">
        <v>4</v>
      </c>
      <c r="BI209">
        <v>4</v>
      </c>
      <c r="BJ209">
        <v>5</v>
      </c>
      <c r="BK209">
        <v>2</v>
      </c>
      <c r="BL209">
        <v>2</v>
      </c>
      <c r="BM209">
        <v>0</v>
      </c>
      <c r="BN209">
        <v>1</v>
      </c>
      <c r="BO209">
        <v>12</v>
      </c>
      <c r="BP209">
        <v>5</v>
      </c>
      <c r="BQ209">
        <v>0</v>
      </c>
      <c r="BR209">
        <v>0</v>
      </c>
    </row>
    <row r="210" spans="1:70" hidden="1" x14ac:dyDescent="0.2">
      <c r="A210" s="1" t="s">
        <v>4</v>
      </c>
      <c r="B210" s="1" t="s">
        <v>637</v>
      </c>
      <c r="C210" s="1" t="s">
        <v>115</v>
      </c>
      <c r="G210" s="1" t="str">
        <f t="shared" si="17"/>
        <v/>
      </c>
      <c r="T210" t="s">
        <v>292</v>
      </c>
      <c r="U210" s="9">
        <v>1.78</v>
      </c>
      <c r="V210" s="10">
        <v>83</v>
      </c>
      <c r="W210" t="s">
        <v>678</v>
      </c>
      <c r="X210">
        <v>0</v>
      </c>
      <c r="Z210" s="1" t="s">
        <v>508</v>
      </c>
    </row>
    <row r="211" spans="1:70" hidden="1" x14ac:dyDescent="0.2">
      <c r="A211" s="1" t="s">
        <v>4</v>
      </c>
      <c r="B211" s="1" t="s">
        <v>638</v>
      </c>
      <c r="C211" s="1" t="s">
        <v>115</v>
      </c>
      <c r="D211" t="s">
        <v>357</v>
      </c>
      <c r="E211" s="1">
        <f t="shared" ref="E211:E220" si="19">G211-F211+1</f>
        <v>5</v>
      </c>
      <c r="F211" s="1" t="str">
        <f t="shared" ref="F211:F220" si="20">LEFT(D211, SEARCH("-",D211,1)-1)</f>
        <v>2015</v>
      </c>
      <c r="G211" s="1" t="str">
        <f t="shared" si="17"/>
        <v>2019</v>
      </c>
      <c r="H211">
        <v>13</v>
      </c>
      <c r="I211">
        <v>4</v>
      </c>
      <c r="J211">
        <v>9</v>
      </c>
      <c r="K211">
        <v>10</v>
      </c>
      <c r="L211">
        <v>2</v>
      </c>
      <c r="M211">
        <v>0</v>
      </c>
      <c r="N211">
        <v>0</v>
      </c>
      <c r="O211">
        <v>0</v>
      </c>
      <c r="P211">
        <v>0</v>
      </c>
      <c r="Q211">
        <v>13</v>
      </c>
      <c r="R211">
        <v>0</v>
      </c>
      <c r="S211" s="1">
        <v>0</v>
      </c>
      <c r="T211" t="s">
        <v>292</v>
      </c>
      <c r="U211" s="9">
        <v>1.77</v>
      </c>
      <c r="V211" s="10">
        <v>80</v>
      </c>
      <c r="W211" t="s">
        <v>679</v>
      </c>
      <c r="X211">
        <v>1</v>
      </c>
      <c r="Y211" s="14">
        <v>51</v>
      </c>
      <c r="Z211" s="1" t="s">
        <v>657</v>
      </c>
      <c r="AA211" s="1">
        <v>53</v>
      </c>
      <c r="AC211" s="1">
        <v>85</v>
      </c>
      <c r="AL211" s="1">
        <v>74</v>
      </c>
      <c r="AQ211" s="1">
        <v>68</v>
      </c>
      <c r="AR211" s="1">
        <v>11</v>
      </c>
      <c r="AS211" s="1">
        <f t="shared" si="18"/>
        <v>6.1818181818181817</v>
      </c>
      <c r="AT211">
        <v>158</v>
      </c>
      <c r="AU211">
        <v>5</v>
      </c>
      <c r="AV211">
        <v>1</v>
      </c>
      <c r="AW211">
        <v>1</v>
      </c>
      <c r="AX211">
        <v>0</v>
      </c>
      <c r="AY211">
        <v>0</v>
      </c>
      <c r="AZ211">
        <v>0</v>
      </c>
      <c r="BA211">
        <v>1</v>
      </c>
      <c r="BB211">
        <v>1</v>
      </c>
      <c r="BC211">
        <v>4</v>
      </c>
      <c r="BD211">
        <v>0</v>
      </c>
      <c r="BE211">
        <v>127</v>
      </c>
      <c r="BF211">
        <v>2</v>
      </c>
      <c r="BG211">
        <v>16</v>
      </c>
      <c r="BH211">
        <v>6</v>
      </c>
      <c r="BI211">
        <v>0</v>
      </c>
      <c r="BJ211">
        <v>10</v>
      </c>
      <c r="BK211">
        <v>8</v>
      </c>
      <c r="BL211">
        <v>0</v>
      </c>
      <c r="BM211">
        <v>12</v>
      </c>
      <c r="BN211">
        <v>2</v>
      </c>
      <c r="BO211">
        <v>0</v>
      </c>
      <c r="BP211">
        <v>0</v>
      </c>
      <c r="BQ211">
        <v>0</v>
      </c>
      <c r="BR211">
        <v>0</v>
      </c>
    </row>
    <row r="212" spans="1:70" hidden="1" x14ac:dyDescent="0.2">
      <c r="A212" s="1" t="s">
        <v>4</v>
      </c>
      <c r="B212" s="1" t="s">
        <v>639</v>
      </c>
      <c r="C212" s="1" t="s">
        <v>115</v>
      </c>
      <c r="D212" t="s">
        <v>375</v>
      </c>
      <c r="E212" s="1">
        <f t="shared" si="19"/>
        <v>2</v>
      </c>
      <c r="F212" s="1" t="str">
        <f t="shared" si="20"/>
        <v>2017</v>
      </c>
      <c r="G212" s="1" t="str">
        <f t="shared" si="17"/>
        <v>2018</v>
      </c>
      <c r="H212">
        <v>6</v>
      </c>
      <c r="I212">
        <v>5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6</v>
      </c>
      <c r="R212">
        <v>0</v>
      </c>
      <c r="S212" s="1">
        <v>0</v>
      </c>
      <c r="T212" t="s">
        <v>292</v>
      </c>
      <c r="U212" s="9">
        <v>1.78</v>
      </c>
      <c r="V212" s="10">
        <v>80</v>
      </c>
      <c r="W212" t="s">
        <v>680</v>
      </c>
      <c r="X212">
        <v>1</v>
      </c>
      <c r="Y212" s="14">
        <v>49</v>
      </c>
      <c r="Z212" s="1" t="s">
        <v>657</v>
      </c>
      <c r="AA212" s="1">
        <v>58</v>
      </c>
      <c r="AC212" s="1">
        <v>86</v>
      </c>
      <c r="AL212" s="1">
        <v>81</v>
      </c>
    </row>
    <row r="213" spans="1:70" hidden="1" x14ac:dyDescent="0.2">
      <c r="A213" s="1" t="s">
        <v>4</v>
      </c>
      <c r="B213" s="1" t="s">
        <v>640</v>
      </c>
      <c r="C213" s="1" t="s">
        <v>115</v>
      </c>
      <c r="D213" t="s">
        <v>335</v>
      </c>
      <c r="E213" s="1">
        <f t="shared" si="19"/>
        <v>6</v>
      </c>
      <c r="F213" s="1" t="str">
        <f t="shared" si="20"/>
        <v>2014</v>
      </c>
      <c r="G213" s="1" t="str">
        <f t="shared" si="17"/>
        <v>2019</v>
      </c>
      <c r="H213">
        <v>23</v>
      </c>
      <c r="I213">
        <v>16</v>
      </c>
      <c r="J213">
        <v>7</v>
      </c>
      <c r="K213">
        <v>105</v>
      </c>
      <c r="L213">
        <v>5</v>
      </c>
      <c r="M213">
        <v>16</v>
      </c>
      <c r="N213">
        <v>15</v>
      </c>
      <c r="O213">
        <v>1</v>
      </c>
      <c r="P213">
        <v>1</v>
      </c>
      <c r="Q213">
        <v>22</v>
      </c>
      <c r="R213">
        <v>0</v>
      </c>
      <c r="S213" s="1">
        <v>4.34</v>
      </c>
      <c r="T213" t="s">
        <v>297</v>
      </c>
      <c r="U213" s="9">
        <v>1.83</v>
      </c>
      <c r="V213" s="10">
        <v>87</v>
      </c>
      <c r="W213" t="s">
        <v>681</v>
      </c>
      <c r="X213">
        <v>1</v>
      </c>
      <c r="Y213" s="14">
        <v>63</v>
      </c>
      <c r="Z213" s="1" t="s">
        <v>660</v>
      </c>
      <c r="AA213" s="1">
        <v>84</v>
      </c>
      <c r="AB213" s="1">
        <v>71</v>
      </c>
      <c r="AC213" s="1">
        <v>54</v>
      </c>
      <c r="AO213" s="1">
        <v>90</v>
      </c>
      <c r="AQ213" s="1">
        <v>79</v>
      </c>
      <c r="AR213" s="1">
        <v>34</v>
      </c>
      <c r="AS213" s="1">
        <f t="shared" si="18"/>
        <v>2.3235294117647061</v>
      </c>
      <c r="AT213">
        <v>368</v>
      </c>
      <c r="AU213">
        <v>34</v>
      </c>
      <c r="AV213">
        <v>1</v>
      </c>
      <c r="AW213">
        <v>3</v>
      </c>
      <c r="AX213">
        <v>4</v>
      </c>
      <c r="AY213">
        <v>7</v>
      </c>
      <c r="AZ213">
        <v>0</v>
      </c>
      <c r="BA213">
        <v>9</v>
      </c>
      <c r="BB213">
        <v>4</v>
      </c>
      <c r="BC213">
        <v>8</v>
      </c>
      <c r="BD213">
        <v>0</v>
      </c>
      <c r="BE213">
        <v>107</v>
      </c>
      <c r="BF213">
        <v>0</v>
      </c>
      <c r="BG213">
        <v>31</v>
      </c>
      <c r="BH213">
        <v>9</v>
      </c>
      <c r="BI213">
        <v>0</v>
      </c>
      <c r="BJ213">
        <v>1</v>
      </c>
      <c r="BK213">
        <v>1</v>
      </c>
      <c r="BL213">
        <v>1</v>
      </c>
      <c r="BM213">
        <v>24</v>
      </c>
      <c r="BN213">
        <v>5</v>
      </c>
      <c r="BO213">
        <v>0</v>
      </c>
      <c r="BP213">
        <v>0</v>
      </c>
      <c r="BQ213">
        <v>0</v>
      </c>
      <c r="BR213">
        <v>0</v>
      </c>
    </row>
    <row r="214" spans="1:70" hidden="1" x14ac:dyDescent="0.2">
      <c r="A214" s="1" t="s">
        <v>4</v>
      </c>
      <c r="B214" s="1" t="s">
        <v>641</v>
      </c>
      <c r="C214" s="1" t="s">
        <v>115</v>
      </c>
      <c r="D214" t="s">
        <v>306</v>
      </c>
      <c r="E214" s="1">
        <f t="shared" si="19"/>
        <v>3</v>
      </c>
      <c r="F214" s="1" t="str">
        <f t="shared" si="20"/>
        <v>2016</v>
      </c>
      <c r="G214" s="1" t="str">
        <f t="shared" si="17"/>
        <v>2018</v>
      </c>
      <c r="H214">
        <v>11</v>
      </c>
      <c r="I214">
        <v>6</v>
      </c>
      <c r="J214">
        <v>5</v>
      </c>
      <c r="K214">
        <v>41</v>
      </c>
      <c r="L214">
        <v>1</v>
      </c>
      <c r="M214">
        <v>6</v>
      </c>
      <c r="N214">
        <v>7</v>
      </c>
      <c r="O214">
        <v>1</v>
      </c>
      <c r="P214">
        <v>0</v>
      </c>
      <c r="Q214">
        <v>11</v>
      </c>
      <c r="R214">
        <v>0</v>
      </c>
      <c r="S214" s="1">
        <v>0</v>
      </c>
      <c r="T214" t="s">
        <v>297</v>
      </c>
      <c r="U214" s="9">
        <v>1.9</v>
      </c>
      <c r="V214" s="10">
        <v>93</v>
      </c>
      <c r="W214" t="s">
        <v>682</v>
      </c>
      <c r="X214">
        <v>1</v>
      </c>
      <c r="Y214" s="14">
        <v>47</v>
      </c>
      <c r="Z214" s="1" t="s">
        <v>657</v>
      </c>
      <c r="AA214" s="1">
        <v>81</v>
      </c>
      <c r="AB214" s="1">
        <v>74</v>
      </c>
      <c r="AC214" s="1">
        <v>53</v>
      </c>
      <c r="AO214" s="1">
        <v>88</v>
      </c>
    </row>
    <row r="215" spans="1:70" hidden="1" x14ac:dyDescent="0.2">
      <c r="A215" s="1" t="s">
        <v>4</v>
      </c>
      <c r="B215" s="1" t="s">
        <v>642</v>
      </c>
      <c r="C215" s="1" t="s">
        <v>115</v>
      </c>
      <c r="D215" t="s">
        <v>317</v>
      </c>
      <c r="E215" s="1">
        <f t="shared" si="19"/>
        <v>4</v>
      </c>
      <c r="F215" s="1" t="str">
        <f t="shared" si="20"/>
        <v>2015</v>
      </c>
      <c r="G215" s="1" t="str">
        <f t="shared" si="17"/>
        <v>2018</v>
      </c>
      <c r="H215">
        <v>6</v>
      </c>
      <c r="I215">
        <v>4</v>
      </c>
      <c r="J215">
        <v>2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5</v>
      </c>
      <c r="R215">
        <v>0</v>
      </c>
      <c r="S215" s="1">
        <v>16.66</v>
      </c>
      <c r="T215" t="s">
        <v>302</v>
      </c>
      <c r="U215" s="9">
        <v>1.8</v>
      </c>
      <c r="V215" s="10">
        <v>83</v>
      </c>
      <c r="W215" t="s">
        <v>683</v>
      </c>
      <c r="X215">
        <v>1</v>
      </c>
      <c r="Y215" s="14">
        <v>51</v>
      </c>
      <c r="Z215" s="1" t="s">
        <v>657</v>
      </c>
      <c r="AA215" s="1">
        <v>76</v>
      </c>
      <c r="AB215" s="1">
        <v>66</v>
      </c>
      <c r="AP215" s="1">
        <v>66</v>
      </c>
    </row>
    <row r="216" spans="1:70" hidden="1" x14ac:dyDescent="0.2">
      <c r="A216" s="1" t="s">
        <v>4</v>
      </c>
      <c r="B216" s="1" t="s">
        <v>643</v>
      </c>
      <c r="C216" s="1" t="s">
        <v>115</v>
      </c>
      <c r="D216" t="s">
        <v>298</v>
      </c>
      <c r="E216" s="1">
        <f t="shared" si="19"/>
        <v>1</v>
      </c>
      <c r="F216" s="1" t="str">
        <f t="shared" si="20"/>
        <v>2018</v>
      </c>
      <c r="G216" s="1" t="str">
        <f t="shared" si="17"/>
        <v>2018</v>
      </c>
      <c r="H216">
        <v>3</v>
      </c>
      <c r="I216">
        <v>3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3</v>
      </c>
      <c r="R216">
        <v>0</v>
      </c>
      <c r="S216" s="1">
        <v>0</v>
      </c>
      <c r="T216" t="s">
        <v>302</v>
      </c>
      <c r="U216" s="9">
        <v>1.87</v>
      </c>
      <c r="V216" s="10">
        <v>100</v>
      </c>
      <c r="W216" t="s">
        <v>684</v>
      </c>
      <c r="X216">
        <v>1</v>
      </c>
      <c r="Y216" s="14">
        <v>47</v>
      </c>
      <c r="Z216" s="1" t="s">
        <v>657</v>
      </c>
      <c r="AA216" s="1">
        <v>70</v>
      </c>
      <c r="AB216" s="1">
        <v>68</v>
      </c>
      <c r="AP216" s="1">
        <v>76</v>
      </c>
    </row>
    <row r="217" spans="1:70" hidden="1" x14ac:dyDescent="0.2">
      <c r="A217" s="1" t="s">
        <v>4</v>
      </c>
      <c r="B217" s="1" t="s">
        <v>644</v>
      </c>
      <c r="C217" s="1" t="s">
        <v>115</v>
      </c>
      <c r="D217" t="s">
        <v>338</v>
      </c>
      <c r="E217" s="1">
        <f t="shared" si="19"/>
        <v>8</v>
      </c>
      <c r="F217" s="1" t="str">
        <f t="shared" si="20"/>
        <v>2012</v>
      </c>
      <c r="G217" s="1" t="str">
        <f t="shared" si="17"/>
        <v>2019</v>
      </c>
      <c r="H217">
        <v>11</v>
      </c>
      <c r="I217">
        <v>10</v>
      </c>
      <c r="J217">
        <v>1</v>
      </c>
      <c r="K217">
        <v>20</v>
      </c>
      <c r="L217">
        <v>4</v>
      </c>
      <c r="M217">
        <v>0</v>
      </c>
      <c r="N217">
        <v>0</v>
      </c>
      <c r="O217">
        <v>0</v>
      </c>
      <c r="P217">
        <v>1</v>
      </c>
      <c r="Q217">
        <v>10</v>
      </c>
      <c r="R217">
        <v>0</v>
      </c>
      <c r="S217" s="1">
        <v>9.09</v>
      </c>
      <c r="T217" t="s">
        <v>302</v>
      </c>
      <c r="U217" s="9">
        <v>1.83</v>
      </c>
      <c r="V217" s="10">
        <v>95</v>
      </c>
      <c r="W217" t="s">
        <v>685</v>
      </c>
      <c r="X217">
        <v>1</v>
      </c>
      <c r="Y217" s="14">
        <v>60</v>
      </c>
      <c r="Z217" s="1" t="s">
        <v>660</v>
      </c>
      <c r="AA217" s="1">
        <v>68</v>
      </c>
      <c r="AB217" s="1">
        <v>72</v>
      </c>
      <c r="AP217" s="1">
        <v>71</v>
      </c>
      <c r="AQ217" s="1">
        <v>80</v>
      </c>
      <c r="AR217" s="1">
        <v>39</v>
      </c>
      <c r="AS217" s="1">
        <f t="shared" si="18"/>
        <v>2.0512820512820511</v>
      </c>
      <c r="AT217">
        <v>379</v>
      </c>
      <c r="AU217">
        <v>10</v>
      </c>
      <c r="AV217">
        <v>2</v>
      </c>
      <c r="AW217">
        <v>0</v>
      </c>
      <c r="AX217">
        <v>0</v>
      </c>
      <c r="AY217">
        <v>0</v>
      </c>
      <c r="AZ217">
        <v>0</v>
      </c>
      <c r="BA217">
        <v>9</v>
      </c>
      <c r="BB217">
        <v>2</v>
      </c>
      <c r="BC217">
        <v>13</v>
      </c>
      <c r="BD217">
        <v>1</v>
      </c>
      <c r="BE217">
        <v>15</v>
      </c>
      <c r="BF217">
        <v>1</v>
      </c>
      <c r="BG217">
        <v>57</v>
      </c>
      <c r="BH217">
        <v>7</v>
      </c>
      <c r="BI217">
        <v>1</v>
      </c>
      <c r="BJ217">
        <v>3</v>
      </c>
      <c r="BK217">
        <v>2</v>
      </c>
      <c r="BL217">
        <v>0</v>
      </c>
      <c r="BM217">
        <v>0</v>
      </c>
      <c r="BN217">
        <v>2</v>
      </c>
      <c r="BO217">
        <v>0</v>
      </c>
      <c r="BP217">
        <v>0</v>
      </c>
      <c r="BQ217">
        <v>0</v>
      </c>
      <c r="BR217">
        <v>0</v>
      </c>
    </row>
    <row r="218" spans="1:70" hidden="1" x14ac:dyDescent="0.2">
      <c r="A218" s="1" t="s">
        <v>4</v>
      </c>
      <c r="B218" s="1" t="s">
        <v>645</v>
      </c>
      <c r="C218" s="1" t="s">
        <v>115</v>
      </c>
      <c r="D218" t="s">
        <v>686</v>
      </c>
      <c r="E218" s="1">
        <f t="shared" si="19"/>
        <v>7</v>
      </c>
      <c r="F218" s="1" t="str">
        <f t="shared" si="20"/>
        <v>2008</v>
      </c>
      <c r="G218" s="1" t="str">
        <f t="shared" si="17"/>
        <v>2014</v>
      </c>
      <c r="H218">
        <v>11</v>
      </c>
      <c r="I218">
        <v>10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10</v>
      </c>
      <c r="R218">
        <v>0</v>
      </c>
      <c r="S218" s="1">
        <v>9.09</v>
      </c>
      <c r="T218" t="s">
        <v>302</v>
      </c>
      <c r="U218" s="9">
        <v>1.92</v>
      </c>
      <c r="V218" s="10">
        <v>101</v>
      </c>
      <c r="W218" t="s">
        <v>687</v>
      </c>
      <c r="X218">
        <v>1</v>
      </c>
      <c r="Y218" s="14">
        <v>58</v>
      </c>
      <c r="Z218" s="1" t="s">
        <v>660</v>
      </c>
      <c r="AA218" s="1">
        <v>66</v>
      </c>
      <c r="AB218" s="1">
        <v>63</v>
      </c>
      <c r="AP218" s="1">
        <v>66</v>
      </c>
    </row>
    <row r="219" spans="1:70" hidden="1" x14ac:dyDescent="0.2">
      <c r="A219" s="1" t="s">
        <v>4</v>
      </c>
      <c r="B219" s="1" t="s">
        <v>646</v>
      </c>
      <c r="C219" s="1" t="s">
        <v>115</v>
      </c>
      <c r="D219" t="s">
        <v>306</v>
      </c>
      <c r="E219" s="1">
        <f t="shared" si="19"/>
        <v>3</v>
      </c>
      <c r="F219" s="1" t="str">
        <f t="shared" si="20"/>
        <v>2016</v>
      </c>
      <c r="G219" s="1" t="str">
        <f t="shared" si="17"/>
        <v>2018</v>
      </c>
      <c r="H219">
        <v>10</v>
      </c>
      <c r="I219">
        <v>10</v>
      </c>
      <c r="J219">
        <v>0</v>
      </c>
      <c r="K219">
        <v>10</v>
      </c>
      <c r="L219">
        <v>2</v>
      </c>
      <c r="M219">
        <v>0</v>
      </c>
      <c r="N219">
        <v>0</v>
      </c>
      <c r="O219">
        <v>0</v>
      </c>
      <c r="P219">
        <v>0</v>
      </c>
      <c r="Q219">
        <v>10</v>
      </c>
      <c r="R219">
        <v>0</v>
      </c>
      <c r="S219" s="1">
        <v>0</v>
      </c>
      <c r="T219" t="s">
        <v>598</v>
      </c>
      <c r="U219" s="9">
        <v>1.93</v>
      </c>
      <c r="V219" s="10">
        <v>93</v>
      </c>
      <c r="W219" t="s">
        <v>336</v>
      </c>
      <c r="X219">
        <v>1</v>
      </c>
      <c r="Y219" s="14">
        <v>54</v>
      </c>
      <c r="Z219" s="1" t="s">
        <v>657</v>
      </c>
      <c r="AA219" s="1">
        <v>71</v>
      </c>
      <c r="AB219" s="1">
        <v>83</v>
      </c>
      <c r="AC219" s="1">
        <v>80</v>
      </c>
      <c r="AD219" s="1">
        <v>92</v>
      </c>
    </row>
    <row r="220" spans="1:70" hidden="1" x14ac:dyDescent="0.2">
      <c r="A220" s="1" t="s">
        <v>4</v>
      </c>
      <c r="B220" s="1" t="s">
        <v>647</v>
      </c>
      <c r="C220" s="1" t="s">
        <v>115</v>
      </c>
      <c r="D220" t="s">
        <v>441</v>
      </c>
      <c r="E220" s="1">
        <f t="shared" si="19"/>
        <v>9</v>
      </c>
      <c r="F220" s="1" t="str">
        <f t="shared" si="20"/>
        <v>2011</v>
      </c>
      <c r="G220" s="1" t="str">
        <f t="shared" si="17"/>
        <v>2019</v>
      </c>
      <c r="H220">
        <v>24</v>
      </c>
      <c r="I220">
        <v>17</v>
      </c>
      <c r="J220">
        <v>7</v>
      </c>
      <c r="K220">
        <v>10</v>
      </c>
      <c r="L220">
        <v>2</v>
      </c>
      <c r="M220">
        <v>0</v>
      </c>
      <c r="N220">
        <v>0</v>
      </c>
      <c r="O220">
        <v>0</v>
      </c>
      <c r="P220">
        <v>4</v>
      </c>
      <c r="Q220">
        <v>20</v>
      </c>
      <c r="R220">
        <v>0</v>
      </c>
      <c r="S220" s="1">
        <v>16.66</v>
      </c>
      <c r="T220" t="s">
        <v>302</v>
      </c>
      <c r="U220" s="9">
        <v>1.85</v>
      </c>
      <c r="V220" s="10">
        <v>93</v>
      </c>
      <c r="W220" t="s">
        <v>688</v>
      </c>
      <c r="X220">
        <v>1</v>
      </c>
      <c r="Y220" s="14">
        <v>62</v>
      </c>
      <c r="Z220" s="1" t="s">
        <v>660</v>
      </c>
      <c r="AA220" s="1">
        <v>54</v>
      </c>
      <c r="AB220" s="1">
        <v>61</v>
      </c>
      <c r="AC220" s="1">
        <v>55</v>
      </c>
      <c r="AD220" s="1">
        <v>93</v>
      </c>
      <c r="AQ220" s="1">
        <v>0</v>
      </c>
      <c r="AR220" s="1">
        <v>1</v>
      </c>
      <c r="AS220" s="1">
        <f t="shared" si="18"/>
        <v>0</v>
      </c>
      <c r="AT220">
        <v>2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</row>
    <row r="221" spans="1:70" hidden="1" x14ac:dyDescent="0.2">
      <c r="A221" s="1" t="s">
        <v>4</v>
      </c>
      <c r="B221" s="1" t="s">
        <v>648</v>
      </c>
      <c r="C221" s="1" t="s">
        <v>115</v>
      </c>
      <c r="G221" s="1" t="str">
        <f t="shared" si="17"/>
        <v/>
      </c>
      <c r="T221" t="s">
        <v>689</v>
      </c>
      <c r="U221" s="9">
        <v>1.84</v>
      </c>
      <c r="V221" s="10">
        <v>90</v>
      </c>
      <c r="W221" t="s">
        <v>690</v>
      </c>
      <c r="X221">
        <v>0</v>
      </c>
      <c r="Y221" s="14">
        <v>53</v>
      </c>
      <c r="Z221" s="1" t="s">
        <v>657</v>
      </c>
      <c r="AA221" s="1">
        <v>64</v>
      </c>
      <c r="AD221" s="1">
        <v>87</v>
      </c>
      <c r="AM221" s="1">
        <v>86</v>
      </c>
      <c r="AN221" s="1">
        <v>80</v>
      </c>
    </row>
    <row r="222" spans="1:70" hidden="1" x14ac:dyDescent="0.2">
      <c r="A222" s="1" t="s">
        <v>4</v>
      </c>
      <c r="B222" s="1" t="s">
        <v>649</v>
      </c>
      <c r="C222" s="1" t="s">
        <v>115</v>
      </c>
      <c r="D222" t="s">
        <v>340</v>
      </c>
      <c r="E222" s="1">
        <f>G222-F222+1</f>
        <v>2</v>
      </c>
      <c r="F222" s="1" t="str">
        <f>LEFT(D222, SEARCH("-",D222,1)-1)</f>
        <v>2018</v>
      </c>
      <c r="G222" s="1" t="str">
        <f t="shared" si="17"/>
        <v>2019</v>
      </c>
      <c r="H222">
        <v>10</v>
      </c>
      <c r="I222">
        <v>5</v>
      </c>
      <c r="J222">
        <v>5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10</v>
      </c>
      <c r="R222">
        <v>0</v>
      </c>
      <c r="S222" s="1">
        <v>0</v>
      </c>
      <c r="T222" t="s">
        <v>315</v>
      </c>
      <c r="U222" s="9">
        <v>1.84</v>
      </c>
      <c r="V222" s="10">
        <v>90</v>
      </c>
      <c r="W222" t="s">
        <v>691</v>
      </c>
      <c r="X222">
        <v>1</v>
      </c>
      <c r="Y222" s="14">
        <v>65</v>
      </c>
      <c r="Z222" s="1" t="s">
        <v>660</v>
      </c>
      <c r="AA222" s="1">
        <v>80</v>
      </c>
      <c r="AD222" s="1">
        <v>93</v>
      </c>
      <c r="AM222" s="1">
        <v>91</v>
      </c>
      <c r="AN222" s="1">
        <v>84</v>
      </c>
      <c r="AQ222" s="1">
        <v>373</v>
      </c>
      <c r="AR222" s="1">
        <v>54</v>
      </c>
      <c r="AS222" s="1">
        <f t="shared" si="18"/>
        <v>6.9074074074074074</v>
      </c>
      <c r="AT222">
        <v>400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16</v>
      </c>
      <c r="BB222">
        <v>4</v>
      </c>
      <c r="BC222">
        <v>12</v>
      </c>
      <c r="BD222">
        <v>0</v>
      </c>
      <c r="BE222">
        <v>50</v>
      </c>
      <c r="BF222">
        <v>6</v>
      </c>
      <c r="BG222">
        <v>21</v>
      </c>
      <c r="BH222">
        <v>7</v>
      </c>
      <c r="BI222">
        <v>2</v>
      </c>
      <c r="BJ222">
        <v>7</v>
      </c>
      <c r="BK222">
        <v>3</v>
      </c>
      <c r="BL222">
        <v>2</v>
      </c>
      <c r="BM222">
        <v>16</v>
      </c>
      <c r="BN222">
        <v>16</v>
      </c>
      <c r="BO222">
        <v>0</v>
      </c>
      <c r="BP222">
        <v>0</v>
      </c>
      <c r="BQ222">
        <v>0</v>
      </c>
      <c r="BR222">
        <v>0</v>
      </c>
    </row>
    <row r="223" spans="1:70" hidden="1" x14ac:dyDescent="0.2">
      <c r="A223" s="1" t="s">
        <v>4</v>
      </c>
      <c r="B223" s="1" t="s">
        <v>650</v>
      </c>
      <c r="C223" s="1" t="s">
        <v>115</v>
      </c>
      <c r="D223" t="s">
        <v>298</v>
      </c>
      <c r="E223" s="1">
        <f>G223-F223+1</f>
        <v>1</v>
      </c>
      <c r="F223" s="1" t="str">
        <f>LEFT(D223, SEARCH("-",D223,1)-1)</f>
        <v>2018</v>
      </c>
      <c r="G223" s="1" t="str">
        <f t="shared" si="17"/>
        <v>2018</v>
      </c>
      <c r="H223">
        <v>5</v>
      </c>
      <c r="I223">
        <v>5</v>
      </c>
      <c r="J223">
        <v>0</v>
      </c>
      <c r="K223">
        <v>20</v>
      </c>
      <c r="L223">
        <v>4</v>
      </c>
      <c r="M223">
        <v>0</v>
      </c>
      <c r="N223">
        <v>0</v>
      </c>
      <c r="O223">
        <v>0</v>
      </c>
      <c r="P223">
        <v>0</v>
      </c>
      <c r="Q223">
        <v>5</v>
      </c>
      <c r="R223">
        <v>0</v>
      </c>
      <c r="S223" s="1">
        <v>0</v>
      </c>
      <c r="T223" t="s">
        <v>315</v>
      </c>
      <c r="U223" s="9">
        <v>1.75</v>
      </c>
      <c r="V223" s="10">
        <v>76</v>
      </c>
      <c r="W223" t="s">
        <v>692</v>
      </c>
      <c r="X223">
        <v>1</v>
      </c>
      <c r="Y223" s="14">
        <v>48</v>
      </c>
      <c r="Z223" s="1" t="s">
        <v>518</v>
      </c>
      <c r="AA223" s="1">
        <v>57</v>
      </c>
      <c r="AD223" s="1">
        <v>84</v>
      </c>
      <c r="AM223" s="1">
        <v>29</v>
      </c>
      <c r="AN223" s="1">
        <v>82</v>
      </c>
    </row>
    <row r="224" spans="1:70" hidden="1" x14ac:dyDescent="0.2">
      <c r="A224" s="1" t="s">
        <v>4</v>
      </c>
      <c r="B224" s="1" t="s">
        <v>651</v>
      </c>
      <c r="C224" s="1" t="s">
        <v>115</v>
      </c>
      <c r="D224" t="s">
        <v>258</v>
      </c>
      <c r="E224" s="1">
        <f>G224-F224+1</f>
        <v>4</v>
      </c>
      <c r="F224" s="1" t="str">
        <f>LEFT(D224, SEARCH("-",D224,1)-1)</f>
        <v>2016</v>
      </c>
      <c r="G224" s="1" t="str">
        <f t="shared" si="17"/>
        <v>2019</v>
      </c>
      <c r="H224">
        <v>13</v>
      </c>
      <c r="I224">
        <v>10</v>
      </c>
      <c r="J224">
        <v>3</v>
      </c>
      <c r="K224">
        <v>18</v>
      </c>
      <c r="L224">
        <v>3</v>
      </c>
      <c r="M224">
        <v>0</v>
      </c>
      <c r="N224">
        <v>1</v>
      </c>
      <c r="O224">
        <v>0</v>
      </c>
      <c r="P224">
        <v>0</v>
      </c>
      <c r="Q224">
        <v>13</v>
      </c>
      <c r="R224">
        <v>0</v>
      </c>
      <c r="S224" s="1">
        <v>0</v>
      </c>
      <c r="T224" t="s">
        <v>315</v>
      </c>
      <c r="U224" s="9">
        <v>1.88</v>
      </c>
      <c r="V224" s="10">
        <v>90</v>
      </c>
      <c r="W224" t="s">
        <v>693</v>
      </c>
      <c r="X224">
        <v>1</v>
      </c>
      <c r="Y224" s="14">
        <v>49</v>
      </c>
      <c r="Z224" s="1" t="s">
        <v>657</v>
      </c>
      <c r="AA224" s="1">
        <v>75</v>
      </c>
      <c r="AD224" s="1">
        <v>85</v>
      </c>
      <c r="AM224" s="1">
        <v>89</v>
      </c>
      <c r="AN224" s="1">
        <v>85</v>
      </c>
      <c r="AQ224" s="1">
        <v>159</v>
      </c>
      <c r="AR224" s="1">
        <v>29</v>
      </c>
      <c r="AS224" s="1">
        <f t="shared" si="18"/>
        <v>5.4827586206896548</v>
      </c>
      <c r="AT224">
        <v>352</v>
      </c>
      <c r="AU224">
        <v>15</v>
      </c>
      <c r="AV224">
        <v>3</v>
      </c>
      <c r="AW224">
        <v>0</v>
      </c>
      <c r="AX224">
        <v>0</v>
      </c>
      <c r="AY224">
        <v>0</v>
      </c>
      <c r="AZ224">
        <v>0</v>
      </c>
      <c r="BA224">
        <v>8</v>
      </c>
      <c r="BB224">
        <v>6</v>
      </c>
      <c r="BC224">
        <v>5</v>
      </c>
      <c r="BD224">
        <v>0</v>
      </c>
      <c r="BE224">
        <v>8</v>
      </c>
      <c r="BF224">
        <v>0</v>
      </c>
      <c r="BG224">
        <v>15</v>
      </c>
      <c r="BH224">
        <v>7</v>
      </c>
      <c r="BI224">
        <v>0</v>
      </c>
      <c r="BJ224">
        <v>3</v>
      </c>
      <c r="BK224">
        <v>2</v>
      </c>
      <c r="BL224">
        <v>0</v>
      </c>
      <c r="BM224">
        <v>2</v>
      </c>
      <c r="BN224">
        <v>8</v>
      </c>
      <c r="BO224">
        <v>0</v>
      </c>
      <c r="BP224">
        <v>0</v>
      </c>
      <c r="BQ224">
        <v>0</v>
      </c>
      <c r="BR224">
        <v>0</v>
      </c>
    </row>
    <row r="225" spans="1:30" hidden="1" x14ac:dyDescent="0.2">
      <c r="A225" s="1" t="s">
        <v>4</v>
      </c>
      <c r="B225" s="1" t="s">
        <v>652</v>
      </c>
      <c r="C225" s="1" t="s">
        <v>115</v>
      </c>
      <c r="D225" t="s">
        <v>358</v>
      </c>
      <c r="E225" s="1">
        <f>G225-F225+1</f>
        <v>3</v>
      </c>
      <c r="F225" s="1" t="str">
        <f>LEFT(D225, SEARCH("-",D225,1)-1)</f>
        <v>2014</v>
      </c>
      <c r="G225" s="1" t="str">
        <f t="shared" si="17"/>
        <v>2016</v>
      </c>
      <c r="H225">
        <v>14</v>
      </c>
      <c r="I225">
        <v>14</v>
      </c>
      <c r="J225">
        <v>0</v>
      </c>
      <c r="K225">
        <v>20</v>
      </c>
      <c r="L225">
        <v>4</v>
      </c>
      <c r="M225">
        <v>0</v>
      </c>
      <c r="N225">
        <v>0</v>
      </c>
      <c r="O225">
        <v>0</v>
      </c>
      <c r="P225">
        <v>0</v>
      </c>
      <c r="Q225">
        <v>14</v>
      </c>
      <c r="R225">
        <v>0</v>
      </c>
      <c r="S225" s="1">
        <v>0</v>
      </c>
      <c r="T225" t="s">
        <v>311</v>
      </c>
      <c r="U225" s="9">
        <v>1.93</v>
      </c>
      <c r="V225" s="10">
        <v>91</v>
      </c>
      <c r="W225" t="s">
        <v>694</v>
      </c>
      <c r="X225">
        <v>1</v>
      </c>
      <c r="Y225" s="14">
        <v>51</v>
      </c>
      <c r="Z225" s="1" t="s">
        <v>660</v>
      </c>
      <c r="AA225" s="1">
        <v>48</v>
      </c>
      <c r="AB225" s="1">
        <v>66</v>
      </c>
      <c r="AC225" s="1">
        <v>47</v>
      </c>
      <c r="AD225" s="1">
        <v>88</v>
      </c>
    </row>
  </sheetData>
  <autoFilter ref="A1:BR225" xr:uid="{00000000-0001-0000-0200-000000000000}">
    <filterColumn colId="19">
      <filters>
        <filter val="Back-row"/>
        <filter val="Flanker, No. 8"/>
        <filter val="Lock, Back-row"/>
        <filter val="No. 8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>
      <selection activeCell="B14" sqref="B14:B18"/>
    </sheetView>
  </sheetViews>
  <sheetFormatPr baseColWidth="10" defaultColWidth="8.83203125" defaultRowHeight="15" x14ac:dyDescent="0.2"/>
  <cols>
    <col min="1" max="1" width="19.33203125" bestFit="1" customWidth="1"/>
    <col min="2" max="2" width="144.33203125" bestFit="1" customWidth="1"/>
  </cols>
  <sheetData>
    <row r="1" spans="1:2" ht="18.5" customHeight="1" x14ac:dyDescent="0.2">
      <c r="A1" s="3" t="s">
        <v>915</v>
      </c>
      <c r="B1" s="4" t="s">
        <v>916</v>
      </c>
    </row>
    <row r="2" spans="1:2" ht="51.5" customHeight="1" x14ac:dyDescent="0.2">
      <c r="A2" s="19" t="s">
        <v>920</v>
      </c>
      <c r="B2" s="20" t="s">
        <v>921</v>
      </c>
    </row>
    <row r="3" spans="1:2" x14ac:dyDescent="0.2">
      <c r="A3" s="19" t="s">
        <v>524</v>
      </c>
      <c r="B3" t="s">
        <v>703</v>
      </c>
    </row>
    <row r="4" spans="1:2" x14ac:dyDescent="0.2">
      <c r="A4" s="19" t="s">
        <v>525</v>
      </c>
      <c r="B4" t="s">
        <v>521</v>
      </c>
    </row>
    <row r="5" spans="1:2" x14ac:dyDescent="0.2">
      <c r="A5" s="19" t="s">
        <v>526</v>
      </c>
      <c r="B5" t="s">
        <v>522</v>
      </c>
    </row>
    <row r="6" spans="1:2" x14ac:dyDescent="0.2">
      <c r="A6" s="19" t="s">
        <v>527</v>
      </c>
      <c r="B6" t="s">
        <v>523</v>
      </c>
    </row>
    <row r="7" spans="1:2" x14ac:dyDescent="0.2">
      <c r="A7" s="19" t="s">
        <v>528</v>
      </c>
      <c r="B7" t="s">
        <v>696</v>
      </c>
    </row>
    <row r="8" spans="1:2" x14ac:dyDescent="0.2">
      <c r="A8" s="19" t="s">
        <v>529</v>
      </c>
      <c r="B8" t="s">
        <v>697</v>
      </c>
    </row>
    <row r="9" spans="1:2" x14ac:dyDescent="0.2">
      <c r="A9" s="19" t="s">
        <v>531</v>
      </c>
      <c r="B9" t="s">
        <v>530</v>
      </c>
    </row>
    <row r="10" spans="1:2" x14ac:dyDescent="0.2">
      <c r="A10" s="19" t="s">
        <v>917</v>
      </c>
      <c r="B10" s="15" t="s">
        <v>532</v>
      </c>
    </row>
    <row r="11" spans="1:2" x14ac:dyDescent="0.2">
      <c r="A11" s="19" t="s">
        <v>918</v>
      </c>
      <c r="B11" t="s">
        <v>698</v>
      </c>
    </row>
    <row r="12" spans="1:2" x14ac:dyDescent="0.2">
      <c r="A12" s="19" t="s">
        <v>536</v>
      </c>
      <c r="B12" t="s">
        <v>919</v>
      </c>
    </row>
    <row r="13" spans="1:2" x14ac:dyDescent="0.2">
      <c r="A13" s="19" t="s">
        <v>537</v>
      </c>
      <c r="B13" t="s">
        <v>535</v>
      </c>
    </row>
    <row r="14" spans="1:2" x14ac:dyDescent="0.2">
      <c r="A14" s="19" t="s">
        <v>538</v>
      </c>
      <c r="B14" t="s">
        <v>699</v>
      </c>
    </row>
    <row r="15" spans="1:2" x14ac:dyDescent="0.2">
      <c r="A15" s="19" t="s">
        <v>539</v>
      </c>
      <c r="B15" t="s">
        <v>700</v>
      </c>
    </row>
    <row r="16" spans="1:2" x14ac:dyDescent="0.2">
      <c r="A16" s="19" t="s">
        <v>540</v>
      </c>
      <c r="B16" t="s">
        <v>701</v>
      </c>
    </row>
    <row r="17" spans="1:2" x14ac:dyDescent="0.2">
      <c r="A17" s="19" t="s">
        <v>541</v>
      </c>
      <c r="B17" t="s">
        <v>702</v>
      </c>
    </row>
    <row r="18" spans="1:2" x14ac:dyDescent="0.2">
      <c r="A18" s="19" t="s">
        <v>542</v>
      </c>
      <c r="B18" t="s">
        <v>543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127"/>
  <sheetViews>
    <sheetView workbookViewId="0">
      <pane xSplit="8" ySplit="12" topLeftCell="Q13" activePane="bottomRight" state="frozen"/>
      <selection pane="topRight" activeCell="I1" sqref="I1"/>
      <selection pane="bottomLeft" activeCell="A13" sqref="A13"/>
      <selection pane="bottomRight" activeCell="Q22" sqref="Q22"/>
    </sheetView>
  </sheetViews>
  <sheetFormatPr baseColWidth="10" defaultColWidth="8.83203125" defaultRowHeight="15" x14ac:dyDescent="0.2"/>
  <cols>
    <col min="1" max="1" width="7.83203125" bestFit="1" customWidth="1"/>
    <col min="2" max="2" width="4.83203125" bestFit="1" customWidth="1"/>
    <col min="3" max="3" width="15.6640625" bestFit="1" customWidth="1"/>
    <col min="4" max="4" width="10.83203125" bestFit="1" customWidth="1"/>
    <col min="5" max="5" width="11.1640625" bestFit="1" customWidth="1"/>
    <col min="6" max="6" width="11.83203125" bestFit="1" customWidth="1"/>
    <col min="7" max="7" width="10.6640625" bestFit="1" customWidth="1"/>
    <col min="8" max="8" width="11" bestFit="1" customWidth="1"/>
    <col min="9" max="9" width="10.83203125" bestFit="1" customWidth="1"/>
    <col min="10" max="10" width="10.6640625" bestFit="1" customWidth="1"/>
    <col min="11" max="11" width="11.5" bestFit="1" customWidth="1"/>
    <col min="12" max="12" width="23" bestFit="1" customWidth="1"/>
    <col min="13" max="13" width="21.83203125" bestFit="1" customWidth="1"/>
    <col min="14" max="14" width="22.33203125" bestFit="1" customWidth="1"/>
    <col min="15" max="15" width="19.83203125" bestFit="1" customWidth="1"/>
    <col min="16" max="16" width="23.5" bestFit="1" customWidth="1"/>
    <col min="17" max="17" width="21.5" bestFit="1" customWidth="1"/>
    <col min="18" max="18" width="15.33203125" customWidth="1"/>
    <col min="19" max="19" width="30.5" bestFit="1" customWidth="1"/>
    <col min="20" max="20" width="46.33203125" customWidth="1"/>
    <col min="21" max="21" width="17.83203125" bestFit="1" customWidth="1"/>
    <col min="22" max="22" width="25.33203125" customWidth="1"/>
    <col min="23" max="23" width="18.6640625" bestFit="1" customWidth="1"/>
    <col min="24" max="24" width="20.6640625" style="1" bestFit="1" customWidth="1"/>
    <col min="25" max="25" width="17.5" style="1" customWidth="1"/>
    <col min="26" max="26" width="19.5" style="1" bestFit="1" customWidth="1"/>
    <col min="27" max="27" width="17.83203125" style="1" customWidth="1"/>
    <col min="28" max="28" width="19.83203125" style="1" bestFit="1" customWidth="1"/>
    <col min="29" max="29" width="16" style="1" bestFit="1" customWidth="1"/>
    <col min="30" max="30" width="17.6640625" style="1" bestFit="1" customWidth="1"/>
    <col min="31" max="31" width="19.1640625" style="1" bestFit="1" customWidth="1"/>
    <col min="32" max="32" width="21.33203125" style="1" bestFit="1" customWidth="1"/>
    <col min="33" max="33" width="17.1640625" style="1" bestFit="1" customWidth="1"/>
    <col min="34" max="34" width="19.1640625" style="1" bestFit="1" customWidth="1"/>
    <col min="35" max="35" width="10.83203125" style="1" customWidth="1"/>
    <col min="36" max="36" width="11.1640625" style="1" bestFit="1" customWidth="1"/>
    <col min="37" max="37" width="11.83203125" bestFit="1" customWidth="1"/>
    <col min="38" max="38" width="10.6640625" bestFit="1" customWidth="1"/>
    <col min="39" max="39" width="11" bestFit="1" customWidth="1"/>
    <col min="40" max="40" width="10.83203125" bestFit="1" customWidth="1"/>
    <col min="41" max="41" width="10.6640625" bestFit="1" customWidth="1"/>
    <col min="42" max="42" width="11.5" bestFit="1" customWidth="1"/>
    <col min="43" max="43" width="23" bestFit="1" customWidth="1"/>
    <col min="44" max="44" width="21.83203125" bestFit="1" customWidth="1"/>
    <col min="45" max="45" width="22.33203125" bestFit="1" customWidth="1"/>
    <col min="46" max="46" width="19.83203125" bestFit="1" customWidth="1"/>
    <col min="47" max="47" width="23.5" bestFit="1" customWidth="1"/>
    <col min="48" max="48" width="21.5" bestFit="1" customWidth="1"/>
  </cols>
  <sheetData>
    <row r="1" spans="1:48" x14ac:dyDescent="0.2">
      <c r="A1" s="3" t="s">
        <v>33</v>
      </c>
      <c r="B1" s="3" t="s">
        <v>25</v>
      </c>
      <c r="C1" s="3" t="s">
        <v>49</v>
      </c>
      <c r="D1" s="3" t="s">
        <v>40</v>
      </c>
      <c r="E1" s="3" t="s">
        <v>39</v>
      </c>
      <c r="F1" s="3" t="s">
        <v>50</v>
      </c>
      <c r="G1" s="3" t="s">
        <v>41</v>
      </c>
      <c r="H1" s="3" t="s">
        <v>42</v>
      </c>
      <c r="I1" s="3" t="s">
        <v>51</v>
      </c>
      <c r="J1" s="3" t="s">
        <v>52</v>
      </c>
      <c r="K1" s="3" t="s">
        <v>53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55</v>
      </c>
      <c r="S1" s="3" t="s">
        <v>54</v>
      </c>
      <c r="T1" s="3" t="s">
        <v>60</v>
      </c>
      <c r="U1" s="3" t="s">
        <v>61</v>
      </c>
      <c r="V1" s="3" t="s">
        <v>486</v>
      </c>
      <c r="W1" s="3" t="s">
        <v>706</v>
      </c>
      <c r="X1" s="3" t="s">
        <v>712</v>
      </c>
      <c r="Y1" s="3" t="s">
        <v>707</v>
      </c>
      <c r="Z1" s="4" t="s">
        <v>713</v>
      </c>
      <c r="AA1" s="3" t="s">
        <v>708</v>
      </c>
      <c r="AB1" s="4" t="s">
        <v>714</v>
      </c>
      <c r="AC1" s="3" t="s">
        <v>709</v>
      </c>
      <c r="AD1" s="4" t="s">
        <v>715</v>
      </c>
      <c r="AE1" s="3" t="s">
        <v>710</v>
      </c>
      <c r="AF1" s="4" t="s">
        <v>716</v>
      </c>
      <c r="AG1" s="3" t="s">
        <v>711</v>
      </c>
      <c r="AH1" s="4" t="s">
        <v>717</v>
      </c>
      <c r="AI1" s="3" t="s">
        <v>922</v>
      </c>
      <c r="AJ1" s="3" t="s">
        <v>923</v>
      </c>
      <c r="AK1" s="3" t="s">
        <v>924</v>
      </c>
      <c r="AL1" s="3" t="s">
        <v>925</v>
      </c>
      <c r="AM1" s="3" t="s">
        <v>926</v>
      </c>
      <c r="AN1" s="3" t="s">
        <v>927</v>
      </c>
      <c r="AO1" s="3" t="s">
        <v>928</v>
      </c>
      <c r="AP1" s="3" t="s">
        <v>929</v>
      </c>
      <c r="AQ1" s="3" t="s">
        <v>930</v>
      </c>
      <c r="AR1" s="3" t="s">
        <v>931</v>
      </c>
      <c r="AS1" s="3" t="s">
        <v>932</v>
      </c>
      <c r="AT1" s="3" t="s">
        <v>933</v>
      </c>
      <c r="AU1" s="3" t="s">
        <v>934</v>
      </c>
      <c r="AV1" s="3" t="s">
        <v>935</v>
      </c>
    </row>
    <row r="2" spans="1:48" x14ac:dyDescent="0.2">
      <c r="A2" s="1" t="s">
        <v>35</v>
      </c>
      <c r="B2" s="1">
        <v>2000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>
        <v>1</v>
      </c>
      <c r="S2" s="1"/>
      <c r="T2" s="1">
        <v>3</v>
      </c>
      <c r="U2" s="1" t="s">
        <v>56</v>
      </c>
      <c r="V2" s="1">
        <v>0</v>
      </c>
      <c r="W2" s="1"/>
      <c r="Y2" s="1">
        <v>1</v>
      </c>
      <c r="Z2" s="1">
        <v>0</v>
      </c>
      <c r="AA2" s="1">
        <v>1</v>
      </c>
      <c r="AB2" s="1">
        <v>1</v>
      </c>
      <c r="AC2" s="1">
        <v>1</v>
      </c>
      <c r="AD2" s="1">
        <v>0</v>
      </c>
      <c r="AE2" s="1">
        <v>0</v>
      </c>
      <c r="AF2" s="1">
        <v>0</v>
      </c>
      <c r="AG2" s="1">
        <v>1</v>
      </c>
      <c r="AH2" s="1">
        <v>1</v>
      </c>
      <c r="AI2">
        <v>183</v>
      </c>
      <c r="AJ2">
        <v>70</v>
      </c>
      <c r="AK2">
        <v>113</v>
      </c>
      <c r="AL2">
        <v>20</v>
      </c>
      <c r="AM2">
        <v>5</v>
      </c>
      <c r="AN2">
        <v>0</v>
      </c>
      <c r="AO2">
        <v>0</v>
      </c>
      <c r="AP2">
        <v>8</v>
      </c>
      <c r="AQ2" s="1"/>
      <c r="AR2" s="1"/>
      <c r="AS2" s="1"/>
      <c r="AT2" s="1"/>
      <c r="AU2" s="1"/>
      <c r="AV2" s="1"/>
    </row>
    <row r="3" spans="1:48" x14ac:dyDescent="0.2">
      <c r="A3" s="1" t="s">
        <v>1</v>
      </c>
      <c r="B3" s="1">
        <v>2001</v>
      </c>
      <c r="C3" s="1">
        <v>1</v>
      </c>
      <c r="D3">
        <v>183</v>
      </c>
      <c r="E3">
        <v>70</v>
      </c>
      <c r="F3">
        <v>113</v>
      </c>
      <c r="G3">
        <v>20</v>
      </c>
      <c r="H3">
        <v>5</v>
      </c>
      <c r="I3">
        <v>0</v>
      </c>
      <c r="J3">
        <v>0</v>
      </c>
      <c r="K3">
        <v>8</v>
      </c>
      <c r="L3" s="1"/>
      <c r="M3" s="1"/>
      <c r="N3" s="1"/>
      <c r="O3" s="1"/>
      <c r="P3" s="1"/>
      <c r="Q3" s="1"/>
      <c r="R3" s="1">
        <v>1</v>
      </c>
      <c r="S3" s="1"/>
      <c r="T3" s="1">
        <v>4</v>
      </c>
      <c r="U3" s="1" t="s">
        <v>56</v>
      </c>
      <c r="V3" s="1">
        <v>1</v>
      </c>
      <c r="W3" s="1"/>
      <c r="Y3" s="1">
        <v>1</v>
      </c>
      <c r="Z3" s="1">
        <v>1</v>
      </c>
      <c r="AA3" s="1">
        <v>0</v>
      </c>
      <c r="AB3" s="1">
        <v>0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0</v>
      </c>
      <c r="AI3">
        <v>229</v>
      </c>
      <c r="AJ3">
        <v>80</v>
      </c>
      <c r="AK3">
        <v>149</v>
      </c>
      <c r="AL3">
        <v>29</v>
      </c>
      <c r="AM3">
        <v>6</v>
      </c>
      <c r="AN3">
        <v>0</v>
      </c>
      <c r="AO3">
        <v>0</v>
      </c>
      <c r="AP3">
        <v>8</v>
      </c>
      <c r="AQ3" s="1"/>
      <c r="AR3" s="1"/>
      <c r="AS3" s="1"/>
      <c r="AT3" s="1"/>
      <c r="AU3" s="1"/>
      <c r="AV3" s="1"/>
    </row>
    <row r="4" spans="1:48" x14ac:dyDescent="0.2">
      <c r="A4" s="1" t="s">
        <v>1</v>
      </c>
      <c r="B4" s="1">
        <v>2002</v>
      </c>
      <c r="C4" s="1">
        <v>1</v>
      </c>
      <c r="D4">
        <v>229</v>
      </c>
      <c r="E4">
        <v>80</v>
      </c>
      <c r="F4">
        <v>149</v>
      </c>
      <c r="G4">
        <v>29</v>
      </c>
      <c r="H4">
        <v>6</v>
      </c>
      <c r="I4">
        <v>0</v>
      </c>
      <c r="J4">
        <v>0</v>
      </c>
      <c r="K4">
        <v>8</v>
      </c>
      <c r="L4" s="1"/>
      <c r="M4" s="1"/>
      <c r="N4" s="1"/>
      <c r="O4" s="1"/>
      <c r="P4" s="1"/>
      <c r="Q4" s="1"/>
      <c r="R4" s="1">
        <v>2</v>
      </c>
      <c r="S4" s="1"/>
      <c r="T4" s="1">
        <v>5</v>
      </c>
      <c r="U4" s="1" t="s">
        <v>56</v>
      </c>
      <c r="V4" s="1">
        <v>1</v>
      </c>
      <c r="W4" s="1"/>
      <c r="Y4" s="1">
        <v>0</v>
      </c>
      <c r="Z4" s="1">
        <v>0</v>
      </c>
      <c r="AA4" s="1">
        <v>1</v>
      </c>
      <c r="AB4" s="1">
        <v>1</v>
      </c>
      <c r="AC4" s="1">
        <v>1</v>
      </c>
      <c r="AD4" s="1">
        <v>0</v>
      </c>
      <c r="AE4" s="1">
        <v>1</v>
      </c>
      <c r="AF4" s="1">
        <v>0</v>
      </c>
      <c r="AG4" s="1">
        <v>1</v>
      </c>
      <c r="AH4" s="1">
        <v>1</v>
      </c>
      <c r="AI4">
        <v>184</v>
      </c>
      <c r="AJ4">
        <v>53</v>
      </c>
      <c r="AK4">
        <v>131</v>
      </c>
      <c r="AL4">
        <v>23</v>
      </c>
      <c r="AM4">
        <v>4</v>
      </c>
      <c r="AN4">
        <v>0</v>
      </c>
      <c r="AO4">
        <v>0</v>
      </c>
      <c r="AP4">
        <v>8</v>
      </c>
      <c r="AQ4" s="1"/>
      <c r="AR4" s="1"/>
      <c r="AS4" s="1"/>
      <c r="AT4" s="1"/>
      <c r="AU4" s="1"/>
      <c r="AV4" s="1"/>
    </row>
    <row r="5" spans="1:48" x14ac:dyDescent="0.2">
      <c r="A5" s="1" t="s">
        <v>1</v>
      </c>
      <c r="B5" s="1">
        <v>2003</v>
      </c>
      <c r="C5" s="1">
        <v>2</v>
      </c>
      <c r="D5">
        <v>184</v>
      </c>
      <c r="E5">
        <v>53</v>
      </c>
      <c r="F5">
        <v>131</v>
      </c>
      <c r="G5">
        <v>23</v>
      </c>
      <c r="H5">
        <v>4</v>
      </c>
      <c r="I5">
        <v>0</v>
      </c>
      <c r="J5">
        <v>0</v>
      </c>
      <c r="K5">
        <v>8</v>
      </c>
      <c r="L5" s="1"/>
      <c r="M5" s="1"/>
      <c r="N5" s="1"/>
      <c r="O5" s="1"/>
      <c r="P5" s="1"/>
      <c r="Q5" s="1"/>
      <c r="R5" s="1">
        <v>1</v>
      </c>
      <c r="S5" s="1">
        <v>1</v>
      </c>
      <c r="T5" s="1">
        <v>6</v>
      </c>
      <c r="U5" s="1" t="s">
        <v>56</v>
      </c>
      <c r="V5" s="1">
        <v>1</v>
      </c>
      <c r="W5" s="1"/>
      <c r="Y5" s="1">
        <v>1</v>
      </c>
      <c r="Z5" s="1">
        <v>1</v>
      </c>
      <c r="AA5" s="1">
        <v>1</v>
      </c>
      <c r="AB5" s="1">
        <v>0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0</v>
      </c>
      <c r="AI5">
        <v>173</v>
      </c>
      <c r="AJ5">
        <v>46</v>
      </c>
      <c r="AK5">
        <v>127</v>
      </c>
      <c r="AL5">
        <v>18</v>
      </c>
      <c r="AM5">
        <v>4</v>
      </c>
      <c r="AN5">
        <v>0</v>
      </c>
      <c r="AO5">
        <v>0</v>
      </c>
      <c r="AP5">
        <v>10</v>
      </c>
      <c r="AQ5" s="1"/>
      <c r="AR5" s="1"/>
      <c r="AS5" s="1"/>
      <c r="AT5" s="1"/>
      <c r="AU5" s="1"/>
      <c r="AV5" s="1"/>
    </row>
    <row r="6" spans="1:48" x14ac:dyDescent="0.2">
      <c r="A6" s="1" t="s">
        <v>1</v>
      </c>
      <c r="B6" s="1">
        <v>2004</v>
      </c>
      <c r="C6" s="1">
        <v>1</v>
      </c>
      <c r="D6">
        <v>173</v>
      </c>
      <c r="E6">
        <v>46</v>
      </c>
      <c r="F6">
        <v>127</v>
      </c>
      <c r="G6">
        <v>18</v>
      </c>
      <c r="H6">
        <v>4</v>
      </c>
      <c r="I6">
        <v>0</v>
      </c>
      <c r="J6">
        <v>0</v>
      </c>
      <c r="K6">
        <v>10</v>
      </c>
      <c r="L6" s="1"/>
      <c r="M6" s="1"/>
      <c r="N6" s="1"/>
      <c r="O6" s="1"/>
      <c r="P6" s="1"/>
      <c r="Q6" s="1"/>
      <c r="R6" s="1">
        <v>3</v>
      </c>
      <c r="S6" s="1">
        <v>1</v>
      </c>
      <c r="T6" s="1">
        <v>7</v>
      </c>
      <c r="U6" s="1" t="s">
        <v>56</v>
      </c>
      <c r="V6" s="1">
        <v>0</v>
      </c>
      <c r="W6" s="1"/>
      <c r="Y6" s="1">
        <v>0</v>
      </c>
      <c r="Z6" s="1">
        <v>0</v>
      </c>
      <c r="AA6" s="1">
        <v>0</v>
      </c>
      <c r="AB6" s="1">
        <v>1</v>
      </c>
      <c r="AC6" s="1">
        <v>1</v>
      </c>
      <c r="AD6" s="1">
        <v>0</v>
      </c>
      <c r="AE6" s="1">
        <v>1</v>
      </c>
      <c r="AF6" s="1">
        <v>0</v>
      </c>
      <c r="AG6" s="1">
        <v>1</v>
      </c>
      <c r="AH6" s="1">
        <v>1</v>
      </c>
      <c r="AI6">
        <v>150</v>
      </c>
      <c r="AJ6">
        <v>86</v>
      </c>
      <c r="AK6">
        <v>64</v>
      </c>
      <c r="AL6">
        <v>17</v>
      </c>
      <c r="AM6">
        <v>6</v>
      </c>
      <c r="AN6">
        <v>0</v>
      </c>
      <c r="AO6">
        <v>0</v>
      </c>
      <c r="AP6">
        <v>6</v>
      </c>
      <c r="AQ6" s="1"/>
      <c r="AR6" s="1"/>
      <c r="AS6" s="1"/>
      <c r="AT6" s="1"/>
      <c r="AU6" s="1"/>
      <c r="AV6" s="1"/>
    </row>
    <row r="7" spans="1:48" x14ac:dyDescent="0.2">
      <c r="A7" s="1" t="s">
        <v>1</v>
      </c>
      <c r="B7" s="1">
        <v>2005</v>
      </c>
      <c r="C7" s="1">
        <v>3</v>
      </c>
      <c r="D7">
        <v>150</v>
      </c>
      <c r="E7">
        <v>86</v>
      </c>
      <c r="F7">
        <v>64</v>
      </c>
      <c r="G7">
        <v>17</v>
      </c>
      <c r="H7">
        <v>6</v>
      </c>
      <c r="I7">
        <v>0</v>
      </c>
      <c r="J7">
        <v>0</v>
      </c>
      <c r="K7">
        <v>6</v>
      </c>
      <c r="L7" s="1"/>
      <c r="M7" s="1"/>
      <c r="N7" s="1"/>
      <c r="O7" s="1"/>
      <c r="P7" s="1"/>
      <c r="Q7" s="1"/>
      <c r="R7" s="1">
        <v>4</v>
      </c>
      <c r="S7" s="1">
        <v>3</v>
      </c>
      <c r="T7" s="1">
        <v>1</v>
      </c>
      <c r="U7" s="1" t="s">
        <v>57</v>
      </c>
      <c r="V7" s="1">
        <v>1</v>
      </c>
      <c r="W7" s="1"/>
      <c r="Y7" s="1">
        <v>0</v>
      </c>
      <c r="Z7" s="1">
        <v>1</v>
      </c>
      <c r="AA7" s="1">
        <v>0</v>
      </c>
      <c r="AB7" s="1">
        <v>0</v>
      </c>
      <c r="AC7" s="1">
        <v>1</v>
      </c>
      <c r="AD7" s="1">
        <v>1</v>
      </c>
      <c r="AE7" s="1">
        <v>1</v>
      </c>
      <c r="AF7" s="1">
        <v>1</v>
      </c>
      <c r="AG7" s="1">
        <v>0</v>
      </c>
      <c r="AH7" s="1">
        <v>0</v>
      </c>
      <c r="AI7">
        <v>121</v>
      </c>
      <c r="AJ7">
        <v>77</v>
      </c>
      <c r="AK7">
        <v>44</v>
      </c>
      <c r="AL7">
        <v>16</v>
      </c>
      <c r="AM7">
        <v>6</v>
      </c>
      <c r="AN7">
        <v>0</v>
      </c>
      <c r="AO7">
        <v>0</v>
      </c>
      <c r="AP7">
        <v>4</v>
      </c>
      <c r="AQ7" s="1"/>
      <c r="AR7" s="1"/>
      <c r="AS7" s="1"/>
      <c r="AT7" s="1"/>
      <c r="AU7" s="1"/>
      <c r="AV7" s="1"/>
    </row>
    <row r="8" spans="1:48" x14ac:dyDescent="0.2">
      <c r="A8" s="1" t="s">
        <v>1</v>
      </c>
      <c r="B8" s="1">
        <v>2006</v>
      </c>
      <c r="C8" s="1">
        <v>4</v>
      </c>
      <c r="D8">
        <v>121</v>
      </c>
      <c r="E8">
        <v>77</v>
      </c>
      <c r="F8">
        <v>44</v>
      </c>
      <c r="G8">
        <v>16</v>
      </c>
      <c r="H8">
        <v>6</v>
      </c>
      <c r="I8">
        <v>0</v>
      </c>
      <c r="J8">
        <v>0</v>
      </c>
      <c r="K8">
        <v>4</v>
      </c>
      <c r="L8" s="1"/>
      <c r="M8" s="1"/>
      <c r="N8" s="1"/>
      <c r="O8" s="1"/>
      <c r="P8" s="1"/>
      <c r="Q8" s="1"/>
      <c r="R8" s="1">
        <v>4</v>
      </c>
      <c r="S8" s="1">
        <v>5</v>
      </c>
      <c r="T8" s="1">
        <v>2</v>
      </c>
      <c r="U8" s="1" t="s">
        <v>57</v>
      </c>
      <c r="V8" s="1">
        <v>0</v>
      </c>
      <c r="W8" s="1"/>
      <c r="Y8" s="1">
        <v>0</v>
      </c>
      <c r="Z8" s="1">
        <v>0</v>
      </c>
      <c r="AA8" s="1">
        <v>0</v>
      </c>
      <c r="AB8" s="1">
        <v>1</v>
      </c>
      <c r="AC8" s="1">
        <v>1</v>
      </c>
      <c r="AD8" s="1">
        <v>0</v>
      </c>
      <c r="AE8" s="1">
        <v>0</v>
      </c>
      <c r="AF8" s="1">
        <v>0</v>
      </c>
      <c r="AG8" s="1">
        <v>1</v>
      </c>
      <c r="AH8" s="1">
        <v>1</v>
      </c>
      <c r="AI8">
        <v>120</v>
      </c>
      <c r="AJ8">
        <v>106</v>
      </c>
      <c r="AK8">
        <v>14</v>
      </c>
      <c r="AL8">
        <v>12</v>
      </c>
      <c r="AM8">
        <v>8</v>
      </c>
      <c r="AN8">
        <v>0</v>
      </c>
      <c r="AO8">
        <v>0</v>
      </c>
      <c r="AP8">
        <v>4</v>
      </c>
      <c r="AQ8" s="1"/>
      <c r="AR8" s="1"/>
      <c r="AS8" s="1"/>
      <c r="AT8" s="1"/>
      <c r="AU8" s="1"/>
      <c r="AV8" s="1"/>
    </row>
    <row r="9" spans="1:48" x14ac:dyDescent="0.2">
      <c r="A9" s="1" t="s">
        <v>1</v>
      </c>
      <c r="B9" s="1">
        <v>2007</v>
      </c>
      <c r="C9" s="1">
        <v>4</v>
      </c>
      <c r="D9">
        <v>120</v>
      </c>
      <c r="E9">
        <v>106</v>
      </c>
      <c r="F9">
        <v>14</v>
      </c>
      <c r="G9">
        <v>12</v>
      </c>
      <c r="H9">
        <v>8</v>
      </c>
      <c r="I9">
        <v>0</v>
      </c>
      <c r="J9">
        <v>0</v>
      </c>
      <c r="K9">
        <v>4</v>
      </c>
      <c r="L9" s="1"/>
      <c r="M9" s="1"/>
      <c r="N9" s="1"/>
      <c r="O9" s="1"/>
      <c r="P9" s="1"/>
      <c r="Q9" s="1"/>
      <c r="R9" s="1">
        <v>3</v>
      </c>
      <c r="S9" s="1">
        <v>7</v>
      </c>
      <c r="T9" s="1">
        <v>1</v>
      </c>
      <c r="U9" s="1" t="s">
        <v>58</v>
      </c>
      <c r="V9" s="1">
        <v>0</v>
      </c>
      <c r="W9" s="1"/>
      <c r="Y9" s="1">
        <v>1</v>
      </c>
      <c r="Z9" s="1">
        <v>1</v>
      </c>
      <c r="AA9" s="1">
        <v>0</v>
      </c>
      <c r="AB9" s="1">
        <v>0</v>
      </c>
      <c r="AC9" s="1">
        <v>1</v>
      </c>
      <c r="AD9" s="1">
        <v>1</v>
      </c>
      <c r="AE9" s="1">
        <v>1</v>
      </c>
      <c r="AF9" s="1">
        <v>1</v>
      </c>
      <c r="AG9" s="1">
        <v>0</v>
      </c>
      <c r="AH9" s="1">
        <v>0</v>
      </c>
      <c r="AI9">
        <v>119</v>
      </c>
      <c r="AJ9">
        <v>115</v>
      </c>
      <c r="AK9">
        <v>4</v>
      </c>
      <c r="AL9">
        <v>10</v>
      </c>
      <c r="AM9">
        <v>9</v>
      </c>
      <c r="AN9">
        <v>0</v>
      </c>
      <c r="AO9">
        <v>0</v>
      </c>
      <c r="AP9">
        <v>6</v>
      </c>
      <c r="AQ9" s="1"/>
      <c r="AR9" s="1"/>
      <c r="AS9" s="1"/>
      <c r="AT9" s="1"/>
      <c r="AU9" s="1"/>
      <c r="AV9" s="1"/>
    </row>
    <row r="10" spans="1:48" x14ac:dyDescent="0.2">
      <c r="A10" s="1" t="s">
        <v>1</v>
      </c>
      <c r="B10" s="1">
        <v>2008</v>
      </c>
      <c r="C10" s="1">
        <v>3</v>
      </c>
      <c r="D10">
        <v>119</v>
      </c>
      <c r="E10">
        <v>115</v>
      </c>
      <c r="F10">
        <v>4</v>
      </c>
      <c r="G10">
        <v>10</v>
      </c>
      <c r="H10">
        <v>9</v>
      </c>
      <c r="I10">
        <v>0</v>
      </c>
      <c r="J10">
        <v>0</v>
      </c>
      <c r="K10">
        <v>6</v>
      </c>
      <c r="L10" s="1"/>
      <c r="M10" s="1"/>
      <c r="N10" s="1"/>
      <c r="O10" s="1"/>
      <c r="P10" s="1"/>
      <c r="Q10" s="1"/>
      <c r="R10" s="1">
        <v>2</v>
      </c>
      <c r="S10" s="1">
        <v>4</v>
      </c>
      <c r="T10" s="1">
        <v>2</v>
      </c>
      <c r="U10" s="1" t="s">
        <v>58</v>
      </c>
      <c r="V10" s="1">
        <v>1</v>
      </c>
      <c r="W10" s="1"/>
      <c r="Y10" s="1">
        <v>1</v>
      </c>
      <c r="Z10" s="1">
        <v>0</v>
      </c>
      <c r="AA10" s="1">
        <v>1</v>
      </c>
      <c r="AB10" s="1">
        <v>1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1</v>
      </c>
      <c r="AI10">
        <v>108</v>
      </c>
      <c r="AJ10">
        <v>83</v>
      </c>
      <c r="AK10">
        <v>25</v>
      </c>
      <c r="AL10">
        <v>8</v>
      </c>
      <c r="AM10">
        <v>5</v>
      </c>
      <c r="AN10">
        <v>0</v>
      </c>
      <c r="AO10">
        <v>0</v>
      </c>
      <c r="AP10">
        <v>6</v>
      </c>
      <c r="AQ10" s="1"/>
      <c r="AR10" s="1"/>
      <c r="AS10" s="1"/>
      <c r="AT10" s="1"/>
      <c r="AU10" s="1"/>
      <c r="AV10" s="1"/>
    </row>
    <row r="11" spans="1:48" x14ac:dyDescent="0.2">
      <c r="A11" s="1" t="s">
        <v>1</v>
      </c>
      <c r="B11" s="1">
        <v>2009</v>
      </c>
      <c r="C11" s="1">
        <v>2</v>
      </c>
      <c r="D11">
        <v>108</v>
      </c>
      <c r="E11">
        <v>83</v>
      </c>
      <c r="F11">
        <v>25</v>
      </c>
      <c r="G11">
        <v>8</v>
      </c>
      <c r="H11">
        <v>5</v>
      </c>
      <c r="I11">
        <v>0</v>
      </c>
      <c r="J11">
        <v>0</v>
      </c>
      <c r="K11">
        <v>6</v>
      </c>
      <c r="L11" s="1"/>
      <c r="M11" s="1"/>
      <c r="N11" s="1"/>
      <c r="O11" s="1"/>
      <c r="P11" s="1"/>
      <c r="Q11" s="1"/>
      <c r="R11" s="1">
        <v>2</v>
      </c>
      <c r="S11" s="1">
        <v>6</v>
      </c>
      <c r="T11" s="1">
        <v>1</v>
      </c>
      <c r="U11" s="1" t="s">
        <v>59</v>
      </c>
      <c r="V11" s="1">
        <v>0</v>
      </c>
      <c r="W11" s="1"/>
      <c r="Y11" s="1">
        <v>1</v>
      </c>
      <c r="Z11" s="1">
        <v>1</v>
      </c>
      <c r="AA11" s="1">
        <v>0</v>
      </c>
      <c r="AB11" s="1">
        <v>0</v>
      </c>
      <c r="AC11" s="1">
        <v>1</v>
      </c>
      <c r="AD11" s="1">
        <v>1</v>
      </c>
      <c r="AE11" s="1">
        <v>1</v>
      </c>
      <c r="AF11" s="1">
        <v>1</v>
      </c>
      <c r="AG11" s="1">
        <v>0</v>
      </c>
      <c r="AH11" s="1">
        <v>0</v>
      </c>
      <c r="AI11">
        <v>124</v>
      </c>
      <c r="AJ11">
        <v>70</v>
      </c>
      <c r="AK11">
        <v>54</v>
      </c>
      <c r="AL11">
        <v>16</v>
      </c>
      <c r="AM11">
        <v>5</v>
      </c>
      <c r="AN11">
        <v>0</v>
      </c>
      <c r="AO11">
        <v>0</v>
      </c>
      <c r="AP11">
        <v>6</v>
      </c>
      <c r="AQ11" s="1"/>
      <c r="AR11" s="1">
        <f>41/91</f>
        <v>0.45054945054945056</v>
      </c>
      <c r="AS11" s="1">
        <f>100/283</f>
        <v>0.35335689045936397</v>
      </c>
      <c r="AT11" s="1">
        <f>6/7</f>
        <v>0.8571428571428571</v>
      </c>
      <c r="AU11" s="1">
        <f>106/131</f>
        <v>0.80916030534351147</v>
      </c>
      <c r="AV11" s="1">
        <f>5/21</f>
        <v>0.23809523809523808</v>
      </c>
    </row>
    <row r="12" spans="1:48" x14ac:dyDescent="0.2">
      <c r="A12" s="1" t="s">
        <v>1</v>
      </c>
      <c r="B12" s="1">
        <v>2010</v>
      </c>
      <c r="C12" s="1">
        <v>2</v>
      </c>
      <c r="D12">
        <v>124</v>
      </c>
      <c r="E12">
        <v>70</v>
      </c>
      <c r="F12">
        <v>54</v>
      </c>
      <c r="G12">
        <v>16</v>
      </c>
      <c r="H12">
        <v>5</v>
      </c>
      <c r="I12">
        <v>0</v>
      </c>
      <c r="J12">
        <v>0</v>
      </c>
      <c r="K12">
        <v>6</v>
      </c>
      <c r="L12" s="1"/>
      <c r="M12" s="1">
        <f>41/91</f>
        <v>0.45054945054945056</v>
      </c>
      <c r="N12" s="1">
        <f>100/283</f>
        <v>0.35335689045936397</v>
      </c>
      <c r="O12" s="1">
        <f>6/7</f>
        <v>0.8571428571428571</v>
      </c>
      <c r="P12" s="1">
        <f>106/131</f>
        <v>0.80916030534351147</v>
      </c>
      <c r="Q12" s="1">
        <f>5/21</f>
        <v>0.23809523809523808</v>
      </c>
      <c r="R12" s="1">
        <v>3</v>
      </c>
      <c r="S12" s="1">
        <v>6</v>
      </c>
      <c r="T12" s="1">
        <v>2</v>
      </c>
      <c r="U12" s="1" t="s">
        <v>59</v>
      </c>
      <c r="V12" s="1">
        <v>0</v>
      </c>
      <c r="W12" s="1"/>
      <c r="Y12" s="1">
        <v>0</v>
      </c>
      <c r="Z12" s="1">
        <v>0</v>
      </c>
      <c r="AA12" s="1">
        <v>0</v>
      </c>
      <c r="AB12" s="1">
        <v>1</v>
      </c>
      <c r="AC12" s="1">
        <v>1</v>
      </c>
      <c r="AD12" s="1">
        <v>0</v>
      </c>
      <c r="AE12" s="1">
        <v>0.5</v>
      </c>
      <c r="AF12" s="1">
        <v>0</v>
      </c>
      <c r="AG12" s="1">
        <v>1</v>
      </c>
      <c r="AH12" s="1">
        <v>1</v>
      </c>
      <c r="AI12">
        <v>88</v>
      </c>
      <c r="AJ12">
        <v>76</v>
      </c>
      <c r="AK12">
        <v>12</v>
      </c>
      <c r="AL12">
        <v>6</v>
      </c>
      <c r="AM12">
        <v>5</v>
      </c>
      <c r="AN12">
        <v>0</v>
      </c>
      <c r="AO12">
        <v>0</v>
      </c>
      <c r="AP12">
        <v>5</v>
      </c>
      <c r="AQ12" s="1"/>
      <c r="AR12" s="1">
        <f>50/239</f>
        <v>0.20920502092050208</v>
      </c>
      <c r="AS12" s="1">
        <f>101/201</f>
        <v>0.50248756218905477</v>
      </c>
      <c r="AT12" s="1">
        <f>20/21</f>
        <v>0.95238095238095233</v>
      </c>
      <c r="AU12" s="1">
        <f>20/29</f>
        <v>0.68965517241379315</v>
      </c>
      <c r="AV12" s="1">
        <f>7/11</f>
        <v>0.63636363636363635</v>
      </c>
    </row>
    <row r="13" spans="1:48" x14ac:dyDescent="0.2">
      <c r="A13" s="1" t="s">
        <v>1</v>
      </c>
      <c r="B13" s="1">
        <v>2011</v>
      </c>
      <c r="C13" s="1">
        <v>3</v>
      </c>
      <c r="D13">
        <v>88</v>
      </c>
      <c r="E13">
        <v>76</v>
      </c>
      <c r="F13">
        <v>12</v>
      </c>
      <c r="G13">
        <v>6</v>
      </c>
      <c r="H13">
        <v>5</v>
      </c>
      <c r="I13">
        <v>0</v>
      </c>
      <c r="J13">
        <v>0</v>
      </c>
      <c r="K13">
        <v>5</v>
      </c>
      <c r="L13" s="1"/>
      <c r="M13" s="1">
        <f>50/239</f>
        <v>0.20920502092050208</v>
      </c>
      <c r="N13" s="1">
        <f>101/201</f>
        <v>0.50248756218905477</v>
      </c>
      <c r="O13" s="1">
        <f>20/21</f>
        <v>0.95238095238095233</v>
      </c>
      <c r="P13" s="1">
        <f>20/29</f>
        <v>0.68965517241379315</v>
      </c>
      <c r="Q13" s="1">
        <f>7/11</f>
        <v>0.63636363636363635</v>
      </c>
      <c r="R13" s="1">
        <v>1</v>
      </c>
      <c r="S13" s="1">
        <v>4</v>
      </c>
      <c r="T13" s="1">
        <v>3</v>
      </c>
      <c r="U13" s="1" t="s">
        <v>59</v>
      </c>
      <c r="V13" s="1">
        <v>0</v>
      </c>
      <c r="W13" s="1"/>
      <c r="Y13" s="1">
        <v>1</v>
      </c>
      <c r="Z13" s="1">
        <v>1</v>
      </c>
      <c r="AA13" s="1">
        <v>0</v>
      </c>
      <c r="AB13" s="1">
        <v>0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0</v>
      </c>
      <c r="AI13">
        <v>132</v>
      </c>
      <c r="AJ13">
        <v>81</v>
      </c>
      <c r="AK13">
        <v>51</v>
      </c>
      <c r="AL13">
        <v>13</v>
      </c>
      <c r="AM13">
        <v>5</v>
      </c>
      <c r="AN13">
        <v>0</v>
      </c>
      <c r="AO13">
        <v>0</v>
      </c>
      <c r="AP13">
        <v>8</v>
      </c>
      <c r="AQ13" s="1"/>
      <c r="AR13" s="1">
        <f>48/73</f>
        <v>0.65753424657534243</v>
      </c>
      <c r="AS13" s="1">
        <f>20/31</f>
        <v>0.64516129032258063</v>
      </c>
      <c r="AT13" s="1">
        <f>64/69</f>
        <v>0.92753623188405798</v>
      </c>
      <c r="AU13" s="1">
        <f>17/19</f>
        <v>0.89473684210526316</v>
      </c>
      <c r="AV13" s="1">
        <f>100/147</f>
        <v>0.68027210884353739</v>
      </c>
    </row>
    <row r="14" spans="1:48" x14ac:dyDescent="0.2">
      <c r="A14" s="1" t="s">
        <v>1</v>
      </c>
      <c r="B14" s="1">
        <v>2012</v>
      </c>
      <c r="C14" s="1">
        <v>1</v>
      </c>
      <c r="D14">
        <v>132</v>
      </c>
      <c r="E14">
        <v>81</v>
      </c>
      <c r="F14">
        <v>51</v>
      </c>
      <c r="G14">
        <v>13</v>
      </c>
      <c r="H14">
        <v>5</v>
      </c>
      <c r="I14">
        <v>0</v>
      </c>
      <c r="J14">
        <v>0</v>
      </c>
      <c r="K14">
        <v>8</v>
      </c>
      <c r="L14" s="1"/>
      <c r="M14" s="1">
        <f>48/73</f>
        <v>0.65753424657534243</v>
      </c>
      <c r="N14" s="1">
        <f>20/31</f>
        <v>0.64516129032258063</v>
      </c>
      <c r="O14" s="1">
        <f>64/69</f>
        <v>0.92753623188405798</v>
      </c>
      <c r="P14" s="1">
        <f>17/19</f>
        <v>0.89473684210526316</v>
      </c>
      <c r="Q14" s="1">
        <f>100/147</f>
        <v>0.68027210884353739</v>
      </c>
      <c r="R14" s="1">
        <v>2</v>
      </c>
      <c r="S14" s="1">
        <v>5</v>
      </c>
      <c r="T14" s="1">
        <v>1</v>
      </c>
      <c r="U14" s="1" t="s">
        <v>62</v>
      </c>
      <c r="V14" s="1">
        <v>0</v>
      </c>
      <c r="W14" s="1"/>
      <c r="Y14" s="1">
        <v>1</v>
      </c>
      <c r="Z14" s="1">
        <v>0</v>
      </c>
      <c r="AA14" s="1">
        <v>1</v>
      </c>
      <c r="AB14" s="1">
        <v>1</v>
      </c>
      <c r="AC14" s="1">
        <v>1</v>
      </c>
      <c r="AD14" s="1">
        <v>0</v>
      </c>
      <c r="AE14" s="1">
        <v>1</v>
      </c>
      <c r="AF14" s="1">
        <v>0</v>
      </c>
      <c r="AG14" s="1">
        <v>0</v>
      </c>
      <c r="AH14" s="1">
        <v>1</v>
      </c>
      <c r="AI14">
        <v>98</v>
      </c>
      <c r="AJ14">
        <v>71</v>
      </c>
      <c r="AK14">
        <v>27</v>
      </c>
      <c r="AL14">
        <v>7</v>
      </c>
      <c r="AM14">
        <v>4</v>
      </c>
      <c r="AN14">
        <v>0</v>
      </c>
      <c r="AO14">
        <v>0</v>
      </c>
      <c r="AP14">
        <v>8</v>
      </c>
      <c r="AQ14" s="1"/>
      <c r="AR14" s="5">
        <f>100/327</f>
        <v>0.3058103975535168</v>
      </c>
      <c r="AS14" s="5">
        <f>5/9</f>
        <v>0.55555555555555558</v>
      </c>
      <c r="AT14" s="5">
        <f>100/127</f>
        <v>0.78740157480314965</v>
      </c>
      <c r="AU14" s="5">
        <f>100/177</f>
        <v>0.56497175141242939</v>
      </c>
      <c r="AV14" s="5">
        <f>16/41</f>
        <v>0.3902439024390244</v>
      </c>
    </row>
    <row r="15" spans="1:48" x14ac:dyDescent="0.2">
      <c r="A15" s="1" t="s">
        <v>1</v>
      </c>
      <c r="B15" s="1">
        <v>2013</v>
      </c>
      <c r="C15" s="1">
        <v>2</v>
      </c>
      <c r="D15">
        <v>98</v>
      </c>
      <c r="E15">
        <v>71</v>
      </c>
      <c r="F15">
        <v>27</v>
      </c>
      <c r="G15">
        <v>7</v>
      </c>
      <c r="H15">
        <v>4</v>
      </c>
      <c r="I15">
        <v>0</v>
      </c>
      <c r="J15">
        <v>0</v>
      </c>
      <c r="K15">
        <v>8</v>
      </c>
      <c r="L15" s="1"/>
      <c r="M15" s="5">
        <f>100/327</f>
        <v>0.3058103975535168</v>
      </c>
      <c r="N15" s="5">
        <f>5/9</f>
        <v>0.55555555555555558</v>
      </c>
      <c r="O15" s="5">
        <f>100/127</f>
        <v>0.78740157480314965</v>
      </c>
      <c r="P15" s="5">
        <f>100/177</f>
        <v>0.56497175141242939</v>
      </c>
      <c r="Q15" s="5">
        <f>16/41</f>
        <v>0.3902439024390244</v>
      </c>
      <c r="R15" s="1">
        <v>2</v>
      </c>
      <c r="S15" s="1">
        <v>5</v>
      </c>
      <c r="T15" s="1">
        <v>2</v>
      </c>
      <c r="U15" s="1" t="s">
        <v>62</v>
      </c>
      <c r="V15" s="1">
        <v>0</v>
      </c>
      <c r="W15" s="1"/>
      <c r="Y15" s="1">
        <v>1</v>
      </c>
      <c r="Z15" s="1">
        <v>1</v>
      </c>
      <c r="AA15" s="1">
        <v>1</v>
      </c>
      <c r="AB15" s="1">
        <v>0</v>
      </c>
      <c r="AC15" s="1">
        <v>1</v>
      </c>
      <c r="AD15" s="1">
        <v>1</v>
      </c>
      <c r="AE15" s="1">
        <v>1</v>
      </c>
      <c r="AF15" s="1">
        <v>1</v>
      </c>
      <c r="AG15" s="1">
        <v>0</v>
      </c>
      <c r="AH15" s="1">
        <v>0</v>
      </c>
      <c r="AI15">
        <v>122</v>
      </c>
      <c r="AJ15">
        <v>66</v>
      </c>
      <c r="AK15">
        <v>56</v>
      </c>
      <c r="AL15">
        <v>9</v>
      </c>
      <c r="AM15">
        <v>3</v>
      </c>
      <c r="AN15">
        <v>0</v>
      </c>
      <c r="AO15">
        <v>0</v>
      </c>
      <c r="AP15">
        <v>8</v>
      </c>
      <c r="AQ15" s="1"/>
      <c r="AR15" s="5">
        <f>147/197</f>
        <v>0.74619289340101524</v>
      </c>
      <c r="AS15" s="5">
        <f>25/47</f>
        <v>0.53191489361702127</v>
      </c>
      <c r="AT15" s="5">
        <f>39/41</f>
        <v>0.95121951219512191</v>
      </c>
      <c r="AU15" s="5">
        <f>867/967</f>
        <v>0.89658738366080659</v>
      </c>
      <c r="AV15" s="5">
        <f>50/91</f>
        <v>0.5494505494505495</v>
      </c>
    </row>
    <row r="16" spans="1:48" x14ac:dyDescent="0.2">
      <c r="A16" s="1" t="s">
        <v>1</v>
      </c>
      <c r="B16" s="1">
        <v>2014</v>
      </c>
      <c r="C16" s="1">
        <v>2</v>
      </c>
      <c r="D16">
        <v>122</v>
      </c>
      <c r="E16">
        <v>66</v>
      </c>
      <c r="F16">
        <v>56</v>
      </c>
      <c r="G16">
        <v>9</v>
      </c>
      <c r="H16">
        <v>3</v>
      </c>
      <c r="I16">
        <v>0</v>
      </c>
      <c r="J16">
        <v>0</v>
      </c>
      <c r="K16">
        <v>8</v>
      </c>
      <c r="L16" s="1"/>
      <c r="M16" s="5">
        <f>147/197</f>
        <v>0.74619289340101524</v>
      </c>
      <c r="N16" s="5">
        <f>25/47</f>
        <v>0.53191489361702127</v>
      </c>
      <c r="O16" s="5">
        <f>39/41</f>
        <v>0.95121951219512191</v>
      </c>
      <c r="P16" s="5">
        <f>867/967</f>
        <v>0.89658738366080659</v>
      </c>
      <c r="Q16" s="5">
        <f>50/91</f>
        <v>0.5494505494505495</v>
      </c>
      <c r="R16" s="1">
        <v>2</v>
      </c>
      <c r="S16" s="1">
        <v>4</v>
      </c>
      <c r="T16" s="1">
        <v>3</v>
      </c>
      <c r="U16" s="1" t="s">
        <v>62</v>
      </c>
      <c r="V16" s="1">
        <v>0</v>
      </c>
      <c r="W16" s="1"/>
      <c r="Y16" s="1">
        <v>0</v>
      </c>
      <c r="Z16" s="1">
        <v>0</v>
      </c>
      <c r="AA16" s="1">
        <v>1</v>
      </c>
      <c r="AB16" s="1">
        <v>1</v>
      </c>
      <c r="AC16" s="1">
        <v>1</v>
      </c>
      <c r="AD16" s="1">
        <v>0</v>
      </c>
      <c r="AE16" s="1">
        <v>1</v>
      </c>
      <c r="AF16" s="1">
        <v>0</v>
      </c>
      <c r="AG16" s="1">
        <v>1</v>
      </c>
      <c r="AH16" s="1">
        <v>1</v>
      </c>
      <c r="AI16">
        <v>138</v>
      </c>
      <c r="AJ16">
        <v>65</v>
      </c>
      <c r="AK16">
        <v>73</v>
      </c>
      <c r="AL16">
        <v>14</v>
      </c>
      <c r="AM16">
        <v>5</v>
      </c>
      <c r="AN16">
        <v>0</v>
      </c>
      <c r="AO16">
        <v>0</v>
      </c>
      <c r="AP16">
        <v>8</v>
      </c>
      <c r="AQ16" s="1"/>
      <c r="AR16" s="5">
        <f>100/227</f>
        <v>0.44052863436123346</v>
      </c>
      <c r="AS16" s="5">
        <f>9/14</f>
        <v>0.6428571428571429</v>
      </c>
      <c r="AT16" s="5">
        <f>100/103</f>
        <v>0.970873786407767</v>
      </c>
      <c r="AU16" s="5">
        <f>25/29</f>
        <v>0.86206896551724133</v>
      </c>
      <c r="AV16" s="5">
        <f>29/49</f>
        <v>0.59183673469387754</v>
      </c>
    </row>
    <row r="17" spans="1:48" x14ac:dyDescent="0.2">
      <c r="A17" s="1" t="s">
        <v>1</v>
      </c>
      <c r="B17" s="1">
        <v>2015</v>
      </c>
      <c r="C17" s="1">
        <v>2</v>
      </c>
      <c r="D17">
        <v>138</v>
      </c>
      <c r="E17">
        <v>65</v>
      </c>
      <c r="F17">
        <v>73</v>
      </c>
      <c r="G17">
        <v>14</v>
      </c>
      <c r="H17">
        <v>5</v>
      </c>
      <c r="I17">
        <v>0</v>
      </c>
      <c r="J17">
        <v>0</v>
      </c>
      <c r="K17">
        <v>8</v>
      </c>
      <c r="L17" s="1"/>
      <c r="M17" s="5">
        <f>100/227</f>
        <v>0.44052863436123346</v>
      </c>
      <c r="N17" s="5">
        <f>9/14</f>
        <v>0.6428571428571429</v>
      </c>
      <c r="O17" s="5">
        <f>100/103</f>
        <v>0.970873786407767</v>
      </c>
      <c r="P17" s="5">
        <f>25/29</f>
        <v>0.86206896551724133</v>
      </c>
      <c r="Q17" s="5">
        <f>29/49</f>
        <v>0.59183673469387754</v>
      </c>
      <c r="R17" s="1">
        <v>2</v>
      </c>
      <c r="S17" s="1">
        <v>4</v>
      </c>
      <c r="T17" s="1">
        <v>4</v>
      </c>
      <c r="U17" s="1" t="s">
        <v>62</v>
      </c>
      <c r="V17" s="1">
        <v>0</v>
      </c>
      <c r="W17" s="1"/>
      <c r="Y17" s="1">
        <v>1</v>
      </c>
      <c r="Z17" s="1">
        <v>1</v>
      </c>
      <c r="AA17" s="1">
        <v>0</v>
      </c>
      <c r="AB17" s="1">
        <v>0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0</v>
      </c>
      <c r="AI17">
        <v>146</v>
      </c>
      <c r="AJ17">
        <v>81</v>
      </c>
      <c r="AK17">
        <v>65</v>
      </c>
      <c r="AL17">
        <v>16</v>
      </c>
      <c r="AM17">
        <v>8</v>
      </c>
      <c r="AN17">
        <v>2</v>
      </c>
      <c r="AO17">
        <v>1</v>
      </c>
      <c r="AP17">
        <v>19</v>
      </c>
      <c r="AQ17" s="1"/>
      <c r="AR17" s="5">
        <f>99/119</f>
        <v>0.83193277310924374</v>
      </c>
      <c r="AS17" s="5">
        <f>100/211</f>
        <v>0.47393364928909953</v>
      </c>
      <c r="AT17" s="5">
        <f>917/967</f>
        <v>0.94829369183040335</v>
      </c>
      <c r="AU17" s="5">
        <f>771/871</f>
        <v>0.88518943742824341</v>
      </c>
      <c r="AV17" s="5">
        <f>50/133</f>
        <v>0.37593984962406013</v>
      </c>
    </row>
    <row r="18" spans="1:48" x14ac:dyDescent="0.2">
      <c r="A18" s="1" t="s">
        <v>1</v>
      </c>
      <c r="B18" s="1">
        <v>2016</v>
      </c>
      <c r="C18" s="1">
        <v>1</v>
      </c>
      <c r="D18">
        <v>146</v>
      </c>
      <c r="E18">
        <v>81</v>
      </c>
      <c r="F18">
        <v>65</v>
      </c>
      <c r="G18">
        <v>16</v>
      </c>
      <c r="H18">
        <v>8</v>
      </c>
      <c r="I18">
        <v>2</v>
      </c>
      <c r="J18">
        <v>1</v>
      </c>
      <c r="K18">
        <v>19</v>
      </c>
      <c r="L18" s="1"/>
      <c r="M18" s="5">
        <f>99/119</f>
        <v>0.83193277310924374</v>
      </c>
      <c r="N18" s="5">
        <f>100/211</f>
        <v>0.47393364928909953</v>
      </c>
      <c r="O18" s="5">
        <f>917/967</f>
        <v>0.94829369183040335</v>
      </c>
      <c r="P18" s="5">
        <f>771/871</f>
        <v>0.88518943742824341</v>
      </c>
      <c r="Q18" s="5">
        <f>50/133</f>
        <v>0.37593984962406013</v>
      </c>
      <c r="R18" s="1">
        <v>1</v>
      </c>
      <c r="S18" s="1">
        <v>8</v>
      </c>
      <c r="T18" s="1">
        <v>1</v>
      </c>
      <c r="U18" s="1" t="s">
        <v>63</v>
      </c>
      <c r="V18" s="1">
        <v>0</v>
      </c>
      <c r="W18" s="1"/>
      <c r="Y18" s="1">
        <v>1</v>
      </c>
      <c r="Z18" s="1">
        <v>0</v>
      </c>
      <c r="AA18" s="1">
        <v>1</v>
      </c>
      <c r="AB18" s="1">
        <v>1</v>
      </c>
      <c r="AC18" s="1">
        <v>1</v>
      </c>
      <c r="AD18" s="1">
        <v>0</v>
      </c>
      <c r="AE18" s="1">
        <v>1</v>
      </c>
      <c r="AF18" s="1">
        <v>0</v>
      </c>
      <c r="AG18" s="1">
        <v>1</v>
      </c>
      <c r="AH18" s="1">
        <v>1</v>
      </c>
      <c r="AI18">
        <v>102</v>
      </c>
      <c r="AJ18">
        <v>92</v>
      </c>
      <c r="AK18">
        <v>10</v>
      </c>
      <c r="AL18">
        <v>14</v>
      </c>
      <c r="AM18">
        <v>9</v>
      </c>
      <c r="AN18">
        <v>1</v>
      </c>
      <c r="AO18">
        <v>1</v>
      </c>
      <c r="AP18">
        <v>10</v>
      </c>
      <c r="AQ18" s="1"/>
      <c r="AR18" s="5">
        <f>4/5</f>
        <v>0.8</v>
      </c>
      <c r="AS18" s="5">
        <f>13/17</f>
        <v>0.76470588235294112</v>
      </c>
      <c r="AT18" s="5">
        <f>100/107</f>
        <v>0.93457943925233644</v>
      </c>
      <c r="AU18" s="5">
        <f>50/69</f>
        <v>0.72463768115942029</v>
      </c>
      <c r="AV18" s="5">
        <f>203/303</f>
        <v>0.66996699669966997</v>
      </c>
    </row>
    <row r="19" spans="1:48" x14ac:dyDescent="0.2">
      <c r="A19" s="1" t="s">
        <v>1</v>
      </c>
      <c r="B19" s="1">
        <v>2017</v>
      </c>
      <c r="C19" s="1">
        <v>5</v>
      </c>
      <c r="D19">
        <v>102</v>
      </c>
      <c r="E19">
        <v>92</v>
      </c>
      <c r="F19">
        <v>10</v>
      </c>
      <c r="G19">
        <v>14</v>
      </c>
      <c r="H19">
        <v>9</v>
      </c>
      <c r="I19">
        <v>1</v>
      </c>
      <c r="J19">
        <v>1</v>
      </c>
      <c r="K19">
        <v>10</v>
      </c>
      <c r="L19" s="1"/>
      <c r="M19" s="5">
        <f>4/5</f>
        <v>0.8</v>
      </c>
      <c r="N19" s="5">
        <f>13/17</f>
        <v>0.76470588235294112</v>
      </c>
      <c r="O19" s="5">
        <f>100/107</f>
        <v>0.93457943925233644</v>
      </c>
      <c r="P19" s="5">
        <f>50/69</f>
        <v>0.72463768115942029</v>
      </c>
      <c r="Q19" s="5">
        <f>203/303</f>
        <v>0.66996699669966997</v>
      </c>
      <c r="R19" s="1">
        <v>1</v>
      </c>
      <c r="S19" s="1">
        <v>2</v>
      </c>
      <c r="T19" s="1">
        <v>2</v>
      </c>
      <c r="U19" s="1" t="s">
        <v>63</v>
      </c>
      <c r="V19" s="1">
        <v>1</v>
      </c>
      <c r="W19" s="1"/>
      <c r="Y19" s="1">
        <v>1</v>
      </c>
      <c r="Z19" s="1">
        <v>1</v>
      </c>
      <c r="AA19" s="1">
        <v>0</v>
      </c>
      <c r="AB19" s="1">
        <v>0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0</v>
      </c>
      <c r="AI19">
        <v>184</v>
      </c>
      <c r="AJ19">
        <v>101</v>
      </c>
      <c r="AK19">
        <v>83</v>
      </c>
      <c r="AL19">
        <v>24</v>
      </c>
      <c r="AM19">
        <v>13</v>
      </c>
      <c r="AN19">
        <v>4</v>
      </c>
      <c r="AO19">
        <v>0</v>
      </c>
      <c r="AP19">
        <v>18</v>
      </c>
      <c r="AQ19" s="1"/>
      <c r="AR19" s="5">
        <f>41/50</f>
        <v>0.82</v>
      </c>
      <c r="AS19" s="5">
        <f>25/38</f>
        <v>0.65789473684210531</v>
      </c>
      <c r="AT19" s="5">
        <f>173/178</f>
        <v>0.9719101123595506</v>
      </c>
      <c r="AU19" s="5">
        <f>17/21</f>
        <v>0.80952380952380953</v>
      </c>
      <c r="AV19" s="5">
        <f>2/3</f>
        <v>0.66666666666666663</v>
      </c>
    </row>
    <row r="20" spans="1:48" x14ac:dyDescent="0.2">
      <c r="A20" s="1" t="s">
        <v>1</v>
      </c>
      <c r="B20" s="1">
        <v>2018</v>
      </c>
      <c r="C20" s="1">
        <v>2</v>
      </c>
      <c r="D20">
        <v>184</v>
      </c>
      <c r="E20">
        <v>101</v>
      </c>
      <c r="F20">
        <v>83</v>
      </c>
      <c r="G20">
        <v>24</v>
      </c>
      <c r="H20">
        <v>13</v>
      </c>
      <c r="I20">
        <v>4</v>
      </c>
      <c r="J20">
        <v>0</v>
      </c>
      <c r="K20">
        <v>18</v>
      </c>
      <c r="L20" s="1"/>
      <c r="M20" s="5">
        <f>41/50</f>
        <v>0.82</v>
      </c>
      <c r="N20" s="5">
        <f>25/38</f>
        <v>0.65789473684210531</v>
      </c>
      <c r="O20" s="5">
        <f>173/178</f>
        <v>0.9719101123595506</v>
      </c>
      <c r="P20" s="5">
        <f>17/21</f>
        <v>0.80952380952380953</v>
      </c>
      <c r="Q20" s="5">
        <f>2/3</f>
        <v>0.66666666666666663</v>
      </c>
      <c r="R20" s="1">
        <v>5</v>
      </c>
      <c r="S20" s="1">
        <v>2</v>
      </c>
      <c r="T20" s="1">
        <v>3</v>
      </c>
      <c r="U20" s="1" t="s">
        <v>63</v>
      </c>
      <c r="V20" s="1">
        <v>1</v>
      </c>
      <c r="W20" s="1"/>
      <c r="Y20" s="1">
        <v>0</v>
      </c>
      <c r="Z20" s="1">
        <v>0</v>
      </c>
      <c r="AA20" s="1">
        <v>0</v>
      </c>
      <c r="AB20" s="1">
        <v>1</v>
      </c>
      <c r="AC20" s="1">
        <v>1</v>
      </c>
      <c r="AD20" s="1">
        <v>0</v>
      </c>
      <c r="AE20" s="1">
        <v>0</v>
      </c>
      <c r="AF20" s="1">
        <v>0</v>
      </c>
      <c r="AG20" s="1">
        <v>1</v>
      </c>
      <c r="AH20" s="1">
        <v>1</v>
      </c>
      <c r="AI20">
        <v>102</v>
      </c>
      <c r="AJ20">
        <v>92</v>
      </c>
      <c r="AK20">
        <v>10</v>
      </c>
      <c r="AL20">
        <v>14</v>
      </c>
      <c r="AM20">
        <v>9</v>
      </c>
      <c r="AN20">
        <v>1</v>
      </c>
      <c r="AO20">
        <v>1</v>
      </c>
      <c r="AP20">
        <v>10</v>
      </c>
      <c r="AQ20" s="1"/>
      <c r="AR20" s="5">
        <f>100/131</f>
        <v>0.76335877862595425</v>
      </c>
      <c r="AS20" s="5">
        <f>99/199</f>
        <v>0.49748743718592964</v>
      </c>
      <c r="AT20" s="5">
        <f>50/51</f>
        <v>0.98039215686274506</v>
      </c>
      <c r="AU20" s="5">
        <f>25/32</f>
        <v>0.78125</v>
      </c>
      <c r="AV20" s="5">
        <f>409/509</f>
        <v>0.80353634577603139</v>
      </c>
    </row>
    <row r="21" spans="1:48" x14ac:dyDescent="0.2">
      <c r="A21" s="1" t="s">
        <v>1</v>
      </c>
      <c r="B21" s="1">
        <v>2019</v>
      </c>
      <c r="C21" s="1">
        <v>5</v>
      </c>
      <c r="D21">
        <v>102</v>
      </c>
      <c r="E21">
        <v>92</v>
      </c>
      <c r="F21">
        <v>10</v>
      </c>
      <c r="G21">
        <v>14</v>
      </c>
      <c r="H21">
        <v>9</v>
      </c>
      <c r="I21">
        <v>1</v>
      </c>
      <c r="J21">
        <v>1</v>
      </c>
      <c r="K21">
        <v>10</v>
      </c>
      <c r="L21" s="1"/>
      <c r="M21" s="5">
        <f>100/131</f>
        <v>0.76335877862595425</v>
      </c>
      <c r="N21" s="5">
        <f>99/199</f>
        <v>0.49748743718592964</v>
      </c>
      <c r="O21" s="5">
        <f>50/51</f>
        <v>0.98039215686274506</v>
      </c>
      <c r="P21" s="5">
        <f>25/32</f>
        <v>0.78125</v>
      </c>
      <c r="Q21" s="5">
        <f>409/509</f>
        <v>0.80353634577603139</v>
      </c>
      <c r="R21" s="1">
        <v>2</v>
      </c>
      <c r="S21" s="1">
        <v>4</v>
      </c>
      <c r="T21" s="1">
        <v>4</v>
      </c>
      <c r="U21" s="1" t="s">
        <v>63</v>
      </c>
      <c r="V21" s="1">
        <v>0</v>
      </c>
      <c r="W21" s="1"/>
      <c r="Y21" s="1">
        <v>1</v>
      </c>
      <c r="Z21" s="1">
        <v>1</v>
      </c>
      <c r="AA21" s="1">
        <v>1</v>
      </c>
      <c r="AB21" s="1">
        <v>0</v>
      </c>
      <c r="AC21" s="1">
        <v>1</v>
      </c>
      <c r="AD21" s="1">
        <v>1</v>
      </c>
      <c r="AE21" s="1">
        <v>0.5</v>
      </c>
      <c r="AF21" s="1">
        <v>1</v>
      </c>
      <c r="AG21" s="1">
        <v>0</v>
      </c>
      <c r="AH21" s="1">
        <v>0</v>
      </c>
      <c r="AI21">
        <v>184</v>
      </c>
      <c r="AJ21">
        <v>101</v>
      </c>
      <c r="AK21">
        <v>83</v>
      </c>
      <c r="AL21">
        <v>24</v>
      </c>
      <c r="AM21">
        <v>13</v>
      </c>
      <c r="AN21">
        <v>4</v>
      </c>
      <c r="AO21">
        <v>0</v>
      </c>
      <c r="AP21">
        <v>18</v>
      </c>
      <c r="AQ21" s="1"/>
      <c r="AR21" s="5">
        <f>137/162</f>
        <v>0.84567901234567899</v>
      </c>
      <c r="AS21" s="5">
        <f>100/359</f>
        <v>0.2785515320334262</v>
      </c>
      <c r="AT21" s="5">
        <f>574/599</f>
        <v>0.95826377295492482</v>
      </c>
      <c r="AU21" s="5">
        <f>191/216</f>
        <v>0.8842592592592593</v>
      </c>
      <c r="AV21" s="5">
        <f>2/3</f>
        <v>0.66666666666666663</v>
      </c>
    </row>
    <row r="22" spans="1:48" x14ac:dyDescent="0.2">
      <c r="A22" s="1" t="s">
        <v>1</v>
      </c>
      <c r="B22" s="1">
        <v>2020</v>
      </c>
      <c r="C22" s="1">
        <v>2</v>
      </c>
      <c r="D22">
        <v>184</v>
      </c>
      <c r="E22">
        <v>101</v>
      </c>
      <c r="F22">
        <v>83</v>
      </c>
      <c r="G22">
        <v>24</v>
      </c>
      <c r="H22">
        <v>13</v>
      </c>
      <c r="I22">
        <v>4</v>
      </c>
      <c r="J22">
        <v>0</v>
      </c>
      <c r="K22">
        <v>18</v>
      </c>
      <c r="L22" s="1"/>
      <c r="M22" s="5">
        <f>137/162</f>
        <v>0.84567901234567899</v>
      </c>
      <c r="N22" s="5">
        <f>100/359</f>
        <v>0.2785515320334262</v>
      </c>
      <c r="O22" s="5">
        <f>574/599</f>
        <v>0.95826377295492482</v>
      </c>
      <c r="P22" s="5">
        <f>191/216</f>
        <v>0.8842592592592593</v>
      </c>
      <c r="Q22" s="5">
        <f>2/3</f>
        <v>0.66666666666666663</v>
      </c>
      <c r="R22" s="1"/>
      <c r="S22" s="1">
        <v>3</v>
      </c>
      <c r="T22" s="1">
        <v>5</v>
      </c>
      <c r="U22" s="1" t="s">
        <v>63</v>
      </c>
      <c r="V22" s="1">
        <v>1</v>
      </c>
      <c r="W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">
      <c r="A23" s="1" t="s">
        <v>2</v>
      </c>
      <c r="B23" s="1">
        <v>2000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>
        <v>2</v>
      </c>
      <c r="S23" s="1"/>
      <c r="T23" s="1">
        <v>1</v>
      </c>
      <c r="U23" s="1" t="s">
        <v>64</v>
      </c>
      <c r="V23" s="1">
        <v>0</v>
      </c>
      <c r="W23" s="1">
        <v>0</v>
      </c>
      <c r="X23" s="1">
        <v>1</v>
      </c>
      <c r="AA23" s="1">
        <v>0</v>
      </c>
      <c r="AB23" s="1">
        <v>1</v>
      </c>
      <c r="AC23" s="1">
        <v>1</v>
      </c>
      <c r="AD23" s="1">
        <v>1</v>
      </c>
      <c r="AE23" s="1">
        <v>1</v>
      </c>
      <c r="AF23" s="1">
        <v>0</v>
      </c>
      <c r="AG23" s="1">
        <v>1</v>
      </c>
      <c r="AH23" s="1">
        <v>0</v>
      </c>
      <c r="AI23">
        <v>140</v>
      </c>
      <c r="AJ23">
        <v>92</v>
      </c>
      <c r="AK23">
        <v>48</v>
      </c>
      <c r="AL23">
        <v>12</v>
      </c>
      <c r="AM23">
        <v>8</v>
      </c>
      <c r="AN23">
        <v>0</v>
      </c>
      <c r="AO23">
        <v>0</v>
      </c>
      <c r="AP23">
        <v>6</v>
      </c>
      <c r="AQ23" s="1"/>
      <c r="AR23" s="1"/>
      <c r="AS23" s="1"/>
      <c r="AT23" s="1"/>
      <c r="AU23" s="1"/>
      <c r="AV23" s="1"/>
    </row>
    <row r="24" spans="1:48" x14ac:dyDescent="0.2">
      <c r="A24" s="1" t="s">
        <v>2</v>
      </c>
      <c r="B24" s="1">
        <v>2001</v>
      </c>
      <c r="C24" s="1">
        <v>2</v>
      </c>
      <c r="D24">
        <v>140</v>
      </c>
      <c r="E24">
        <v>92</v>
      </c>
      <c r="F24">
        <v>48</v>
      </c>
      <c r="G24">
        <v>12</v>
      </c>
      <c r="H24">
        <v>8</v>
      </c>
      <c r="I24">
        <v>0</v>
      </c>
      <c r="J24">
        <v>0</v>
      </c>
      <c r="K24">
        <v>6</v>
      </c>
      <c r="L24" s="1"/>
      <c r="M24" s="1"/>
      <c r="N24" s="1"/>
      <c r="O24" s="1"/>
      <c r="P24" s="1"/>
      <c r="Q24" s="1"/>
      <c r="R24" s="1">
        <v>5</v>
      </c>
      <c r="S24" s="1"/>
      <c r="T24" s="1">
        <v>2</v>
      </c>
      <c r="U24" s="1" t="s">
        <v>64</v>
      </c>
      <c r="V24" s="1">
        <v>0</v>
      </c>
      <c r="W24" s="1">
        <f t="shared" ref="W24:W42" si="0">1-Y3</f>
        <v>0</v>
      </c>
      <c r="X24" s="1">
        <f t="shared" ref="X24:X42" si="1">1-Z3</f>
        <v>0</v>
      </c>
      <c r="AA24" s="1">
        <v>1</v>
      </c>
      <c r="AB24" s="1">
        <v>0</v>
      </c>
      <c r="AC24" s="1">
        <v>1</v>
      </c>
      <c r="AD24" s="1">
        <v>0</v>
      </c>
      <c r="AE24" s="1">
        <v>1</v>
      </c>
      <c r="AF24" s="1">
        <v>1</v>
      </c>
      <c r="AG24" s="1">
        <v>0</v>
      </c>
      <c r="AH24" s="1">
        <v>1</v>
      </c>
      <c r="AI24">
        <v>115</v>
      </c>
      <c r="AJ24">
        <v>138</v>
      </c>
      <c r="AK24">
        <v>-23</v>
      </c>
      <c r="AL24">
        <v>9</v>
      </c>
      <c r="AM24">
        <v>12</v>
      </c>
      <c r="AN24">
        <v>0</v>
      </c>
      <c r="AO24">
        <v>0</v>
      </c>
      <c r="AP24">
        <v>4</v>
      </c>
      <c r="AQ24" s="1"/>
      <c r="AR24" s="1"/>
      <c r="AS24" s="1"/>
      <c r="AT24" s="1"/>
      <c r="AU24" s="1"/>
      <c r="AV24" s="1"/>
    </row>
    <row r="25" spans="1:48" x14ac:dyDescent="0.2">
      <c r="A25" s="1" t="s">
        <v>2</v>
      </c>
      <c r="B25" s="1">
        <v>2002</v>
      </c>
      <c r="C25" s="1">
        <v>5</v>
      </c>
      <c r="D25">
        <v>115</v>
      </c>
      <c r="E25">
        <v>138</v>
      </c>
      <c r="F25">
        <v>-23</v>
      </c>
      <c r="G25">
        <v>9</v>
      </c>
      <c r="H25">
        <v>12</v>
      </c>
      <c r="I25">
        <v>0</v>
      </c>
      <c r="J25">
        <v>0</v>
      </c>
      <c r="K25">
        <v>4</v>
      </c>
      <c r="L25" s="1"/>
      <c r="M25" s="1"/>
      <c r="N25" s="1"/>
      <c r="O25" s="1"/>
      <c r="P25" s="1"/>
      <c r="Q25" s="1"/>
      <c r="R25" s="1">
        <v>1</v>
      </c>
      <c r="S25" s="1"/>
      <c r="T25" s="1">
        <v>3</v>
      </c>
      <c r="U25" s="1" t="s">
        <v>64</v>
      </c>
      <c r="V25" s="1">
        <v>0</v>
      </c>
      <c r="W25" s="1">
        <f t="shared" si="0"/>
        <v>1</v>
      </c>
      <c r="X25" s="1">
        <f t="shared" si="1"/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0</v>
      </c>
      <c r="AG25" s="1">
        <v>1</v>
      </c>
      <c r="AH25" s="1">
        <v>0</v>
      </c>
      <c r="AI25">
        <v>156</v>
      </c>
      <c r="AJ25">
        <v>75</v>
      </c>
      <c r="AK25">
        <v>81</v>
      </c>
      <c r="AL25">
        <v>15</v>
      </c>
      <c r="AM25">
        <v>7</v>
      </c>
      <c r="AN25">
        <v>0</v>
      </c>
      <c r="AO25">
        <v>0</v>
      </c>
      <c r="AP25">
        <v>10</v>
      </c>
      <c r="AQ25" s="1"/>
      <c r="AR25" s="1"/>
      <c r="AS25" s="1"/>
      <c r="AT25" s="1"/>
      <c r="AU25" s="1"/>
      <c r="AV25" s="1"/>
    </row>
    <row r="26" spans="1:48" x14ac:dyDescent="0.2">
      <c r="A26" s="1" t="s">
        <v>2</v>
      </c>
      <c r="B26" s="1">
        <v>2003</v>
      </c>
      <c r="C26" s="1">
        <v>1</v>
      </c>
      <c r="D26">
        <v>156</v>
      </c>
      <c r="E26">
        <v>75</v>
      </c>
      <c r="F26">
        <v>81</v>
      </c>
      <c r="G26">
        <v>15</v>
      </c>
      <c r="H26">
        <v>7</v>
      </c>
      <c r="I26">
        <v>0</v>
      </c>
      <c r="J26">
        <v>0</v>
      </c>
      <c r="K26">
        <v>10</v>
      </c>
      <c r="L26" s="1"/>
      <c r="M26" s="1"/>
      <c r="N26" s="1"/>
      <c r="O26" s="1"/>
      <c r="P26" s="1"/>
      <c r="Q26" s="1"/>
      <c r="R26" s="1">
        <v>3</v>
      </c>
      <c r="S26" s="1">
        <v>5</v>
      </c>
      <c r="T26" s="1">
        <v>4</v>
      </c>
      <c r="U26" s="1" t="s">
        <v>64</v>
      </c>
      <c r="V26" s="1">
        <v>0</v>
      </c>
      <c r="W26" s="1">
        <f t="shared" si="0"/>
        <v>0</v>
      </c>
      <c r="X26" s="1">
        <f t="shared" si="1"/>
        <v>0</v>
      </c>
      <c r="AA26" s="1">
        <v>0</v>
      </c>
      <c r="AB26" s="1">
        <v>0</v>
      </c>
      <c r="AC26" s="1">
        <v>1</v>
      </c>
      <c r="AD26" s="1">
        <v>0</v>
      </c>
      <c r="AE26" s="1">
        <v>1</v>
      </c>
      <c r="AF26" s="1">
        <v>1</v>
      </c>
      <c r="AG26" s="1">
        <v>1</v>
      </c>
      <c r="AH26" s="1">
        <v>1</v>
      </c>
      <c r="AI26">
        <v>153</v>
      </c>
      <c r="AJ26">
        <v>75</v>
      </c>
      <c r="AK26">
        <v>78</v>
      </c>
      <c r="AL26">
        <v>17</v>
      </c>
      <c r="AM26">
        <v>6</v>
      </c>
      <c r="AN26">
        <v>0</v>
      </c>
      <c r="AO26">
        <v>0</v>
      </c>
      <c r="AP26">
        <v>6</v>
      </c>
      <c r="AQ26" s="1"/>
      <c r="AR26" s="1"/>
      <c r="AS26" s="1"/>
      <c r="AT26" s="1"/>
      <c r="AU26" s="1"/>
      <c r="AV26" s="1"/>
    </row>
    <row r="27" spans="1:48" x14ac:dyDescent="0.2">
      <c r="A27" s="1" t="s">
        <v>2</v>
      </c>
      <c r="B27" s="1">
        <v>2004</v>
      </c>
      <c r="C27" s="1">
        <v>3</v>
      </c>
      <c r="D27">
        <v>153</v>
      </c>
      <c r="E27">
        <v>75</v>
      </c>
      <c r="F27">
        <v>78</v>
      </c>
      <c r="G27">
        <v>17</v>
      </c>
      <c r="H27">
        <v>6</v>
      </c>
      <c r="I27">
        <v>0</v>
      </c>
      <c r="J27">
        <v>0</v>
      </c>
      <c r="K27">
        <v>6</v>
      </c>
      <c r="L27" s="1"/>
      <c r="M27" s="1"/>
      <c r="N27" s="1"/>
      <c r="O27" s="1"/>
      <c r="P27" s="1"/>
      <c r="Q27" s="1"/>
      <c r="R27" s="1">
        <v>1</v>
      </c>
      <c r="S27" s="1">
        <v>4</v>
      </c>
      <c r="T27" s="1">
        <v>5</v>
      </c>
      <c r="U27" s="1" t="s">
        <v>64</v>
      </c>
      <c r="V27" s="1">
        <v>1</v>
      </c>
      <c r="W27" s="1">
        <f t="shared" si="0"/>
        <v>1</v>
      </c>
      <c r="X27" s="1">
        <f t="shared" si="1"/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0</v>
      </c>
      <c r="AG27" s="1">
        <v>1</v>
      </c>
      <c r="AH27" s="1">
        <v>0</v>
      </c>
      <c r="AI27">
        <v>144</v>
      </c>
      <c r="AJ27">
        <v>60</v>
      </c>
      <c r="AK27">
        <v>84</v>
      </c>
      <c r="AL27">
        <v>14</v>
      </c>
      <c r="AM27">
        <v>5</v>
      </c>
      <c r="AN27">
        <v>0</v>
      </c>
      <c r="AO27">
        <v>0</v>
      </c>
      <c r="AP27">
        <v>10</v>
      </c>
      <c r="AQ27" s="1"/>
      <c r="AR27" s="1"/>
      <c r="AS27" s="1"/>
      <c r="AT27" s="1"/>
      <c r="AU27" s="1"/>
      <c r="AV27" s="1"/>
    </row>
    <row r="28" spans="1:48" x14ac:dyDescent="0.2">
      <c r="A28" s="1" t="s">
        <v>2</v>
      </c>
      <c r="B28" s="1">
        <v>2005</v>
      </c>
      <c r="C28" s="1">
        <v>1</v>
      </c>
      <c r="D28">
        <v>144</v>
      </c>
      <c r="E28">
        <v>60</v>
      </c>
      <c r="F28">
        <v>84</v>
      </c>
      <c r="G28">
        <v>14</v>
      </c>
      <c r="H28">
        <v>5</v>
      </c>
      <c r="I28">
        <v>0</v>
      </c>
      <c r="J28">
        <v>0</v>
      </c>
      <c r="K28">
        <v>10</v>
      </c>
      <c r="L28" s="1"/>
      <c r="M28" s="1"/>
      <c r="N28" s="1"/>
      <c r="O28" s="1"/>
      <c r="P28" s="1"/>
      <c r="Q28" s="1"/>
      <c r="R28" s="1">
        <v>2</v>
      </c>
      <c r="S28" s="1">
        <v>5</v>
      </c>
      <c r="T28" s="1">
        <v>6</v>
      </c>
      <c r="U28" s="1" t="s">
        <v>64</v>
      </c>
      <c r="V28" s="1">
        <v>0</v>
      </c>
      <c r="W28" s="1">
        <f t="shared" si="0"/>
        <v>1</v>
      </c>
      <c r="X28" s="1">
        <f t="shared" si="1"/>
        <v>0</v>
      </c>
      <c r="AA28" s="1">
        <v>1</v>
      </c>
      <c r="AB28" s="1">
        <v>0</v>
      </c>
      <c r="AC28" s="1">
        <v>1</v>
      </c>
      <c r="AD28" s="1">
        <v>0</v>
      </c>
      <c r="AE28" s="1">
        <v>1</v>
      </c>
      <c r="AF28" s="1">
        <v>1</v>
      </c>
      <c r="AG28" s="1">
        <v>0</v>
      </c>
      <c r="AH28" s="1">
        <v>1</v>
      </c>
      <c r="AI28">
        <v>134</v>
      </c>
      <c r="AJ28">
        <v>82</v>
      </c>
      <c r="AK28">
        <v>52</v>
      </c>
      <c r="AL28">
        <v>13</v>
      </c>
      <c r="AM28">
        <v>6</v>
      </c>
      <c r="AN28">
        <v>0</v>
      </c>
      <c r="AO28">
        <v>0</v>
      </c>
      <c r="AP28">
        <v>8</v>
      </c>
      <c r="AQ28" s="1"/>
      <c r="AR28" s="1"/>
      <c r="AS28" s="1"/>
      <c r="AT28" s="1"/>
      <c r="AU28" s="1"/>
      <c r="AV28" s="1"/>
    </row>
    <row r="29" spans="1:48" x14ac:dyDescent="0.2">
      <c r="A29" s="1" t="s">
        <v>2</v>
      </c>
      <c r="B29" s="1">
        <v>2006</v>
      </c>
      <c r="C29" s="1">
        <v>2</v>
      </c>
      <c r="D29">
        <v>134</v>
      </c>
      <c r="E29">
        <v>82</v>
      </c>
      <c r="F29">
        <v>52</v>
      </c>
      <c r="G29">
        <v>13</v>
      </c>
      <c r="H29">
        <v>6</v>
      </c>
      <c r="I29">
        <v>0</v>
      </c>
      <c r="J29">
        <v>0</v>
      </c>
      <c r="K29">
        <v>8</v>
      </c>
      <c r="L29" s="1"/>
      <c r="M29" s="1"/>
      <c r="N29" s="1"/>
      <c r="O29" s="1"/>
      <c r="P29" s="1"/>
      <c r="Q29" s="1"/>
      <c r="R29" s="1">
        <v>1</v>
      </c>
      <c r="S29" s="1">
        <v>3</v>
      </c>
      <c r="T29" s="1">
        <v>7</v>
      </c>
      <c r="U29" s="1" t="s">
        <v>64</v>
      </c>
      <c r="V29" s="1">
        <v>1</v>
      </c>
      <c r="W29" s="1">
        <f t="shared" si="0"/>
        <v>1</v>
      </c>
      <c r="X29" s="1">
        <f t="shared" si="1"/>
        <v>1</v>
      </c>
      <c r="AA29" s="1">
        <v>1</v>
      </c>
      <c r="AB29" s="1">
        <v>1</v>
      </c>
      <c r="AC29" s="1">
        <v>1</v>
      </c>
      <c r="AD29" s="1">
        <v>1</v>
      </c>
      <c r="AE29" s="1">
        <v>0</v>
      </c>
      <c r="AF29" s="1">
        <v>0</v>
      </c>
      <c r="AG29" s="1">
        <v>1</v>
      </c>
      <c r="AH29" s="1">
        <v>0</v>
      </c>
      <c r="AI29">
        <v>148</v>
      </c>
      <c r="AJ29">
        <v>85</v>
      </c>
      <c r="AK29">
        <v>63</v>
      </c>
      <c r="AL29">
        <v>18</v>
      </c>
      <c r="AM29">
        <v>7</v>
      </c>
      <c r="AN29">
        <v>0</v>
      </c>
      <c r="AO29">
        <v>0</v>
      </c>
      <c r="AP29">
        <v>8</v>
      </c>
      <c r="AQ29" s="1"/>
      <c r="AR29" s="1"/>
      <c r="AS29" s="1"/>
      <c r="AT29" s="1"/>
      <c r="AU29" s="1"/>
      <c r="AV29" s="1"/>
    </row>
    <row r="30" spans="1:48" x14ac:dyDescent="0.2">
      <c r="A30" s="1" t="s">
        <v>2</v>
      </c>
      <c r="B30" s="1">
        <v>2007</v>
      </c>
      <c r="C30" s="1">
        <v>1</v>
      </c>
      <c r="D30">
        <v>148</v>
      </c>
      <c r="E30">
        <v>85</v>
      </c>
      <c r="F30">
        <v>63</v>
      </c>
      <c r="G30">
        <v>18</v>
      </c>
      <c r="H30">
        <v>7</v>
      </c>
      <c r="I30">
        <v>0</v>
      </c>
      <c r="J30">
        <v>0</v>
      </c>
      <c r="K30">
        <v>8</v>
      </c>
      <c r="L30" s="1"/>
      <c r="M30" s="1"/>
      <c r="N30" s="1"/>
      <c r="O30" s="1"/>
      <c r="P30" s="1"/>
      <c r="Q30" s="1"/>
      <c r="R30" s="1">
        <v>1</v>
      </c>
      <c r="S30" s="1">
        <v>2</v>
      </c>
      <c r="T30" s="1">
        <v>8</v>
      </c>
      <c r="U30" s="1" t="s">
        <v>64</v>
      </c>
      <c r="V30" s="1">
        <v>0</v>
      </c>
      <c r="W30" s="1">
        <f t="shared" si="0"/>
        <v>0</v>
      </c>
      <c r="X30" s="1">
        <f t="shared" si="1"/>
        <v>0</v>
      </c>
      <c r="AA30" s="1">
        <v>1</v>
      </c>
      <c r="AB30" s="1">
        <v>0</v>
      </c>
      <c r="AC30" s="1">
        <v>1</v>
      </c>
      <c r="AD30" s="1">
        <v>0</v>
      </c>
      <c r="AE30" s="1">
        <v>1</v>
      </c>
      <c r="AF30" s="1">
        <v>1</v>
      </c>
      <c r="AG30" s="1">
        <v>1</v>
      </c>
      <c r="AH30" s="1">
        <v>1</v>
      </c>
      <c r="AI30">
        <v>155</v>
      </c>
      <c r="AJ30">
        <v>86</v>
      </c>
      <c r="AK30">
        <v>69</v>
      </c>
      <c r="AL30">
        <v>15</v>
      </c>
      <c r="AM30">
        <v>9</v>
      </c>
      <c r="AN30">
        <v>0</v>
      </c>
      <c r="AO30">
        <v>0</v>
      </c>
      <c r="AP30">
        <v>8</v>
      </c>
      <c r="AQ30" s="1"/>
      <c r="AR30" s="1"/>
      <c r="AS30" s="1"/>
      <c r="AT30" s="1"/>
      <c r="AU30" s="1"/>
      <c r="AV30" s="1"/>
    </row>
    <row r="31" spans="1:48" x14ac:dyDescent="0.2">
      <c r="A31" s="1" t="s">
        <v>2</v>
      </c>
      <c r="B31" s="1">
        <v>2008</v>
      </c>
      <c r="C31" s="1">
        <v>1</v>
      </c>
      <c r="D31">
        <v>155</v>
      </c>
      <c r="E31">
        <v>86</v>
      </c>
      <c r="F31">
        <v>69</v>
      </c>
      <c r="G31">
        <v>15</v>
      </c>
      <c r="H31">
        <v>9</v>
      </c>
      <c r="I31">
        <v>0</v>
      </c>
      <c r="J31">
        <v>0</v>
      </c>
      <c r="K31">
        <v>8</v>
      </c>
      <c r="L31" s="1"/>
      <c r="M31" s="1"/>
      <c r="N31" s="1"/>
      <c r="O31" s="1"/>
      <c r="P31" s="1"/>
      <c r="Q31" s="1"/>
      <c r="R31" s="1">
        <v>3</v>
      </c>
      <c r="S31" s="1">
        <v>6</v>
      </c>
      <c r="T31" s="1">
        <v>1</v>
      </c>
      <c r="U31" s="1" t="s">
        <v>65</v>
      </c>
      <c r="V31" s="1">
        <v>0</v>
      </c>
      <c r="W31" s="1">
        <f t="shared" si="0"/>
        <v>0</v>
      </c>
      <c r="X31" s="1">
        <f t="shared" si="1"/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0</v>
      </c>
      <c r="AG31" s="1">
        <v>0</v>
      </c>
      <c r="AH31" s="1">
        <v>0</v>
      </c>
      <c r="AI31">
        <v>103</v>
      </c>
      <c r="AJ31">
        <v>93</v>
      </c>
      <c r="AK31">
        <v>10</v>
      </c>
      <c r="AL31">
        <v>11</v>
      </c>
      <c r="AM31">
        <v>7</v>
      </c>
      <c r="AN31">
        <v>0</v>
      </c>
      <c r="AO31">
        <v>0</v>
      </c>
      <c r="AP31">
        <v>6</v>
      </c>
      <c r="AQ31" s="1"/>
      <c r="AR31" s="1"/>
      <c r="AS31" s="1"/>
      <c r="AT31" s="1"/>
      <c r="AU31" s="1"/>
      <c r="AV31" s="1"/>
    </row>
    <row r="32" spans="1:48" x14ac:dyDescent="0.2">
      <c r="A32" s="1" t="s">
        <v>2</v>
      </c>
      <c r="B32" s="1">
        <v>2009</v>
      </c>
      <c r="C32" s="1">
        <v>3</v>
      </c>
      <c r="D32">
        <v>103</v>
      </c>
      <c r="E32">
        <v>93</v>
      </c>
      <c r="F32">
        <v>10</v>
      </c>
      <c r="G32">
        <v>11</v>
      </c>
      <c r="H32">
        <v>7</v>
      </c>
      <c r="I32">
        <v>0</v>
      </c>
      <c r="J32">
        <v>0</v>
      </c>
      <c r="K32">
        <v>6</v>
      </c>
      <c r="L32" s="1"/>
      <c r="M32" s="1"/>
      <c r="N32" s="1"/>
      <c r="O32" s="1"/>
      <c r="P32" s="1"/>
      <c r="Q32" s="1"/>
      <c r="R32" s="1">
        <v>3</v>
      </c>
      <c r="S32" s="1">
        <v>7</v>
      </c>
      <c r="T32" s="1">
        <v>2</v>
      </c>
      <c r="U32" s="1" t="s">
        <v>65</v>
      </c>
      <c r="V32" s="1">
        <v>0</v>
      </c>
      <c r="W32" s="1">
        <f t="shared" si="0"/>
        <v>0</v>
      </c>
      <c r="X32" s="1">
        <f t="shared" si="1"/>
        <v>0</v>
      </c>
      <c r="AA32" s="1">
        <v>0</v>
      </c>
      <c r="AB32" s="1">
        <v>0</v>
      </c>
      <c r="AC32" s="1">
        <v>1</v>
      </c>
      <c r="AD32" s="1">
        <v>0</v>
      </c>
      <c r="AE32" s="1">
        <v>1</v>
      </c>
      <c r="AF32" s="1">
        <v>1</v>
      </c>
      <c r="AG32" s="1">
        <v>1</v>
      </c>
      <c r="AH32" s="1">
        <v>1</v>
      </c>
      <c r="AI32">
        <v>124</v>
      </c>
      <c r="AJ32">
        <v>101</v>
      </c>
      <c r="AK32">
        <v>23</v>
      </c>
      <c r="AL32">
        <v>14</v>
      </c>
      <c r="AM32">
        <v>11</v>
      </c>
      <c r="AN32">
        <v>0</v>
      </c>
      <c r="AO32">
        <v>0</v>
      </c>
      <c r="AP32">
        <v>6</v>
      </c>
      <c r="AQ32" s="1">
        <f t="shared" ref="AQ32:AQ42" si="2">1-AR11</f>
        <v>0.5494505494505495</v>
      </c>
      <c r="AR32" s="1"/>
      <c r="AS32" s="1">
        <f>21/51</f>
        <v>0.41176470588235292</v>
      </c>
      <c r="AT32" s="1">
        <f>50/58</f>
        <v>0.86206896551724133</v>
      </c>
      <c r="AU32" s="1">
        <f>22/35</f>
        <v>0.62857142857142856</v>
      </c>
      <c r="AV32" s="1">
        <f>21/37</f>
        <v>0.56756756756756754</v>
      </c>
    </row>
    <row r="33" spans="1:48" x14ac:dyDescent="0.2">
      <c r="A33" s="1" t="s">
        <v>2</v>
      </c>
      <c r="B33" s="1">
        <v>2010</v>
      </c>
      <c r="C33" s="1">
        <v>3</v>
      </c>
      <c r="D33">
        <v>124</v>
      </c>
      <c r="E33">
        <v>101</v>
      </c>
      <c r="F33">
        <v>23</v>
      </c>
      <c r="G33">
        <v>14</v>
      </c>
      <c r="H33">
        <v>11</v>
      </c>
      <c r="I33">
        <v>0</v>
      </c>
      <c r="J33">
        <v>0</v>
      </c>
      <c r="K33">
        <v>6</v>
      </c>
      <c r="L33" s="1">
        <f t="shared" ref="L33:L43" si="3">1-M12</f>
        <v>0.5494505494505495</v>
      </c>
      <c r="M33" s="1"/>
      <c r="N33" s="1">
        <f>21/51</f>
        <v>0.41176470588235292</v>
      </c>
      <c r="O33" s="1">
        <f>50/58</f>
        <v>0.86206896551724133</v>
      </c>
      <c r="P33" s="1">
        <f>22/35</f>
        <v>0.62857142857142856</v>
      </c>
      <c r="Q33" s="1">
        <f>21/37</f>
        <v>0.56756756756756754</v>
      </c>
      <c r="R33" s="1">
        <v>1</v>
      </c>
      <c r="S33" s="1">
        <v>5</v>
      </c>
      <c r="T33" s="1">
        <v>3</v>
      </c>
      <c r="U33" s="1" t="s">
        <v>65</v>
      </c>
      <c r="V33" s="1">
        <v>0</v>
      </c>
      <c r="W33" s="1">
        <f t="shared" si="0"/>
        <v>1</v>
      </c>
      <c r="X33" s="1">
        <f t="shared" si="1"/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0</v>
      </c>
      <c r="AG33" s="1">
        <v>1</v>
      </c>
      <c r="AH33" s="1">
        <v>0</v>
      </c>
      <c r="AI33">
        <v>135</v>
      </c>
      <c r="AJ33">
        <v>69</v>
      </c>
      <c r="AK33">
        <v>66</v>
      </c>
      <c r="AL33">
        <v>13</v>
      </c>
      <c r="AM33">
        <v>6</v>
      </c>
      <c r="AN33">
        <v>0</v>
      </c>
      <c r="AO33">
        <v>0</v>
      </c>
      <c r="AP33">
        <v>10</v>
      </c>
      <c r="AQ33" s="1">
        <f t="shared" si="2"/>
        <v>0.79079497907949792</v>
      </c>
      <c r="AR33" s="1"/>
      <c r="AS33" s="1">
        <f>46/71</f>
        <v>0.647887323943662</v>
      </c>
      <c r="AT33" s="1">
        <f>1867/1967</f>
        <v>0.94916115912557197</v>
      </c>
      <c r="AU33" s="1">
        <f>100/131</f>
        <v>0.76335877862595425</v>
      </c>
      <c r="AV33" s="1">
        <f>50/67</f>
        <v>0.74626865671641796</v>
      </c>
    </row>
    <row r="34" spans="1:48" x14ac:dyDescent="0.2">
      <c r="A34" s="1" t="s">
        <v>2</v>
      </c>
      <c r="B34" s="1">
        <v>2011</v>
      </c>
      <c r="C34" s="1">
        <v>1</v>
      </c>
      <c r="D34">
        <v>135</v>
      </c>
      <c r="E34">
        <v>69</v>
      </c>
      <c r="F34">
        <v>66</v>
      </c>
      <c r="G34">
        <v>13</v>
      </c>
      <c r="H34">
        <v>6</v>
      </c>
      <c r="I34">
        <v>0</v>
      </c>
      <c r="J34">
        <v>0</v>
      </c>
      <c r="K34">
        <v>10</v>
      </c>
      <c r="L34" s="1">
        <f t="shared" si="3"/>
        <v>0.79079497907949792</v>
      </c>
      <c r="M34" s="1"/>
      <c r="N34" s="1">
        <f>46/71</f>
        <v>0.647887323943662</v>
      </c>
      <c r="O34" s="1">
        <f>1867/1967</f>
        <v>0.94916115912557197</v>
      </c>
      <c r="P34" s="1">
        <f>100/131</f>
        <v>0.76335877862595425</v>
      </c>
      <c r="Q34" s="1">
        <f>50/67</f>
        <v>0.74626865671641796</v>
      </c>
      <c r="R34" s="1">
        <v>2</v>
      </c>
      <c r="S34" s="1">
        <v>6</v>
      </c>
      <c r="T34" s="1">
        <v>4</v>
      </c>
      <c r="U34" s="1" t="s">
        <v>65</v>
      </c>
      <c r="V34" s="1">
        <v>1</v>
      </c>
      <c r="W34" s="1">
        <f t="shared" si="0"/>
        <v>0</v>
      </c>
      <c r="X34" s="1">
        <f t="shared" si="1"/>
        <v>0</v>
      </c>
      <c r="AA34" s="1">
        <v>1</v>
      </c>
      <c r="AB34" s="1">
        <v>0</v>
      </c>
      <c r="AC34" s="1">
        <v>0</v>
      </c>
      <c r="AD34" s="1">
        <v>0</v>
      </c>
      <c r="AE34" s="1">
        <v>1</v>
      </c>
      <c r="AF34" s="1">
        <v>1</v>
      </c>
      <c r="AG34" s="1">
        <v>1</v>
      </c>
      <c r="AH34" s="1">
        <v>1</v>
      </c>
      <c r="AI34">
        <v>132</v>
      </c>
      <c r="AJ34">
        <v>81</v>
      </c>
      <c r="AK34">
        <v>51</v>
      </c>
      <c r="AL34">
        <v>13</v>
      </c>
      <c r="AM34">
        <v>5</v>
      </c>
      <c r="AN34">
        <v>0</v>
      </c>
      <c r="AO34">
        <v>0</v>
      </c>
      <c r="AP34">
        <v>8</v>
      </c>
      <c r="AQ34" s="1">
        <f t="shared" si="2"/>
        <v>0.34246575342465757</v>
      </c>
      <c r="AR34" s="1"/>
      <c r="AS34" s="1">
        <f>100/153</f>
        <v>0.65359477124183007</v>
      </c>
      <c r="AT34" s="1">
        <f>20/21</f>
        <v>0.95238095238095233</v>
      </c>
      <c r="AU34" s="1">
        <f>53/63</f>
        <v>0.84126984126984128</v>
      </c>
      <c r="AV34" s="1">
        <f>67/92</f>
        <v>0.72826086956521741</v>
      </c>
    </row>
    <row r="35" spans="1:48" x14ac:dyDescent="0.2">
      <c r="A35" s="1" t="s">
        <v>2</v>
      </c>
      <c r="B35" s="1">
        <v>2012</v>
      </c>
      <c r="C35" s="1">
        <v>2</v>
      </c>
      <c r="D35">
        <v>132</v>
      </c>
      <c r="E35">
        <v>81</v>
      </c>
      <c r="F35">
        <v>51</v>
      </c>
      <c r="G35">
        <v>13</v>
      </c>
      <c r="H35">
        <v>5</v>
      </c>
      <c r="I35">
        <v>0</v>
      </c>
      <c r="J35">
        <v>0</v>
      </c>
      <c r="K35">
        <v>8</v>
      </c>
      <c r="L35" s="1">
        <f t="shared" si="3"/>
        <v>0.34246575342465757</v>
      </c>
      <c r="M35" s="1"/>
      <c r="N35" s="1">
        <f>100/153</f>
        <v>0.65359477124183007</v>
      </c>
      <c r="O35" s="1">
        <f>20/21</f>
        <v>0.95238095238095233</v>
      </c>
      <c r="P35" s="1">
        <f>53/63</f>
        <v>0.84126984126984128</v>
      </c>
      <c r="Q35" s="1">
        <f>67/92</f>
        <v>0.72826086956521741</v>
      </c>
      <c r="R35" s="1">
        <v>4</v>
      </c>
      <c r="S35" s="1">
        <v>3</v>
      </c>
      <c r="T35" s="1">
        <v>0</v>
      </c>
      <c r="U35" s="1" t="s">
        <v>66</v>
      </c>
      <c r="V35" s="1">
        <v>0</v>
      </c>
      <c r="W35" s="1">
        <f t="shared" si="0"/>
        <v>0</v>
      </c>
      <c r="X35" s="1">
        <f t="shared" si="1"/>
        <v>1</v>
      </c>
      <c r="AA35" s="1">
        <v>0.5</v>
      </c>
      <c r="AB35" s="1">
        <v>1</v>
      </c>
      <c r="AC35" s="1">
        <v>1</v>
      </c>
      <c r="AD35" s="1">
        <v>1</v>
      </c>
      <c r="AE35" s="1">
        <v>1</v>
      </c>
      <c r="AF35" s="1">
        <v>0</v>
      </c>
      <c r="AG35" s="1">
        <v>0</v>
      </c>
      <c r="AH35" s="1">
        <v>0</v>
      </c>
      <c r="AI35">
        <v>101</v>
      </c>
      <c r="AJ35">
        <v>86</v>
      </c>
      <c r="AK35">
        <v>15</v>
      </c>
      <c r="AL35">
        <v>8</v>
      </c>
      <c r="AM35">
        <v>8</v>
      </c>
      <c r="AN35">
        <v>0</v>
      </c>
      <c r="AO35">
        <v>0</v>
      </c>
      <c r="AP35">
        <v>5</v>
      </c>
      <c r="AQ35" s="1">
        <f t="shared" si="2"/>
        <v>0.6941896024464832</v>
      </c>
      <c r="AR35" s="1"/>
      <c r="AS35" s="1">
        <f>251/351</f>
        <v>0.71509971509971515</v>
      </c>
      <c r="AT35" s="1">
        <f>21/23</f>
        <v>0.91304347826086951</v>
      </c>
      <c r="AU35" s="1">
        <f>50/67</f>
        <v>0.74626865671641796</v>
      </c>
      <c r="AV35" s="1">
        <f>100/327</f>
        <v>0.3058103975535168</v>
      </c>
    </row>
    <row r="36" spans="1:48" x14ac:dyDescent="0.2">
      <c r="A36" s="1" t="s">
        <v>2</v>
      </c>
      <c r="B36" s="1">
        <v>2013</v>
      </c>
      <c r="C36" s="1">
        <v>4</v>
      </c>
      <c r="D36">
        <v>101</v>
      </c>
      <c r="E36">
        <v>86</v>
      </c>
      <c r="F36">
        <v>15</v>
      </c>
      <c r="G36">
        <v>8</v>
      </c>
      <c r="H36">
        <v>8</v>
      </c>
      <c r="I36">
        <v>0</v>
      </c>
      <c r="J36">
        <v>0</v>
      </c>
      <c r="K36">
        <v>5</v>
      </c>
      <c r="L36" s="1">
        <f t="shared" si="3"/>
        <v>0.6941896024464832</v>
      </c>
      <c r="M36" s="1"/>
      <c r="N36" s="1">
        <f>251/351</f>
        <v>0.71509971509971515</v>
      </c>
      <c r="O36" s="1">
        <f>21/23</f>
        <v>0.91304347826086951</v>
      </c>
      <c r="P36" s="1">
        <f>50/67</f>
        <v>0.74626865671641796</v>
      </c>
      <c r="Q36" s="1">
        <f>100/327</f>
        <v>0.3058103975535168</v>
      </c>
      <c r="R36" s="1">
        <v>6</v>
      </c>
      <c r="S36" s="1">
        <v>4</v>
      </c>
      <c r="T36" s="1">
        <v>1</v>
      </c>
      <c r="U36" s="1" t="s">
        <v>66</v>
      </c>
      <c r="V36" s="1">
        <v>0</v>
      </c>
      <c r="W36" s="1">
        <f t="shared" si="0"/>
        <v>0</v>
      </c>
      <c r="X36" s="1">
        <f t="shared" si="1"/>
        <v>0</v>
      </c>
      <c r="AA36" s="1">
        <v>0.5</v>
      </c>
      <c r="AB36" s="1">
        <v>0</v>
      </c>
      <c r="AC36" s="1">
        <v>0</v>
      </c>
      <c r="AD36" s="1">
        <v>0</v>
      </c>
      <c r="AE36" s="1">
        <v>1</v>
      </c>
      <c r="AF36" s="1">
        <v>1</v>
      </c>
      <c r="AG36" s="1">
        <v>0</v>
      </c>
      <c r="AH36" s="1">
        <v>1</v>
      </c>
      <c r="AI36">
        <v>73</v>
      </c>
      <c r="AJ36">
        <v>91</v>
      </c>
      <c r="AK36">
        <v>-18</v>
      </c>
      <c r="AL36">
        <v>6</v>
      </c>
      <c r="AM36">
        <v>6</v>
      </c>
      <c r="AN36">
        <v>0</v>
      </c>
      <c r="AO36">
        <v>0</v>
      </c>
      <c r="AP36">
        <v>3</v>
      </c>
      <c r="AQ36" s="1">
        <f t="shared" si="2"/>
        <v>0.25380710659898476</v>
      </c>
      <c r="AR36" s="1"/>
      <c r="AS36" s="1">
        <f>100/179</f>
        <v>0.55865921787709494</v>
      </c>
      <c r="AT36" s="1">
        <f>10/11</f>
        <v>0.90909090909090906</v>
      </c>
      <c r="AU36" s="1">
        <f>9/11</f>
        <v>0.81818181818181823</v>
      </c>
      <c r="AV36" s="1">
        <f>77/102</f>
        <v>0.75490196078431371</v>
      </c>
    </row>
    <row r="37" spans="1:48" x14ac:dyDescent="0.2">
      <c r="A37" s="1" t="s">
        <v>2</v>
      </c>
      <c r="B37" s="1">
        <v>2014</v>
      </c>
      <c r="C37" s="1">
        <v>6</v>
      </c>
      <c r="D37">
        <v>73</v>
      </c>
      <c r="E37">
        <v>91</v>
      </c>
      <c r="F37">
        <v>-18</v>
      </c>
      <c r="G37">
        <v>6</v>
      </c>
      <c r="H37">
        <v>6</v>
      </c>
      <c r="I37">
        <v>0</v>
      </c>
      <c r="J37">
        <v>0</v>
      </c>
      <c r="K37">
        <v>3</v>
      </c>
      <c r="L37" s="1">
        <f t="shared" si="3"/>
        <v>0.25380710659898476</v>
      </c>
      <c r="M37" s="1"/>
      <c r="N37" s="1">
        <f>100/179</f>
        <v>0.55865921787709494</v>
      </c>
      <c r="O37" s="1">
        <f>10/11</f>
        <v>0.90909090909090906</v>
      </c>
      <c r="P37" s="1">
        <f>9/11</f>
        <v>0.81818181818181823</v>
      </c>
      <c r="Q37" s="1">
        <f>77/102</f>
        <v>0.75490196078431371</v>
      </c>
      <c r="R37" s="1">
        <v>4</v>
      </c>
      <c r="S37" s="1">
        <v>5</v>
      </c>
      <c r="T37" s="1">
        <v>2</v>
      </c>
      <c r="U37" s="1" t="s">
        <v>66</v>
      </c>
      <c r="V37" s="1">
        <v>1</v>
      </c>
      <c r="W37" s="1">
        <f t="shared" si="0"/>
        <v>1</v>
      </c>
      <c r="X37" s="1">
        <f t="shared" si="1"/>
        <v>1</v>
      </c>
      <c r="AA37" s="1">
        <v>0</v>
      </c>
      <c r="AB37" s="1">
        <v>1</v>
      </c>
      <c r="AC37" s="1">
        <v>1</v>
      </c>
      <c r="AD37" s="1">
        <v>1</v>
      </c>
      <c r="AE37" s="1">
        <v>1</v>
      </c>
      <c r="AF37" s="1">
        <v>0</v>
      </c>
      <c r="AG37" s="1">
        <v>0</v>
      </c>
      <c r="AH37" s="1">
        <v>0</v>
      </c>
      <c r="AI37">
        <v>101</v>
      </c>
      <c r="AJ37">
        <v>100</v>
      </c>
      <c r="AK37">
        <v>1</v>
      </c>
      <c r="AL37">
        <v>9</v>
      </c>
      <c r="AM37">
        <v>10</v>
      </c>
      <c r="AN37">
        <v>0</v>
      </c>
      <c r="AO37">
        <v>0</v>
      </c>
      <c r="AP37">
        <v>6</v>
      </c>
      <c r="AQ37" s="1">
        <f t="shared" si="2"/>
        <v>0.55947136563876654</v>
      </c>
      <c r="AR37" s="1"/>
      <c r="AS37" s="1">
        <f>69/169</f>
        <v>0.40828402366863903</v>
      </c>
      <c r="AT37" s="1">
        <f>21/23</f>
        <v>0.91304347826086951</v>
      </c>
      <c r="AU37" s="1">
        <f>100/131</f>
        <v>0.76335877862595425</v>
      </c>
      <c r="AV37" s="1">
        <f>100/227</f>
        <v>0.44052863436123346</v>
      </c>
    </row>
    <row r="38" spans="1:48" x14ac:dyDescent="0.2">
      <c r="A38" s="1" t="s">
        <v>2</v>
      </c>
      <c r="B38" s="1">
        <v>2015</v>
      </c>
      <c r="C38" s="1">
        <v>4</v>
      </c>
      <c r="D38">
        <v>101</v>
      </c>
      <c r="E38">
        <v>100</v>
      </c>
      <c r="F38">
        <v>1</v>
      </c>
      <c r="G38">
        <v>9</v>
      </c>
      <c r="H38">
        <v>10</v>
      </c>
      <c r="I38">
        <v>0</v>
      </c>
      <c r="J38">
        <v>0</v>
      </c>
      <c r="K38">
        <v>6</v>
      </c>
      <c r="L38" s="1">
        <f t="shared" si="3"/>
        <v>0.55947136563876654</v>
      </c>
      <c r="M38" s="1"/>
      <c r="N38" s="1">
        <f>69/169</f>
        <v>0.40828402366863903</v>
      </c>
      <c r="O38" s="1">
        <f>21/23</f>
        <v>0.91304347826086951</v>
      </c>
      <c r="P38" s="1">
        <f>100/131</f>
        <v>0.76335877862595425</v>
      </c>
      <c r="Q38" s="1">
        <f>100/227</f>
        <v>0.44052863436123346</v>
      </c>
      <c r="R38" s="1">
        <v>4</v>
      </c>
      <c r="S38" s="1">
        <v>7</v>
      </c>
      <c r="T38" s="1">
        <v>3</v>
      </c>
      <c r="U38" s="1" t="s">
        <v>66</v>
      </c>
      <c r="V38" s="1">
        <v>1</v>
      </c>
      <c r="W38" s="1">
        <f t="shared" si="0"/>
        <v>0</v>
      </c>
      <c r="X38" s="1">
        <f t="shared" si="1"/>
        <v>0</v>
      </c>
      <c r="AA38" s="1">
        <v>0</v>
      </c>
      <c r="AB38" s="1">
        <v>0</v>
      </c>
      <c r="AC38" s="1">
        <v>1</v>
      </c>
      <c r="AD38" s="1">
        <v>0</v>
      </c>
      <c r="AE38" s="1">
        <v>1</v>
      </c>
      <c r="AF38" s="1">
        <v>1</v>
      </c>
      <c r="AG38" s="1">
        <v>0</v>
      </c>
      <c r="AH38" s="1">
        <v>1</v>
      </c>
      <c r="AI38">
        <v>107</v>
      </c>
      <c r="AJ38">
        <v>90</v>
      </c>
      <c r="AK38">
        <v>17</v>
      </c>
      <c r="AL38">
        <v>8</v>
      </c>
      <c r="AM38">
        <v>6</v>
      </c>
      <c r="AN38">
        <v>1</v>
      </c>
      <c r="AO38">
        <v>1</v>
      </c>
      <c r="AP38">
        <v>14</v>
      </c>
      <c r="AQ38" s="1">
        <f t="shared" si="2"/>
        <v>0.16806722689075626</v>
      </c>
      <c r="AR38" s="1"/>
      <c r="AS38" s="1">
        <f>20/69</f>
        <v>0.28985507246376813</v>
      </c>
      <c r="AT38" s="1">
        <f>25/33</f>
        <v>0.75757575757575757</v>
      </c>
      <c r="AU38" s="1">
        <f>98/123</f>
        <v>0.7967479674796748</v>
      </c>
      <c r="AV38" s="1">
        <f>137/237</f>
        <v>0.57805907172995785</v>
      </c>
    </row>
    <row r="39" spans="1:48" x14ac:dyDescent="0.2">
      <c r="A39" s="1" t="s">
        <v>2</v>
      </c>
      <c r="B39" s="1">
        <v>2016</v>
      </c>
      <c r="C39" s="1">
        <v>3</v>
      </c>
      <c r="D39">
        <v>107</v>
      </c>
      <c r="E39">
        <v>90</v>
      </c>
      <c r="F39">
        <v>17</v>
      </c>
      <c r="G39">
        <v>8</v>
      </c>
      <c r="H39">
        <v>6</v>
      </c>
      <c r="I39">
        <v>1</v>
      </c>
      <c r="J39">
        <v>1</v>
      </c>
      <c r="K39">
        <v>14</v>
      </c>
      <c r="L39" s="1">
        <f t="shared" si="3"/>
        <v>0.16806722689075626</v>
      </c>
      <c r="M39" s="1"/>
      <c r="N39" s="1">
        <f>20/69</f>
        <v>0.28985507246376813</v>
      </c>
      <c r="O39" s="1">
        <f>25/33</f>
        <v>0.75757575757575757</v>
      </c>
      <c r="P39" s="1">
        <f>98/123</f>
        <v>0.7967479674796748</v>
      </c>
      <c r="Q39" s="1">
        <f>137/237</f>
        <v>0.57805907172995785</v>
      </c>
      <c r="R39" s="1">
        <v>5</v>
      </c>
      <c r="S39" s="1">
        <v>7</v>
      </c>
      <c r="T39" s="1">
        <v>1</v>
      </c>
      <c r="U39" s="1" t="s">
        <v>67</v>
      </c>
      <c r="V39" s="1">
        <v>1</v>
      </c>
      <c r="W39" s="1">
        <f t="shared" si="0"/>
        <v>0</v>
      </c>
      <c r="X39" s="1">
        <f t="shared" si="1"/>
        <v>1</v>
      </c>
      <c r="AA39" s="1">
        <v>1</v>
      </c>
      <c r="AB39" s="1">
        <v>1</v>
      </c>
      <c r="AC39" s="1">
        <v>1</v>
      </c>
      <c r="AD39" s="1">
        <v>1</v>
      </c>
      <c r="AE39" s="1">
        <v>0</v>
      </c>
      <c r="AF39" s="1">
        <v>0</v>
      </c>
      <c r="AG39" s="1">
        <v>0</v>
      </c>
      <c r="AH39" s="1">
        <v>0</v>
      </c>
      <c r="AI39">
        <v>108</v>
      </c>
      <c r="AJ39">
        <v>94</v>
      </c>
      <c r="AK39">
        <v>14</v>
      </c>
      <c r="AL39">
        <v>8</v>
      </c>
      <c r="AM39">
        <v>6</v>
      </c>
      <c r="AN39">
        <v>0</v>
      </c>
      <c r="AO39">
        <v>3</v>
      </c>
      <c r="AP39">
        <v>11</v>
      </c>
      <c r="AQ39" s="1">
        <f t="shared" si="2"/>
        <v>0.19999999999999996</v>
      </c>
      <c r="AR39" s="1"/>
      <c r="AS39" s="1">
        <f>97/197</f>
        <v>0.49238578680203043</v>
      </c>
      <c r="AT39" s="1">
        <f>1189/1289</f>
        <v>0.92242048099301788</v>
      </c>
      <c r="AU39" s="1">
        <f>25/54</f>
        <v>0.46296296296296297</v>
      </c>
      <c r="AV39" s="1">
        <f>100/489</f>
        <v>0.20449897750511248</v>
      </c>
    </row>
    <row r="40" spans="1:48" x14ac:dyDescent="0.2">
      <c r="A40" s="1" t="s">
        <v>2</v>
      </c>
      <c r="B40" s="1">
        <v>2017</v>
      </c>
      <c r="C40" s="1">
        <v>4</v>
      </c>
      <c r="D40">
        <v>108</v>
      </c>
      <c r="E40">
        <v>94</v>
      </c>
      <c r="F40">
        <v>14</v>
      </c>
      <c r="G40">
        <v>8</v>
      </c>
      <c r="H40">
        <v>6</v>
      </c>
      <c r="I40">
        <v>0</v>
      </c>
      <c r="J40">
        <v>3</v>
      </c>
      <c r="K40">
        <v>11</v>
      </c>
      <c r="L40" s="1">
        <f t="shared" si="3"/>
        <v>0.19999999999999996</v>
      </c>
      <c r="M40" s="1"/>
      <c r="N40" s="1">
        <f>97/197</f>
        <v>0.49238578680203043</v>
      </c>
      <c r="O40" s="1">
        <f>1189/1289</f>
        <v>0.92242048099301788</v>
      </c>
      <c r="P40" s="1">
        <f>25/54</f>
        <v>0.46296296296296297</v>
      </c>
      <c r="Q40" s="1">
        <f>100/489</f>
        <v>0.20449897750511248</v>
      </c>
      <c r="R40" s="1">
        <v>3</v>
      </c>
      <c r="S40" s="1">
        <v>8</v>
      </c>
      <c r="T40" s="1">
        <v>2</v>
      </c>
      <c r="U40" s="1" t="s">
        <v>67</v>
      </c>
      <c r="V40" s="1">
        <v>0</v>
      </c>
      <c r="W40" s="1">
        <f t="shared" si="0"/>
        <v>0</v>
      </c>
      <c r="X40" s="1">
        <f t="shared" si="1"/>
        <v>0</v>
      </c>
      <c r="AA40" s="1">
        <v>0</v>
      </c>
      <c r="AB40" s="1">
        <v>0</v>
      </c>
      <c r="AC40" s="1">
        <v>1</v>
      </c>
      <c r="AD40" s="1">
        <v>0</v>
      </c>
      <c r="AE40" s="1">
        <v>1</v>
      </c>
      <c r="AF40" s="1">
        <v>1</v>
      </c>
      <c r="AG40" s="1">
        <v>1</v>
      </c>
      <c r="AH40" s="1">
        <v>1</v>
      </c>
      <c r="AI40">
        <v>93</v>
      </c>
      <c r="AJ40">
        <v>118</v>
      </c>
      <c r="AK40">
        <v>-25</v>
      </c>
      <c r="AL40">
        <v>12</v>
      </c>
      <c r="AM40">
        <v>15</v>
      </c>
      <c r="AN40">
        <v>1</v>
      </c>
      <c r="AO40">
        <v>1</v>
      </c>
      <c r="AP40">
        <v>10</v>
      </c>
      <c r="AQ40" s="1">
        <f t="shared" si="2"/>
        <v>0.18000000000000005</v>
      </c>
      <c r="AR40" s="1"/>
      <c r="AS40" s="1">
        <f>10/39</f>
        <v>0.25641025641025639</v>
      </c>
      <c r="AT40" s="1">
        <f>100/107</f>
        <v>0.93457943925233644</v>
      </c>
      <c r="AU40" s="1">
        <f>253/353</f>
        <v>0.71671388101983002</v>
      </c>
      <c r="AV40" s="1">
        <f>27/37</f>
        <v>0.72972972972972971</v>
      </c>
    </row>
    <row r="41" spans="1:48" x14ac:dyDescent="0.2">
      <c r="A41" s="1" t="s">
        <v>2</v>
      </c>
      <c r="B41" s="1">
        <v>2018</v>
      </c>
      <c r="C41" s="1">
        <v>4</v>
      </c>
      <c r="D41">
        <v>93</v>
      </c>
      <c r="E41">
        <v>118</v>
      </c>
      <c r="F41">
        <v>-25</v>
      </c>
      <c r="G41">
        <v>12</v>
      </c>
      <c r="H41">
        <v>15</v>
      </c>
      <c r="I41">
        <v>1</v>
      </c>
      <c r="J41">
        <v>1</v>
      </c>
      <c r="K41">
        <v>10</v>
      </c>
      <c r="L41" s="1">
        <f t="shared" si="3"/>
        <v>0.18000000000000005</v>
      </c>
      <c r="M41" s="1"/>
      <c r="N41" s="1">
        <f>10/39</f>
        <v>0.25641025641025639</v>
      </c>
      <c r="O41" s="1">
        <f>100/107</f>
        <v>0.93457943925233644</v>
      </c>
      <c r="P41" s="1">
        <f>253/353</f>
        <v>0.71671388101983002</v>
      </c>
      <c r="Q41" s="1">
        <f>27/37</f>
        <v>0.72972972972972971</v>
      </c>
      <c r="R41" s="1">
        <v>4</v>
      </c>
      <c r="S41" s="1">
        <v>9</v>
      </c>
      <c r="T41" s="1">
        <v>1</v>
      </c>
      <c r="U41" s="1" t="s">
        <v>68</v>
      </c>
      <c r="V41" s="1">
        <v>0</v>
      </c>
      <c r="W41" s="1">
        <f t="shared" si="0"/>
        <v>1</v>
      </c>
      <c r="X41" s="1">
        <f t="shared" si="1"/>
        <v>1</v>
      </c>
      <c r="AA41" s="1">
        <v>0</v>
      </c>
      <c r="AB41" s="1">
        <v>1</v>
      </c>
      <c r="AC41" s="1">
        <v>1</v>
      </c>
      <c r="AD41" s="1">
        <v>1</v>
      </c>
      <c r="AE41" s="1">
        <v>0</v>
      </c>
      <c r="AF41" s="1">
        <v>0</v>
      </c>
      <c r="AG41" s="1">
        <v>0</v>
      </c>
      <c r="AH41" s="1">
        <v>0</v>
      </c>
      <c r="AI41">
        <v>108</v>
      </c>
      <c r="AJ41">
        <v>94</v>
      </c>
      <c r="AK41">
        <v>14</v>
      </c>
      <c r="AL41">
        <v>8</v>
      </c>
      <c r="AM41">
        <v>6</v>
      </c>
      <c r="AN41">
        <v>0</v>
      </c>
      <c r="AO41">
        <v>3</v>
      </c>
      <c r="AP41">
        <v>11</v>
      </c>
      <c r="AQ41" s="1">
        <f t="shared" si="2"/>
        <v>0.23664122137404575</v>
      </c>
      <c r="AR41" s="1"/>
      <c r="AS41" s="1">
        <f>9/34</f>
        <v>0.26470588235294118</v>
      </c>
      <c r="AT41" s="1">
        <f>757/857</f>
        <v>0.88331388564760793</v>
      </c>
      <c r="AU41" s="1">
        <f>100/297</f>
        <v>0.33670033670033672</v>
      </c>
      <c r="AV41" s="1">
        <f>100/383</f>
        <v>0.26109660574412535</v>
      </c>
    </row>
    <row r="42" spans="1:48" x14ac:dyDescent="0.2">
      <c r="A42" s="1" t="s">
        <v>2</v>
      </c>
      <c r="B42" s="1">
        <v>2019</v>
      </c>
      <c r="C42" s="1">
        <v>4</v>
      </c>
      <c r="D42">
        <v>108</v>
      </c>
      <c r="E42">
        <v>94</v>
      </c>
      <c r="F42">
        <v>14</v>
      </c>
      <c r="G42">
        <v>8</v>
      </c>
      <c r="H42">
        <v>6</v>
      </c>
      <c r="I42">
        <v>0</v>
      </c>
      <c r="J42">
        <v>3</v>
      </c>
      <c r="K42">
        <v>11</v>
      </c>
      <c r="L42" s="1">
        <f t="shared" si="3"/>
        <v>0.23664122137404575</v>
      </c>
      <c r="M42" s="1"/>
      <c r="N42" s="1">
        <f>9/34</f>
        <v>0.26470588235294118</v>
      </c>
      <c r="O42" s="1">
        <f>757/857</f>
        <v>0.88331388564760793</v>
      </c>
      <c r="P42" s="1">
        <f>100/297</f>
        <v>0.33670033670033672</v>
      </c>
      <c r="Q42" s="1">
        <f>100/383</f>
        <v>0.26109660574412535</v>
      </c>
      <c r="R42" s="1">
        <v>4</v>
      </c>
      <c r="S42" s="1">
        <v>9</v>
      </c>
      <c r="T42" s="1">
        <v>2</v>
      </c>
      <c r="U42" s="1" t="s">
        <v>68</v>
      </c>
      <c r="V42" s="1">
        <v>0</v>
      </c>
      <c r="W42" s="1">
        <f t="shared" si="0"/>
        <v>0</v>
      </c>
      <c r="X42" s="1">
        <f t="shared" si="1"/>
        <v>0</v>
      </c>
      <c r="AA42" s="1">
        <v>0</v>
      </c>
      <c r="AB42" s="1">
        <v>0</v>
      </c>
      <c r="AC42" s="1">
        <v>1</v>
      </c>
      <c r="AD42" s="1">
        <v>0</v>
      </c>
      <c r="AE42" s="1">
        <v>1</v>
      </c>
      <c r="AF42" s="1">
        <v>1</v>
      </c>
      <c r="AG42" s="1">
        <v>0</v>
      </c>
      <c r="AH42" s="1">
        <v>1</v>
      </c>
      <c r="AI42">
        <v>93</v>
      </c>
      <c r="AJ42">
        <v>118</v>
      </c>
      <c r="AK42">
        <v>-25</v>
      </c>
      <c r="AL42">
        <v>12</v>
      </c>
      <c r="AM42">
        <v>15</v>
      </c>
      <c r="AN42">
        <v>1</v>
      </c>
      <c r="AO42">
        <v>1</v>
      </c>
      <c r="AP42">
        <v>10</v>
      </c>
      <c r="AQ42" s="1">
        <f t="shared" si="2"/>
        <v>0.15432098765432101</v>
      </c>
      <c r="AR42" s="1"/>
      <c r="AS42" s="1">
        <f>100/589</f>
        <v>0.1697792869269949</v>
      </c>
      <c r="AT42" s="1">
        <f>100/127</f>
        <v>0.78740157480314965</v>
      </c>
      <c r="AU42" s="1">
        <f>207/307</f>
        <v>0.67426710097719866</v>
      </c>
      <c r="AV42" s="1">
        <f>97/197</f>
        <v>0.49238578680203043</v>
      </c>
    </row>
    <row r="43" spans="1:48" x14ac:dyDescent="0.2">
      <c r="A43" s="1" t="s">
        <v>2</v>
      </c>
      <c r="B43" s="1">
        <v>2020</v>
      </c>
      <c r="C43" s="1">
        <v>4</v>
      </c>
      <c r="D43">
        <v>93</v>
      </c>
      <c r="E43">
        <v>118</v>
      </c>
      <c r="F43">
        <v>-25</v>
      </c>
      <c r="G43">
        <v>12</v>
      </c>
      <c r="H43">
        <v>15</v>
      </c>
      <c r="I43">
        <v>1</v>
      </c>
      <c r="J43">
        <v>1</v>
      </c>
      <c r="K43">
        <v>10</v>
      </c>
      <c r="L43" s="1">
        <f t="shared" si="3"/>
        <v>0.15432098765432101</v>
      </c>
      <c r="M43" s="1"/>
      <c r="N43" s="1">
        <f>100/589</f>
        <v>0.1697792869269949</v>
      </c>
      <c r="O43" s="1">
        <f>100/127</f>
        <v>0.78740157480314965</v>
      </c>
      <c r="P43" s="1">
        <f>207/307</f>
        <v>0.67426710097719866</v>
      </c>
      <c r="Q43" s="1">
        <f>97/197</f>
        <v>0.49238578680203043</v>
      </c>
      <c r="R43" s="1"/>
      <c r="S43" s="1">
        <v>7</v>
      </c>
      <c r="T43" s="1">
        <v>1</v>
      </c>
      <c r="U43" s="1" t="s">
        <v>69</v>
      </c>
      <c r="V43" s="1">
        <v>0</v>
      </c>
      <c r="W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">
      <c r="A44" s="1" t="s">
        <v>3</v>
      </c>
      <c r="B44" s="1">
        <v>2000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>
        <v>3</v>
      </c>
      <c r="S44" s="1"/>
      <c r="T44" s="1">
        <v>2</v>
      </c>
      <c r="U44" s="1" t="s">
        <v>70</v>
      </c>
      <c r="V44" s="1">
        <v>1</v>
      </c>
      <c r="W44" s="1">
        <v>0</v>
      </c>
      <c r="X44" s="1">
        <v>0</v>
      </c>
      <c r="Y44" s="1">
        <v>1</v>
      </c>
      <c r="Z44" s="1">
        <v>0</v>
      </c>
      <c r="AC44" s="1">
        <v>1</v>
      </c>
      <c r="AD44" s="1">
        <v>1</v>
      </c>
      <c r="AE44" s="1">
        <v>1</v>
      </c>
      <c r="AF44" s="1">
        <v>1</v>
      </c>
      <c r="AG44" s="1">
        <v>0</v>
      </c>
      <c r="AH44" s="1">
        <v>1</v>
      </c>
      <c r="AI44">
        <v>168</v>
      </c>
      <c r="AJ44">
        <v>133</v>
      </c>
      <c r="AK44">
        <v>35</v>
      </c>
      <c r="AL44">
        <v>17</v>
      </c>
      <c r="AM44">
        <v>13</v>
      </c>
      <c r="AN44">
        <v>0</v>
      </c>
      <c r="AO44">
        <v>0</v>
      </c>
      <c r="AP44">
        <v>6</v>
      </c>
      <c r="AQ44" s="1"/>
      <c r="AR44" s="1"/>
      <c r="AS44" s="1"/>
      <c r="AT44" s="1"/>
      <c r="AU44" s="1"/>
      <c r="AV44" s="1"/>
    </row>
    <row r="45" spans="1:48" x14ac:dyDescent="0.2">
      <c r="A45" s="1" t="s">
        <v>3</v>
      </c>
      <c r="B45" s="1">
        <v>2001</v>
      </c>
      <c r="C45" s="1">
        <v>3</v>
      </c>
      <c r="D45">
        <v>168</v>
      </c>
      <c r="E45">
        <v>133</v>
      </c>
      <c r="F45">
        <v>35</v>
      </c>
      <c r="G45">
        <v>17</v>
      </c>
      <c r="H45">
        <v>13</v>
      </c>
      <c r="I45">
        <v>0</v>
      </c>
      <c r="J45">
        <v>0</v>
      </c>
      <c r="K45">
        <v>6</v>
      </c>
      <c r="L45" s="1"/>
      <c r="M45" s="1"/>
      <c r="N45" s="1"/>
      <c r="O45" s="1"/>
      <c r="P45" s="1"/>
      <c r="Q45" s="1"/>
      <c r="R45" s="1">
        <v>2</v>
      </c>
      <c r="S45" s="1"/>
      <c r="T45" s="1">
        <v>3</v>
      </c>
      <c r="U45" s="1" t="s">
        <v>70</v>
      </c>
      <c r="V45" s="1">
        <v>0</v>
      </c>
      <c r="W45" s="1">
        <f t="shared" ref="W45:W63" si="4">1-AA3</f>
        <v>1</v>
      </c>
      <c r="X45" s="1">
        <f t="shared" ref="X45:X63" si="5">1-AB3</f>
        <v>1</v>
      </c>
      <c r="Y45" s="1">
        <f t="shared" ref="Y45:Y63" si="6">1-AA24</f>
        <v>0</v>
      </c>
      <c r="Z45" s="1">
        <f t="shared" ref="Z45:Z63" si="7">1-AB24</f>
        <v>1</v>
      </c>
      <c r="AC45" s="1">
        <v>1</v>
      </c>
      <c r="AD45" s="1">
        <v>0</v>
      </c>
      <c r="AE45" s="1">
        <v>0</v>
      </c>
      <c r="AF45" s="1">
        <v>0</v>
      </c>
      <c r="AG45" s="1">
        <v>1</v>
      </c>
      <c r="AH45" s="1">
        <v>0</v>
      </c>
      <c r="AI45">
        <v>129</v>
      </c>
      <c r="AJ45">
        <v>89</v>
      </c>
      <c r="AK45">
        <v>40</v>
      </c>
      <c r="AL45">
        <v>11</v>
      </c>
      <c r="AM45">
        <v>10</v>
      </c>
      <c r="AN45">
        <v>0</v>
      </c>
      <c r="AO45">
        <v>0</v>
      </c>
      <c r="AP45">
        <v>8</v>
      </c>
      <c r="AQ45" s="1"/>
      <c r="AR45" s="1"/>
      <c r="AS45" s="1"/>
      <c r="AT45" s="1"/>
      <c r="AU45" s="1"/>
      <c r="AV45" s="1"/>
    </row>
    <row r="46" spans="1:48" x14ac:dyDescent="0.2">
      <c r="A46" s="1" t="s">
        <v>3</v>
      </c>
      <c r="B46" s="1">
        <v>2002</v>
      </c>
      <c r="C46" s="1">
        <v>2</v>
      </c>
      <c r="D46">
        <v>129</v>
      </c>
      <c r="E46">
        <v>89</v>
      </c>
      <c r="F46">
        <v>40</v>
      </c>
      <c r="G46">
        <v>11</v>
      </c>
      <c r="H46">
        <v>10</v>
      </c>
      <c r="I46">
        <v>0</v>
      </c>
      <c r="J46">
        <v>0</v>
      </c>
      <c r="K46">
        <v>8</v>
      </c>
      <c r="L46" s="1"/>
      <c r="M46" s="1"/>
      <c r="N46" s="1"/>
      <c r="O46" s="1"/>
      <c r="P46" s="1"/>
      <c r="Q46" s="1"/>
      <c r="R46" s="1">
        <v>3</v>
      </c>
      <c r="S46" s="1"/>
      <c r="T46" s="1">
        <v>1</v>
      </c>
      <c r="U46" s="1" t="s">
        <v>71</v>
      </c>
      <c r="V46" s="1">
        <v>0</v>
      </c>
      <c r="W46" s="1">
        <f t="shared" si="4"/>
        <v>0</v>
      </c>
      <c r="X46" s="1">
        <f t="shared" si="5"/>
        <v>0</v>
      </c>
      <c r="Y46" s="1">
        <f t="shared" si="6"/>
        <v>0</v>
      </c>
      <c r="Z46" s="1">
        <f t="shared" si="7"/>
        <v>0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>
        <v>145</v>
      </c>
      <c r="AJ46">
        <v>138</v>
      </c>
      <c r="AK46">
        <v>7</v>
      </c>
      <c r="AL46">
        <v>16</v>
      </c>
      <c r="AM46">
        <v>15</v>
      </c>
      <c r="AN46">
        <v>0</v>
      </c>
      <c r="AO46">
        <v>0</v>
      </c>
      <c r="AP46">
        <v>6</v>
      </c>
      <c r="AQ46" s="1"/>
      <c r="AR46" s="1"/>
      <c r="AS46" s="1"/>
      <c r="AT46" s="1"/>
      <c r="AU46" s="1"/>
      <c r="AV46" s="1"/>
    </row>
    <row r="47" spans="1:48" x14ac:dyDescent="0.2">
      <c r="A47" s="1" t="s">
        <v>3</v>
      </c>
      <c r="B47" s="1">
        <v>2003</v>
      </c>
      <c r="C47" s="1">
        <v>3</v>
      </c>
      <c r="D47">
        <v>145</v>
      </c>
      <c r="E47">
        <v>138</v>
      </c>
      <c r="F47">
        <v>7</v>
      </c>
      <c r="G47">
        <v>16</v>
      </c>
      <c r="H47">
        <v>15</v>
      </c>
      <c r="I47">
        <v>0</v>
      </c>
      <c r="J47">
        <v>0</v>
      </c>
      <c r="K47">
        <v>6</v>
      </c>
      <c r="L47" s="1"/>
      <c r="M47" s="1"/>
      <c r="N47" s="1"/>
      <c r="O47" s="1"/>
      <c r="P47" s="1"/>
      <c r="Q47" s="1"/>
      <c r="R47" s="1">
        <v>2</v>
      </c>
      <c r="S47" s="1">
        <v>4</v>
      </c>
      <c r="T47" s="1">
        <v>2</v>
      </c>
      <c r="U47" s="1" t="s">
        <v>71</v>
      </c>
      <c r="V47" s="1">
        <v>0</v>
      </c>
      <c r="W47" s="1">
        <f t="shared" si="4"/>
        <v>0</v>
      </c>
      <c r="X47" s="1">
        <f t="shared" si="5"/>
        <v>1</v>
      </c>
      <c r="Y47" s="1">
        <f t="shared" si="6"/>
        <v>1</v>
      </c>
      <c r="Z47" s="1">
        <f t="shared" si="7"/>
        <v>1</v>
      </c>
      <c r="AC47" s="1">
        <v>1</v>
      </c>
      <c r="AD47" s="1">
        <v>0</v>
      </c>
      <c r="AE47" s="1">
        <v>1</v>
      </c>
      <c r="AF47" s="1">
        <v>0</v>
      </c>
      <c r="AG47" s="1">
        <v>1</v>
      </c>
      <c r="AH47" s="1">
        <v>0</v>
      </c>
      <c r="AI47">
        <v>119</v>
      </c>
      <c r="AJ47">
        <v>97</v>
      </c>
      <c r="AK47">
        <v>22</v>
      </c>
      <c r="AL47">
        <v>10</v>
      </c>
      <c r="AM47">
        <v>9</v>
      </c>
      <c r="AN47">
        <v>0</v>
      </c>
      <c r="AO47">
        <v>0</v>
      </c>
      <c r="AP47">
        <v>8</v>
      </c>
      <c r="AQ47" s="1"/>
      <c r="AR47" s="1"/>
      <c r="AS47" s="1"/>
      <c r="AT47" s="1"/>
      <c r="AU47" s="1"/>
      <c r="AV47" s="1"/>
    </row>
    <row r="48" spans="1:48" x14ac:dyDescent="0.2">
      <c r="A48" s="1" t="s">
        <v>3</v>
      </c>
      <c r="B48" s="1">
        <v>2004</v>
      </c>
      <c r="C48" s="1">
        <v>2</v>
      </c>
      <c r="D48">
        <v>119</v>
      </c>
      <c r="E48">
        <v>97</v>
      </c>
      <c r="F48">
        <v>22</v>
      </c>
      <c r="G48">
        <v>10</v>
      </c>
      <c r="H48">
        <v>9</v>
      </c>
      <c r="I48">
        <v>0</v>
      </c>
      <c r="J48">
        <v>0</v>
      </c>
      <c r="K48">
        <v>8</v>
      </c>
      <c r="L48" s="1"/>
      <c r="M48" s="1"/>
      <c r="N48" s="1"/>
      <c r="O48" s="1"/>
      <c r="P48" s="1"/>
      <c r="Q48" s="1"/>
      <c r="R48" s="1">
        <v>2</v>
      </c>
      <c r="S48" s="1">
        <v>6</v>
      </c>
      <c r="T48" s="1">
        <v>3</v>
      </c>
      <c r="U48" s="1" t="s">
        <v>71</v>
      </c>
      <c r="V48" s="1">
        <v>0</v>
      </c>
      <c r="W48" s="1">
        <f t="shared" si="4"/>
        <v>1</v>
      </c>
      <c r="X48" s="1">
        <f t="shared" si="5"/>
        <v>0</v>
      </c>
      <c r="Y48" s="1">
        <f t="shared" si="6"/>
        <v>0</v>
      </c>
      <c r="Z48" s="1">
        <f t="shared" si="7"/>
        <v>0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>
        <v>128</v>
      </c>
      <c r="AJ48">
        <v>82</v>
      </c>
      <c r="AK48">
        <v>46</v>
      </c>
      <c r="AL48">
        <v>17</v>
      </c>
      <c r="AM48">
        <v>8</v>
      </c>
      <c r="AN48">
        <v>0</v>
      </c>
      <c r="AO48">
        <v>0</v>
      </c>
      <c r="AP48">
        <v>8</v>
      </c>
      <c r="AQ48" s="1"/>
      <c r="AR48" s="1"/>
      <c r="AS48" s="1"/>
      <c r="AT48" s="1"/>
      <c r="AU48" s="1"/>
      <c r="AV48" s="1"/>
    </row>
    <row r="49" spans="1:48" x14ac:dyDescent="0.2">
      <c r="A49" s="1" t="s">
        <v>3</v>
      </c>
      <c r="B49" s="1">
        <v>2005</v>
      </c>
      <c r="C49" s="1">
        <v>2</v>
      </c>
      <c r="D49">
        <v>128</v>
      </c>
      <c r="E49">
        <v>82</v>
      </c>
      <c r="F49">
        <v>46</v>
      </c>
      <c r="G49">
        <v>17</v>
      </c>
      <c r="H49">
        <v>8</v>
      </c>
      <c r="I49">
        <v>0</v>
      </c>
      <c r="J49">
        <v>0</v>
      </c>
      <c r="K49">
        <v>8</v>
      </c>
      <c r="L49" s="1"/>
      <c r="M49" s="1"/>
      <c r="N49" s="1"/>
      <c r="O49" s="1"/>
      <c r="P49" s="1"/>
      <c r="Q49" s="1"/>
      <c r="R49" s="1">
        <v>3</v>
      </c>
      <c r="S49" s="1">
        <v>6</v>
      </c>
      <c r="T49" s="1">
        <v>4</v>
      </c>
      <c r="U49" s="1" t="s">
        <v>71</v>
      </c>
      <c r="V49" s="1">
        <v>0</v>
      </c>
      <c r="W49" s="1">
        <f t="shared" si="4"/>
        <v>1</v>
      </c>
      <c r="X49" s="1">
        <f t="shared" si="5"/>
        <v>1</v>
      </c>
      <c r="Y49" s="1">
        <f t="shared" si="6"/>
        <v>0</v>
      </c>
      <c r="Z49" s="1">
        <f t="shared" si="7"/>
        <v>1</v>
      </c>
      <c r="AC49" s="1">
        <v>1</v>
      </c>
      <c r="AD49" s="1">
        <v>0</v>
      </c>
      <c r="AE49" s="1">
        <v>1</v>
      </c>
      <c r="AF49" s="1">
        <v>0</v>
      </c>
      <c r="AG49" s="1">
        <v>0</v>
      </c>
      <c r="AH49" s="1">
        <v>0</v>
      </c>
      <c r="AI49">
        <v>126</v>
      </c>
      <c r="AJ49">
        <v>101</v>
      </c>
      <c r="AK49">
        <v>25</v>
      </c>
      <c r="AL49">
        <v>12</v>
      </c>
      <c r="AM49">
        <v>9</v>
      </c>
      <c r="AN49">
        <v>0</v>
      </c>
      <c r="AO49">
        <v>0</v>
      </c>
      <c r="AP49">
        <v>6</v>
      </c>
      <c r="AQ49" s="1"/>
      <c r="AR49" s="1"/>
      <c r="AS49" s="1"/>
      <c r="AT49" s="1"/>
      <c r="AU49" s="1"/>
      <c r="AV49" s="1"/>
    </row>
    <row r="50" spans="1:48" x14ac:dyDescent="0.2">
      <c r="A50" s="1" t="s">
        <v>3</v>
      </c>
      <c r="B50" s="1">
        <v>2006</v>
      </c>
      <c r="C50" s="1">
        <v>3</v>
      </c>
      <c r="D50">
        <v>126</v>
      </c>
      <c r="E50">
        <v>101</v>
      </c>
      <c r="F50">
        <v>25</v>
      </c>
      <c r="G50">
        <v>12</v>
      </c>
      <c r="H50">
        <v>9</v>
      </c>
      <c r="I50">
        <v>0</v>
      </c>
      <c r="J50">
        <v>0</v>
      </c>
      <c r="K50">
        <v>6</v>
      </c>
      <c r="L50" s="1"/>
      <c r="M50" s="1"/>
      <c r="N50" s="1"/>
      <c r="O50" s="1"/>
      <c r="P50" s="1"/>
      <c r="Q50" s="1"/>
      <c r="R50" s="1">
        <v>2</v>
      </c>
      <c r="S50" s="1">
        <v>7</v>
      </c>
      <c r="T50" s="1">
        <v>5</v>
      </c>
      <c r="U50" s="1" t="s">
        <v>71</v>
      </c>
      <c r="V50" s="1">
        <v>0</v>
      </c>
      <c r="W50" s="1">
        <f t="shared" si="4"/>
        <v>1</v>
      </c>
      <c r="X50" s="1">
        <f t="shared" si="5"/>
        <v>0</v>
      </c>
      <c r="Y50" s="1">
        <f t="shared" si="6"/>
        <v>0</v>
      </c>
      <c r="Z50" s="1">
        <f t="shared" si="7"/>
        <v>0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>
        <v>131</v>
      </c>
      <c r="AJ50">
        <v>97</v>
      </c>
      <c r="AK50">
        <v>34</v>
      </c>
      <c r="AL50">
        <v>12</v>
      </c>
      <c r="AM50">
        <v>10</v>
      </c>
      <c r="AN50">
        <v>0</v>
      </c>
      <c r="AO50">
        <v>0</v>
      </c>
      <c r="AP50">
        <v>8</v>
      </c>
      <c r="AQ50" s="1"/>
      <c r="AR50" s="1"/>
      <c r="AS50" s="1"/>
      <c r="AT50" s="1"/>
      <c r="AU50" s="1"/>
      <c r="AV50" s="1"/>
    </row>
    <row r="51" spans="1:48" x14ac:dyDescent="0.2">
      <c r="A51" s="1" t="s">
        <v>3</v>
      </c>
      <c r="B51" s="1">
        <v>2007</v>
      </c>
      <c r="C51" s="1">
        <v>2</v>
      </c>
      <c r="D51">
        <v>131</v>
      </c>
      <c r="E51">
        <v>97</v>
      </c>
      <c r="F51">
        <v>34</v>
      </c>
      <c r="G51">
        <v>12</v>
      </c>
      <c r="H51">
        <v>10</v>
      </c>
      <c r="I51">
        <v>0</v>
      </c>
      <c r="J51">
        <v>0</v>
      </c>
      <c r="K51">
        <v>8</v>
      </c>
      <c r="L51" s="1"/>
      <c r="M51" s="1"/>
      <c r="N51" s="1"/>
      <c r="O51" s="1"/>
      <c r="P51" s="1"/>
      <c r="Q51" s="1"/>
      <c r="R51" s="1">
        <v>2</v>
      </c>
      <c r="S51" s="1">
        <v>5</v>
      </c>
      <c r="T51" s="1">
        <v>6</v>
      </c>
      <c r="U51" s="1" t="s">
        <v>71</v>
      </c>
      <c r="V51" s="1">
        <v>1</v>
      </c>
      <c r="W51" s="1">
        <f t="shared" si="4"/>
        <v>1</v>
      </c>
      <c r="X51" s="1">
        <f t="shared" si="5"/>
        <v>1</v>
      </c>
      <c r="Y51" s="1">
        <f t="shared" si="6"/>
        <v>0</v>
      </c>
      <c r="Z51" s="1">
        <f t="shared" si="7"/>
        <v>1</v>
      </c>
      <c r="AC51" s="1">
        <v>1</v>
      </c>
      <c r="AD51" s="1">
        <v>0</v>
      </c>
      <c r="AE51" s="1">
        <v>1</v>
      </c>
      <c r="AF51" s="1">
        <v>0</v>
      </c>
      <c r="AG51" s="1">
        <v>1</v>
      </c>
      <c r="AH51" s="1">
        <v>0</v>
      </c>
      <c r="AI51">
        <v>149</v>
      </c>
      <c r="AJ51">
        <v>84</v>
      </c>
      <c r="AK51">
        <v>65</v>
      </c>
      <c r="AL51">
        <v>17</v>
      </c>
      <c r="AM51">
        <v>5</v>
      </c>
      <c r="AN51">
        <v>0</v>
      </c>
      <c r="AO51">
        <v>0</v>
      </c>
      <c r="AP51">
        <v>8</v>
      </c>
      <c r="AQ51" s="1"/>
      <c r="AR51" s="1"/>
      <c r="AS51" s="1"/>
      <c r="AT51" s="1"/>
      <c r="AU51" s="1"/>
      <c r="AV51" s="1"/>
    </row>
    <row r="52" spans="1:48" x14ac:dyDescent="0.2">
      <c r="A52" s="1" t="s">
        <v>3</v>
      </c>
      <c r="B52" s="1">
        <v>2008</v>
      </c>
      <c r="C52" s="1">
        <v>2</v>
      </c>
      <c r="D52">
        <v>149</v>
      </c>
      <c r="E52">
        <v>84</v>
      </c>
      <c r="F52">
        <v>65</v>
      </c>
      <c r="G52">
        <v>17</v>
      </c>
      <c r="H52">
        <v>5</v>
      </c>
      <c r="I52">
        <v>0</v>
      </c>
      <c r="J52">
        <v>0</v>
      </c>
      <c r="K52">
        <v>8</v>
      </c>
      <c r="L52" s="1"/>
      <c r="M52" s="1"/>
      <c r="N52" s="1"/>
      <c r="O52" s="1"/>
      <c r="P52" s="1"/>
      <c r="Q52" s="1"/>
      <c r="R52" s="1">
        <v>4</v>
      </c>
      <c r="S52" s="1">
        <v>7</v>
      </c>
      <c r="T52" s="1">
        <v>7</v>
      </c>
      <c r="U52" s="1" t="s">
        <v>71</v>
      </c>
      <c r="V52" s="1">
        <v>0</v>
      </c>
      <c r="W52" s="1">
        <f t="shared" si="4"/>
        <v>0</v>
      </c>
      <c r="X52" s="1">
        <f t="shared" si="5"/>
        <v>0</v>
      </c>
      <c r="Y52" s="1">
        <f t="shared" si="6"/>
        <v>0</v>
      </c>
      <c r="Z52" s="1">
        <f t="shared" si="7"/>
        <v>0</v>
      </c>
      <c r="AC52" s="1">
        <v>1</v>
      </c>
      <c r="AD52" s="1">
        <v>1</v>
      </c>
      <c r="AE52" s="1">
        <v>1</v>
      </c>
      <c r="AF52" s="1">
        <v>1</v>
      </c>
      <c r="AG52" s="1">
        <v>0</v>
      </c>
      <c r="AH52" s="1">
        <v>1</v>
      </c>
      <c r="AI52">
        <v>93</v>
      </c>
      <c r="AJ52">
        <v>99</v>
      </c>
      <c r="AK52">
        <v>-6</v>
      </c>
      <c r="AL52">
        <v>9</v>
      </c>
      <c r="AM52">
        <v>10</v>
      </c>
      <c r="AN52">
        <v>0</v>
      </c>
      <c r="AO52">
        <v>0</v>
      </c>
      <c r="AP52">
        <v>4</v>
      </c>
      <c r="AQ52" s="1"/>
      <c r="AR52" s="1"/>
      <c r="AS52" s="1"/>
      <c r="AT52" s="1"/>
      <c r="AU52" s="1"/>
      <c r="AV52" s="1"/>
    </row>
    <row r="53" spans="1:48" x14ac:dyDescent="0.2">
      <c r="A53" s="1" t="s">
        <v>3</v>
      </c>
      <c r="B53" s="1">
        <v>2009</v>
      </c>
      <c r="C53" s="1">
        <v>4</v>
      </c>
      <c r="D53">
        <v>93</v>
      </c>
      <c r="E53">
        <v>99</v>
      </c>
      <c r="F53">
        <v>-6</v>
      </c>
      <c r="G53">
        <v>9</v>
      </c>
      <c r="H53">
        <v>10</v>
      </c>
      <c r="I53">
        <v>0</v>
      </c>
      <c r="J53">
        <v>0</v>
      </c>
      <c r="K53">
        <v>4</v>
      </c>
      <c r="L53" s="1"/>
      <c r="M53" s="1"/>
      <c r="N53" s="1"/>
      <c r="O53" s="1"/>
      <c r="P53" s="1"/>
      <c r="Q53" s="1"/>
      <c r="R53" s="1">
        <v>1</v>
      </c>
      <c r="S53" s="1">
        <v>8</v>
      </c>
      <c r="T53" s="1">
        <v>1</v>
      </c>
      <c r="U53" s="1" t="s">
        <v>72</v>
      </c>
      <c r="V53" s="1">
        <v>1</v>
      </c>
      <c r="W53" s="1">
        <f t="shared" si="4"/>
        <v>1</v>
      </c>
      <c r="X53" s="1">
        <f t="shared" si="5"/>
        <v>1</v>
      </c>
      <c r="Y53" s="1">
        <f t="shared" si="6"/>
        <v>1</v>
      </c>
      <c r="Z53" s="1">
        <f t="shared" si="7"/>
        <v>1</v>
      </c>
      <c r="AC53" s="1">
        <v>1</v>
      </c>
      <c r="AD53" s="1">
        <v>0</v>
      </c>
      <c r="AE53" s="1">
        <v>1</v>
      </c>
      <c r="AF53" s="1">
        <v>0</v>
      </c>
      <c r="AG53" s="1">
        <v>1</v>
      </c>
      <c r="AH53" s="1">
        <v>0</v>
      </c>
      <c r="AI53">
        <v>121</v>
      </c>
      <c r="AJ53">
        <v>73</v>
      </c>
      <c r="AK53">
        <v>48</v>
      </c>
      <c r="AL53">
        <v>12</v>
      </c>
      <c r="AM53">
        <v>3</v>
      </c>
      <c r="AN53">
        <v>0</v>
      </c>
      <c r="AO53">
        <v>0</v>
      </c>
      <c r="AP53">
        <v>10</v>
      </c>
      <c r="AQ53" s="1">
        <f t="shared" ref="AQ53:AQ63" si="8">1-AS11</f>
        <v>0.64664310954063597</v>
      </c>
      <c r="AR53" s="1">
        <f t="shared" ref="AR53:AR63" si="9">1-AS32</f>
        <v>0.58823529411764708</v>
      </c>
      <c r="AS53" s="1"/>
      <c r="AT53" s="1">
        <f>38/47</f>
        <v>0.80851063829787229</v>
      </c>
      <c r="AU53" s="1">
        <f>22/37</f>
        <v>0.59459459459459463</v>
      </c>
      <c r="AV53" s="1">
        <f>17/32</f>
        <v>0.53125</v>
      </c>
    </row>
    <row r="54" spans="1:48" x14ac:dyDescent="0.2">
      <c r="A54" s="1" t="s">
        <v>3</v>
      </c>
      <c r="B54" s="1">
        <v>2010</v>
      </c>
      <c r="C54" s="1">
        <v>1</v>
      </c>
      <c r="D54">
        <v>121</v>
      </c>
      <c r="E54">
        <v>73</v>
      </c>
      <c r="F54">
        <v>48</v>
      </c>
      <c r="G54">
        <v>12</v>
      </c>
      <c r="H54">
        <v>3</v>
      </c>
      <c r="I54">
        <v>0</v>
      </c>
      <c r="J54">
        <v>0</v>
      </c>
      <c r="K54">
        <v>10</v>
      </c>
      <c r="L54" s="1">
        <f t="shared" ref="L54:L64" si="10">1-N12</f>
        <v>0.64664310954063597</v>
      </c>
      <c r="M54" s="1">
        <f t="shared" ref="M54:M64" si="11">1-N33</f>
        <v>0.58823529411764708</v>
      </c>
      <c r="N54" s="1"/>
      <c r="O54" s="1">
        <f>38/47</f>
        <v>0.80851063829787229</v>
      </c>
      <c r="P54" s="1">
        <f>22/37</f>
        <v>0.59459459459459463</v>
      </c>
      <c r="Q54" s="1">
        <f>17/32</f>
        <v>0.53125</v>
      </c>
      <c r="R54" s="1">
        <v>2</v>
      </c>
      <c r="S54" s="1">
        <v>4</v>
      </c>
      <c r="T54" s="1">
        <v>2</v>
      </c>
      <c r="U54" s="1" t="s">
        <v>72</v>
      </c>
      <c r="V54" s="1">
        <v>1</v>
      </c>
      <c r="W54" s="1">
        <f t="shared" si="4"/>
        <v>1</v>
      </c>
      <c r="X54" s="1">
        <f t="shared" si="5"/>
        <v>0</v>
      </c>
      <c r="Y54" s="1">
        <f t="shared" si="6"/>
        <v>0</v>
      </c>
      <c r="Z54" s="1">
        <f t="shared" si="7"/>
        <v>0</v>
      </c>
      <c r="AC54" s="1">
        <v>1</v>
      </c>
      <c r="AD54" s="1">
        <v>1</v>
      </c>
      <c r="AE54" s="1">
        <v>0</v>
      </c>
      <c r="AF54" s="1">
        <v>1</v>
      </c>
      <c r="AG54" s="1">
        <v>1</v>
      </c>
      <c r="AH54" s="1">
        <v>1</v>
      </c>
      <c r="AI54">
        <v>106</v>
      </c>
      <c r="AJ54">
        <v>95</v>
      </c>
      <c r="AK54">
        <v>11</v>
      </c>
      <c r="AL54">
        <v>11</v>
      </c>
      <c r="AM54">
        <v>6</v>
      </c>
      <c r="AN54">
        <v>0</v>
      </c>
      <c r="AO54">
        <v>0</v>
      </c>
      <c r="AP54">
        <v>6</v>
      </c>
      <c r="AQ54" s="1">
        <f t="shared" si="8"/>
        <v>0.49751243781094523</v>
      </c>
      <c r="AR54" s="1">
        <f t="shared" si="9"/>
        <v>0.352112676056338</v>
      </c>
      <c r="AS54" s="1"/>
      <c r="AT54" s="1">
        <f>1467/1567</f>
        <v>0.93618379068283342</v>
      </c>
      <c r="AU54" s="1">
        <f>617/717</f>
        <v>0.86052998605299857</v>
      </c>
      <c r="AV54" s="1">
        <f>151/201</f>
        <v>0.75124378109452739</v>
      </c>
    </row>
    <row r="55" spans="1:48" x14ac:dyDescent="0.2">
      <c r="A55" s="1" t="s">
        <v>3</v>
      </c>
      <c r="B55" s="1">
        <v>2011</v>
      </c>
      <c r="C55" s="1">
        <v>2</v>
      </c>
      <c r="D55">
        <v>106</v>
      </c>
      <c r="E55">
        <v>95</v>
      </c>
      <c r="F55">
        <v>11</v>
      </c>
      <c r="G55">
        <v>11</v>
      </c>
      <c r="H55">
        <v>6</v>
      </c>
      <c r="I55">
        <v>0</v>
      </c>
      <c r="J55">
        <v>0</v>
      </c>
      <c r="K55">
        <v>6</v>
      </c>
      <c r="L55" s="1">
        <f t="shared" si="10"/>
        <v>0.49751243781094523</v>
      </c>
      <c r="M55" s="1">
        <f t="shared" si="11"/>
        <v>0.352112676056338</v>
      </c>
      <c r="N55" s="1"/>
      <c r="O55" s="1">
        <f>1467/1567</f>
        <v>0.93618379068283342</v>
      </c>
      <c r="P55" s="1">
        <f>617/717</f>
        <v>0.86052998605299857</v>
      </c>
      <c r="Q55" s="1">
        <f>151/201</f>
        <v>0.75124378109452739</v>
      </c>
      <c r="R55" s="1">
        <v>3</v>
      </c>
      <c r="S55" s="1">
        <v>5</v>
      </c>
      <c r="T55" s="1">
        <v>3</v>
      </c>
      <c r="U55" s="1" t="s">
        <v>72</v>
      </c>
      <c r="V55" s="1">
        <v>0</v>
      </c>
      <c r="W55" s="1">
        <f t="shared" si="4"/>
        <v>1</v>
      </c>
      <c r="X55" s="1">
        <f t="shared" si="5"/>
        <v>1</v>
      </c>
      <c r="Y55" s="1">
        <f t="shared" si="6"/>
        <v>0</v>
      </c>
      <c r="Z55" s="1">
        <f t="shared" si="7"/>
        <v>1</v>
      </c>
      <c r="AC55" s="1">
        <v>1</v>
      </c>
      <c r="AD55" s="1">
        <v>0</v>
      </c>
      <c r="AE55" s="1">
        <v>1</v>
      </c>
      <c r="AF55" s="1">
        <v>0</v>
      </c>
      <c r="AG55" s="1">
        <v>0</v>
      </c>
      <c r="AH55" s="1">
        <v>0</v>
      </c>
      <c r="AI55">
        <v>93</v>
      </c>
      <c r="AJ55">
        <v>81</v>
      </c>
      <c r="AK55">
        <v>12</v>
      </c>
      <c r="AL55">
        <v>10</v>
      </c>
      <c r="AM55">
        <v>4</v>
      </c>
      <c r="AN55">
        <v>0</v>
      </c>
      <c r="AO55">
        <v>0</v>
      </c>
      <c r="AP55">
        <v>6</v>
      </c>
      <c r="AQ55" s="1">
        <f t="shared" si="8"/>
        <v>0.35483870967741937</v>
      </c>
      <c r="AR55" s="1">
        <f t="shared" si="9"/>
        <v>0.34640522875816993</v>
      </c>
      <c r="AS55" s="1"/>
      <c r="AT55" s="1">
        <f>50/57</f>
        <v>0.8771929824561403</v>
      </c>
      <c r="AU55" s="1">
        <f>50/71</f>
        <v>0.70422535211267601</v>
      </c>
      <c r="AV55" s="1">
        <f>100/209</f>
        <v>0.4784688995215311</v>
      </c>
    </row>
    <row r="56" spans="1:48" x14ac:dyDescent="0.2">
      <c r="A56" s="1" t="s">
        <v>3</v>
      </c>
      <c r="B56" s="1">
        <v>2012</v>
      </c>
      <c r="C56" s="1">
        <v>3</v>
      </c>
      <c r="D56">
        <v>93</v>
      </c>
      <c r="E56">
        <v>81</v>
      </c>
      <c r="F56">
        <v>12</v>
      </c>
      <c r="G56">
        <v>10</v>
      </c>
      <c r="H56">
        <v>4</v>
      </c>
      <c r="I56">
        <v>0</v>
      </c>
      <c r="J56">
        <v>0</v>
      </c>
      <c r="K56">
        <v>6</v>
      </c>
      <c r="L56" s="1">
        <f t="shared" si="10"/>
        <v>0.35483870967741937</v>
      </c>
      <c r="M56" s="1">
        <f t="shared" si="11"/>
        <v>0.34640522875816993</v>
      </c>
      <c r="N56" s="1"/>
      <c r="O56" s="1">
        <f>50/57</f>
        <v>0.8771929824561403</v>
      </c>
      <c r="P56" s="1">
        <f>50/71</f>
        <v>0.70422535211267601</v>
      </c>
      <c r="Q56" s="1">
        <f>100/209</f>
        <v>0.4784688995215311</v>
      </c>
      <c r="R56" s="1">
        <v>3</v>
      </c>
      <c r="S56" s="1">
        <v>6</v>
      </c>
      <c r="T56" s="1">
        <v>4</v>
      </c>
      <c r="U56" s="1" t="s">
        <v>72</v>
      </c>
      <c r="V56" s="1">
        <v>1</v>
      </c>
      <c r="W56" s="1">
        <f t="shared" si="4"/>
        <v>0</v>
      </c>
      <c r="X56" s="1">
        <f t="shared" si="5"/>
        <v>0</v>
      </c>
      <c r="Y56" s="1">
        <f t="shared" si="6"/>
        <v>0.5</v>
      </c>
      <c r="Z56" s="1">
        <f t="shared" si="7"/>
        <v>0</v>
      </c>
      <c r="AC56" s="1">
        <v>1</v>
      </c>
      <c r="AD56" s="1">
        <v>1</v>
      </c>
      <c r="AE56" s="1">
        <v>1</v>
      </c>
      <c r="AF56" s="1">
        <v>1</v>
      </c>
      <c r="AG56" s="1">
        <v>0</v>
      </c>
      <c r="AH56" s="1">
        <v>1</v>
      </c>
      <c r="AI56">
        <v>121</v>
      </c>
      <c r="AJ56">
        <v>94</v>
      </c>
      <c r="AK56">
        <v>27</v>
      </c>
      <c r="AL56">
        <v>13</v>
      </c>
      <c r="AM56">
        <v>8</v>
      </c>
      <c r="AN56">
        <v>0</v>
      </c>
      <c r="AO56">
        <v>0</v>
      </c>
      <c r="AP56">
        <v>5</v>
      </c>
      <c r="AQ56" s="1">
        <f t="shared" si="8"/>
        <v>0.44444444444444442</v>
      </c>
      <c r="AR56" s="1">
        <f t="shared" si="9"/>
        <v>0.28490028490028485</v>
      </c>
      <c r="AS56" s="1"/>
      <c r="AT56" s="1">
        <f>817/917</f>
        <v>0.89094874591057793</v>
      </c>
      <c r="AU56" s="1">
        <f>29/39</f>
        <v>0.74358974358974361</v>
      </c>
      <c r="AV56" s="1">
        <f>173/273</f>
        <v>0.63369963369963367</v>
      </c>
    </row>
    <row r="57" spans="1:48" x14ac:dyDescent="0.2">
      <c r="A57" s="1" t="s">
        <v>3</v>
      </c>
      <c r="B57" s="1">
        <v>2013</v>
      </c>
      <c r="C57" s="1">
        <v>3</v>
      </c>
      <c r="D57">
        <v>121</v>
      </c>
      <c r="E57">
        <v>94</v>
      </c>
      <c r="F57">
        <v>27</v>
      </c>
      <c r="G57">
        <v>13</v>
      </c>
      <c r="H57">
        <v>8</v>
      </c>
      <c r="I57">
        <v>0</v>
      </c>
      <c r="J57">
        <v>0</v>
      </c>
      <c r="K57">
        <v>5</v>
      </c>
      <c r="L57" s="1">
        <f t="shared" si="10"/>
        <v>0.44444444444444442</v>
      </c>
      <c r="M57" s="1">
        <f t="shared" si="11"/>
        <v>0.28490028490028485</v>
      </c>
      <c r="N57" s="1"/>
      <c r="O57" s="1">
        <f>817/917</f>
        <v>0.89094874591057793</v>
      </c>
      <c r="P57" s="1">
        <f>29/39</f>
        <v>0.74358974358974361</v>
      </c>
      <c r="Q57" s="1">
        <f>173/273</f>
        <v>0.63369963369963367</v>
      </c>
      <c r="R57" s="1">
        <v>5</v>
      </c>
      <c r="S57" s="1">
        <v>6</v>
      </c>
      <c r="T57" s="1">
        <v>5</v>
      </c>
      <c r="U57" s="1" t="s">
        <v>72</v>
      </c>
      <c r="V57" s="1">
        <v>1</v>
      </c>
      <c r="W57" s="1">
        <f t="shared" si="4"/>
        <v>0</v>
      </c>
      <c r="X57" s="1">
        <f t="shared" si="5"/>
        <v>1</v>
      </c>
      <c r="Y57" s="1">
        <f t="shared" si="6"/>
        <v>0.5</v>
      </c>
      <c r="Z57" s="1">
        <f t="shared" si="7"/>
        <v>1</v>
      </c>
      <c r="AC57" s="1">
        <v>0</v>
      </c>
      <c r="AD57" s="1">
        <v>0</v>
      </c>
      <c r="AE57" s="1">
        <v>0</v>
      </c>
      <c r="AF57" s="1">
        <v>0</v>
      </c>
      <c r="AG57" s="1">
        <v>1</v>
      </c>
      <c r="AH57" s="1">
        <v>0</v>
      </c>
      <c r="AI57">
        <v>72</v>
      </c>
      <c r="AJ57">
        <v>81</v>
      </c>
      <c r="AK57">
        <v>-9</v>
      </c>
      <c r="AL57">
        <v>5</v>
      </c>
      <c r="AM57">
        <v>5</v>
      </c>
      <c r="AN57">
        <v>0</v>
      </c>
      <c r="AO57">
        <v>0</v>
      </c>
      <c r="AP57">
        <v>3</v>
      </c>
      <c r="AQ57" s="1">
        <f t="shared" si="8"/>
        <v>0.46808510638297873</v>
      </c>
      <c r="AR57" s="1">
        <f t="shared" si="9"/>
        <v>0.44134078212290506</v>
      </c>
      <c r="AS57" s="1"/>
      <c r="AT57" s="1">
        <f>100/139</f>
        <v>0.71942446043165464</v>
      </c>
      <c r="AU57" s="1">
        <f>100/163</f>
        <v>0.61349693251533743</v>
      </c>
      <c r="AV57" s="1">
        <f>100/211</f>
        <v>0.47393364928909953</v>
      </c>
    </row>
    <row r="58" spans="1:48" x14ac:dyDescent="0.2">
      <c r="A58" s="1" t="s">
        <v>3</v>
      </c>
      <c r="B58" s="1">
        <v>2014</v>
      </c>
      <c r="C58" s="1">
        <v>5</v>
      </c>
      <c r="D58">
        <v>72</v>
      </c>
      <c r="E58">
        <v>81</v>
      </c>
      <c r="F58">
        <v>-9</v>
      </c>
      <c r="G58">
        <v>5</v>
      </c>
      <c r="H58">
        <v>5</v>
      </c>
      <c r="I58">
        <v>0</v>
      </c>
      <c r="J58">
        <v>0</v>
      </c>
      <c r="K58">
        <v>3</v>
      </c>
      <c r="L58" s="1">
        <f t="shared" si="10"/>
        <v>0.46808510638297873</v>
      </c>
      <c r="M58" s="1">
        <f t="shared" si="11"/>
        <v>0.44134078212290506</v>
      </c>
      <c r="N58" s="1"/>
      <c r="O58" s="1">
        <f>100/139</f>
        <v>0.71942446043165464</v>
      </c>
      <c r="P58" s="1">
        <f>100/163</f>
        <v>0.61349693251533743</v>
      </c>
      <c r="Q58" s="1">
        <f>100/211</f>
        <v>0.47393364928909953</v>
      </c>
      <c r="R58" s="1">
        <v>1</v>
      </c>
      <c r="S58" s="1">
        <v>7</v>
      </c>
      <c r="T58" s="1">
        <v>1</v>
      </c>
      <c r="U58" s="1" t="s">
        <v>73</v>
      </c>
      <c r="V58" s="1">
        <v>0</v>
      </c>
      <c r="W58" s="1">
        <f t="shared" si="4"/>
        <v>0</v>
      </c>
      <c r="X58" s="1">
        <f t="shared" si="5"/>
        <v>0</v>
      </c>
      <c r="Y58" s="1">
        <f t="shared" si="6"/>
        <v>1</v>
      </c>
      <c r="Z58" s="1">
        <f t="shared" si="7"/>
        <v>0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>
        <v>132</v>
      </c>
      <c r="AJ58">
        <v>49</v>
      </c>
      <c r="AK58">
        <v>83</v>
      </c>
      <c r="AL58">
        <v>16</v>
      </c>
      <c r="AM58">
        <v>4</v>
      </c>
      <c r="AN58">
        <v>0</v>
      </c>
      <c r="AO58">
        <v>0</v>
      </c>
      <c r="AP58">
        <v>8</v>
      </c>
      <c r="AQ58" s="1">
        <f t="shared" si="8"/>
        <v>0.3571428571428571</v>
      </c>
      <c r="AR58" s="1">
        <f t="shared" si="9"/>
        <v>0.59171597633136097</v>
      </c>
      <c r="AS58" s="1"/>
      <c r="AT58" s="1">
        <f>72/77</f>
        <v>0.93506493506493504</v>
      </c>
      <c r="AU58" s="1">
        <f>101/121</f>
        <v>0.83471074380165289</v>
      </c>
      <c r="AV58" s="1">
        <f>31/56</f>
        <v>0.5535714285714286</v>
      </c>
    </row>
    <row r="59" spans="1:48" x14ac:dyDescent="0.2">
      <c r="A59" s="1" t="s">
        <v>3</v>
      </c>
      <c r="B59" s="1">
        <v>2015</v>
      </c>
      <c r="C59" s="1">
        <v>1</v>
      </c>
      <c r="D59">
        <v>132</v>
      </c>
      <c r="E59">
        <v>49</v>
      </c>
      <c r="F59">
        <v>83</v>
      </c>
      <c r="G59">
        <v>16</v>
      </c>
      <c r="H59">
        <v>4</v>
      </c>
      <c r="I59">
        <v>0</v>
      </c>
      <c r="J59">
        <v>0</v>
      </c>
      <c r="K59">
        <v>8</v>
      </c>
      <c r="L59" s="1">
        <f t="shared" si="10"/>
        <v>0.3571428571428571</v>
      </c>
      <c r="M59" s="1">
        <f t="shared" si="11"/>
        <v>0.59171597633136097</v>
      </c>
      <c r="N59" s="1"/>
      <c r="O59" s="1">
        <f>72/77</f>
        <v>0.93506493506493504</v>
      </c>
      <c r="P59" s="1">
        <f>101/121</f>
        <v>0.83471074380165289</v>
      </c>
      <c r="Q59" s="1">
        <f>31/56</f>
        <v>0.5535714285714286</v>
      </c>
      <c r="R59" s="1">
        <v>1</v>
      </c>
      <c r="S59" s="1">
        <v>3</v>
      </c>
      <c r="T59" s="1">
        <v>2</v>
      </c>
      <c r="U59" s="1" t="s">
        <v>73</v>
      </c>
      <c r="V59" s="1">
        <v>0</v>
      </c>
      <c r="W59" s="1">
        <f t="shared" si="4"/>
        <v>1</v>
      </c>
      <c r="X59" s="1">
        <f t="shared" si="5"/>
        <v>1</v>
      </c>
      <c r="Y59" s="1">
        <f t="shared" si="6"/>
        <v>1</v>
      </c>
      <c r="Z59" s="1">
        <f t="shared" si="7"/>
        <v>1</v>
      </c>
      <c r="AC59" s="1">
        <v>1</v>
      </c>
      <c r="AD59" s="1">
        <v>0</v>
      </c>
      <c r="AE59" s="1">
        <v>1</v>
      </c>
      <c r="AF59" s="1">
        <v>0</v>
      </c>
      <c r="AG59" s="1">
        <v>0</v>
      </c>
      <c r="AH59" s="1">
        <v>0</v>
      </c>
      <c r="AI59">
        <v>126</v>
      </c>
      <c r="AJ59">
        <v>77</v>
      </c>
      <c r="AK59">
        <v>49</v>
      </c>
      <c r="AL59">
        <v>14</v>
      </c>
      <c r="AM59">
        <v>7</v>
      </c>
      <c r="AN59">
        <v>1</v>
      </c>
      <c r="AO59">
        <v>1</v>
      </c>
      <c r="AP59">
        <v>14</v>
      </c>
      <c r="AQ59" s="1">
        <f t="shared" si="8"/>
        <v>0.52606635071090047</v>
      </c>
      <c r="AR59" s="1">
        <f t="shared" si="9"/>
        <v>0.71014492753623193</v>
      </c>
      <c r="AS59" s="1"/>
      <c r="AT59" s="1">
        <f>20/23</f>
        <v>0.86956521739130432</v>
      </c>
      <c r="AU59" s="1">
        <f>100/121</f>
        <v>0.82644628099173556</v>
      </c>
      <c r="AV59" s="1">
        <f>100/179</f>
        <v>0.55865921787709494</v>
      </c>
    </row>
    <row r="60" spans="1:48" x14ac:dyDescent="0.2">
      <c r="A60" s="1" t="s">
        <v>3</v>
      </c>
      <c r="B60" s="1">
        <v>2016</v>
      </c>
      <c r="C60" s="1">
        <v>2</v>
      </c>
      <c r="D60">
        <v>126</v>
      </c>
      <c r="E60">
        <v>77</v>
      </c>
      <c r="F60">
        <v>49</v>
      </c>
      <c r="G60">
        <v>14</v>
      </c>
      <c r="H60">
        <v>7</v>
      </c>
      <c r="I60">
        <v>1</v>
      </c>
      <c r="J60">
        <v>1</v>
      </c>
      <c r="K60">
        <v>14</v>
      </c>
      <c r="L60" s="1">
        <f t="shared" si="10"/>
        <v>0.52606635071090047</v>
      </c>
      <c r="M60" s="1">
        <f t="shared" si="11"/>
        <v>0.71014492753623193</v>
      </c>
      <c r="N60" s="1"/>
      <c r="O60" s="1">
        <f>20/23</f>
        <v>0.86956521739130432</v>
      </c>
      <c r="P60" s="1">
        <f>100/121</f>
        <v>0.82644628099173556</v>
      </c>
      <c r="Q60" s="1">
        <f>100/179</f>
        <v>0.55865921787709494</v>
      </c>
      <c r="R60" s="1">
        <v>3</v>
      </c>
      <c r="S60" s="1">
        <v>6</v>
      </c>
      <c r="T60" s="1">
        <v>3</v>
      </c>
      <c r="U60" s="1" t="s">
        <v>73</v>
      </c>
      <c r="V60" s="1">
        <v>0</v>
      </c>
      <c r="W60" s="1">
        <f t="shared" si="4"/>
        <v>0</v>
      </c>
      <c r="X60" s="1">
        <f t="shared" si="5"/>
        <v>0</v>
      </c>
      <c r="Y60" s="1">
        <f t="shared" si="6"/>
        <v>0</v>
      </c>
      <c r="Z60" s="1">
        <f t="shared" si="7"/>
        <v>0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>
        <v>160</v>
      </c>
      <c r="AJ60">
        <v>82</v>
      </c>
      <c r="AK60">
        <v>78</v>
      </c>
      <c r="AL60">
        <v>20</v>
      </c>
      <c r="AM60">
        <v>11</v>
      </c>
      <c r="AN60">
        <v>3</v>
      </c>
      <c r="AO60">
        <v>0</v>
      </c>
      <c r="AP60">
        <v>26</v>
      </c>
      <c r="AQ60" s="1">
        <f t="shared" si="8"/>
        <v>0.23529411764705888</v>
      </c>
      <c r="AR60" s="1">
        <f t="shared" si="9"/>
        <v>0.50761421319796951</v>
      </c>
      <c r="AS60" s="1"/>
      <c r="AT60" s="1">
        <f>1293/1393</f>
        <v>0.92821249102656134</v>
      </c>
      <c r="AU60" s="1">
        <f>53/73</f>
        <v>0.72602739726027399</v>
      </c>
      <c r="AV60" s="1">
        <f>22/47</f>
        <v>0.46808510638297873</v>
      </c>
    </row>
    <row r="61" spans="1:48" x14ac:dyDescent="0.2">
      <c r="A61" s="1" t="s">
        <v>3</v>
      </c>
      <c r="B61" s="1">
        <v>2017</v>
      </c>
      <c r="C61" s="1">
        <v>1</v>
      </c>
      <c r="D61">
        <v>160</v>
      </c>
      <c r="E61">
        <v>82</v>
      </c>
      <c r="F61">
        <v>78</v>
      </c>
      <c r="G61">
        <v>20</v>
      </c>
      <c r="H61">
        <v>11</v>
      </c>
      <c r="I61">
        <v>3</v>
      </c>
      <c r="J61">
        <v>0</v>
      </c>
      <c r="K61">
        <v>26</v>
      </c>
      <c r="L61" s="1">
        <f t="shared" si="10"/>
        <v>0.23529411764705888</v>
      </c>
      <c r="M61" s="1">
        <f t="shared" si="11"/>
        <v>0.50761421319796951</v>
      </c>
      <c r="N61" s="1"/>
      <c r="O61" s="1">
        <f>1293/1393</f>
        <v>0.92821249102656134</v>
      </c>
      <c r="P61" s="1">
        <f>53/73</f>
        <v>0.72602739726027399</v>
      </c>
      <c r="Q61" s="1">
        <f>22/47</f>
        <v>0.46808510638297873</v>
      </c>
      <c r="R61" s="1">
        <v>2</v>
      </c>
      <c r="S61" s="1">
        <v>4</v>
      </c>
      <c r="T61" s="1">
        <v>4</v>
      </c>
      <c r="U61" s="1" t="s">
        <v>73</v>
      </c>
      <c r="V61" s="1">
        <v>0</v>
      </c>
      <c r="W61" s="1">
        <f t="shared" si="4"/>
        <v>1</v>
      </c>
      <c r="X61" s="1">
        <f t="shared" si="5"/>
        <v>1</v>
      </c>
      <c r="Y61" s="1">
        <f t="shared" si="6"/>
        <v>1</v>
      </c>
      <c r="Z61" s="1">
        <f t="shared" si="7"/>
        <v>1</v>
      </c>
      <c r="AC61" s="1">
        <v>1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>
        <v>101</v>
      </c>
      <c r="AJ61">
        <v>100</v>
      </c>
      <c r="AK61">
        <v>1</v>
      </c>
      <c r="AL61">
        <v>14</v>
      </c>
      <c r="AM61">
        <v>10</v>
      </c>
      <c r="AN61">
        <v>2</v>
      </c>
      <c r="AO61">
        <v>0</v>
      </c>
      <c r="AP61">
        <v>14</v>
      </c>
      <c r="AQ61" s="1">
        <f t="shared" si="8"/>
        <v>0.34210526315789469</v>
      </c>
      <c r="AR61" s="1">
        <f t="shared" si="9"/>
        <v>0.74358974358974361</v>
      </c>
      <c r="AS61" s="1"/>
      <c r="AT61" s="1">
        <f>25/26</f>
        <v>0.96153846153846156</v>
      </c>
      <c r="AU61" s="1">
        <f>50/73</f>
        <v>0.68493150684931503</v>
      </c>
      <c r="AV61" s="1">
        <f>5/8</f>
        <v>0.625</v>
      </c>
    </row>
    <row r="62" spans="1:48" x14ac:dyDescent="0.2">
      <c r="A62" s="1" t="s">
        <v>3</v>
      </c>
      <c r="B62" s="1">
        <v>2018</v>
      </c>
      <c r="C62" s="1">
        <v>3</v>
      </c>
      <c r="D62">
        <v>101</v>
      </c>
      <c r="E62">
        <v>100</v>
      </c>
      <c r="F62">
        <v>1</v>
      </c>
      <c r="G62">
        <v>14</v>
      </c>
      <c r="H62">
        <v>10</v>
      </c>
      <c r="I62">
        <v>2</v>
      </c>
      <c r="J62">
        <v>0</v>
      </c>
      <c r="K62">
        <v>14</v>
      </c>
      <c r="L62" s="1">
        <f t="shared" si="10"/>
        <v>0.34210526315789469</v>
      </c>
      <c r="M62" s="1">
        <f t="shared" si="11"/>
        <v>0.74358974358974361</v>
      </c>
      <c r="N62" s="1"/>
      <c r="O62" s="1">
        <f>25/26</f>
        <v>0.96153846153846156</v>
      </c>
      <c r="P62" s="1">
        <f>50/73</f>
        <v>0.68493150684931503</v>
      </c>
      <c r="Q62" s="1">
        <f>5/8</f>
        <v>0.625</v>
      </c>
      <c r="R62" s="1">
        <v>1</v>
      </c>
      <c r="S62" s="1">
        <v>3</v>
      </c>
      <c r="T62" s="1">
        <v>5</v>
      </c>
      <c r="U62" s="1" t="s">
        <v>73</v>
      </c>
      <c r="V62" s="1">
        <v>0</v>
      </c>
      <c r="W62" s="1">
        <f t="shared" si="4"/>
        <v>1</v>
      </c>
      <c r="X62" s="1">
        <f t="shared" si="5"/>
        <v>0</v>
      </c>
      <c r="Y62" s="1">
        <f t="shared" si="6"/>
        <v>1</v>
      </c>
      <c r="Z62" s="1">
        <f t="shared" si="7"/>
        <v>0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>
        <v>160</v>
      </c>
      <c r="AJ62">
        <v>82</v>
      </c>
      <c r="AK62">
        <v>78</v>
      </c>
      <c r="AL62">
        <v>20</v>
      </c>
      <c r="AM62">
        <v>11</v>
      </c>
      <c r="AN62">
        <v>3</v>
      </c>
      <c r="AO62">
        <v>0</v>
      </c>
      <c r="AP62">
        <v>26</v>
      </c>
      <c r="AQ62" s="1">
        <f t="shared" si="8"/>
        <v>0.50251256281407031</v>
      </c>
      <c r="AR62" s="1">
        <f t="shared" si="9"/>
        <v>0.73529411764705888</v>
      </c>
      <c r="AS62" s="1"/>
      <c r="AT62" s="1">
        <f>2467/2567</f>
        <v>0.96104402025710944</v>
      </c>
      <c r="AU62" s="1">
        <f>18/23</f>
        <v>0.78260869565217395</v>
      </c>
      <c r="AV62" s="1">
        <f>223/323</f>
        <v>0.69040247678018574</v>
      </c>
    </row>
    <row r="63" spans="1:48" x14ac:dyDescent="0.2">
      <c r="A63" s="1" t="s">
        <v>3</v>
      </c>
      <c r="B63" s="1">
        <v>2019</v>
      </c>
      <c r="C63" s="1">
        <v>1</v>
      </c>
      <c r="D63">
        <v>160</v>
      </c>
      <c r="E63">
        <v>82</v>
      </c>
      <c r="F63">
        <v>78</v>
      </c>
      <c r="G63">
        <v>20</v>
      </c>
      <c r="H63">
        <v>11</v>
      </c>
      <c r="I63">
        <v>3</v>
      </c>
      <c r="J63">
        <v>0</v>
      </c>
      <c r="K63">
        <v>26</v>
      </c>
      <c r="L63" s="1">
        <f t="shared" si="10"/>
        <v>0.50251256281407031</v>
      </c>
      <c r="M63" s="1">
        <f t="shared" si="11"/>
        <v>0.73529411764705888</v>
      </c>
      <c r="N63" s="1"/>
      <c r="O63" s="1">
        <f>2467/2567</f>
        <v>0.96104402025710944</v>
      </c>
      <c r="P63" s="1">
        <f>18/23</f>
        <v>0.78260869565217395</v>
      </c>
      <c r="Q63" s="1">
        <f>223/323</f>
        <v>0.69040247678018574</v>
      </c>
      <c r="R63" s="1">
        <v>3</v>
      </c>
      <c r="S63" s="1">
        <v>2</v>
      </c>
      <c r="T63" s="1">
        <v>6</v>
      </c>
      <c r="U63" s="1" t="s">
        <v>73</v>
      </c>
      <c r="V63" s="1">
        <v>1</v>
      </c>
      <c r="W63" s="1">
        <f t="shared" si="4"/>
        <v>0</v>
      </c>
      <c r="X63" s="1">
        <f t="shared" si="5"/>
        <v>1</v>
      </c>
      <c r="Y63" s="1">
        <f t="shared" si="6"/>
        <v>1</v>
      </c>
      <c r="Z63" s="1">
        <f t="shared" si="7"/>
        <v>1</v>
      </c>
      <c r="AC63" s="1">
        <v>1</v>
      </c>
      <c r="AD63" s="1">
        <v>0</v>
      </c>
      <c r="AE63" s="1">
        <v>1</v>
      </c>
      <c r="AF63" s="1">
        <v>0</v>
      </c>
      <c r="AG63" s="1">
        <v>0</v>
      </c>
      <c r="AH63" s="1">
        <v>0</v>
      </c>
      <c r="AI63">
        <v>101</v>
      </c>
      <c r="AJ63">
        <v>100</v>
      </c>
      <c r="AK63">
        <v>1</v>
      </c>
      <c r="AL63">
        <v>14</v>
      </c>
      <c r="AM63">
        <v>10</v>
      </c>
      <c r="AN63">
        <v>2</v>
      </c>
      <c r="AO63">
        <v>0</v>
      </c>
      <c r="AP63">
        <v>14</v>
      </c>
      <c r="AQ63" s="1">
        <f t="shared" si="8"/>
        <v>0.7214484679665738</v>
      </c>
      <c r="AR63" s="1">
        <f t="shared" si="9"/>
        <v>0.83022071307300505</v>
      </c>
      <c r="AS63" s="1"/>
      <c r="AT63" s="1">
        <f>100/101</f>
        <v>0.99009900990099009</v>
      </c>
      <c r="AU63" s="1">
        <f>100/139</f>
        <v>0.71942446043165464</v>
      </c>
      <c r="AV63" s="1">
        <f>100/209</f>
        <v>0.4784688995215311</v>
      </c>
    </row>
    <row r="64" spans="1:48" x14ac:dyDescent="0.2">
      <c r="A64" s="1" t="s">
        <v>3</v>
      </c>
      <c r="B64" s="1">
        <v>2020</v>
      </c>
      <c r="C64" s="1">
        <v>3</v>
      </c>
      <c r="D64">
        <v>101</v>
      </c>
      <c r="E64">
        <v>100</v>
      </c>
      <c r="F64">
        <v>1</v>
      </c>
      <c r="G64">
        <v>14</v>
      </c>
      <c r="H64">
        <v>10</v>
      </c>
      <c r="I64">
        <v>2</v>
      </c>
      <c r="J64">
        <v>0</v>
      </c>
      <c r="K64">
        <v>14</v>
      </c>
      <c r="L64" s="1">
        <f t="shared" si="10"/>
        <v>0.7214484679665738</v>
      </c>
      <c r="M64" s="1">
        <f t="shared" si="11"/>
        <v>0.83022071307300505</v>
      </c>
      <c r="N64" s="1"/>
      <c r="O64" s="1">
        <f>100/101</f>
        <v>0.99009900990099009</v>
      </c>
      <c r="P64" s="1">
        <f>100/139</f>
        <v>0.71942446043165464</v>
      </c>
      <c r="Q64" s="1">
        <f>100/209</f>
        <v>0.4784688995215311</v>
      </c>
      <c r="R64" s="1"/>
      <c r="S64" s="1">
        <v>5</v>
      </c>
      <c r="T64" s="1">
        <v>1</v>
      </c>
      <c r="U64" s="1" t="s">
        <v>74</v>
      </c>
      <c r="V64" s="1">
        <v>0</v>
      </c>
      <c r="W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">
      <c r="A65" s="1" t="s">
        <v>4</v>
      </c>
      <c r="B65" s="1">
        <v>2000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6</v>
      </c>
      <c r="S65" s="1"/>
      <c r="T65" s="1">
        <v>6</v>
      </c>
      <c r="U65" s="1" t="s">
        <v>832</v>
      </c>
      <c r="V65" s="1">
        <v>0</v>
      </c>
      <c r="W65" s="1">
        <v>0</v>
      </c>
      <c r="X65" s="1">
        <v>1</v>
      </c>
      <c r="Y65" s="1">
        <v>0</v>
      </c>
      <c r="Z65" s="1">
        <v>0</v>
      </c>
      <c r="AA65" s="1">
        <v>0</v>
      </c>
      <c r="AB65" s="1">
        <v>0</v>
      </c>
      <c r="AE65" s="1">
        <v>1</v>
      </c>
      <c r="AF65" s="1">
        <v>1</v>
      </c>
      <c r="AG65" s="1">
        <v>0</v>
      </c>
      <c r="AH65" s="1">
        <v>0</v>
      </c>
      <c r="AI65">
        <v>106</v>
      </c>
      <c r="AJ65">
        <v>228</v>
      </c>
      <c r="AK65">
        <v>-122</v>
      </c>
      <c r="AL65">
        <v>9</v>
      </c>
      <c r="AM65">
        <v>25</v>
      </c>
      <c r="AN65">
        <v>0</v>
      </c>
      <c r="AO65">
        <v>0</v>
      </c>
      <c r="AP65">
        <v>2</v>
      </c>
      <c r="AQ65" s="1"/>
      <c r="AR65" s="1"/>
      <c r="AS65" s="1"/>
      <c r="AT65" s="1"/>
      <c r="AU65" s="1"/>
      <c r="AV65" s="1"/>
    </row>
    <row r="66" spans="1:48" x14ac:dyDescent="0.2">
      <c r="A66" s="1" t="s">
        <v>4</v>
      </c>
      <c r="B66" s="1">
        <v>2001</v>
      </c>
      <c r="C66" s="1">
        <v>6</v>
      </c>
      <c r="D66">
        <v>106</v>
      </c>
      <c r="E66">
        <v>228</v>
      </c>
      <c r="F66">
        <v>-122</v>
      </c>
      <c r="G66">
        <v>9</v>
      </c>
      <c r="H66">
        <v>25</v>
      </c>
      <c r="I66">
        <v>0</v>
      </c>
      <c r="J66">
        <v>0</v>
      </c>
      <c r="K66">
        <v>2</v>
      </c>
      <c r="L66" s="1"/>
      <c r="M66" s="1"/>
      <c r="N66" s="1"/>
      <c r="O66" s="1"/>
      <c r="P66" s="1"/>
      <c r="Q66" s="1"/>
      <c r="R66" s="1">
        <v>6</v>
      </c>
      <c r="S66" s="1"/>
      <c r="T66" s="1">
        <v>1</v>
      </c>
      <c r="U66" s="1" t="s">
        <v>75</v>
      </c>
      <c r="V66" s="1">
        <v>0</v>
      </c>
      <c r="W66" s="1">
        <f t="shared" ref="W66:W84" si="12">1-AC3</f>
        <v>0</v>
      </c>
      <c r="X66" s="1">
        <f t="shared" ref="X66:X84" si="13">1-AD3</f>
        <v>0</v>
      </c>
      <c r="Y66" s="1">
        <f t="shared" ref="Y66:Y84" si="14">1-AC24</f>
        <v>0</v>
      </c>
      <c r="Z66" s="1">
        <f t="shared" ref="Z66:Z84" si="15">1-AD24</f>
        <v>1</v>
      </c>
      <c r="AA66" s="1">
        <f t="shared" ref="AA66:AA84" si="16">1-AC45</f>
        <v>0</v>
      </c>
      <c r="AB66" s="1">
        <f t="shared" ref="AB66:AB84" si="17">1-AD45</f>
        <v>1</v>
      </c>
      <c r="AE66" s="1">
        <v>0</v>
      </c>
      <c r="AF66" s="1">
        <v>0</v>
      </c>
      <c r="AG66" s="1">
        <v>0</v>
      </c>
      <c r="AH66" s="1">
        <v>1</v>
      </c>
      <c r="AI66">
        <v>106</v>
      </c>
      <c r="AJ66">
        <v>207</v>
      </c>
      <c r="AK66">
        <v>-101</v>
      </c>
      <c r="AL66">
        <v>8</v>
      </c>
      <c r="AM66">
        <v>22</v>
      </c>
      <c r="AN66">
        <v>0</v>
      </c>
      <c r="AO66">
        <v>0</v>
      </c>
      <c r="AP66">
        <v>0</v>
      </c>
      <c r="AQ66" s="1"/>
      <c r="AR66" s="1"/>
      <c r="AS66" s="1"/>
      <c r="AT66" s="1"/>
      <c r="AU66" s="1"/>
      <c r="AV66" s="1"/>
    </row>
    <row r="67" spans="1:48" x14ac:dyDescent="0.2">
      <c r="A67" s="1" t="s">
        <v>4</v>
      </c>
      <c r="B67" s="1">
        <v>2002</v>
      </c>
      <c r="C67" s="1">
        <v>6</v>
      </c>
      <c r="D67">
        <v>106</v>
      </c>
      <c r="E67">
        <v>207</v>
      </c>
      <c r="F67">
        <v>-101</v>
      </c>
      <c r="G67">
        <v>8</v>
      </c>
      <c r="H67">
        <v>22</v>
      </c>
      <c r="I67">
        <v>0</v>
      </c>
      <c r="J67">
        <v>0</v>
      </c>
      <c r="K67">
        <v>0</v>
      </c>
      <c r="L67" s="1"/>
      <c r="M67" s="1"/>
      <c r="N67" s="1"/>
      <c r="O67" s="1"/>
      <c r="P67" s="1"/>
      <c r="Q67" s="1"/>
      <c r="R67" s="1">
        <v>6</v>
      </c>
      <c r="S67" s="1"/>
      <c r="T67" s="1">
        <v>2</v>
      </c>
      <c r="U67" s="1" t="s">
        <v>75</v>
      </c>
      <c r="V67" s="1">
        <v>0</v>
      </c>
      <c r="W67" s="1">
        <f t="shared" si="12"/>
        <v>0</v>
      </c>
      <c r="X67" s="1">
        <f t="shared" si="13"/>
        <v>1</v>
      </c>
      <c r="Y67" s="1">
        <f t="shared" si="14"/>
        <v>0</v>
      </c>
      <c r="Z67" s="1">
        <f t="shared" si="15"/>
        <v>0</v>
      </c>
      <c r="AA67" s="1">
        <f t="shared" si="16"/>
        <v>0</v>
      </c>
      <c r="AB67" s="1">
        <f t="shared" si="17"/>
        <v>0</v>
      </c>
      <c r="AE67" s="1">
        <v>0</v>
      </c>
      <c r="AF67" s="1">
        <v>1</v>
      </c>
      <c r="AG67" s="1">
        <v>0</v>
      </c>
      <c r="AH67" s="1">
        <v>0</v>
      </c>
      <c r="AI67">
        <v>70</v>
      </c>
      <c r="AJ67">
        <v>183</v>
      </c>
      <c r="AK67">
        <v>-113</v>
      </c>
      <c r="AL67">
        <v>4</v>
      </c>
      <c r="AM67">
        <v>18</v>
      </c>
      <c r="AN67">
        <v>0</v>
      </c>
      <c r="AO67">
        <v>0</v>
      </c>
      <c r="AP67">
        <v>0</v>
      </c>
      <c r="AQ67" s="1"/>
      <c r="AR67" s="1"/>
      <c r="AS67" s="1"/>
      <c r="AT67" s="1"/>
      <c r="AU67" s="1"/>
      <c r="AV67" s="1"/>
    </row>
    <row r="68" spans="1:48" x14ac:dyDescent="0.2">
      <c r="A68" s="1" t="s">
        <v>4</v>
      </c>
      <c r="B68" s="1">
        <v>2003</v>
      </c>
      <c r="C68" s="1">
        <v>6</v>
      </c>
      <c r="D68">
        <v>70</v>
      </c>
      <c r="E68">
        <v>183</v>
      </c>
      <c r="F68">
        <v>-113</v>
      </c>
      <c r="G68">
        <v>4</v>
      </c>
      <c r="H68">
        <v>18</v>
      </c>
      <c r="I68">
        <v>0</v>
      </c>
      <c r="J68">
        <v>0</v>
      </c>
      <c r="K68">
        <v>0</v>
      </c>
      <c r="L68" s="1"/>
      <c r="M68" s="1"/>
      <c r="N68" s="1"/>
      <c r="O68" s="1"/>
      <c r="P68" s="1"/>
      <c r="Q68" s="1"/>
      <c r="R68" s="1">
        <v>5</v>
      </c>
      <c r="S68" s="1">
        <v>12</v>
      </c>
      <c r="T68" s="1">
        <v>1</v>
      </c>
      <c r="U68" s="1" t="s">
        <v>76</v>
      </c>
      <c r="V68" s="1">
        <v>0</v>
      </c>
      <c r="W68" s="1">
        <f t="shared" si="12"/>
        <v>0</v>
      </c>
      <c r="X68" s="1">
        <f t="shared" si="13"/>
        <v>0</v>
      </c>
      <c r="Y68" s="1">
        <f t="shared" si="14"/>
        <v>0</v>
      </c>
      <c r="Z68" s="1">
        <f t="shared" si="15"/>
        <v>1</v>
      </c>
      <c r="AA68" s="1">
        <f t="shared" si="16"/>
        <v>0</v>
      </c>
      <c r="AB68" s="1">
        <f t="shared" si="17"/>
        <v>1</v>
      </c>
      <c r="AE68" s="1">
        <v>0</v>
      </c>
      <c r="AF68" s="1">
        <v>0</v>
      </c>
      <c r="AG68" s="1">
        <v>1</v>
      </c>
      <c r="AH68" s="1">
        <v>1</v>
      </c>
      <c r="AI68">
        <v>100</v>
      </c>
      <c r="AJ68">
        <v>185</v>
      </c>
      <c r="AK68">
        <v>-85</v>
      </c>
      <c r="AL68">
        <v>12</v>
      </c>
      <c r="AM68">
        <v>25</v>
      </c>
      <c r="AN68">
        <v>0</v>
      </c>
      <c r="AO68">
        <v>0</v>
      </c>
      <c r="AP68">
        <v>2</v>
      </c>
      <c r="AQ68" s="1"/>
      <c r="AR68" s="1"/>
      <c r="AS68" s="1"/>
      <c r="AT68" s="1"/>
      <c r="AU68" s="1"/>
      <c r="AV68" s="1"/>
    </row>
    <row r="69" spans="1:48" x14ac:dyDescent="0.2">
      <c r="A69" s="1" t="s">
        <v>4</v>
      </c>
      <c r="B69" s="1">
        <v>2004</v>
      </c>
      <c r="C69" s="1">
        <v>5</v>
      </c>
      <c r="D69">
        <v>100</v>
      </c>
      <c r="E69">
        <v>185</v>
      </c>
      <c r="F69">
        <v>-85</v>
      </c>
      <c r="G69">
        <v>12</v>
      </c>
      <c r="H69">
        <v>25</v>
      </c>
      <c r="I69">
        <v>0</v>
      </c>
      <c r="J69">
        <v>0</v>
      </c>
      <c r="K69">
        <v>2</v>
      </c>
      <c r="L69" s="1"/>
      <c r="M69" s="1"/>
      <c r="N69" s="1"/>
      <c r="O69" s="1"/>
      <c r="P69" s="1"/>
      <c r="Q69" s="1"/>
      <c r="R69" s="1">
        <v>5</v>
      </c>
      <c r="S69" s="1">
        <v>11</v>
      </c>
      <c r="T69" s="1">
        <v>2</v>
      </c>
      <c r="U69" s="1" t="s">
        <v>76</v>
      </c>
      <c r="V69" s="1">
        <v>0</v>
      </c>
      <c r="W69" s="1">
        <f t="shared" si="12"/>
        <v>0</v>
      </c>
      <c r="X69" s="1">
        <f t="shared" si="13"/>
        <v>1</v>
      </c>
      <c r="Y69" s="1">
        <f t="shared" si="14"/>
        <v>0</v>
      </c>
      <c r="Z69" s="1">
        <f t="shared" si="15"/>
        <v>0</v>
      </c>
      <c r="AA69" s="1">
        <f t="shared" si="16"/>
        <v>0</v>
      </c>
      <c r="AB69" s="1">
        <f t="shared" si="17"/>
        <v>0</v>
      </c>
      <c r="AE69" s="1">
        <v>1</v>
      </c>
      <c r="AF69" s="1">
        <v>1</v>
      </c>
      <c r="AG69" s="1">
        <v>0</v>
      </c>
      <c r="AH69" s="1">
        <v>0</v>
      </c>
      <c r="AI69">
        <v>42</v>
      </c>
      <c r="AJ69">
        <v>152</v>
      </c>
      <c r="AK69">
        <v>-110</v>
      </c>
      <c r="AL69">
        <v>2</v>
      </c>
      <c r="AM69">
        <v>20</v>
      </c>
      <c r="AN69">
        <v>0</v>
      </c>
      <c r="AO69">
        <v>0</v>
      </c>
      <c r="AP69">
        <v>2</v>
      </c>
      <c r="AQ69" s="1"/>
      <c r="AR69" s="1"/>
      <c r="AS69" s="1"/>
      <c r="AT69" s="1"/>
      <c r="AU69" s="1"/>
      <c r="AV69" s="1"/>
    </row>
    <row r="70" spans="1:48" x14ac:dyDescent="0.2">
      <c r="A70" s="1" t="s">
        <v>4</v>
      </c>
      <c r="B70" s="1">
        <v>2005</v>
      </c>
      <c r="C70" s="1">
        <v>5</v>
      </c>
      <c r="D70">
        <v>42</v>
      </c>
      <c r="E70">
        <v>152</v>
      </c>
      <c r="F70">
        <v>-110</v>
      </c>
      <c r="G70">
        <v>2</v>
      </c>
      <c r="H70">
        <v>20</v>
      </c>
      <c r="I70">
        <v>0</v>
      </c>
      <c r="J70">
        <v>0</v>
      </c>
      <c r="K70">
        <v>2</v>
      </c>
      <c r="L70" s="1"/>
      <c r="M70" s="1"/>
      <c r="N70" s="1"/>
      <c r="O70" s="1"/>
      <c r="P70" s="1"/>
      <c r="Q70" s="1"/>
      <c r="R70" s="1">
        <v>6</v>
      </c>
      <c r="S70" s="1">
        <v>11</v>
      </c>
      <c r="T70" s="1">
        <v>3</v>
      </c>
      <c r="U70" s="1" t="s">
        <v>76</v>
      </c>
      <c r="V70" s="1">
        <v>0</v>
      </c>
      <c r="W70" s="1">
        <f t="shared" si="12"/>
        <v>0</v>
      </c>
      <c r="X70" s="1">
        <f t="shared" si="13"/>
        <v>0</v>
      </c>
      <c r="Y70" s="1">
        <f t="shared" si="14"/>
        <v>0</v>
      </c>
      <c r="Z70" s="1">
        <f t="shared" si="15"/>
        <v>1</v>
      </c>
      <c r="AA70" s="1">
        <f t="shared" si="16"/>
        <v>0</v>
      </c>
      <c r="AB70" s="1">
        <f t="shared" si="17"/>
        <v>1</v>
      </c>
      <c r="AE70" s="1">
        <v>0</v>
      </c>
      <c r="AF70" s="1">
        <v>0</v>
      </c>
      <c r="AG70" s="1">
        <v>0</v>
      </c>
      <c r="AH70" s="1">
        <v>1</v>
      </c>
      <c r="AI70">
        <v>55</v>
      </c>
      <c r="AJ70">
        <v>179</v>
      </c>
      <c r="AK70">
        <v>-124</v>
      </c>
      <c r="AL70">
        <v>5</v>
      </c>
      <c r="AM70">
        <v>22</v>
      </c>
      <c r="AN70">
        <v>0</v>
      </c>
      <c r="AO70">
        <v>0</v>
      </c>
      <c r="AP70">
        <v>0</v>
      </c>
      <c r="AQ70" s="1"/>
      <c r="AR70" s="1"/>
      <c r="AS70" s="1"/>
      <c r="AT70" s="1"/>
      <c r="AU70" s="1"/>
      <c r="AV70" s="1"/>
    </row>
    <row r="71" spans="1:48" x14ac:dyDescent="0.2">
      <c r="A71" s="1" t="s">
        <v>4</v>
      </c>
      <c r="B71" s="1">
        <v>2006</v>
      </c>
      <c r="C71" s="1">
        <v>6</v>
      </c>
      <c r="D71">
        <v>55</v>
      </c>
      <c r="E71">
        <v>179</v>
      </c>
      <c r="F71">
        <v>-124</v>
      </c>
      <c r="G71">
        <v>5</v>
      </c>
      <c r="H71">
        <v>22</v>
      </c>
      <c r="I71">
        <v>0</v>
      </c>
      <c r="J71">
        <v>0</v>
      </c>
      <c r="K71">
        <v>0</v>
      </c>
      <c r="L71" s="1"/>
      <c r="M71" s="1"/>
      <c r="N71" s="1"/>
      <c r="O71" s="1"/>
      <c r="P71" s="1"/>
      <c r="Q71" s="1"/>
      <c r="R71" s="1">
        <v>6</v>
      </c>
      <c r="S71" s="1">
        <v>12</v>
      </c>
      <c r="T71" s="1">
        <v>1</v>
      </c>
      <c r="U71" s="1" t="s">
        <v>77</v>
      </c>
      <c r="V71" s="1">
        <v>0</v>
      </c>
      <c r="W71" s="1">
        <f t="shared" si="12"/>
        <v>0</v>
      </c>
      <c r="X71" s="1">
        <f t="shared" si="13"/>
        <v>1</v>
      </c>
      <c r="Y71" s="1">
        <f t="shared" si="14"/>
        <v>0</v>
      </c>
      <c r="Z71" s="1">
        <f t="shared" si="15"/>
        <v>0</v>
      </c>
      <c r="AA71" s="1">
        <f t="shared" si="16"/>
        <v>0</v>
      </c>
      <c r="AB71" s="1">
        <f t="shared" si="17"/>
        <v>0</v>
      </c>
      <c r="AE71" s="1">
        <v>0</v>
      </c>
      <c r="AF71" s="1">
        <v>1</v>
      </c>
      <c r="AG71" s="1">
        <v>0.5</v>
      </c>
      <c r="AH71" s="1">
        <v>0</v>
      </c>
      <c r="AI71">
        <v>72</v>
      </c>
      <c r="AJ71">
        <v>125</v>
      </c>
      <c r="AK71">
        <v>-53</v>
      </c>
      <c r="AL71">
        <v>5</v>
      </c>
      <c r="AM71">
        <v>14</v>
      </c>
      <c r="AN71">
        <v>0</v>
      </c>
      <c r="AO71">
        <v>0</v>
      </c>
      <c r="AP71">
        <v>1</v>
      </c>
      <c r="AQ71" s="1"/>
      <c r="AR71" s="1"/>
      <c r="AS71" s="1"/>
      <c r="AT71" s="1"/>
      <c r="AU71" s="1"/>
      <c r="AV71" s="1"/>
    </row>
    <row r="72" spans="1:48" x14ac:dyDescent="0.2">
      <c r="A72" s="1" t="s">
        <v>4</v>
      </c>
      <c r="B72" s="1">
        <v>2007</v>
      </c>
      <c r="C72" s="1">
        <v>6</v>
      </c>
      <c r="D72">
        <v>72</v>
      </c>
      <c r="E72">
        <v>125</v>
      </c>
      <c r="F72">
        <v>-53</v>
      </c>
      <c r="G72">
        <v>5</v>
      </c>
      <c r="H72">
        <v>14</v>
      </c>
      <c r="I72">
        <v>0</v>
      </c>
      <c r="J72">
        <v>0</v>
      </c>
      <c r="K72">
        <v>1</v>
      </c>
      <c r="L72" s="1"/>
      <c r="M72" s="1"/>
      <c r="N72" s="1"/>
      <c r="O72" s="1"/>
      <c r="P72" s="1"/>
      <c r="Q72" s="1"/>
      <c r="R72" s="1">
        <v>4</v>
      </c>
      <c r="S72" s="1">
        <v>12</v>
      </c>
      <c r="T72" s="1">
        <v>2</v>
      </c>
      <c r="U72" s="1" t="s">
        <v>77</v>
      </c>
      <c r="V72" s="1">
        <v>0</v>
      </c>
      <c r="W72" s="1">
        <f t="shared" si="12"/>
        <v>0</v>
      </c>
      <c r="X72" s="1">
        <f t="shared" si="13"/>
        <v>0</v>
      </c>
      <c r="Y72" s="1">
        <f t="shared" si="14"/>
        <v>0</v>
      </c>
      <c r="Z72" s="1">
        <f t="shared" si="15"/>
        <v>1</v>
      </c>
      <c r="AA72" s="1">
        <f t="shared" si="16"/>
        <v>0</v>
      </c>
      <c r="AB72" s="1">
        <f t="shared" si="17"/>
        <v>1</v>
      </c>
      <c r="AE72" s="1">
        <v>1</v>
      </c>
      <c r="AF72" s="1">
        <v>0</v>
      </c>
      <c r="AG72" s="1">
        <v>1</v>
      </c>
      <c r="AH72" s="1">
        <v>1</v>
      </c>
      <c r="AI72">
        <v>94</v>
      </c>
      <c r="AJ72">
        <v>147</v>
      </c>
      <c r="AK72">
        <v>-53</v>
      </c>
      <c r="AL72">
        <v>9</v>
      </c>
      <c r="AM72">
        <v>18</v>
      </c>
      <c r="AN72">
        <v>0</v>
      </c>
      <c r="AO72">
        <v>0</v>
      </c>
      <c r="AP72">
        <v>4</v>
      </c>
      <c r="AQ72" s="1"/>
      <c r="AR72" s="1"/>
      <c r="AS72" s="1"/>
      <c r="AT72" s="1"/>
      <c r="AU72" s="1"/>
      <c r="AV72" s="1"/>
    </row>
    <row r="73" spans="1:48" x14ac:dyDescent="0.2">
      <c r="A73" s="1" t="s">
        <v>4</v>
      </c>
      <c r="B73" s="1">
        <v>2008</v>
      </c>
      <c r="C73" s="1">
        <v>4</v>
      </c>
      <c r="D73">
        <v>94</v>
      </c>
      <c r="E73">
        <v>147</v>
      </c>
      <c r="F73">
        <v>-53</v>
      </c>
      <c r="G73">
        <v>9</v>
      </c>
      <c r="H73">
        <v>18</v>
      </c>
      <c r="I73">
        <v>0</v>
      </c>
      <c r="J73">
        <v>0</v>
      </c>
      <c r="K73">
        <v>4</v>
      </c>
      <c r="L73" s="1"/>
      <c r="M73" s="1"/>
      <c r="N73" s="1"/>
      <c r="O73" s="1"/>
      <c r="P73" s="1"/>
      <c r="Q73" s="1"/>
      <c r="R73" s="1">
        <v>6</v>
      </c>
      <c r="S73" s="1">
        <v>11</v>
      </c>
      <c r="T73" s="1">
        <v>1</v>
      </c>
      <c r="U73" s="1" t="s">
        <v>78</v>
      </c>
      <c r="V73" s="1">
        <v>0</v>
      </c>
      <c r="W73" s="1">
        <f t="shared" si="12"/>
        <v>0</v>
      </c>
      <c r="X73" s="1">
        <f t="shared" si="13"/>
        <v>1</v>
      </c>
      <c r="Y73" s="1">
        <f t="shared" si="14"/>
        <v>0</v>
      </c>
      <c r="Z73" s="1">
        <f t="shared" si="15"/>
        <v>0</v>
      </c>
      <c r="AA73" s="1">
        <f t="shared" si="16"/>
        <v>0</v>
      </c>
      <c r="AB73" s="1">
        <f t="shared" si="17"/>
        <v>0</v>
      </c>
      <c r="AE73" s="1">
        <v>1</v>
      </c>
      <c r="AF73" s="1">
        <v>1</v>
      </c>
      <c r="AG73" s="1">
        <v>0</v>
      </c>
      <c r="AH73" s="1">
        <v>0</v>
      </c>
      <c r="AI73">
        <v>74</v>
      </c>
      <c r="AJ73">
        <v>131</v>
      </c>
      <c r="AK73">
        <v>-57</v>
      </c>
      <c r="AL73">
        <v>6</v>
      </c>
      <c r="AM73">
        <v>13</v>
      </c>
      <c r="AN73">
        <v>0</v>
      </c>
      <c r="AO73">
        <v>0</v>
      </c>
      <c r="AP73">
        <v>2</v>
      </c>
      <c r="AQ73" s="1"/>
      <c r="AR73" s="1"/>
      <c r="AS73" s="1"/>
      <c r="AT73" s="1"/>
      <c r="AU73" s="1"/>
      <c r="AV73" s="1"/>
    </row>
    <row r="74" spans="1:48" x14ac:dyDescent="0.2">
      <c r="A74" s="1" t="s">
        <v>4</v>
      </c>
      <c r="B74" s="1">
        <v>2009</v>
      </c>
      <c r="C74" s="1">
        <v>6</v>
      </c>
      <c r="D74">
        <v>74</v>
      </c>
      <c r="E74">
        <v>131</v>
      </c>
      <c r="F74">
        <v>-57</v>
      </c>
      <c r="G74">
        <v>6</v>
      </c>
      <c r="H74">
        <v>13</v>
      </c>
      <c r="I74">
        <v>0</v>
      </c>
      <c r="J74">
        <v>0</v>
      </c>
      <c r="K74">
        <v>2</v>
      </c>
      <c r="L74" s="1"/>
      <c r="M74" s="1"/>
      <c r="N74" s="1"/>
      <c r="O74" s="1"/>
      <c r="P74" s="1"/>
      <c r="Q74" s="1"/>
      <c r="R74" s="1">
        <v>6</v>
      </c>
      <c r="S74" s="1">
        <v>11</v>
      </c>
      <c r="T74" s="1">
        <v>2</v>
      </c>
      <c r="U74" s="1" t="s">
        <v>78</v>
      </c>
      <c r="V74" s="1">
        <v>0</v>
      </c>
      <c r="W74" s="1">
        <f t="shared" si="12"/>
        <v>0</v>
      </c>
      <c r="X74" s="1">
        <f t="shared" si="13"/>
        <v>0</v>
      </c>
      <c r="Y74" s="1">
        <f t="shared" si="14"/>
        <v>0</v>
      </c>
      <c r="Z74" s="1">
        <f t="shared" si="15"/>
        <v>1</v>
      </c>
      <c r="AA74" s="1">
        <f t="shared" si="16"/>
        <v>0</v>
      </c>
      <c r="AB74" s="1">
        <f t="shared" si="17"/>
        <v>1</v>
      </c>
      <c r="AE74" s="1">
        <v>0</v>
      </c>
      <c r="AF74" s="1">
        <v>0</v>
      </c>
      <c r="AG74" s="1">
        <v>0</v>
      </c>
      <c r="AH74" s="1">
        <v>1</v>
      </c>
      <c r="AI74">
        <v>49</v>
      </c>
      <c r="AJ74">
        <v>170</v>
      </c>
      <c r="AK74">
        <v>-121</v>
      </c>
      <c r="AL74">
        <v>2</v>
      </c>
      <c r="AM74">
        <v>21</v>
      </c>
      <c r="AN74">
        <v>0</v>
      </c>
      <c r="AO74">
        <v>0</v>
      </c>
      <c r="AP74">
        <v>0</v>
      </c>
      <c r="AQ74" s="1">
        <f t="shared" ref="AQ74:AQ84" si="18">1-AT11</f>
        <v>0.1428571428571429</v>
      </c>
      <c r="AR74" s="1">
        <f t="shared" ref="AR74:AR84" si="19">1-AT32</f>
        <v>0.13793103448275867</v>
      </c>
      <c r="AS74" s="1">
        <f t="shared" ref="AS74:AS84" si="20">1-AT53</f>
        <v>0.19148936170212771</v>
      </c>
      <c r="AT74" s="1"/>
      <c r="AU74" s="1">
        <f>100/319</f>
        <v>0.31347962382445144</v>
      </c>
      <c r="AV74" s="1">
        <f>1/21</f>
        <v>4.7619047619047616E-2</v>
      </c>
    </row>
    <row r="75" spans="1:48" x14ac:dyDescent="0.2">
      <c r="A75" s="1" t="s">
        <v>4</v>
      </c>
      <c r="B75" s="1">
        <v>2010</v>
      </c>
      <c r="C75" s="1">
        <v>6</v>
      </c>
      <c r="D75">
        <v>49</v>
      </c>
      <c r="E75">
        <v>170</v>
      </c>
      <c r="F75">
        <v>-121</v>
      </c>
      <c r="G75">
        <v>2</v>
      </c>
      <c r="H75">
        <v>21</v>
      </c>
      <c r="I75">
        <v>0</v>
      </c>
      <c r="J75">
        <v>0</v>
      </c>
      <c r="K75">
        <v>0</v>
      </c>
      <c r="L75" s="1">
        <f t="shared" ref="L75:L85" si="21">1-O12</f>
        <v>0.1428571428571429</v>
      </c>
      <c r="M75" s="1">
        <f t="shared" ref="M75:M85" si="22">1-O33</f>
        <v>0.13793103448275867</v>
      </c>
      <c r="N75" s="1">
        <f t="shared" ref="N75:N85" si="23">1-O54</f>
        <v>0.19148936170212771</v>
      </c>
      <c r="O75" s="1"/>
      <c r="P75" s="1">
        <f>100/319</f>
        <v>0.31347962382445144</v>
      </c>
      <c r="Q75" s="1">
        <f>1/21</f>
        <v>4.7619047619047616E-2</v>
      </c>
      <c r="R75" s="1">
        <v>6</v>
      </c>
      <c r="S75" s="1">
        <v>11</v>
      </c>
      <c r="T75" s="1">
        <v>3</v>
      </c>
      <c r="U75" s="1" t="s">
        <v>78</v>
      </c>
      <c r="V75" s="1">
        <v>0</v>
      </c>
      <c r="W75" s="1">
        <f t="shared" si="12"/>
        <v>0</v>
      </c>
      <c r="X75" s="1">
        <f t="shared" si="13"/>
        <v>1</v>
      </c>
      <c r="Y75" s="1">
        <f t="shared" si="14"/>
        <v>0</v>
      </c>
      <c r="Z75" s="1">
        <f t="shared" si="15"/>
        <v>0</v>
      </c>
      <c r="AA75" s="1">
        <f t="shared" si="16"/>
        <v>0</v>
      </c>
      <c r="AB75" s="1">
        <f t="shared" si="17"/>
        <v>0</v>
      </c>
      <c r="AE75" s="1">
        <v>1</v>
      </c>
      <c r="AF75" s="1">
        <v>1</v>
      </c>
      <c r="AG75" s="1">
        <v>0</v>
      </c>
      <c r="AH75" s="1">
        <v>0</v>
      </c>
      <c r="AI75">
        <v>69</v>
      </c>
      <c r="AJ75">
        <v>137</v>
      </c>
      <c r="AK75">
        <v>-68</v>
      </c>
      <c r="AL75">
        <v>5</v>
      </c>
      <c r="AM75">
        <v>12</v>
      </c>
      <c r="AN75">
        <v>0</v>
      </c>
      <c r="AO75">
        <v>0</v>
      </c>
      <c r="AP75">
        <v>2</v>
      </c>
      <c r="AQ75" s="1">
        <f t="shared" si="18"/>
        <v>4.7619047619047672E-2</v>
      </c>
      <c r="AR75" s="1">
        <f t="shared" si="19"/>
        <v>5.0838840874428026E-2</v>
      </c>
      <c r="AS75" s="1">
        <f t="shared" si="20"/>
        <v>6.3816209317166583E-2</v>
      </c>
      <c r="AT75" s="1"/>
      <c r="AU75" s="1">
        <f>12/37</f>
        <v>0.32432432432432434</v>
      </c>
      <c r="AV75" s="1">
        <f>1/8</f>
        <v>0.125</v>
      </c>
    </row>
    <row r="76" spans="1:48" x14ac:dyDescent="0.2">
      <c r="A76" s="1" t="s">
        <v>4</v>
      </c>
      <c r="B76" s="1">
        <v>2011</v>
      </c>
      <c r="C76" s="1">
        <v>6</v>
      </c>
      <c r="D76">
        <v>69</v>
      </c>
      <c r="E76">
        <v>137</v>
      </c>
      <c r="F76">
        <v>-68</v>
      </c>
      <c r="G76">
        <v>5</v>
      </c>
      <c r="H76">
        <v>12</v>
      </c>
      <c r="I76">
        <v>0</v>
      </c>
      <c r="J76">
        <v>0</v>
      </c>
      <c r="K76">
        <v>2</v>
      </c>
      <c r="L76" s="1">
        <f t="shared" si="21"/>
        <v>4.7619047619047672E-2</v>
      </c>
      <c r="M76" s="1">
        <f t="shared" si="22"/>
        <v>5.0838840874428026E-2</v>
      </c>
      <c r="N76" s="1">
        <f t="shared" si="23"/>
        <v>6.3816209317166583E-2</v>
      </c>
      <c r="O76" s="1"/>
      <c r="P76" s="1">
        <f>12/37</f>
        <v>0.32432432432432434</v>
      </c>
      <c r="Q76" s="1">
        <f>1/8</f>
        <v>0.125</v>
      </c>
      <c r="R76" s="1">
        <v>6</v>
      </c>
      <c r="S76" s="1">
        <v>12</v>
      </c>
      <c r="T76" s="1">
        <v>4</v>
      </c>
      <c r="U76" s="1" t="s">
        <v>78</v>
      </c>
      <c r="V76" s="1">
        <v>0</v>
      </c>
      <c r="W76" s="1">
        <f t="shared" si="12"/>
        <v>0</v>
      </c>
      <c r="X76" s="1">
        <f t="shared" si="13"/>
        <v>0</v>
      </c>
      <c r="Y76" s="1">
        <f t="shared" si="14"/>
        <v>1</v>
      </c>
      <c r="Z76" s="1">
        <f t="shared" si="15"/>
        <v>1</v>
      </c>
      <c r="AA76" s="1">
        <f t="shared" si="16"/>
        <v>0</v>
      </c>
      <c r="AB76" s="1">
        <f t="shared" si="17"/>
        <v>1</v>
      </c>
      <c r="AE76" s="1">
        <v>0</v>
      </c>
      <c r="AF76" s="1">
        <v>0</v>
      </c>
      <c r="AG76" s="1">
        <v>0</v>
      </c>
      <c r="AH76" s="1">
        <v>1</v>
      </c>
      <c r="AI76">
        <v>70</v>
      </c>
      <c r="AJ76">
        <v>138</v>
      </c>
      <c r="AK76">
        <v>-68</v>
      </c>
      <c r="AL76">
        <v>6</v>
      </c>
      <c r="AM76">
        <v>15</v>
      </c>
      <c r="AN76">
        <v>0</v>
      </c>
      <c r="AO76">
        <v>0</v>
      </c>
      <c r="AP76">
        <v>2</v>
      </c>
      <c r="AQ76" s="1">
        <f t="shared" si="18"/>
        <v>7.2463768115942018E-2</v>
      </c>
      <c r="AR76" s="1">
        <f t="shared" si="19"/>
        <v>4.7619047619047672E-2</v>
      </c>
      <c r="AS76" s="1">
        <f t="shared" si="20"/>
        <v>0.1228070175438597</v>
      </c>
      <c r="AT76" s="1"/>
      <c r="AU76" s="1">
        <f>25/91</f>
        <v>0.27472527472527475</v>
      </c>
      <c r="AV76" s="1">
        <f>4/29</f>
        <v>0.13793103448275862</v>
      </c>
    </row>
    <row r="77" spans="1:48" x14ac:dyDescent="0.2">
      <c r="A77" s="1" t="s">
        <v>4</v>
      </c>
      <c r="B77" s="1">
        <v>2012</v>
      </c>
      <c r="C77" s="1">
        <v>6</v>
      </c>
      <c r="D77">
        <v>70</v>
      </c>
      <c r="E77">
        <v>138</v>
      </c>
      <c r="F77">
        <v>-68</v>
      </c>
      <c r="G77">
        <v>6</v>
      </c>
      <c r="H77">
        <v>15</v>
      </c>
      <c r="I77">
        <v>0</v>
      </c>
      <c r="J77">
        <v>0</v>
      </c>
      <c r="K77">
        <v>2</v>
      </c>
      <c r="L77" s="1">
        <f t="shared" si="21"/>
        <v>7.2463768115942018E-2</v>
      </c>
      <c r="M77" s="1">
        <f t="shared" si="22"/>
        <v>4.7619047619047672E-2</v>
      </c>
      <c r="N77" s="1">
        <f t="shared" si="23"/>
        <v>0.1228070175438597</v>
      </c>
      <c r="O77" s="1"/>
      <c r="P77" s="1">
        <f>25/91</f>
        <v>0.27472527472527475</v>
      </c>
      <c r="Q77" s="1">
        <f>4/29</f>
        <v>0.13793103448275862</v>
      </c>
      <c r="R77" s="1">
        <v>5</v>
      </c>
      <c r="S77" s="1">
        <v>12</v>
      </c>
      <c r="T77" s="1">
        <v>1</v>
      </c>
      <c r="U77" s="1" t="s">
        <v>68</v>
      </c>
      <c r="V77" s="1">
        <v>0</v>
      </c>
      <c r="W77" s="1">
        <f t="shared" si="12"/>
        <v>0</v>
      </c>
      <c r="X77" s="1">
        <f t="shared" si="13"/>
        <v>1</v>
      </c>
      <c r="Y77" s="1">
        <f t="shared" si="14"/>
        <v>0</v>
      </c>
      <c r="Z77" s="1">
        <f t="shared" si="15"/>
        <v>0</v>
      </c>
      <c r="AA77" s="1">
        <f t="shared" si="16"/>
        <v>0</v>
      </c>
      <c r="AB77" s="1">
        <f t="shared" si="17"/>
        <v>0</v>
      </c>
      <c r="AE77" s="1">
        <v>1</v>
      </c>
      <c r="AF77" s="1">
        <v>1</v>
      </c>
      <c r="AG77" s="1">
        <v>0</v>
      </c>
      <c r="AH77" s="1">
        <v>0</v>
      </c>
      <c r="AI77">
        <v>53</v>
      </c>
      <c r="AJ77">
        <v>121</v>
      </c>
      <c r="AK77">
        <v>-68</v>
      </c>
      <c r="AL77">
        <v>4</v>
      </c>
      <c r="AM77">
        <v>12</v>
      </c>
      <c r="AN77">
        <v>0</v>
      </c>
      <c r="AO77">
        <v>0</v>
      </c>
      <c r="AP77">
        <v>2</v>
      </c>
      <c r="AQ77" s="1">
        <f t="shared" si="18"/>
        <v>0.21259842519685035</v>
      </c>
      <c r="AR77" s="1">
        <f t="shared" si="19"/>
        <v>8.6956521739130488E-2</v>
      </c>
      <c r="AS77" s="1">
        <f t="shared" si="20"/>
        <v>0.10905125408942207</v>
      </c>
      <c r="AT77" s="1"/>
      <c r="AU77" s="1">
        <f>33/83</f>
        <v>0.39759036144578314</v>
      </c>
      <c r="AV77" s="1">
        <f>1/14</f>
        <v>7.1428571428571425E-2</v>
      </c>
    </row>
    <row r="78" spans="1:48" x14ac:dyDescent="0.2">
      <c r="A78" s="1" t="s">
        <v>4</v>
      </c>
      <c r="B78" s="1">
        <v>2013</v>
      </c>
      <c r="C78" s="1">
        <v>5</v>
      </c>
      <c r="D78">
        <v>53</v>
      </c>
      <c r="E78">
        <v>121</v>
      </c>
      <c r="F78">
        <v>-68</v>
      </c>
      <c r="G78">
        <v>4</v>
      </c>
      <c r="H78">
        <v>12</v>
      </c>
      <c r="I78">
        <v>0</v>
      </c>
      <c r="J78">
        <v>0</v>
      </c>
      <c r="K78">
        <v>2</v>
      </c>
      <c r="L78" s="1">
        <f t="shared" si="21"/>
        <v>0.21259842519685035</v>
      </c>
      <c r="M78" s="1">
        <f t="shared" si="22"/>
        <v>8.6956521739130488E-2</v>
      </c>
      <c r="N78" s="1">
        <f t="shared" si="23"/>
        <v>0.10905125408942207</v>
      </c>
      <c r="O78" s="1"/>
      <c r="P78" s="1">
        <f>33/83</f>
        <v>0.39759036144578314</v>
      </c>
      <c r="Q78" s="1">
        <f>1/14</f>
        <v>7.1428571428571425E-2</v>
      </c>
      <c r="R78" s="1">
        <v>4</v>
      </c>
      <c r="S78" s="1">
        <v>10</v>
      </c>
      <c r="T78" s="1">
        <v>2</v>
      </c>
      <c r="U78" s="1" t="s">
        <v>68</v>
      </c>
      <c r="V78" s="1">
        <v>0</v>
      </c>
      <c r="W78" s="1">
        <f t="shared" si="12"/>
        <v>0</v>
      </c>
      <c r="X78" s="1">
        <f t="shared" si="13"/>
        <v>0</v>
      </c>
      <c r="Y78" s="1">
        <f t="shared" si="14"/>
        <v>1</v>
      </c>
      <c r="Z78" s="1">
        <f t="shared" si="15"/>
        <v>1</v>
      </c>
      <c r="AA78" s="1">
        <f t="shared" si="16"/>
        <v>1</v>
      </c>
      <c r="AB78" s="1">
        <f t="shared" si="17"/>
        <v>1</v>
      </c>
      <c r="AE78" s="1">
        <v>0</v>
      </c>
      <c r="AF78" s="1">
        <v>0</v>
      </c>
      <c r="AG78" s="1">
        <v>0</v>
      </c>
      <c r="AH78" s="1">
        <v>1</v>
      </c>
      <c r="AI78">
        <v>75</v>
      </c>
      <c r="AJ78">
        <v>111</v>
      </c>
      <c r="AK78">
        <v>-36</v>
      </c>
      <c r="AL78">
        <v>5</v>
      </c>
      <c r="AM78">
        <v>8</v>
      </c>
      <c r="AN78">
        <v>0</v>
      </c>
      <c r="AO78">
        <v>0</v>
      </c>
      <c r="AP78">
        <v>4</v>
      </c>
      <c r="AQ78" s="1">
        <f t="shared" si="18"/>
        <v>4.8780487804878092E-2</v>
      </c>
      <c r="AR78" s="1">
        <f t="shared" si="19"/>
        <v>9.0909090909090939E-2</v>
      </c>
      <c r="AS78" s="1">
        <f t="shared" si="20"/>
        <v>0.28057553956834536</v>
      </c>
      <c r="AT78" s="1"/>
      <c r="AU78" s="1">
        <f>25/64</f>
        <v>0.390625</v>
      </c>
      <c r="AV78" s="1">
        <f>13/63</f>
        <v>0.20634920634920634</v>
      </c>
    </row>
    <row r="79" spans="1:48" x14ac:dyDescent="0.2">
      <c r="A79" s="1" t="s">
        <v>4</v>
      </c>
      <c r="B79" s="1">
        <v>2014</v>
      </c>
      <c r="C79" s="1">
        <v>4</v>
      </c>
      <c r="D79">
        <v>75</v>
      </c>
      <c r="E79">
        <v>111</v>
      </c>
      <c r="F79">
        <v>-36</v>
      </c>
      <c r="G79">
        <v>5</v>
      </c>
      <c r="H79">
        <v>8</v>
      </c>
      <c r="I79">
        <v>0</v>
      </c>
      <c r="J79">
        <v>0</v>
      </c>
      <c r="K79">
        <v>4</v>
      </c>
      <c r="L79" s="1">
        <f t="shared" si="21"/>
        <v>4.8780487804878092E-2</v>
      </c>
      <c r="M79" s="1">
        <f t="shared" si="22"/>
        <v>9.0909090909090939E-2</v>
      </c>
      <c r="N79" s="1">
        <f t="shared" si="23"/>
        <v>0.28057553956834536</v>
      </c>
      <c r="O79" s="1"/>
      <c r="P79" s="1">
        <f>25/64</f>
        <v>0.390625</v>
      </c>
      <c r="Q79" s="1">
        <f>13/63</f>
        <v>0.20634920634920634</v>
      </c>
      <c r="R79" s="1">
        <v>6</v>
      </c>
      <c r="S79" s="1">
        <v>13</v>
      </c>
      <c r="T79" s="1">
        <v>3</v>
      </c>
      <c r="U79" s="1" t="s">
        <v>68</v>
      </c>
      <c r="V79" s="1">
        <v>0</v>
      </c>
      <c r="W79" s="1">
        <f t="shared" si="12"/>
        <v>0</v>
      </c>
      <c r="X79" s="1">
        <f t="shared" si="13"/>
        <v>1</v>
      </c>
      <c r="Y79" s="1">
        <f t="shared" si="14"/>
        <v>0</v>
      </c>
      <c r="Z79" s="1">
        <f t="shared" si="15"/>
        <v>0</v>
      </c>
      <c r="AA79" s="1">
        <f t="shared" si="16"/>
        <v>0</v>
      </c>
      <c r="AB79" s="1">
        <f t="shared" si="17"/>
        <v>0</v>
      </c>
      <c r="AE79" s="1">
        <v>0</v>
      </c>
      <c r="AF79" s="1">
        <v>1</v>
      </c>
      <c r="AG79" s="1">
        <v>0</v>
      </c>
      <c r="AH79" s="1">
        <v>0</v>
      </c>
      <c r="AI79">
        <v>63</v>
      </c>
      <c r="AJ79">
        <v>172</v>
      </c>
      <c r="AK79">
        <v>-109</v>
      </c>
      <c r="AL79">
        <v>7</v>
      </c>
      <c r="AM79">
        <v>21</v>
      </c>
      <c r="AN79">
        <v>0</v>
      </c>
      <c r="AO79">
        <v>0</v>
      </c>
      <c r="AP79">
        <v>0</v>
      </c>
      <c r="AQ79" s="1">
        <f t="shared" si="18"/>
        <v>2.9126213592232997E-2</v>
      </c>
      <c r="AR79" s="1">
        <f t="shared" si="19"/>
        <v>8.6956521739130488E-2</v>
      </c>
      <c r="AS79" s="1">
        <f t="shared" si="20"/>
        <v>6.4935064935064957E-2</v>
      </c>
      <c r="AT79" s="1"/>
      <c r="AU79" s="1">
        <f>31/51</f>
        <v>0.60784313725490191</v>
      </c>
      <c r="AV79" s="1">
        <f>25/314</f>
        <v>7.9617834394904455E-2</v>
      </c>
    </row>
    <row r="80" spans="1:48" x14ac:dyDescent="0.2">
      <c r="A80" s="1" t="s">
        <v>4</v>
      </c>
      <c r="B80" s="1">
        <v>2015</v>
      </c>
      <c r="C80" s="1">
        <v>6</v>
      </c>
      <c r="D80">
        <v>63</v>
      </c>
      <c r="E80">
        <v>172</v>
      </c>
      <c r="F80">
        <v>-109</v>
      </c>
      <c r="G80">
        <v>7</v>
      </c>
      <c r="H80">
        <v>21</v>
      </c>
      <c r="I80">
        <v>0</v>
      </c>
      <c r="J80">
        <v>0</v>
      </c>
      <c r="K80">
        <v>0</v>
      </c>
      <c r="L80" s="1">
        <f t="shared" si="21"/>
        <v>2.9126213592232997E-2</v>
      </c>
      <c r="M80" s="1">
        <f t="shared" si="22"/>
        <v>8.6956521739130488E-2</v>
      </c>
      <c r="N80" s="1">
        <f t="shared" si="23"/>
        <v>6.4935064935064957E-2</v>
      </c>
      <c r="O80" s="1"/>
      <c r="P80" s="1">
        <f>31/51</f>
        <v>0.60784313725490191</v>
      </c>
      <c r="Q80" s="1">
        <f>25/314</f>
        <v>7.9617834394904455E-2</v>
      </c>
      <c r="R80" s="1">
        <v>5</v>
      </c>
      <c r="S80" s="1">
        <v>14</v>
      </c>
      <c r="T80" s="1">
        <v>4</v>
      </c>
      <c r="U80" s="1" t="s">
        <v>68</v>
      </c>
      <c r="V80" s="1">
        <v>0</v>
      </c>
      <c r="W80" s="1">
        <f t="shared" si="12"/>
        <v>0</v>
      </c>
      <c r="X80" s="1">
        <f t="shared" si="13"/>
        <v>0</v>
      </c>
      <c r="Y80" s="1">
        <f t="shared" si="14"/>
        <v>0</v>
      </c>
      <c r="Z80" s="1">
        <f t="shared" si="15"/>
        <v>1</v>
      </c>
      <c r="AA80" s="1">
        <f t="shared" si="16"/>
        <v>0</v>
      </c>
      <c r="AB80" s="1">
        <f t="shared" si="17"/>
        <v>1</v>
      </c>
      <c r="AE80" s="1">
        <v>1</v>
      </c>
      <c r="AF80" s="1">
        <v>0</v>
      </c>
      <c r="AG80" s="1">
        <v>0</v>
      </c>
      <c r="AH80" s="1">
        <v>1</v>
      </c>
      <c r="AI80">
        <v>50</v>
      </c>
      <c r="AJ80">
        <v>201</v>
      </c>
      <c r="AK80">
        <v>-151</v>
      </c>
      <c r="AL80">
        <v>6</v>
      </c>
      <c r="AM80">
        <v>26</v>
      </c>
      <c r="AN80">
        <v>0</v>
      </c>
      <c r="AO80">
        <v>0</v>
      </c>
      <c r="AP80">
        <v>0</v>
      </c>
      <c r="AQ80" s="1">
        <f t="shared" si="18"/>
        <v>5.1706308169596649E-2</v>
      </c>
      <c r="AR80" s="1">
        <f t="shared" si="19"/>
        <v>0.24242424242424243</v>
      </c>
      <c r="AS80" s="1">
        <f t="shared" si="20"/>
        <v>0.13043478260869568</v>
      </c>
      <c r="AT80" s="1"/>
      <c r="AU80" s="1">
        <f>100/629</f>
        <v>0.1589825119236884</v>
      </c>
      <c r="AV80" s="1">
        <f>1/26</f>
        <v>3.8461538461538464E-2</v>
      </c>
    </row>
    <row r="81" spans="1:48" x14ac:dyDescent="0.2">
      <c r="A81" s="1" t="s">
        <v>4</v>
      </c>
      <c r="B81" s="1">
        <v>2016</v>
      </c>
      <c r="C81" s="1">
        <v>6</v>
      </c>
      <c r="D81">
        <v>50</v>
      </c>
      <c r="E81">
        <v>201</v>
      </c>
      <c r="F81">
        <v>-151</v>
      </c>
      <c r="G81">
        <v>6</v>
      </c>
      <c r="H81">
        <v>26</v>
      </c>
      <c r="I81">
        <v>0</v>
      </c>
      <c r="J81">
        <v>0</v>
      </c>
      <c r="K81">
        <v>0</v>
      </c>
      <c r="L81" s="1">
        <f t="shared" si="21"/>
        <v>5.1706308169596649E-2</v>
      </c>
      <c r="M81" s="1">
        <f t="shared" si="22"/>
        <v>0.24242424242424243</v>
      </c>
      <c r="N81" s="1">
        <f t="shared" si="23"/>
        <v>0.13043478260869568</v>
      </c>
      <c r="O81" s="1"/>
      <c r="P81" s="1">
        <f>100/629</f>
        <v>0.1589825119236884</v>
      </c>
      <c r="Q81" s="1">
        <f>1/26</f>
        <v>3.8461538461538464E-2</v>
      </c>
      <c r="R81" s="1">
        <v>6</v>
      </c>
      <c r="S81" s="1">
        <v>12</v>
      </c>
      <c r="T81" s="1">
        <v>5</v>
      </c>
      <c r="U81" s="1" t="s">
        <v>68</v>
      </c>
      <c r="V81" s="1">
        <v>0</v>
      </c>
      <c r="W81" s="1">
        <f t="shared" si="12"/>
        <v>0</v>
      </c>
      <c r="X81" s="1">
        <f t="shared" si="13"/>
        <v>1</v>
      </c>
      <c r="Y81" s="1">
        <f t="shared" si="14"/>
        <v>0</v>
      </c>
      <c r="Z81" s="1">
        <f t="shared" si="15"/>
        <v>0</v>
      </c>
      <c r="AA81" s="1">
        <f t="shared" si="16"/>
        <v>0</v>
      </c>
      <c r="AB81" s="1">
        <f t="shared" si="17"/>
        <v>0</v>
      </c>
      <c r="AE81" s="1">
        <v>0</v>
      </c>
      <c r="AF81" s="1">
        <v>1</v>
      </c>
      <c r="AG81" s="1">
        <v>0</v>
      </c>
      <c r="AH81" s="1">
        <v>0</v>
      </c>
      <c r="AI81">
        <v>92</v>
      </c>
      <c r="AJ81">
        <v>203</v>
      </c>
      <c r="AK81">
        <v>-111</v>
      </c>
      <c r="AL81">
        <v>12</v>
      </c>
      <c r="AM81">
        <v>27</v>
      </c>
      <c r="AN81">
        <v>0</v>
      </c>
      <c r="AO81">
        <v>1</v>
      </c>
      <c r="AP81">
        <v>1</v>
      </c>
      <c r="AQ81" s="1">
        <f t="shared" si="18"/>
        <v>6.5420560747663559E-2</v>
      </c>
      <c r="AR81" s="1">
        <f t="shared" si="19"/>
        <v>7.7579519006982123E-2</v>
      </c>
      <c r="AS81" s="1">
        <f t="shared" si="20"/>
        <v>7.1787508973438663E-2</v>
      </c>
      <c r="AT81" s="1"/>
      <c r="AU81" s="1">
        <f>37/137</f>
        <v>0.27007299270072993</v>
      </c>
      <c r="AV81" s="1">
        <f>100/2711</f>
        <v>3.6886757654002213E-2</v>
      </c>
    </row>
    <row r="82" spans="1:48" x14ac:dyDescent="0.2">
      <c r="A82" s="1" t="s">
        <v>4</v>
      </c>
      <c r="B82" s="1">
        <v>2017</v>
      </c>
      <c r="C82" s="1">
        <v>6</v>
      </c>
      <c r="D82">
        <v>92</v>
      </c>
      <c r="E82">
        <v>203</v>
      </c>
      <c r="F82">
        <v>-111</v>
      </c>
      <c r="G82">
        <v>12</v>
      </c>
      <c r="H82">
        <v>27</v>
      </c>
      <c r="I82">
        <v>0</v>
      </c>
      <c r="J82">
        <v>1</v>
      </c>
      <c r="K82">
        <v>1</v>
      </c>
      <c r="L82" s="1">
        <f t="shared" si="21"/>
        <v>6.5420560747663559E-2</v>
      </c>
      <c r="M82" s="1">
        <f t="shared" si="22"/>
        <v>7.7579519006982123E-2</v>
      </c>
      <c r="N82" s="1">
        <f t="shared" si="23"/>
        <v>7.1787508973438663E-2</v>
      </c>
      <c r="O82" s="1"/>
      <c r="P82" s="1">
        <f>37/137</f>
        <v>0.27007299270072993</v>
      </c>
      <c r="Q82" s="1">
        <f>100/2711</f>
        <v>3.6886757654002213E-2</v>
      </c>
      <c r="R82" s="1">
        <v>6</v>
      </c>
      <c r="S82" s="1">
        <v>13</v>
      </c>
      <c r="T82" s="1">
        <v>1</v>
      </c>
      <c r="U82" s="1" t="s">
        <v>79</v>
      </c>
      <c r="V82" s="1">
        <v>0</v>
      </c>
      <c r="W82" s="1">
        <f t="shared" si="12"/>
        <v>0</v>
      </c>
      <c r="X82" s="1">
        <f t="shared" si="13"/>
        <v>0</v>
      </c>
      <c r="Y82" s="1">
        <f t="shared" si="14"/>
        <v>0</v>
      </c>
      <c r="Z82" s="1">
        <f t="shared" si="15"/>
        <v>1</v>
      </c>
      <c r="AA82" s="1">
        <f t="shared" si="16"/>
        <v>0</v>
      </c>
      <c r="AB82" s="1">
        <f t="shared" si="17"/>
        <v>1</v>
      </c>
      <c r="AE82" s="1">
        <v>0</v>
      </c>
      <c r="AF82" s="1">
        <v>0</v>
      </c>
      <c r="AG82" s="1">
        <v>0</v>
      </c>
      <c r="AH82" s="1">
        <v>1</v>
      </c>
      <c r="AI82">
        <v>79</v>
      </c>
      <c r="AJ82">
        <v>167</v>
      </c>
      <c r="AK82">
        <v>-88</v>
      </c>
      <c r="AL82">
        <v>10</v>
      </c>
      <c r="AM82">
        <v>22</v>
      </c>
      <c r="AN82">
        <v>0</v>
      </c>
      <c r="AO82">
        <v>0</v>
      </c>
      <c r="AP82">
        <v>0</v>
      </c>
      <c r="AQ82" s="1">
        <f t="shared" si="18"/>
        <v>2.8089887640449396E-2</v>
      </c>
      <c r="AR82" s="1">
        <f t="shared" si="19"/>
        <v>6.5420560747663559E-2</v>
      </c>
      <c r="AS82" s="1">
        <f t="shared" si="20"/>
        <v>3.8461538461538436E-2</v>
      </c>
      <c r="AT82" s="1"/>
      <c r="AU82" s="1">
        <f>100/1267</f>
        <v>7.8926598263614839E-2</v>
      </c>
      <c r="AV82" s="1">
        <f>17/117</f>
        <v>0.14529914529914531</v>
      </c>
    </row>
    <row r="83" spans="1:48" x14ac:dyDescent="0.2">
      <c r="A83" s="1" t="s">
        <v>4</v>
      </c>
      <c r="B83" s="1">
        <v>2018</v>
      </c>
      <c r="C83" s="1">
        <v>6</v>
      </c>
      <c r="D83">
        <v>79</v>
      </c>
      <c r="E83">
        <v>167</v>
      </c>
      <c r="F83">
        <v>-88</v>
      </c>
      <c r="G83">
        <v>10</v>
      </c>
      <c r="H83">
        <v>22</v>
      </c>
      <c r="I83">
        <v>0</v>
      </c>
      <c r="J83">
        <v>0</v>
      </c>
      <c r="K83">
        <v>0</v>
      </c>
      <c r="L83" s="1">
        <f t="shared" si="21"/>
        <v>2.8089887640449396E-2</v>
      </c>
      <c r="M83" s="1">
        <f t="shared" si="22"/>
        <v>6.5420560747663559E-2</v>
      </c>
      <c r="N83" s="1">
        <f t="shared" si="23"/>
        <v>3.8461538461538436E-2</v>
      </c>
      <c r="O83" s="1"/>
      <c r="P83" s="1">
        <f>100/1267</f>
        <v>7.8926598263614839E-2</v>
      </c>
      <c r="Q83" s="1">
        <f>17/117</f>
        <v>0.14529914529914531</v>
      </c>
      <c r="R83" s="1">
        <v>6</v>
      </c>
      <c r="S83" s="1">
        <v>14</v>
      </c>
      <c r="T83" s="1">
        <v>2</v>
      </c>
      <c r="U83" s="1" t="s">
        <v>79</v>
      </c>
      <c r="V83" s="1">
        <v>0</v>
      </c>
      <c r="W83" s="1">
        <f t="shared" si="12"/>
        <v>0</v>
      </c>
      <c r="X83" s="1">
        <f t="shared" si="13"/>
        <v>1</v>
      </c>
      <c r="Y83" s="1">
        <f t="shared" si="14"/>
        <v>0</v>
      </c>
      <c r="Z83" s="1">
        <f t="shared" si="15"/>
        <v>0</v>
      </c>
      <c r="AA83" s="1">
        <f t="shared" si="16"/>
        <v>0</v>
      </c>
      <c r="AB83" s="1">
        <f t="shared" si="17"/>
        <v>0</v>
      </c>
      <c r="AE83" s="1">
        <v>0</v>
      </c>
      <c r="AF83" s="1">
        <v>1</v>
      </c>
      <c r="AG83" s="1">
        <v>0</v>
      </c>
      <c r="AH83" s="1">
        <v>0</v>
      </c>
      <c r="AI83">
        <v>92</v>
      </c>
      <c r="AJ83">
        <v>203</v>
      </c>
      <c r="AK83">
        <v>-111</v>
      </c>
      <c r="AL83">
        <v>12</v>
      </c>
      <c r="AM83">
        <v>27</v>
      </c>
      <c r="AN83">
        <v>0</v>
      </c>
      <c r="AO83">
        <v>1</v>
      </c>
      <c r="AP83">
        <v>1</v>
      </c>
      <c r="AQ83" s="1">
        <f t="shared" si="18"/>
        <v>1.9607843137254943E-2</v>
      </c>
      <c r="AR83" s="1">
        <f t="shared" si="19"/>
        <v>0.11668611435239207</v>
      </c>
      <c r="AS83" s="1">
        <f t="shared" si="20"/>
        <v>3.8955979742890556E-2</v>
      </c>
      <c r="AT83" s="1"/>
      <c r="AU83" s="1">
        <f>9/109</f>
        <v>8.2568807339449546E-2</v>
      </c>
      <c r="AV83" s="1">
        <f>5/82</f>
        <v>6.097560975609756E-2</v>
      </c>
    </row>
    <row r="84" spans="1:48" x14ac:dyDescent="0.2">
      <c r="A84" s="1" t="s">
        <v>4</v>
      </c>
      <c r="B84" s="1">
        <v>2019</v>
      </c>
      <c r="C84" s="1">
        <v>6</v>
      </c>
      <c r="D84">
        <v>92</v>
      </c>
      <c r="E84">
        <v>203</v>
      </c>
      <c r="F84">
        <v>-111</v>
      </c>
      <c r="G84">
        <v>12</v>
      </c>
      <c r="H84">
        <v>27</v>
      </c>
      <c r="I84">
        <v>0</v>
      </c>
      <c r="J84">
        <v>1</v>
      </c>
      <c r="K84">
        <v>1</v>
      </c>
      <c r="L84" s="1">
        <f t="shared" si="21"/>
        <v>1.9607843137254943E-2</v>
      </c>
      <c r="M84" s="1">
        <f t="shared" si="22"/>
        <v>0.11668611435239207</v>
      </c>
      <c r="N84" s="1">
        <f t="shared" si="23"/>
        <v>3.8955979742890556E-2</v>
      </c>
      <c r="O84" s="1"/>
      <c r="P84" s="1">
        <f>9/109</f>
        <v>8.2568807339449546E-2</v>
      </c>
      <c r="Q84" s="1">
        <f>5/82</f>
        <v>6.097560975609756E-2</v>
      </c>
      <c r="R84" s="1">
        <v>6</v>
      </c>
      <c r="S84" s="1">
        <v>15</v>
      </c>
      <c r="T84" s="1">
        <v>3</v>
      </c>
      <c r="U84" s="1" t="s">
        <v>79</v>
      </c>
      <c r="V84" s="1">
        <v>0</v>
      </c>
      <c r="W84" s="1">
        <f t="shared" si="12"/>
        <v>0</v>
      </c>
      <c r="X84" s="1">
        <f t="shared" si="13"/>
        <v>0</v>
      </c>
      <c r="Y84" s="1">
        <f t="shared" si="14"/>
        <v>0</v>
      </c>
      <c r="Z84" s="1">
        <f t="shared" si="15"/>
        <v>1</v>
      </c>
      <c r="AA84" s="1">
        <f t="shared" si="16"/>
        <v>0</v>
      </c>
      <c r="AB84" s="1">
        <f t="shared" si="17"/>
        <v>1</v>
      </c>
      <c r="AE84" s="1">
        <v>0</v>
      </c>
      <c r="AF84" s="1">
        <v>0</v>
      </c>
      <c r="AG84" s="1">
        <v>0</v>
      </c>
      <c r="AH84" s="1">
        <v>1</v>
      </c>
      <c r="AI84">
        <v>79</v>
      </c>
      <c r="AJ84">
        <v>167</v>
      </c>
      <c r="AK84">
        <v>-88</v>
      </c>
      <c r="AL84">
        <v>10</v>
      </c>
      <c r="AM84">
        <v>22</v>
      </c>
      <c r="AN84">
        <v>0</v>
      </c>
      <c r="AO84">
        <v>0</v>
      </c>
      <c r="AP84">
        <v>0</v>
      </c>
      <c r="AQ84" s="1">
        <f t="shared" si="18"/>
        <v>4.173622704507518E-2</v>
      </c>
      <c r="AR84" s="1">
        <f t="shared" si="19"/>
        <v>0.21259842519685035</v>
      </c>
      <c r="AS84" s="1">
        <f t="shared" si="20"/>
        <v>9.9009900990099098E-3</v>
      </c>
      <c r="AT84" s="1"/>
      <c r="AU84" s="1">
        <f>100/1089</f>
        <v>9.1827364554637275E-2</v>
      </c>
      <c r="AV84" s="1">
        <f>7/107</f>
        <v>6.5420560747663545E-2</v>
      </c>
    </row>
    <row r="85" spans="1:48" x14ac:dyDescent="0.2">
      <c r="A85" s="1" t="s">
        <v>4</v>
      </c>
      <c r="B85" s="1">
        <v>2020</v>
      </c>
      <c r="C85" s="1">
        <v>6</v>
      </c>
      <c r="D85">
        <v>79</v>
      </c>
      <c r="E85">
        <v>167</v>
      </c>
      <c r="F85">
        <v>-88</v>
      </c>
      <c r="G85">
        <v>10</v>
      </c>
      <c r="H85">
        <v>22</v>
      </c>
      <c r="I85">
        <v>0</v>
      </c>
      <c r="J85">
        <v>0</v>
      </c>
      <c r="K85">
        <v>0</v>
      </c>
      <c r="L85" s="1">
        <f t="shared" si="21"/>
        <v>4.173622704507518E-2</v>
      </c>
      <c r="M85" s="1">
        <f t="shared" si="22"/>
        <v>0.21259842519685035</v>
      </c>
      <c r="N85" s="1">
        <f t="shared" si="23"/>
        <v>9.9009900990099098E-3</v>
      </c>
      <c r="O85" s="1"/>
      <c r="P85" s="1">
        <f>100/1089</f>
        <v>9.1827364554637275E-2</v>
      </c>
      <c r="Q85" s="1">
        <f>7/107</f>
        <v>6.5420560747663545E-2</v>
      </c>
      <c r="R85" s="1"/>
      <c r="S85" s="1">
        <v>12</v>
      </c>
      <c r="T85" s="1">
        <v>0</v>
      </c>
      <c r="U85" s="1" t="s">
        <v>80</v>
      </c>
      <c r="V85" s="1"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">
      <c r="A86" s="1" t="s">
        <v>5</v>
      </c>
      <c r="B86" s="1">
        <v>2000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>
        <v>5</v>
      </c>
      <c r="S86" s="1"/>
      <c r="T86" s="1">
        <v>0</v>
      </c>
      <c r="U86" s="1" t="s">
        <v>81</v>
      </c>
      <c r="V86" s="1">
        <v>0</v>
      </c>
      <c r="W86" s="1">
        <v>1</v>
      </c>
      <c r="X86" s="1">
        <v>1</v>
      </c>
      <c r="Y86" s="1">
        <v>0</v>
      </c>
      <c r="Z86" s="1">
        <v>1</v>
      </c>
      <c r="AA86" s="1">
        <v>0</v>
      </c>
      <c r="AB86" s="1">
        <v>0</v>
      </c>
      <c r="AC86" s="1">
        <v>0</v>
      </c>
      <c r="AD86" s="1">
        <v>0</v>
      </c>
      <c r="AG86" s="1">
        <v>0</v>
      </c>
      <c r="AH86" s="1">
        <v>0</v>
      </c>
      <c r="AI86">
        <v>95</v>
      </c>
      <c r="AJ86">
        <v>145</v>
      </c>
      <c r="AK86">
        <v>-50</v>
      </c>
      <c r="AL86">
        <v>9</v>
      </c>
      <c r="AM86">
        <v>12</v>
      </c>
      <c r="AN86">
        <v>0</v>
      </c>
      <c r="AO86">
        <v>0</v>
      </c>
      <c r="AP86">
        <v>2</v>
      </c>
      <c r="AQ86" s="1"/>
      <c r="AR86" s="1"/>
      <c r="AS86" s="1"/>
      <c r="AT86" s="1"/>
      <c r="AU86" s="1"/>
      <c r="AV86" s="1"/>
    </row>
    <row r="87" spans="1:48" x14ac:dyDescent="0.2">
      <c r="A87" s="1" t="s">
        <v>5</v>
      </c>
      <c r="B87" s="1">
        <v>2001</v>
      </c>
      <c r="C87" s="1">
        <v>5</v>
      </c>
      <c r="D87">
        <v>95</v>
      </c>
      <c r="E87">
        <v>145</v>
      </c>
      <c r="F87">
        <v>-50</v>
      </c>
      <c r="G87">
        <v>9</v>
      </c>
      <c r="H87">
        <v>12</v>
      </c>
      <c r="I87">
        <v>0</v>
      </c>
      <c r="J87">
        <v>0</v>
      </c>
      <c r="K87">
        <v>2</v>
      </c>
      <c r="L87" s="1"/>
      <c r="M87" s="1"/>
      <c r="N87" s="1"/>
      <c r="O87" s="1"/>
      <c r="P87" s="1"/>
      <c r="Q87" s="1"/>
      <c r="R87" s="1">
        <v>3</v>
      </c>
      <c r="S87" s="1"/>
      <c r="T87" s="1">
        <v>1</v>
      </c>
      <c r="U87" s="1" t="s">
        <v>81</v>
      </c>
      <c r="V87" s="1">
        <v>0</v>
      </c>
      <c r="W87" s="1">
        <f t="shared" ref="W87:W105" si="24">1-AE3</f>
        <v>0</v>
      </c>
      <c r="X87" s="1">
        <f t="shared" ref="X87:X105" si="25">1-AF3</f>
        <v>0</v>
      </c>
      <c r="Y87" s="1">
        <f t="shared" ref="Y87:Y105" si="26">1-AE24</f>
        <v>0</v>
      </c>
      <c r="Z87" s="1">
        <f t="shared" ref="Z87:Z105" si="27">1-AF24</f>
        <v>0</v>
      </c>
      <c r="AA87" s="1">
        <f t="shared" ref="AA87:AA105" si="28">1-AE45</f>
        <v>1</v>
      </c>
      <c r="AB87" s="1">
        <f t="shared" ref="AB87:AB105" si="29">1-AF45</f>
        <v>1</v>
      </c>
      <c r="AC87" s="1">
        <f t="shared" ref="AC87:AC105" si="30">1-AE66</f>
        <v>1</v>
      </c>
      <c r="AD87" s="1">
        <f t="shared" ref="AD87:AD105" si="31">1-AF66</f>
        <v>1</v>
      </c>
      <c r="AG87" s="1">
        <v>0.5</v>
      </c>
      <c r="AH87" s="1">
        <v>1</v>
      </c>
      <c r="AI87">
        <v>92</v>
      </c>
      <c r="AJ87">
        <v>116</v>
      </c>
      <c r="AK87">
        <v>-24</v>
      </c>
      <c r="AL87">
        <v>8</v>
      </c>
      <c r="AM87">
        <v>10</v>
      </c>
      <c r="AN87">
        <v>0</v>
      </c>
      <c r="AO87">
        <v>0</v>
      </c>
      <c r="AP87">
        <v>5</v>
      </c>
      <c r="AQ87" s="1"/>
      <c r="AR87" s="1"/>
      <c r="AS87" s="1"/>
      <c r="AT87" s="1"/>
      <c r="AU87" s="1"/>
      <c r="AV87" s="1"/>
    </row>
    <row r="88" spans="1:48" x14ac:dyDescent="0.2">
      <c r="A88" s="1" t="s">
        <v>5</v>
      </c>
      <c r="B88" s="1">
        <v>2002</v>
      </c>
      <c r="C88" s="1">
        <v>3</v>
      </c>
      <c r="D88">
        <v>92</v>
      </c>
      <c r="E88">
        <v>116</v>
      </c>
      <c r="F88">
        <v>-24</v>
      </c>
      <c r="G88">
        <v>8</v>
      </c>
      <c r="H88">
        <v>10</v>
      </c>
      <c r="I88">
        <v>0</v>
      </c>
      <c r="J88">
        <v>0</v>
      </c>
      <c r="K88">
        <v>5</v>
      </c>
      <c r="L88" s="1"/>
      <c r="M88" s="1"/>
      <c r="N88" s="1"/>
      <c r="O88" s="1"/>
      <c r="P88" s="1"/>
      <c r="Q88" s="1"/>
      <c r="R88" s="1">
        <v>4</v>
      </c>
      <c r="S88" s="1"/>
      <c r="T88" s="1">
        <v>2</v>
      </c>
      <c r="U88" s="1" t="s">
        <v>81</v>
      </c>
      <c r="V88" s="1">
        <v>0</v>
      </c>
      <c r="W88" s="1">
        <f t="shared" si="24"/>
        <v>0</v>
      </c>
      <c r="X88" s="1">
        <f t="shared" si="25"/>
        <v>1</v>
      </c>
      <c r="Y88" s="1">
        <f t="shared" si="26"/>
        <v>0</v>
      </c>
      <c r="Z88" s="1">
        <f t="shared" si="27"/>
        <v>1</v>
      </c>
      <c r="AA88" s="1">
        <f t="shared" si="28"/>
        <v>0</v>
      </c>
      <c r="AB88" s="1">
        <f t="shared" si="29"/>
        <v>0</v>
      </c>
      <c r="AC88" s="1">
        <f t="shared" si="30"/>
        <v>1</v>
      </c>
      <c r="AD88" s="1">
        <f t="shared" si="31"/>
        <v>0</v>
      </c>
      <c r="AG88" s="1">
        <v>1</v>
      </c>
      <c r="AH88" s="1">
        <v>0</v>
      </c>
      <c r="AI88">
        <v>91</v>
      </c>
      <c r="AJ88">
        <v>128</v>
      </c>
      <c r="AK88">
        <v>-37</v>
      </c>
      <c r="AL88">
        <v>6</v>
      </c>
      <c r="AM88">
        <v>13</v>
      </c>
      <c r="AN88">
        <v>0</v>
      </c>
      <c r="AO88">
        <v>0</v>
      </c>
      <c r="AP88">
        <v>4</v>
      </c>
      <c r="AQ88" s="1"/>
      <c r="AR88" s="1"/>
      <c r="AS88" s="1"/>
      <c r="AT88" s="1"/>
      <c r="AU88" s="1"/>
      <c r="AV88" s="1"/>
    </row>
    <row r="89" spans="1:48" x14ac:dyDescent="0.2">
      <c r="A89" s="1" t="s">
        <v>5</v>
      </c>
      <c r="B89" s="1">
        <v>2003</v>
      </c>
      <c r="C89" s="1">
        <v>4</v>
      </c>
      <c r="D89">
        <v>91</v>
      </c>
      <c r="E89">
        <v>128</v>
      </c>
      <c r="F89">
        <v>-37</v>
      </c>
      <c r="G89">
        <v>6</v>
      </c>
      <c r="H89">
        <v>13</v>
      </c>
      <c r="I89">
        <v>0</v>
      </c>
      <c r="J89">
        <v>0</v>
      </c>
      <c r="K89">
        <v>4</v>
      </c>
      <c r="L89" s="1"/>
      <c r="M89" s="1"/>
      <c r="N89" s="1"/>
      <c r="O89" s="1"/>
      <c r="P89" s="1"/>
      <c r="Q89" s="1"/>
      <c r="R89" s="1">
        <v>4</v>
      </c>
      <c r="S89" s="1">
        <v>10</v>
      </c>
      <c r="T89" s="1">
        <v>3</v>
      </c>
      <c r="U89" s="1" t="s">
        <v>81</v>
      </c>
      <c r="V89" s="1">
        <v>0</v>
      </c>
      <c r="W89" s="1">
        <f t="shared" si="24"/>
        <v>0</v>
      </c>
      <c r="X89" s="1">
        <f t="shared" si="25"/>
        <v>0</v>
      </c>
      <c r="Y89" s="1">
        <f t="shared" si="26"/>
        <v>0</v>
      </c>
      <c r="Z89" s="1">
        <f t="shared" si="27"/>
        <v>0</v>
      </c>
      <c r="AA89" s="1">
        <f t="shared" si="28"/>
        <v>0</v>
      </c>
      <c r="AB89" s="1">
        <f t="shared" si="29"/>
        <v>1</v>
      </c>
      <c r="AC89" s="1">
        <f t="shared" si="30"/>
        <v>1</v>
      </c>
      <c r="AD89" s="1">
        <f t="shared" si="31"/>
        <v>1</v>
      </c>
      <c r="AG89" s="1">
        <v>1</v>
      </c>
      <c r="AH89" s="1">
        <v>1</v>
      </c>
      <c r="AI89">
        <v>81</v>
      </c>
      <c r="AJ89">
        <v>161</v>
      </c>
      <c r="AK89">
        <v>-80</v>
      </c>
      <c r="AL89">
        <v>7</v>
      </c>
      <c r="AM89">
        <v>17</v>
      </c>
      <c r="AN89">
        <v>0</v>
      </c>
      <c r="AO89">
        <v>0</v>
      </c>
      <c r="AP89">
        <v>4</v>
      </c>
      <c r="AQ89" s="1"/>
      <c r="AR89" s="1"/>
      <c r="AS89" s="1"/>
      <c r="AT89" s="1"/>
      <c r="AU89" s="1"/>
      <c r="AV89" s="1"/>
    </row>
    <row r="90" spans="1:48" x14ac:dyDescent="0.2">
      <c r="A90" s="1" t="s">
        <v>5</v>
      </c>
      <c r="B90" s="1">
        <v>2004</v>
      </c>
      <c r="C90" s="1">
        <v>4</v>
      </c>
      <c r="D90">
        <v>81</v>
      </c>
      <c r="E90">
        <v>161</v>
      </c>
      <c r="F90">
        <v>-80</v>
      </c>
      <c r="G90">
        <v>7</v>
      </c>
      <c r="H90">
        <v>17</v>
      </c>
      <c r="I90">
        <v>0</v>
      </c>
      <c r="J90">
        <v>0</v>
      </c>
      <c r="K90">
        <v>4</v>
      </c>
      <c r="L90" s="1"/>
      <c r="M90" s="1"/>
      <c r="N90" s="1"/>
      <c r="O90" s="1"/>
      <c r="P90" s="1"/>
      <c r="Q90" s="1"/>
      <c r="R90" s="1">
        <v>6</v>
      </c>
      <c r="S90" s="1">
        <v>9</v>
      </c>
      <c r="T90" s="1">
        <v>1</v>
      </c>
      <c r="U90" s="1" t="s">
        <v>82</v>
      </c>
      <c r="V90" s="1">
        <v>0</v>
      </c>
      <c r="W90" s="1">
        <f t="shared" si="24"/>
        <v>0</v>
      </c>
      <c r="X90" s="1">
        <f t="shared" si="25"/>
        <v>1</v>
      </c>
      <c r="Y90" s="1">
        <f t="shared" si="26"/>
        <v>0</v>
      </c>
      <c r="Z90" s="1">
        <f t="shared" si="27"/>
        <v>1</v>
      </c>
      <c r="AA90" s="1">
        <f t="shared" si="28"/>
        <v>0</v>
      </c>
      <c r="AB90" s="1">
        <f t="shared" si="29"/>
        <v>0</v>
      </c>
      <c r="AC90" s="1">
        <f t="shared" si="30"/>
        <v>0</v>
      </c>
      <c r="AD90" s="1">
        <f t="shared" si="31"/>
        <v>0</v>
      </c>
      <c r="AG90" s="1">
        <v>0</v>
      </c>
      <c r="AH90" s="1">
        <v>0</v>
      </c>
      <c r="AI90">
        <v>53</v>
      </c>
      <c r="AJ90">
        <v>146</v>
      </c>
      <c r="AK90">
        <v>-93</v>
      </c>
      <c r="AL90">
        <v>4</v>
      </c>
      <c r="AM90">
        <v>16</v>
      </c>
      <c r="AN90">
        <v>0</v>
      </c>
      <c r="AO90">
        <v>0</v>
      </c>
      <c r="AP90">
        <v>0</v>
      </c>
      <c r="AQ90" s="1"/>
      <c r="AR90" s="1"/>
      <c r="AS90" s="1"/>
      <c r="AT90" s="1"/>
      <c r="AU90" s="1"/>
      <c r="AV90" s="1"/>
    </row>
    <row r="91" spans="1:48" x14ac:dyDescent="0.2">
      <c r="A91" s="1" t="s">
        <v>5</v>
      </c>
      <c r="B91" s="1">
        <v>2005</v>
      </c>
      <c r="C91" s="1">
        <v>6</v>
      </c>
      <c r="D91">
        <v>53</v>
      </c>
      <c r="E91">
        <v>146</v>
      </c>
      <c r="F91">
        <v>-93</v>
      </c>
      <c r="G91">
        <v>4</v>
      </c>
      <c r="H91">
        <v>16</v>
      </c>
      <c r="I91">
        <v>0</v>
      </c>
      <c r="J91">
        <v>0</v>
      </c>
      <c r="K91">
        <v>0</v>
      </c>
      <c r="L91" s="1"/>
      <c r="M91" s="1"/>
      <c r="N91" s="1"/>
      <c r="O91" s="1"/>
      <c r="P91" s="1"/>
      <c r="Q91" s="1"/>
      <c r="R91" s="1">
        <v>5</v>
      </c>
      <c r="S91" s="1">
        <v>9</v>
      </c>
      <c r="T91" s="1">
        <v>2</v>
      </c>
      <c r="U91" s="1" t="s">
        <v>82</v>
      </c>
      <c r="V91" s="1">
        <v>0</v>
      </c>
      <c r="W91" s="1">
        <f t="shared" si="24"/>
        <v>0</v>
      </c>
      <c r="X91" s="1">
        <f t="shared" si="25"/>
        <v>0</v>
      </c>
      <c r="Y91" s="1">
        <f t="shared" si="26"/>
        <v>0</v>
      </c>
      <c r="Z91" s="1">
        <f t="shared" si="27"/>
        <v>0</v>
      </c>
      <c r="AA91" s="1">
        <f t="shared" si="28"/>
        <v>0</v>
      </c>
      <c r="AB91" s="1">
        <f t="shared" si="29"/>
        <v>1</v>
      </c>
      <c r="AC91" s="1">
        <f t="shared" si="30"/>
        <v>1</v>
      </c>
      <c r="AD91" s="1">
        <f t="shared" si="31"/>
        <v>1</v>
      </c>
      <c r="AG91" s="1">
        <v>0</v>
      </c>
      <c r="AH91" s="1">
        <v>1</v>
      </c>
      <c r="AI91">
        <v>84</v>
      </c>
      <c r="AJ91">
        <v>155</v>
      </c>
      <c r="AK91">
        <v>-71</v>
      </c>
      <c r="AL91">
        <v>8</v>
      </c>
      <c r="AM91">
        <v>20</v>
      </c>
      <c r="AN91">
        <v>0</v>
      </c>
      <c r="AO91">
        <v>0</v>
      </c>
      <c r="AP91">
        <v>2</v>
      </c>
      <c r="AQ91" s="1"/>
      <c r="AR91" s="1"/>
      <c r="AS91" s="1"/>
      <c r="AT91" s="1"/>
      <c r="AU91" s="1"/>
      <c r="AV91" s="1"/>
    </row>
    <row r="92" spans="1:48" x14ac:dyDescent="0.2">
      <c r="A92" s="1" t="s">
        <v>5</v>
      </c>
      <c r="B92" s="1">
        <v>2006</v>
      </c>
      <c r="C92" s="1">
        <v>5</v>
      </c>
      <c r="D92">
        <v>84</v>
      </c>
      <c r="E92">
        <v>155</v>
      </c>
      <c r="F92">
        <v>-71</v>
      </c>
      <c r="G92">
        <v>8</v>
      </c>
      <c r="H92">
        <v>20</v>
      </c>
      <c r="I92">
        <v>0</v>
      </c>
      <c r="J92">
        <v>0</v>
      </c>
      <c r="K92">
        <v>2</v>
      </c>
      <c r="L92" s="1"/>
      <c r="M92" s="1"/>
      <c r="N92" s="1"/>
      <c r="O92" s="1"/>
      <c r="P92" s="1"/>
      <c r="Q92" s="1"/>
      <c r="R92" s="1">
        <v>3</v>
      </c>
      <c r="S92" s="1">
        <v>10</v>
      </c>
      <c r="T92" s="1">
        <v>1</v>
      </c>
      <c r="U92" s="1" t="s">
        <v>83</v>
      </c>
      <c r="V92" s="1">
        <v>0</v>
      </c>
      <c r="W92" s="1">
        <f t="shared" si="24"/>
        <v>1</v>
      </c>
      <c r="X92" s="1">
        <f t="shared" si="25"/>
        <v>1</v>
      </c>
      <c r="Y92" s="1">
        <f t="shared" si="26"/>
        <v>1</v>
      </c>
      <c r="Z92" s="1">
        <f t="shared" si="27"/>
        <v>1</v>
      </c>
      <c r="AA92" s="1">
        <f t="shared" si="28"/>
        <v>0</v>
      </c>
      <c r="AB92" s="1">
        <f t="shared" si="29"/>
        <v>0</v>
      </c>
      <c r="AC92" s="1">
        <f t="shared" si="30"/>
        <v>1</v>
      </c>
      <c r="AD92" s="1">
        <f t="shared" si="31"/>
        <v>0</v>
      </c>
      <c r="AG92" s="1">
        <v>0</v>
      </c>
      <c r="AH92" s="1">
        <v>0</v>
      </c>
      <c r="AI92">
        <v>78</v>
      </c>
      <c r="AJ92">
        <v>81</v>
      </c>
      <c r="AK92">
        <v>-3</v>
      </c>
      <c r="AL92">
        <v>5</v>
      </c>
      <c r="AM92">
        <v>7</v>
      </c>
      <c r="AN92">
        <v>0</v>
      </c>
      <c r="AO92">
        <v>0</v>
      </c>
      <c r="AP92">
        <v>6</v>
      </c>
      <c r="AQ92" s="1"/>
      <c r="AR92" s="1"/>
      <c r="AS92" s="1"/>
      <c r="AT92" s="1"/>
      <c r="AU92" s="1"/>
      <c r="AV92" s="1"/>
    </row>
    <row r="93" spans="1:48" x14ac:dyDescent="0.2">
      <c r="A93" s="1" t="s">
        <v>5</v>
      </c>
      <c r="B93" s="1">
        <v>2007</v>
      </c>
      <c r="C93" s="1">
        <v>3</v>
      </c>
      <c r="D93">
        <v>78</v>
      </c>
      <c r="E93">
        <v>81</v>
      </c>
      <c r="F93">
        <v>-3</v>
      </c>
      <c r="G93">
        <v>5</v>
      </c>
      <c r="H93">
        <v>7</v>
      </c>
      <c r="I93">
        <v>0</v>
      </c>
      <c r="J93">
        <v>0</v>
      </c>
      <c r="K93">
        <v>6</v>
      </c>
      <c r="L93" s="1"/>
      <c r="M93" s="1"/>
      <c r="N93" s="1"/>
      <c r="O93" s="1"/>
      <c r="P93" s="1"/>
      <c r="Q93" s="1"/>
      <c r="R93" s="1">
        <v>6</v>
      </c>
      <c r="S93" s="1">
        <v>9</v>
      </c>
      <c r="T93" s="1">
        <v>2</v>
      </c>
      <c r="U93" s="1" t="s">
        <v>83</v>
      </c>
      <c r="V93" s="1">
        <v>0</v>
      </c>
      <c r="W93" s="1">
        <f t="shared" si="24"/>
        <v>0</v>
      </c>
      <c r="X93" s="1">
        <f t="shared" si="25"/>
        <v>0</v>
      </c>
      <c r="Y93" s="1">
        <f t="shared" si="26"/>
        <v>0</v>
      </c>
      <c r="Z93" s="1">
        <f t="shared" si="27"/>
        <v>0</v>
      </c>
      <c r="AA93" s="1">
        <f t="shared" si="28"/>
        <v>0</v>
      </c>
      <c r="AB93" s="1">
        <f t="shared" si="29"/>
        <v>1</v>
      </c>
      <c r="AC93" s="1">
        <f t="shared" si="30"/>
        <v>0</v>
      </c>
      <c r="AD93" s="1">
        <f t="shared" si="31"/>
        <v>1</v>
      </c>
      <c r="AG93" s="1">
        <v>1</v>
      </c>
      <c r="AH93" s="1">
        <v>1</v>
      </c>
      <c r="AI93">
        <v>95</v>
      </c>
      <c r="AJ93">
        <v>153</v>
      </c>
      <c r="AK93">
        <v>-58</v>
      </c>
      <c r="AL93">
        <v>7</v>
      </c>
      <c r="AM93">
        <v>15</v>
      </c>
      <c r="AN93">
        <v>0</v>
      </c>
      <c r="AO93">
        <v>0</v>
      </c>
      <c r="AP93">
        <v>2</v>
      </c>
      <c r="AQ93" s="1"/>
      <c r="AR93" s="1"/>
      <c r="AS93" s="1"/>
      <c r="AT93" s="1"/>
      <c r="AU93" s="1"/>
      <c r="AV93" s="1"/>
    </row>
    <row r="94" spans="1:48" x14ac:dyDescent="0.2">
      <c r="A94" s="1" t="s">
        <v>5</v>
      </c>
      <c r="B94" s="1">
        <v>2008</v>
      </c>
      <c r="C94" s="1">
        <v>6</v>
      </c>
      <c r="D94">
        <v>95</v>
      </c>
      <c r="E94">
        <v>153</v>
      </c>
      <c r="F94">
        <v>-58</v>
      </c>
      <c r="G94">
        <v>7</v>
      </c>
      <c r="H94">
        <v>15</v>
      </c>
      <c r="I94">
        <v>0</v>
      </c>
      <c r="J94">
        <v>0</v>
      </c>
      <c r="K94">
        <v>2</v>
      </c>
      <c r="L94" s="1"/>
      <c r="M94" s="1"/>
      <c r="N94" s="1"/>
      <c r="O94" s="1"/>
      <c r="P94" s="1"/>
      <c r="Q94" s="1"/>
      <c r="R94" s="1">
        <v>5</v>
      </c>
      <c r="S94" s="1">
        <v>8</v>
      </c>
      <c r="T94" s="1">
        <v>3</v>
      </c>
      <c r="U94" s="1" t="s">
        <v>83</v>
      </c>
      <c r="V94" s="1">
        <v>0</v>
      </c>
      <c r="W94" s="1">
        <f t="shared" si="24"/>
        <v>1</v>
      </c>
      <c r="X94" s="1">
        <f t="shared" si="25"/>
        <v>1</v>
      </c>
      <c r="Y94" s="1">
        <f t="shared" si="26"/>
        <v>0</v>
      </c>
      <c r="Z94" s="1">
        <f t="shared" si="27"/>
        <v>1</v>
      </c>
      <c r="AA94" s="1">
        <f t="shared" si="28"/>
        <v>0</v>
      </c>
      <c r="AB94" s="1">
        <f t="shared" si="29"/>
        <v>0</v>
      </c>
      <c r="AC94" s="1">
        <f t="shared" si="30"/>
        <v>0</v>
      </c>
      <c r="AD94" s="1">
        <f t="shared" si="31"/>
        <v>0</v>
      </c>
      <c r="AG94" s="1">
        <v>0</v>
      </c>
      <c r="AH94" s="1">
        <v>0</v>
      </c>
      <c r="AI94">
        <v>69</v>
      </c>
      <c r="AJ94">
        <v>123</v>
      </c>
      <c r="AK94">
        <v>-54</v>
      </c>
      <c r="AL94">
        <v>3</v>
      </c>
      <c r="AM94">
        <v>13</v>
      </c>
      <c r="AN94">
        <v>0</v>
      </c>
      <c r="AO94">
        <v>0</v>
      </c>
      <c r="AP94">
        <v>2</v>
      </c>
      <c r="AQ94" s="1"/>
      <c r="AR94" s="1"/>
      <c r="AS94" s="1"/>
      <c r="AT94" s="1"/>
      <c r="AU94" s="1"/>
      <c r="AV94" s="1"/>
    </row>
    <row r="95" spans="1:48" x14ac:dyDescent="0.2">
      <c r="A95" s="1" t="s">
        <v>5</v>
      </c>
      <c r="B95" s="1">
        <v>2009</v>
      </c>
      <c r="C95" s="1">
        <v>5</v>
      </c>
      <c r="D95">
        <v>69</v>
      </c>
      <c r="E95">
        <v>123</v>
      </c>
      <c r="F95">
        <v>-54</v>
      </c>
      <c r="G95">
        <v>3</v>
      </c>
      <c r="H95">
        <v>13</v>
      </c>
      <c r="I95">
        <v>0</v>
      </c>
      <c r="J95">
        <v>0</v>
      </c>
      <c r="K95">
        <v>2</v>
      </c>
      <c r="L95" s="1"/>
      <c r="M95" s="1"/>
      <c r="N95" s="1"/>
      <c r="O95" s="1"/>
      <c r="P95" s="1"/>
      <c r="Q95" s="1"/>
      <c r="R95" s="1">
        <v>5</v>
      </c>
      <c r="S95" s="1">
        <v>9</v>
      </c>
      <c r="T95" s="1">
        <v>4</v>
      </c>
      <c r="U95" s="1" t="s">
        <v>83</v>
      </c>
      <c r="V95" s="1">
        <v>0</v>
      </c>
      <c r="W95" s="1">
        <f t="shared" si="24"/>
        <v>0</v>
      </c>
      <c r="X95" s="1">
        <f t="shared" si="25"/>
        <v>0</v>
      </c>
      <c r="Y95" s="1">
        <f t="shared" si="26"/>
        <v>0</v>
      </c>
      <c r="Z95" s="1">
        <f t="shared" si="27"/>
        <v>0</v>
      </c>
      <c r="AA95" s="1">
        <f t="shared" si="28"/>
        <v>0</v>
      </c>
      <c r="AB95" s="1">
        <f t="shared" si="29"/>
        <v>1</v>
      </c>
      <c r="AC95" s="1">
        <f t="shared" si="30"/>
        <v>1</v>
      </c>
      <c r="AD95" s="1">
        <f t="shared" si="31"/>
        <v>1</v>
      </c>
      <c r="AG95" s="1">
        <v>0</v>
      </c>
      <c r="AH95" s="1">
        <v>1</v>
      </c>
      <c r="AI95">
        <v>79</v>
      </c>
      <c r="AJ95">
        <v>102</v>
      </c>
      <c r="AK95">
        <v>-23</v>
      </c>
      <c r="AL95">
        <v>4</v>
      </c>
      <c r="AM95">
        <v>9</v>
      </c>
      <c r="AN95">
        <v>0</v>
      </c>
      <c r="AO95">
        <v>0</v>
      </c>
      <c r="AP95">
        <v>2</v>
      </c>
      <c r="AQ95" s="1">
        <f t="shared" ref="AQ95:AQ105" si="32">1-AU11</f>
        <v>0.19083969465648853</v>
      </c>
      <c r="AR95" s="1">
        <f t="shared" ref="AR95:AR105" si="33">1-AU32</f>
        <v>0.37142857142857144</v>
      </c>
      <c r="AS95" s="1">
        <f t="shared" ref="AS95:AS105" si="34">1-AU53</f>
        <v>0.40540540540540537</v>
      </c>
      <c r="AT95" s="1">
        <f t="shared" ref="AT95:AT105" si="35">1-AU74</f>
        <v>0.68652037617554851</v>
      </c>
      <c r="AU95" s="1"/>
      <c r="AV95" s="1">
        <f>2/7</f>
        <v>0.2857142857142857</v>
      </c>
    </row>
    <row r="96" spans="1:48" x14ac:dyDescent="0.2">
      <c r="A96" s="1" t="s">
        <v>5</v>
      </c>
      <c r="B96" s="1">
        <v>2010</v>
      </c>
      <c r="C96" s="1">
        <v>5</v>
      </c>
      <c r="D96">
        <v>79</v>
      </c>
      <c r="E96">
        <v>102</v>
      </c>
      <c r="F96">
        <v>-23</v>
      </c>
      <c r="G96">
        <v>4</v>
      </c>
      <c r="H96">
        <v>9</v>
      </c>
      <c r="I96">
        <v>0</v>
      </c>
      <c r="J96">
        <v>0</v>
      </c>
      <c r="K96">
        <v>2</v>
      </c>
      <c r="L96" s="1">
        <f t="shared" ref="L96:L106" si="36">1-P12</f>
        <v>0.19083969465648853</v>
      </c>
      <c r="M96" s="1">
        <f t="shared" ref="M96:M106" si="37">1-P33</f>
        <v>0.37142857142857144</v>
      </c>
      <c r="N96" s="1">
        <f t="shared" ref="N96:N106" si="38">1-P54</f>
        <v>0.40540540540540537</v>
      </c>
      <c r="O96" s="1">
        <f t="shared" ref="O96:O106" si="39">1-P75</f>
        <v>0.68652037617554851</v>
      </c>
      <c r="P96" s="1"/>
      <c r="Q96" s="1">
        <f>2/7</f>
        <v>0.2857142857142857</v>
      </c>
      <c r="R96" s="1">
        <v>5</v>
      </c>
      <c r="S96" s="1">
        <v>9</v>
      </c>
      <c r="T96" s="1">
        <v>1</v>
      </c>
      <c r="U96" s="1" t="s">
        <v>57</v>
      </c>
      <c r="V96" s="1">
        <v>0</v>
      </c>
      <c r="W96" s="1">
        <f t="shared" si="24"/>
        <v>0.5</v>
      </c>
      <c r="X96" s="1">
        <f t="shared" si="25"/>
        <v>1</v>
      </c>
      <c r="Y96" s="1">
        <f t="shared" si="26"/>
        <v>0</v>
      </c>
      <c r="Z96" s="1">
        <f t="shared" si="27"/>
        <v>1</v>
      </c>
      <c r="AA96" s="1">
        <f t="shared" si="28"/>
        <v>1</v>
      </c>
      <c r="AB96" s="1">
        <f t="shared" si="29"/>
        <v>0</v>
      </c>
      <c r="AC96" s="1">
        <f t="shared" si="30"/>
        <v>0</v>
      </c>
      <c r="AD96" s="1">
        <f t="shared" si="31"/>
        <v>0</v>
      </c>
      <c r="AG96" s="1">
        <v>0</v>
      </c>
      <c r="AH96" s="1">
        <v>0</v>
      </c>
      <c r="AI96">
        <v>83</v>
      </c>
      <c r="AJ96">
        <v>100</v>
      </c>
      <c r="AK96">
        <v>-17</v>
      </c>
      <c r="AL96">
        <v>3</v>
      </c>
      <c r="AM96">
        <v>8</v>
      </c>
      <c r="AN96">
        <v>0</v>
      </c>
      <c r="AO96">
        <v>0</v>
      </c>
      <c r="AP96">
        <v>3</v>
      </c>
      <c r="AQ96" s="1">
        <f t="shared" si="32"/>
        <v>0.31034482758620685</v>
      </c>
      <c r="AR96" s="1">
        <f t="shared" si="33"/>
        <v>0.23664122137404575</v>
      </c>
      <c r="AS96" s="1">
        <f t="shared" si="34"/>
        <v>0.13947001394700143</v>
      </c>
      <c r="AT96" s="1">
        <f t="shared" si="35"/>
        <v>0.67567567567567566</v>
      </c>
      <c r="AU96" s="1"/>
      <c r="AV96" s="1">
        <f>100/543</f>
        <v>0.18416206261510129</v>
      </c>
    </row>
    <row r="97" spans="1:48" x14ac:dyDescent="0.2">
      <c r="A97" s="1" t="s">
        <v>5</v>
      </c>
      <c r="B97" s="1">
        <v>2011</v>
      </c>
      <c r="C97" s="1">
        <v>5</v>
      </c>
      <c r="D97">
        <v>83</v>
      </c>
      <c r="E97">
        <v>100</v>
      </c>
      <c r="F97">
        <v>-17</v>
      </c>
      <c r="G97">
        <v>3</v>
      </c>
      <c r="H97">
        <v>8</v>
      </c>
      <c r="I97">
        <v>0</v>
      </c>
      <c r="J97">
        <v>0</v>
      </c>
      <c r="K97">
        <v>3</v>
      </c>
      <c r="L97" s="1">
        <f t="shared" si="36"/>
        <v>0.31034482758620685</v>
      </c>
      <c r="M97" s="1">
        <f t="shared" si="37"/>
        <v>0.23664122137404575</v>
      </c>
      <c r="N97" s="1">
        <f t="shared" si="38"/>
        <v>0.13947001394700143</v>
      </c>
      <c r="O97" s="1">
        <f t="shared" si="39"/>
        <v>0.67567567567567566</v>
      </c>
      <c r="P97" s="1"/>
      <c r="Q97" s="1">
        <f>100/543</f>
        <v>0.18416206261510129</v>
      </c>
      <c r="R97" s="1">
        <v>5</v>
      </c>
      <c r="S97" s="1">
        <v>7</v>
      </c>
      <c r="T97" s="1">
        <v>2</v>
      </c>
      <c r="U97" s="1" t="s">
        <v>57</v>
      </c>
      <c r="V97" s="1">
        <v>0</v>
      </c>
      <c r="W97" s="1">
        <f t="shared" si="24"/>
        <v>0</v>
      </c>
      <c r="X97" s="1">
        <f t="shared" si="25"/>
        <v>0</v>
      </c>
      <c r="Y97" s="1">
        <f t="shared" si="26"/>
        <v>0</v>
      </c>
      <c r="Z97" s="1">
        <f t="shared" si="27"/>
        <v>0</v>
      </c>
      <c r="AA97" s="1">
        <f t="shared" si="28"/>
        <v>0</v>
      </c>
      <c r="AB97" s="1">
        <f t="shared" si="29"/>
        <v>1</v>
      </c>
      <c r="AC97" s="1">
        <f t="shared" si="30"/>
        <v>1</v>
      </c>
      <c r="AD97" s="1">
        <f t="shared" si="31"/>
        <v>1</v>
      </c>
      <c r="AG97" s="1">
        <v>0</v>
      </c>
      <c r="AH97" s="1">
        <v>1</v>
      </c>
      <c r="AI97">
        <v>82</v>
      </c>
      <c r="AJ97">
        <v>109</v>
      </c>
      <c r="AK97">
        <v>-27</v>
      </c>
      <c r="AL97">
        <v>6</v>
      </c>
      <c r="AM97">
        <v>11</v>
      </c>
      <c r="AN97">
        <v>0</v>
      </c>
      <c r="AO97">
        <v>0</v>
      </c>
      <c r="AP97">
        <v>2</v>
      </c>
      <c r="AQ97" s="1">
        <f t="shared" si="32"/>
        <v>0.10526315789473684</v>
      </c>
      <c r="AR97" s="1">
        <f t="shared" si="33"/>
        <v>0.15873015873015872</v>
      </c>
      <c r="AS97" s="1">
        <f t="shared" si="34"/>
        <v>0.29577464788732399</v>
      </c>
      <c r="AT97" s="1">
        <f t="shared" si="35"/>
        <v>0.72527472527472525</v>
      </c>
      <c r="AU97" s="1"/>
      <c r="AV97" s="1">
        <f>143/243</f>
        <v>0.58847736625514402</v>
      </c>
    </row>
    <row r="98" spans="1:48" x14ac:dyDescent="0.2">
      <c r="A98" s="1" t="s">
        <v>5</v>
      </c>
      <c r="B98" s="1">
        <v>2012</v>
      </c>
      <c r="C98" s="1">
        <v>5</v>
      </c>
      <c r="D98">
        <v>82</v>
      </c>
      <c r="E98">
        <v>109</v>
      </c>
      <c r="F98">
        <v>-27</v>
      </c>
      <c r="G98">
        <v>6</v>
      </c>
      <c r="H98">
        <v>11</v>
      </c>
      <c r="I98">
        <v>0</v>
      </c>
      <c r="J98">
        <v>0</v>
      </c>
      <c r="K98">
        <v>2</v>
      </c>
      <c r="L98" s="1">
        <f t="shared" si="36"/>
        <v>0.10526315789473684</v>
      </c>
      <c r="M98" s="1">
        <f t="shared" si="37"/>
        <v>0.15873015873015872</v>
      </c>
      <c r="N98" s="1">
        <f t="shared" si="38"/>
        <v>0.29577464788732399</v>
      </c>
      <c r="O98" s="1">
        <f t="shared" si="39"/>
        <v>0.72527472527472525</v>
      </c>
      <c r="P98" s="1"/>
      <c r="Q98" s="1">
        <f>143/243</f>
        <v>0.58847736625514402</v>
      </c>
      <c r="R98" s="1">
        <v>6</v>
      </c>
      <c r="S98" s="1">
        <v>10</v>
      </c>
      <c r="T98" s="1">
        <v>3</v>
      </c>
      <c r="U98" s="1" t="s">
        <v>57</v>
      </c>
      <c r="V98" s="1">
        <v>0</v>
      </c>
      <c r="W98" s="1">
        <f t="shared" si="24"/>
        <v>0</v>
      </c>
      <c r="X98" s="1">
        <f t="shared" si="25"/>
        <v>1</v>
      </c>
      <c r="Y98" s="1">
        <f t="shared" si="26"/>
        <v>0</v>
      </c>
      <c r="Z98" s="1">
        <f t="shared" si="27"/>
        <v>1</v>
      </c>
      <c r="AA98" s="1">
        <f t="shared" si="28"/>
        <v>0</v>
      </c>
      <c r="AB98" s="1">
        <f t="shared" si="29"/>
        <v>0</v>
      </c>
      <c r="AC98" s="1">
        <f t="shared" si="30"/>
        <v>0</v>
      </c>
      <c r="AD98" s="1">
        <f t="shared" si="31"/>
        <v>0</v>
      </c>
      <c r="AG98" s="1">
        <v>0</v>
      </c>
      <c r="AH98" s="1">
        <v>0</v>
      </c>
      <c r="AI98">
        <v>56</v>
      </c>
      <c r="AJ98">
        <v>108</v>
      </c>
      <c r="AK98">
        <v>-52</v>
      </c>
      <c r="AL98">
        <v>4</v>
      </c>
      <c r="AM98">
        <v>11</v>
      </c>
      <c r="AN98">
        <v>0</v>
      </c>
      <c r="AO98">
        <v>0</v>
      </c>
      <c r="AP98">
        <v>0</v>
      </c>
      <c r="AQ98" s="1">
        <f t="shared" si="32"/>
        <v>0.43502824858757061</v>
      </c>
      <c r="AR98" s="1">
        <f t="shared" si="33"/>
        <v>0.25373134328358204</v>
      </c>
      <c r="AS98" s="1">
        <f t="shared" si="34"/>
        <v>0.25641025641025639</v>
      </c>
      <c r="AT98" s="1">
        <f t="shared" si="35"/>
        <v>0.60240963855421681</v>
      </c>
      <c r="AU98" s="1"/>
      <c r="AV98" s="1">
        <f>100/653</f>
        <v>0.15313935681470137</v>
      </c>
    </row>
    <row r="99" spans="1:48" x14ac:dyDescent="0.2">
      <c r="A99" s="1" t="s">
        <v>5</v>
      </c>
      <c r="B99" s="1">
        <v>2013</v>
      </c>
      <c r="C99" s="1">
        <v>6</v>
      </c>
      <c r="D99">
        <v>56</v>
      </c>
      <c r="E99">
        <v>108</v>
      </c>
      <c r="F99">
        <v>-52</v>
      </c>
      <c r="G99">
        <v>4</v>
      </c>
      <c r="H99">
        <v>11</v>
      </c>
      <c r="I99">
        <v>0</v>
      </c>
      <c r="J99">
        <v>0</v>
      </c>
      <c r="K99">
        <v>0</v>
      </c>
      <c r="L99" s="1">
        <f t="shared" si="36"/>
        <v>0.43502824858757061</v>
      </c>
      <c r="M99" s="1">
        <f t="shared" si="37"/>
        <v>0.25373134328358204</v>
      </c>
      <c r="N99" s="1">
        <f t="shared" si="38"/>
        <v>0.25641025641025639</v>
      </c>
      <c r="O99" s="1">
        <f t="shared" si="39"/>
        <v>0.60240963855421681</v>
      </c>
      <c r="P99" s="1"/>
      <c r="Q99" s="1">
        <f>100/653</f>
        <v>0.15313935681470137</v>
      </c>
      <c r="R99" s="1">
        <v>3</v>
      </c>
      <c r="S99" s="1">
        <v>12</v>
      </c>
      <c r="T99" s="1">
        <v>1</v>
      </c>
      <c r="U99" s="1" t="s">
        <v>84</v>
      </c>
      <c r="V99" s="1">
        <v>0</v>
      </c>
      <c r="W99" s="1">
        <f t="shared" si="24"/>
        <v>0</v>
      </c>
      <c r="X99" s="1">
        <f t="shared" si="25"/>
        <v>0</v>
      </c>
      <c r="Y99" s="1">
        <f t="shared" si="26"/>
        <v>0</v>
      </c>
      <c r="Z99" s="1">
        <f t="shared" si="27"/>
        <v>0</v>
      </c>
      <c r="AA99" s="1">
        <f t="shared" si="28"/>
        <v>1</v>
      </c>
      <c r="AB99" s="1">
        <f t="shared" si="29"/>
        <v>1</v>
      </c>
      <c r="AC99" s="1">
        <f t="shared" si="30"/>
        <v>1</v>
      </c>
      <c r="AD99" s="1">
        <f t="shared" si="31"/>
        <v>1</v>
      </c>
      <c r="AG99" s="1">
        <v>0</v>
      </c>
      <c r="AH99" s="1">
        <v>1</v>
      </c>
      <c r="AI99">
        <v>98</v>
      </c>
      <c r="AJ99">
        <v>107</v>
      </c>
      <c r="AK99">
        <v>-9</v>
      </c>
      <c r="AL99">
        <v>7</v>
      </c>
      <c r="AM99">
        <v>9</v>
      </c>
      <c r="AN99">
        <v>0</v>
      </c>
      <c r="AO99">
        <v>0</v>
      </c>
      <c r="AP99">
        <v>4</v>
      </c>
      <c r="AQ99" s="1">
        <f t="shared" si="32"/>
        <v>0.10341261633919341</v>
      </c>
      <c r="AR99" s="1">
        <f t="shared" si="33"/>
        <v>0.18181818181818177</v>
      </c>
      <c r="AS99" s="1">
        <f t="shared" si="34"/>
        <v>0.38650306748466257</v>
      </c>
      <c r="AT99" s="1">
        <f t="shared" si="35"/>
        <v>0.609375</v>
      </c>
      <c r="AU99" s="1"/>
      <c r="AV99" s="1">
        <f>21/71</f>
        <v>0.29577464788732394</v>
      </c>
    </row>
    <row r="100" spans="1:48" x14ac:dyDescent="0.2">
      <c r="A100" s="1" t="s">
        <v>5</v>
      </c>
      <c r="B100" s="1">
        <v>2014</v>
      </c>
      <c r="C100" s="1">
        <v>3</v>
      </c>
      <c r="D100">
        <v>98</v>
      </c>
      <c r="E100">
        <v>107</v>
      </c>
      <c r="F100">
        <v>-9</v>
      </c>
      <c r="G100">
        <v>7</v>
      </c>
      <c r="H100">
        <v>9</v>
      </c>
      <c r="I100">
        <v>0</v>
      </c>
      <c r="J100">
        <v>0</v>
      </c>
      <c r="K100">
        <v>4</v>
      </c>
      <c r="L100" s="1">
        <f t="shared" si="36"/>
        <v>0.10341261633919341</v>
      </c>
      <c r="M100" s="1">
        <f t="shared" si="37"/>
        <v>0.18181818181818177</v>
      </c>
      <c r="N100" s="1">
        <f t="shared" si="38"/>
        <v>0.38650306748466257</v>
      </c>
      <c r="O100" s="1">
        <f t="shared" si="39"/>
        <v>0.609375</v>
      </c>
      <c r="P100" s="1"/>
      <c r="Q100" s="1">
        <f>21/71</f>
        <v>0.29577464788732394</v>
      </c>
      <c r="R100" s="1">
        <v>5</v>
      </c>
      <c r="S100" s="1">
        <v>9</v>
      </c>
      <c r="T100" s="1">
        <v>2</v>
      </c>
      <c r="U100" s="1" t="s">
        <v>84</v>
      </c>
      <c r="V100" s="1">
        <v>0</v>
      </c>
      <c r="W100" s="1">
        <f t="shared" si="24"/>
        <v>0</v>
      </c>
      <c r="X100" s="1">
        <f t="shared" si="25"/>
        <v>1</v>
      </c>
      <c r="Y100" s="1">
        <f t="shared" si="26"/>
        <v>0</v>
      </c>
      <c r="Z100" s="1">
        <f t="shared" si="27"/>
        <v>1</v>
      </c>
      <c r="AA100" s="1">
        <f t="shared" si="28"/>
        <v>0</v>
      </c>
      <c r="AB100" s="1">
        <f t="shared" si="29"/>
        <v>0</v>
      </c>
      <c r="AC100" s="1">
        <f t="shared" si="30"/>
        <v>1</v>
      </c>
      <c r="AD100" s="1">
        <f t="shared" si="31"/>
        <v>0</v>
      </c>
      <c r="AG100" s="1">
        <v>0</v>
      </c>
      <c r="AH100" s="1">
        <v>0</v>
      </c>
      <c r="AI100">
        <v>47</v>
      </c>
      <c r="AJ100">
        <v>138</v>
      </c>
      <c r="AK100">
        <v>-91</v>
      </c>
      <c r="AL100">
        <v>4</v>
      </c>
      <c r="AM100">
        <v>15</v>
      </c>
      <c r="AN100">
        <v>0</v>
      </c>
      <c r="AO100">
        <v>0</v>
      </c>
      <c r="AP100">
        <v>2</v>
      </c>
      <c r="AQ100" s="1">
        <f t="shared" si="32"/>
        <v>0.13793103448275867</v>
      </c>
      <c r="AR100" s="1">
        <f t="shared" si="33"/>
        <v>0.23664122137404575</v>
      </c>
      <c r="AS100" s="1">
        <f t="shared" si="34"/>
        <v>0.16528925619834711</v>
      </c>
      <c r="AT100" s="1">
        <f t="shared" si="35"/>
        <v>0.39215686274509809</v>
      </c>
      <c r="AU100" s="1"/>
      <c r="AV100" s="1">
        <f>20/137</f>
        <v>0.145985401459854</v>
      </c>
    </row>
    <row r="101" spans="1:48" x14ac:dyDescent="0.2">
      <c r="A101" s="1" t="s">
        <v>5</v>
      </c>
      <c r="B101" s="1">
        <v>2015</v>
      </c>
      <c r="C101" s="1">
        <v>5</v>
      </c>
      <c r="D101">
        <v>47</v>
      </c>
      <c r="E101">
        <v>138</v>
      </c>
      <c r="F101">
        <v>-91</v>
      </c>
      <c r="G101">
        <v>4</v>
      </c>
      <c r="H101">
        <v>15</v>
      </c>
      <c r="I101">
        <v>0</v>
      </c>
      <c r="J101">
        <v>0</v>
      </c>
      <c r="K101">
        <v>2</v>
      </c>
      <c r="L101" s="1">
        <f t="shared" si="36"/>
        <v>0.13793103448275867</v>
      </c>
      <c r="M101" s="1">
        <f t="shared" si="37"/>
        <v>0.23664122137404575</v>
      </c>
      <c r="N101" s="1">
        <f t="shared" si="38"/>
        <v>0.16528925619834711</v>
      </c>
      <c r="O101" s="1">
        <f t="shared" si="39"/>
        <v>0.39215686274509809</v>
      </c>
      <c r="P101" s="1"/>
      <c r="Q101" s="1">
        <f>20/137</f>
        <v>0.145985401459854</v>
      </c>
      <c r="R101" s="1">
        <v>6</v>
      </c>
      <c r="S101" s="1">
        <v>8</v>
      </c>
      <c r="T101" s="1">
        <v>1</v>
      </c>
      <c r="U101" s="1" t="s">
        <v>85</v>
      </c>
      <c r="V101" s="1">
        <v>0</v>
      </c>
      <c r="W101" s="1">
        <f t="shared" si="24"/>
        <v>0</v>
      </c>
      <c r="X101" s="1">
        <f t="shared" si="25"/>
        <v>0</v>
      </c>
      <c r="Y101" s="1">
        <f t="shared" si="26"/>
        <v>0</v>
      </c>
      <c r="Z101" s="1">
        <f t="shared" si="27"/>
        <v>0</v>
      </c>
      <c r="AA101" s="1">
        <f t="shared" si="28"/>
        <v>0</v>
      </c>
      <c r="AB101" s="1">
        <f t="shared" si="29"/>
        <v>1</v>
      </c>
      <c r="AC101" s="1">
        <f t="shared" si="30"/>
        <v>0</v>
      </c>
      <c r="AD101" s="1">
        <f t="shared" si="31"/>
        <v>1</v>
      </c>
      <c r="AG101" s="1">
        <v>0</v>
      </c>
      <c r="AH101" s="1">
        <v>1</v>
      </c>
      <c r="AI101">
        <v>122</v>
      </c>
      <c r="AJ101">
        <v>118</v>
      </c>
      <c r="AK101">
        <v>4</v>
      </c>
      <c r="AL101">
        <v>14</v>
      </c>
      <c r="AM101">
        <v>12</v>
      </c>
      <c r="AN101">
        <v>1</v>
      </c>
      <c r="AO101">
        <v>1</v>
      </c>
      <c r="AP101">
        <v>14</v>
      </c>
      <c r="AQ101" s="1">
        <f t="shared" si="32"/>
        <v>0.11481056257175659</v>
      </c>
      <c r="AR101" s="1">
        <f t="shared" si="33"/>
        <v>0.2032520325203252</v>
      </c>
      <c r="AS101" s="1">
        <f t="shared" si="34"/>
        <v>0.17355371900826444</v>
      </c>
      <c r="AT101" s="1">
        <f t="shared" si="35"/>
        <v>0.8410174880763116</v>
      </c>
      <c r="AU101" s="1"/>
      <c r="AV101" s="1">
        <f>14/39</f>
        <v>0.35897435897435898</v>
      </c>
    </row>
    <row r="102" spans="1:48" x14ac:dyDescent="0.2">
      <c r="A102" s="1" t="s">
        <v>5</v>
      </c>
      <c r="B102" s="1">
        <v>2016</v>
      </c>
      <c r="C102" s="1">
        <v>4</v>
      </c>
      <c r="D102">
        <v>122</v>
      </c>
      <c r="E102">
        <v>118</v>
      </c>
      <c r="F102">
        <v>4</v>
      </c>
      <c r="G102">
        <v>14</v>
      </c>
      <c r="H102">
        <v>12</v>
      </c>
      <c r="I102">
        <v>1</v>
      </c>
      <c r="J102">
        <v>1</v>
      </c>
      <c r="K102">
        <v>14</v>
      </c>
      <c r="L102" s="1">
        <f t="shared" si="36"/>
        <v>0.11481056257175659</v>
      </c>
      <c r="M102" s="1">
        <f t="shared" si="37"/>
        <v>0.2032520325203252</v>
      </c>
      <c r="N102" s="1">
        <f t="shared" si="38"/>
        <v>0.17355371900826444</v>
      </c>
      <c r="O102" s="1">
        <f t="shared" si="39"/>
        <v>0.8410174880763116</v>
      </c>
      <c r="P102" s="1"/>
      <c r="Q102" s="1">
        <f>14/39</f>
        <v>0.35897435897435898</v>
      </c>
      <c r="R102" s="1">
        <v>4</v>
      </c>
      <c r="S102" s="1">
        <v>9</v>
      </c>
      <c r="T102" s="1">
        <v>2</v>
      </c>
      <c r="U102" s="1" t="s">
        <v>85</v>
      </c>
      <c r="V102" s="1">
        <v>0</v>
      </c>
      <c r="W102" s="1">
        <f t="shared" si="24"/>
        <v>0</v>
      </c>
      <c r="X102" s="1">
        <f t="shared" si="25"/>
        <v>1</v>
      </c>
      <c r="Y102" s="1">
        <f t="shared" si="26"/>
        <v>1</v>
      </c>
      <c r="Z102" s="1">
        <f t="shared" si="27"/>
        <v>1</v>
      </c>
      <c r="AA102" s="1">
        <f t="shared" si="28"/>
        <v>0</v>
      </c>
      <c r="AB102" s="1">
        <f t="shared" si="29"/>
        <v>0</v>
      </c>
      <c r="AC102" s="1">
        <f t="shared" si="30"/>
        <v>1</v>
      </c>
      <c r="AD102" s="1">
        <f t="shared" si="31"/>
        <v>0</v>
      </c>
      <c r="AG102" s="1">
        <v>0</v>
      </c>
      <c r="AH102" s="1">
        <v>0</v>
      </c>
      <c r="AI102">
        <v>101</v>
      </c>
      <c r="AJ102">
        <v>128</v>
      </c>
      <c r="AK102">
        <v>-27</v>
      </c>
      <c r="AL102">
        <v>11</v>
      </c>
      <c r="AM102">
        <v>14</v>
      </c>
      <c r="AN102">
        <v>1</v>
      </c>
      <c r="AO102">
        <v>0</v>
      </c>
      <c r="AP102">
        <v>13</v>
      </c>
      <c r="AQ102" s="1">
        <f t="shared" si="32"/>
        <v>0.27536231884057971</v>
      </c>
      <c r="AR102" s="1">
        <f t="shared" si="33"/>
        <v>0.53703703703703698</v>
      </c>
      <c r="AS102" s="1">
        <f t="shared" si="34"/>
        <v>0.27397260273972601</v>
      </c>
      <c r="AT102" s="1">
        <f t="shared" si="35"/>
        <v>0.72992700729927007</v>
      </c>
      <c r="AU102" s="1"/>
      <c r="AV102" s="1">
        <f>50/289</f>
        <v>0.17301038062283736</v>
      </c>
    </row>
    <row r="103" spans="1:48" x14ac:dyDescent="0.2">
      <c r="A103" s="1" t="s">
        <v>5</v>
      </c>
      <c r="B103" s="1">
        <v>2017</v>
      </c>
      <c r="C103" s="1">
        <v>3</v>
      </c>
      <c r="D103">
        <v>101</v>
      </c>
      <c r="E103">
        <v>128</v>
      </c>
      <c r="F103">
        <v>-27</v>
      </c>
      <c r="G103">
        <v>11</v>
      </c>
      <c r="H103">
        <v>14</v>
      </c>
      <c r="I103">
        <v>1</v>
      </c>
      <c r="J103">
        <v>0</v>
      </c>
      <c r="K103">
        <v>13</v>
      </c>
      <c r="L103" s="1">
        <f t="shared" si="36"/>
        <v>0.27536231884057971</v>
      </c>
      <c r="M103" s="1">
        <f t="shared" si="37"/>
        <v>0.53703703703703698</v>
      </c>
      <c r="N103" s="1">
        <f t="shared" si="38"/>
        <v>0.27397260273972601</v>
      </c>
      <c r="O103" s="1">
        <f t="shared" si="39"/>
        <v>0.72992700729927007</v>
      </c>
      <c r="P103" s="1"/>
      <c r="Q103" s="1">
        <f>50/289</f>
        <v>0.17301038062283736</v>
      </c>
      <c r="R103" s="1">
        <v>4</v>
      </c>
      <c r="S103" s="1">
        <v>7</v>
      </c>
      <c r="T103" s="1">
        <v>3</v>
      </c>
      <c r="U103" s="1" t="s">
        <v>85</v>
      </c>
      <c r="V103" s="1">
        <v>0</v>
      </c>
      <c r="W103" s="1">
        <f t="shared" si="24"/>
        <v>0</v>
      </c>
      <c r="X103" s="1">
        <f t="shared" si="25"/>
        <v>0</v>
      </c>
      <c r="Y103" s="1">
        <f t="shared" si="26"/>
        <v>0</v>
      </c>
      <c r="Z103" s="1">
        <f t="shared" si="27"/>
        <v>0</v>
      </c>
      <c r="AA103" s="1">
        <f t="shared" si="28"/>
        <v>1</v>
      </c>
      <c r="AB103" s="1">
        <f t="shared" si="29"/>
        <v>1</v>
      </c>
      <c r="AC103" s="1">
        <f t="shared" si="30"/>
        <v>1</v>
      </c>
      <c r="AD103" s="1">
        <f t="shared" si="31"/>
        <v>1</v>
      </c>
      <c r="AG103" s="1">
        <v>1</v>
      </c>
      <c r="AH103" s="1">
        <v>1</v>
      </c>
      <c r="AI103">
        <v>105</v>
      </c>
      <c r="AJ103">
        <v>125</v>
      </c>
      <c r="AK103">
        <v>-20</v>
      </c>
      <c r="AL103">
        <v>14</v>
      </c>
      <c r="AM103">
        <v>17</v>
      </c>
      <c r="AN103">
        <v>2</v>
      </c>
      <c r="AO103">
        <v>1</v>
      </c>
      <c r="AP103">
        <v>9</v>
      </c>
      <c r="AQ103" s="1">
        <f t="shared" si="32"/>
        <v>0.19047619047619047</v>
      </c>
      <c r="AR103" s="1">
        <f t="shared" si="33"/>
        <v>0.28328611898016998</v>
      </c>
      <c r="AS103" s="1">
        <f t="shared" si="34"/>
        <v>0.31506849315068497</v>
      </c>
      <c r="AT103" s="1">
        <f t="shared" si="35"/>
        <v>0.92107340173638519</v>
      </c>
      <c r="AU103" s="1"/>
      <c r="AV103" s="1">
        <f>37/87</f>
        <v>0.42528735632183906</v>
      </c>
    </row>
    <row r="104" spans="1:48" x14ac:dyDescent="0.2">
      <c r="A104" s="1" t="s">
        <v>5</v>
      </c>
      <c r="B104" s="1">
        <v>2018</v>
      </c>
      <c r="C104" s="1">
        <v>5</v>
      </c>
      <c r="D104">
        <v>105</v>
      </c>
      <c r="E104">
        <v>125</v>
      </c>
      <c r="F104">
        <v>-20</v>
      </c>
      <c r="G104">
        <v>14</v>
      </c>
      <c r="H104">
        <v>17</v>
      </c>
      <c r="I104">
        <v>2</v>
      </c>
      <c r="J104">
        <v>1</v>
      </c>
      <c r="K104">
        <v>9</v>
      </c>
      <c r="L104" s="1">
        <f t="shared" si="36"/>
        <v>0.19047619047619047</v>
      </c>
      <c r="M104" s="1">
        <f t="shared" si="37"/>
        <v>0.28328611898016998</v>
      </c>
      <c r="N104" s="1">
        <f t="shared" si="38"/>
        <v>0.31506849315068497</v>
      </c>
      <c r="O104" s="1">
        <f t="shared" si="39"/>
        <v>0.92107340173638519</v>
      </c>
      <c r="P104" s="1"/>
      <c r="Q104" s="1">
        <f>37/87</f>
        <v>0.42528735632183906</v>
      </c>
      <c r="R104" s="1">
        <v>3</v>
      </c>
      <c r="S104" s="1">
        <v>5</v>
      </c>
      <c r="T104" s="1">
        <v>1</v>
      </c>
      <c r="U104" s="1" t="s">
        <v>86</v>
      </c>
      <c r="V104" s="1">
        <v>0</v>
      </c>
      <c r="W104" s="1">
        <f t="shared" si="24"/>
        <v>1</v>
      </c>
      <c r="X104" s="1">
        <f t="shared" si="25"/>
        <v>1</v>
      </c>
      <c r="Y104" s="1">
        <f t="shared" si="26"/>
        <v>1</v>
      </c>
      <c r="Z104" s="1">
        <f t="shared" si="27"/>
        <v>1</v>
      </c>
      <c r="AA104" s="1">
        <f t="shared" si="28"/>
        <v>0</v>
      </c>
      <c r="AB104" s="1">
        <f t="shared" si="29"/>
        <v>0</v>
      </c>
      <c r="AC104" s="1">
        <f t="shared" si="30"/>
        <v>1</v>
      </c>
      <c r="AD104" s="1">
        <f t="shared" si="31"/>
        <v>0</v>
      </c>
      <c r="AG104" s="1">
        <v>0</v>
      </c>
      <c r="AH104" s="1">
        <v>0</v>
      </c>
      <c r="AI104">
        <v>101</v>
      </c>
      <c r="AJ104">
        <v>128</v>
      </c>
      <c r="AK104">
        <v>-27</v>
      </c>
      <c r="AL104">
        <v>11</v>
      </c>
      <c r="AM104">
        <v>14</v>
      </c>
      <c r="AN104">
        <v>1</v>
      </c>
      <c r="AO104">
        <v>0</v>
      </c>
      <c r="AP104">
        <v>13</v>
      </c>
      <c r="AQ104" s="1">
        <f t="shared" si="32"/>
        <v>0.21875</v>
      </c>
      <c r="AR104" s="1">
        <f t="shared" si="33"/>
        <v>0.66329966329966328</v>
      </c>
      <c r="AS104" s="1">
        <f t="shared" si="34"/>
        <v>0.21739130434782605</v>
      </c>
      <c r="AT104" s="1">
        <f t="shared" si="35"/>
        <v>0.91743119266055051</v>
      </c>
      <c r="AU104" s="1"/>
      <c r="AV104" s="1">
        <f>100/233</f>
        <v>0.42918454935622319</v>
      </c>
    </row>
    <row r="105" spans="1:48" x14ac:dyDescent="0.2">
      <c r="A105" s="1" t="s">
        <v>5</v>
      </c>
      <c r="B105" s="1">
        <v>2019</v>
      </c>
      <c r="C105" s="1">
        <v>3</v>
      </c>
      <c r="D105">
        <v>101</v>
      </c>
      <c r="E105">
        <v>128</v>
      </c>
      <c r="F105">
        <v>-27</v>
      </c>
      <c r="G105">
        <v>11</v>
      </c>
      <c r="H105">
        <v>14</v>
      </c>
      <c r="I105">
        <v>1</v>
      </c>
      <c r="J105">
        <v>0</v>
      </c>
      <c r="K105">
        <v>13</v>
      </c>
      <c r="L105" s="1">
        <f t="shared" si="36"/>
        <v>0.21875</v>
      </c>
      <c r="M105" s="1">
        <f t="shared" si="37"/>
        <v>0.66329966329966328</v>
      </c>
      <c r="N105" s="1">
        <f t="shared" si="38"/>
        <v>0.21739130434782605</v>
      </c>
      <c r="O105" s="1">
        <f t="shared" si="39"/>
        <v>0.91743119266055051</v>
      </c>
      <c r="P105" s="1"/>
      <c r="Q105" s="1">
        <f>100/233</f>
        <v>0.42918454935622319</v>
      </c>
      <c r="R105" s="1">
        <v>5</v>
      </c>
      <c r="S105" s="1">
        <v>7</v>
      </c>
      <c r="T105" s="1">
        <v>2</v>
      </c>
      <c r="U105" s="1" t="s">
        <v>86</v>
      </c>
      <c r="V105" s="1">
        <v>0</v>
      </c>
      <c r="W105" s="1">
        <f t="shared" si="24"/>
        <v>0.5</v>
      </c>
      <c r="X105" s="1">
        <f t="shared" si="25"/>
        <v>0</v>
      </c>
      <c r="Y105" s="1">
        <f t="shared" si="26"/>
        <v>0</v>
      </c>
      <c r="Z105" s="1">
        <f t="shared" si="27"/>
        <v>0</v>
      </c>
      <c r="AA105" s="1">
        <f t="shared" si="28"/>
        <v>0</v>
      </c>
      <c r="AB105" s="1">
        <f t="shared" si="29"/>
        <v>1</v>
      </c>
      <c r="AC105" s="1">
        <f t="shared" si="30"/>
        <v>1</v>
      </c>
      <c r="AD105" s="1">
        <f t="shared" si="31"/>
        <v>1</v>
      </c>
      <c r="AG105" s="1">
        <v>0</v>
      </c>
      <c r="AH105" s="1">
        <v>1</v>
      </c>
      <c r="AI105">
        <v>105</v>
      </c>
      <c r="AJ105">
        <v>125</v>
      </c>
      <c r="AK105">
        <v>-20</v>
      </c>
      <c r="AL105">
        <v>14</v>
      </c>
      <c r="AM105">
        <v>17</v>
      </c>
      <c r="AN105">
        <v>2</v>
      </c>
      <c r="AO105">
        <v>1</v>
      </c>
      <c r="AP105">
        <v>9</v>
      </c>
      <c r="AQ105" s="1">
        <f t="shared" si="32"/>
        <v>0.1157407407407407</v>
      </c>
      <c r="AR105" s="1">
        <f t="shared" si="33"/>
        <v>0.32573289902280134</v>
      </c>
      <c r="AS105" s="1">
        <f t="shared" si="34"/>
        <v>0.28057553956834536</v>
      </c>
      <c r="AT105" s="1">
        <f t="shared" si="35"/>
        <v>0.90817263544536275</v>
      </c>
      <c r="AU105" s="1"/>
      <c r="AV105" s="1">
        <f>1/3</f>
        <v>0.33333333333333331</v>
      </c>
    </row>
    <row r="106" spans="1:48" x14ac:dyDescent="0.2">
      <c r="A106" s="1" t="s">
        <v>5</v>
      </c>
      <c r="B106" s="1">
        <v>2020</v>
      </c>
      <c r="C106" s="1">
        <v>5</v>
      </c>
      <c r="D106">
        <v>105</v>
      </c>
      <c r="E106">
        <v>125</v>
      </c>
      <c r="F106">
        <v>-20</v>
      </c>
      <c r="G106">
        <v>14</v>
      </c>
      <c r="H106">
        <v>17</v>
      </c>
      <c r="I106">
        <v>2</v>
      </c>
      <c r="J106">
        <v>1</v>
      </c>
      <c r="K106">
        <v>9</v>
      </c>
      <c r="L106" s="1">
        <f t="shared" si="36"/>
        <v>0.1157407407407407</v>
      </c>
      <c r="M106" s="1">
        <f t="shared" si="37"/>
        <v>0.32573289902280134</v>
      </c>
      <c r="N106" s="1">
        <f t="shared" si="38"/>
        <v>0.28057553956834536</v>
      </c>
      <c r="O106" s="1">
        <f t="shared" si="39"/>
        <v>0.90817263544536275</v>
      </c>
      <c r="P106" s="1"/>
      <c r="Q106" s="1">
        <f>1/3</f>
        <v>0.33333333333333331</v>
      </c>
      <c r="R106" s="1"/>
      <c r="S106" s="1">
        <v>9</v>
      </c>
      <c r="T106" s="1">
        <v>3</v>
      </c>
      <c r="U106" s="1" t="s">
        <v>86</v>
      </c>
      <c r="V106" s="1">
        <v>0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">
      <c r="A107" s="1" t="s">
        <v>6</v>
      </c>
      <c r="B107" s="1">
        <v>2000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>
        <v>4</v>
      </c>
      <c r="S107" s="1"/>
      <c r="T107" s="1">
        <v>2</v>
      </c>
      <c r="U107" s="1" t="s">
        <v>87</v>
      </c>
      <c r="V107" s="1">
        <v>0</v>
      </c>
      <c r="W107" s="1">
        <v>0</v>
      </c>
      <c r="X107" s="1">
        <v>0</v>
      </c>
      <c r="Y107" s="1">
        <v>0</v>
      </c>
      <c r="Z107" s="1">
        <v>1</v>
      </c>
      <c r="AA107" s="1">
        <v>1</v>
      </c>
      <c r="AB107" s="1">
        <v>0</v>
      </c>
      <c r="AC107" s="1">
        <v>1</v>
      </c>
      <c r="AD107" s="1">
        <v>1</v>
      </c>
      <c r="AE107" s="1">
        <v>1</v>
      </c>
      <c r="AF107" s="1">
        <v>1</v>
      </c>
      <c r="AI107">
        <v>111</v>
      </c>
      <c r="AJ107">
        <v>135</v>
      </c>
      <c r="AK107">
        <v>-24</v>
      </c>
      <c r="AL107">
        <v>8</v>
      </c>
      <c r="AM107">
        <v>12</v>
      </c>
      <c r="AN107">
        <v>0</v>
      </c>
      <c r="AO107">
        <v>0</v>
      </c>
      <c r="AP107">
        <v>6</v>
      </c>
      <c r="AQ107" s="1"/>
      <c r="AR107" s="1"/>
      <c r="AS107" s="1"/>
      <c r="AT107" s="1"/>
      <c r="AU107" s="1"/>
      <c r="AV107" s="1"/>
    </row>
    <row r="108" spans="1:48" x14ac:dyDescent="0.2">
      <c r="A108" s="1" t="s">
        <v>6</v>
      </c>
      <c r="B108" s="1">
        <v>2001</v>
      </c>
      <c r="C108" s="1">
        <v>4</v>
      </c>
      <c r="D108">
        <v>111</v>
      </c>
      <c r="E108">
        <v>135</v>
      </c>
      <c r="F108">
        <v>-24</v>
      </c>
      <c r="G108">
        <v>8</v>
      </c>
      <c r="H108">
        <v>12</v>
      </c>
      <c r="I108">
        <v>0</v>
      </c>
      <c r="J108">
        <v>0</v>
      </c>
      <c r="K108">
        <v>6</v>
      </c>
      <c r="L108" s="1"/>
      <c r="M108" s="1"/>
      <c r="N108" s="1"/>
      <c r="O108" s="1"/>
      <c r="P108" s="1"/>
      <c r="Q108" s="1"/>
      <c r="R108" s="1">
        <v>4</v>
      </c>
      <c r="S108" s="1"/>
      <c r="T108" s="1">
        <v>3</v>
      </c>
      <c r="U108" s="1" t="s">
        <v>87</v>
      </c>
      <c r="V108" s="1">
        <v>0</v>
      </c>
      <c r="W108" s="1">
        <f t="shared" ref="W108:W126" si="40">1-AG3</f>
        <v>0</v>
      </c>
      <c r="X108" s="1">
        <f t="shared" ref="X108:X126" si="41">1-AH3</f>
        <v>1</v>
      </c>
      <c r="Y108" s="1">
        <f t="shared" ref="Y108:Y126" si="42">1-AG24</f>
        <v>1</v>
      </c>
      <c r="Z108" s="1">
        <f t="shared" ref="Z108:Z126" si="43">1-AH24</f>
        <v>0</v>
      </c>
      <c r="AA108" s="1">
        <f t="shared" ref="AA108:AA126" si="44">1-AG45</f>
        <v>0</v>
      </c>
      <c r="AB108" s="1">
        <f t="shared" ref="AB108:AB126" si="45">1-AH45</f>
        <v>1</v>
      </c>
      <c r="AC108" s="1">
        <f t="shared" ref="AC108:AC126" si="46">1-AG66</f>
        <v>1</v>
      </c>
      <c r="AD108" s="1">
        <f t="shared" ref="AD108:AD126" si="47">1-AH66</f>
        <v>0</v>
      </c>
      <c r="AE108" s="1">
        <f t="shared" ref="AE108:AE126" si="48">1-AG87</f>
        <v>0.5</v>
      </c>
      <c r="AF108" s="1">
        <f t="shared" ref="AF108:AF126" si="49">1-AH87</f>
        <v>0</v>
      </c>
      <c r="AI108">
        <v>125</v>
      </c>
      <c r="AJ108">
        <v>166</v>
      </c>
      <c r="AK108">
        <v>-41</v>
      </c>
      <c r="AL108">
        <v>10</v>
      </c>
      <c r="AM108">
        <v>15</v>
      </c>
      <c r="AN108">
        <v>0</v>
      </c>
      <c r="AO108">
        <v>0</v>
      </c>
      <c r="AP108">
        <v>5</v>
      </c>
      <c r="AQ108" s="1"/>
      <c r="AR108" s="1"/>
      <c r="AS108" s="1"/>
      <c r="AT108" s="1"/>
      <c r="AU108" s="1"/>
      <c r="AV108" s="1"/>
    </row>
    <row r="109" spans="1:48" x14ac:dyDescent="0.2">
      <c r="A109" s="1" t="s">
        <v>6</v>
      </c>
      <c r="B109" s="1">
        <v>2002</v>
      </c>
      <c r="C109" s="1">
        <v>4</v>
      </c>
      <c r="D109">
        <v>125</v>
      </c>
      <c r="E109">
        <v>166</v>
      </c>
      <c r="F109">
        <v>-41</v>
      </c>
      <c r="G109">
        <v>10</v>
      </c>
      <c r="H109">
        <v>15</v>
      </c>
      <c r="I109">
        <v>0</v>
      </c>
      <c r="J109">
        <v>0</v>
      </c>
      <c r="K109">
        <v>5</v>
      </c>
      <c r="L109" s="1"/>
      <c r="M109" s="1"/>
      <c r="N109" s="1"/>
      <c r="O109" s="1"/>
      <c r="P109" s="1"/>
      <c r="Q109" s="1"/>
      <c r="R109" s="1">
        <v>5</v>
      </c>
      <c r="S109" s="1"/>
      <c r="T109" s="1">
        <v>4</v>
      </c>
      <c r="U109" s="1" t="s">
        <v>87</v>
      </c>
      <c r="V109" s="1">
        <v>0</v>
      </c>
      <c r="W109" s="1">
        <f t="shared" si="40"/>
        <v>0</v>
      </c>
      <c r="X109" s="1">
        <f t="shared" si="41"/>
        <v>0</v>
      </c>
      <c r="Y109" s="1">
        <f t="shared" si="42"/>
        <v>0</v>
      </c>
      <c r="Z109" s="1">
        <f t="shared" si="43"/>
        <v>1</v>
      </c>
      <c r="AA109" s="1">
        <f t="shared" si="44"/>
        <v>0</v>
      </c>
      <c r="AB109" s="1">
        <f t="shared" si="45"/>
        <v>0</v>
      </c>
      <c r="AC109" s="1">
        <f t="shared" si="46"/>
        <v>1</v>
      </c>
      <c r="AD109" s="1">
        <f t="shared" si="47"/>
        <v>1</v>
      </c>
      <c r="AE109" s="1">
        <f t="shared" si="48"/>
        <v>0</v>
      </c>
      <c r="AF109" s="1">
        <f t="shared" si="49"/>
        <v>1</v>
      </c>
      <c r="AI109">
        <v>119</v>
      </c>
      <c r="AJ109">
        <v>188</v>
      </c>
      <c r="AK109">
        <v>-69</v>
      </c>
      <c r="AL109">
        <v>11</v>
      </c>
      <c r="AM109">
        <v>18</v>
      </c>
      <c r="AN109">
        <v>0</v>
      </c>
      <c r="AO109">
        <v>0</v>
      </c>
      <c r="AP109">
        <v>2</v>
      </c>
      <c r="AQ109" s="1"/>
      <c r="AR109" s="1"/>
      <c r="AS109" s="1"/>
      <c r="AT109" s="1"/>
      <c r="AU109" s="1"/>
      <c r="AV109" s="1"/>
    </row>
    <row r="110" spans="1:48" x14ac:dyDescent="0.2">
      <c r="A110" s="1" t="s">
        <v>6</v>
      </c>
      <c r="B110" s="1">
        <v>2003</v>
      </c>
      <c r="C110" s="1">
        <v>5</v>
      </c>
      <c r="D110">
        <v>119</v>
      </c>
      <c r="E110">
        <v>188</v>
      </c>
      <c r="F110">
        <v>-69</v>
      </c>
      <c r="G110">
        <v>11</v>
      </c>
      <c r="H110">
        <v>18</v>
      </c>
      <c r="I110">
        <v>0</v>
      </c>
      <c r="J110">
        <v>0</v>
      </c>
      <c r="K110">
        <v>2</v>
      </c>
      <c r="L110" s="1"/>
      <c r="M110" s="1"/>
      <c r="N110" s="1"/>
      <c r="O110" s="1"/>
      <c r="P110" s="1"/>
      <c r="Q110" s="1"/>
      <c r="R110" s="1">
        <v>6</v>
      </c>
      <c r="S110" s="1">
        <v>8</v>
      </c>
      <c r="T110" s="1">
        <v>1</v>
      </c>
      <c r="U110" s="1" t="s">
        <v>88</v>
      </c>
      <c r="V110" s="1">
        <v>0</v>
      </c>
      <c r="W110" s="1">
        <f t="shared" si="40"/>
        <v>0</v>
      </c>
      <c r="X110" s="1">
        <f t="shared" si="41"/>
        <v>1</v>
      </c>
      <c r="Y110" s="1">
        <f t="shared" si="42"/>
        <v>0</v>
      </c>
      <c r="Z110" s="1">
        <f t="shared" si="43"/>
        <v>0</v>
      </c>
      <c r="AA110" s="1">
        <f t="shared" si="44"/>
        <v>0</v>
      </c>
      <c r="AB110" s="1">
        <f t="shared" si="45"/>
        <v>1</v>
      </c>
      <c r="AC110" s="1">
        <f t="shared" si="46"/>
        <v>0</v>
      </c>
      <c r="AD110" s="1">
        <f t="shared" si="47"/>
        <v>0</v>
      </c>
      <c r="AE110" s="1">
        <f t="shared" si="48"/>
        <v>0</v>
      </c>
      <c r="AF110" s="1">
        <f t="shared" si="49"/>
        <v>0</v>
      </c>
      <c r="AI110">
        <v>82</v>
      </c>
      <c r="AJ110">
        <v>144</v>
      </c>
      <c r="AK110">
        <v>-62</v>
      </c>
      <c r="AL110">
        <v>10</v>
      </c>
      <c r="AM110">
        <v>13</v>
      </c>
      <c r="AN110">
        <v>0</v>
      </c>
      <c r="AO110">
        <v>0</v>
      </c>
      <c r="AP110">
        <v>0</v>
      </c>
      <c r="AQ110" s="1"/>
      <c r="AR110" s="1"/>
      <c r="AS110" s="1"/>
      <c r="AT110" s="1"/>
      <c r="AU110" s="1"/>
      <c r="AV110" s="1"/>
    </row>
    <row r="111" spans="1:48" x14ac:dyDescent="0.2">
      <c r="A111" s="1" t="s">
        <v>6</v>
      </c>
      <c r="B111" s="1">
        <v>2004</v>
      </c>
      <c r="C111" s="1">
        <v>6</v>
      </c>
      <c r="D111">
        <v>82</v>
      </c>
      <c r="E111">
        <v>144</v>
      </c>
      <c r="F111">
        <v>-62</v>
      </c>
      <c r="G111">
        <v>10</v>
      </c>
      <c r="H111">
        <v>13</v>
      </c>
      <c r="I111">
        <v>0</v>
      </c>
      <c r="J111">
        <v>0</v>
      </c>
      <c r="K111">
        <v>0</v>
      </c>
      <c r="L111" s="1"/>
      <c r="M111" s="1"/>
      <c r="N111" s="1"/>
      <c r="O111" s="1"/>
      <c r="P111" s="1"/>
      <c r="Q111" s="1"/>
      <c r="R111" s="1">
        <v>4</v>
      </c>
      <c r="S111" s="1">
        <v>8</v>
      </c>
      <c r="T111" s="1">
        <v>2</v>
      </c>
      <c r="U111" s="1" t="s">
        <v>88</v>
      </c>
      <c r="V111" s="1">
        <v>0</v>
      </c>
      <c r="W111" s="1">
        <f t="shared" si="40"/>
        <v>0</v>
      </c>
      <c r="X111" s="1">
        <f t="shared" si="41"/>
        <v>0</v>
      </c>
      <c r="Y111" s="1">
        <f t="shared" si="42"/>
        <v>0</v>
      </c>
      <c r="Z111" s="1">
        <f t="shared" si="43"/>
        <v>1</v>
      </c>
      <c r="AA111" s="1">
        <f t="shared" si="44"/>
        <v>0</v>
      </c>
      <c r="AB111" s="1">
        <f t="shared" si="45"/>
        <v>0</v>
      </c>
      <c r="AC111" s="1">
        <f t="shared" si="46"/>
        <v>1</v>
      </c>
      <c r="AD111" s="1">
        <f t="shared" si="47"/>
        <v>1</v>
      </c>
      <c r="AE111" s="1">
        <f t="shared" si="48"/>
        <v>1</v>
      </c>
      <c r="AF111" s="1">
        <f t="shared" si="49"/>
        <v>1</v>
      </c>
      <c r="AI111">
        <v>125</v>
      </c>
      <c r="AJ111">
        <v>116</v>
      </c>
      <c r="AK111">
        <v>9</v>
      </c>
      <c r="AL111">
        <v>14</v>
      </c>
      <c r="AM111">
        <v>13</v>
      </c>
      <c r="AN111">
        <v>0</v>
      </c>
      <c r="AO111">
        <v>0</v>
      </c>
      <c r="AP111">
        <v>4</v>
      </c>
      <c r="AQ111" s="1"/>
      <c r="AR111" s="1"/>
      <c r="AS111" s="1"/>
      <c r="AT111" s="1"/>
      <c r="AU111" s="1"/>
      <c r="AV111" s="1"/>
    </row>
    <row r="112" spans="1:48" x14ac:dyDescent="0.2">
      <c r="A112" s="1" t="s">
        <v>6</v>
      </c>
      <c r="B112" s="1">
        <v>2005</v>
      </c>
      <c r="C112" s="1">
        <v>4</v>
      </c>
      <c r="D112">
        <v>125</v>
      </c>
      <c r="E112">
        <v>116</v>
      </c>
      <c r="F112">
        <v>9</v>
      </c>
      <c r="G112">
        <v>14</v>
      </c>
      <c r="H112">
        <v>13</v>
      </c>
      <c r="I112">
        <v>0</v>
      </c>
      <c r="J112">
        <v>0</v>
      </c>
      <c r="K112">
        <v>4</v>
      </c>
      <c r="L112" s="1"/>
      <c r="M112" s="1"/>
      <c r="N112" s="1"/>
      <c r="O112" s="1"/>
      <c r="P112" s="1"/>
      <c r="Q112" s="1"/>
      <c r="R112" s="1">
        <v>1</v>
      </c>
      <c r="S112" s="1">
        <v>8</v>
      </c>
      <c r="T112" s="1">
        <v>1</v>
      </c>
      <c r="U112" s="1" t="s">
        <v>89</v>
      </c>
      <c r="V112" s="1">
        <v>0</v>
      </c>
      <c r="W112" s="1">
        <f t="shared" si="40"/>
        <v>1</v>
      </c>
      <c r="X112" s="1">
        <f t="shared" si="41"/>
        <v>1</v>
      </c>
      <c r="Y112" s="1">
        <f t="shared" si="42"/>
        <v>1</v>
      </c>
      <c r="Z112" s="1">
        <f t="shared" si="43"/>
        <v>0</v>
      </c>
      <c r="AA112" s="1">
        <f t="shared" si="44"/>
        <v>1</v>
      </c>
      <c r="AB112" s="1">
        <f t="shared" si="45"/>
        <v>1</v>
      </c>
      <c r="AC112" s="1">
        <f t="shared" si="46"/>
        <v>1</v>
      </c>
      <c r="AD112" s="1">
        <f t="shared" si="47"/>
        <v>0</v>
      </c>
      <c r="AE112" s="1">
        <f t="shared" si="48"/>
        <v>1</v>
      </c>
      <c r="AF112" s="1">
        <f t="shared" si="49"/>
        <v>0</v>
      </c>
      <c r="AI112">
        <v>151</v>
      </c>
      <c r="AJ112">
        <v>77</v>
      </c>
      <c r="AK112">
        <v>74</v>
      </c>
      <c r="AL112">
        <v>17</v>
      </c>
      <c r="AM112">
        <v>8</v>
      </c>
      <c r="AN112">
        <v>0</v>
      </c>
      <c r="AO112">
        <v>0</v>
      </c>
      <c r="AP112">
        <v>10</v>
      </c>
      <c r="AQ112" s="1"/>
      <c r="AR112" s="1"/>
      <c r="AS112" s="1"/>
      <c r="AT112" s="1"/>
      <c r="AU112" s="1"/>
      <c r="AV112" s="1"/>
    </row>
    <row r="113" spans="1:48" x14ac:dyDescent="0.2">
      <c r="A113" s="1" t="s">
        <v>6</v>
      </c>
      <c r="B113" s="1">
        <v>2006</v>
      </c>
      <c r="C113" s="1">
        <v>1</v>
      </c>
      <c r="D113">
        <v>151</v>
      </c>
      <c r="E113">
        <v>77</v>
      </c>
      <c r="F113">
        <v>74</v>
      </c>
      <c r="G113">
        <v>17</v>
      </c>
      <c r="H113">
        <v>8</v>
      </c>
      <c r="I113">
        <v>0</v>
      </c>
      <c r="J113">
        <v>0</v>
      </c>
      <c r="K113">
        <v>10</v>
      </c>
      <c r="L113" s="1"/>
      <c r="M113" s="1"/>
      <c r="N113" s="1"/>
      <c r="O113" s="1"/>
      <c r="P113" s="1"/>
      <c r="Q113" s="1"/>
      <c r="R113" s="1">
        <v>5</v>
      </c>
      <c r="S113" s="1">
        <v>6</v>
      </c>
      <c r="T113" s="1">
        <v>2</v>
      </c>
      <c r="U113" s="1" t="s">
        <v>89</v>
      </c>
      <c r="V113" s="1">
        <v>0</v>
      </c>
      <c r="W113" s="1">
        <f t="shared" si="40"/>
        <v>0</v>
      </c>
      <c r="X113" s="1">
        <f t="shared" si="41"/>
        <v>0</v>
      </c>
      <c r="Y113" s="1">
        <f t="shared" si="42"/>
        <v>0</v>
      </c>
      <c r="Z113" s="1">
        <f t="shared" si="43"/>
        <v>1</v>
      </c>
      <c r="AA113" s="1">
        <f t="shared" si="44"/>
        <v>0</v>
      </c>
      <c r="AB113" s="1">
        <f t="shared" si="45"/>
        <v>0</v>
      </c>
      <c r="AC113" s="1">
        <f t="shared" si="46"/>
        <v>0.5</v>
      </c>
      <c r="AD113" s="1">
        <f t="shared" si="47"/>
        <v>1</v>
      </c>
      <c r="AE113" s="1">
        <f t="shared" si="48"/>
        <v>1</v>
      </c>
      <c r="AF113" s="1">
        <f t="shared" si="49"/>
        <v>1</v>
      </c>
      <c r="AI113">
        <v>80</v>
      </c>
      <c r="AJ113">
        <v>135</v>
      </c>
      <c r="AK113">
        <v>-55</v>
      </c>
      <c r="AL113">
        <v>9</v>
      </c>
      <c r="AM113">
        <v>15</v>
      </c>
      <c r="AN113">
        <v>0</v>
      </c>
      <c r="AO113">
        <v>0</v>
      </c>
      <c r="AP113">
        <v>3</v>
      </c>
      <c r="AQ113" s="1"/>
      <c r="AR113" s="1"/>
      <c r="AS113" s="1"/>
      <c r="AT113" s="1"/>
      <c r="AU113" s="1"/>
      <c r="AV113" s="1"/>
    </row>
    <row r="114" spans="1:48" x14ac:dyDescent="0.2">
      <c r="A114" s="1" t="s">
        <v>6</v>
      </c>
      <c r="B114" s="1">
        <v>2007</v>
      </c>
      <c r="C114" s="1">
        <v>5</v>
      </c>
      <c r="D114">
        <v>80</v>
      </c>
      <c r="E114">
        <v>135</v>
      </c>
      <c r="F114">
        <v>-55</v>
      </c>
      <c r="G114">
        <v>9</v>
      </c>
      <c r="H114">
        <v>15</v>
      </c>
      <c r="I114">
        <v>0</v>
      </c>
      <c r="J114">
        <v>0</v>
      </c>
      <c r="K114">
        <v>3</v>
      </c>
      <c r="L114" s="1"/>
      <c r="M114" s="1"/>
      <c r="N114" s="1"/>
      <c r="O114" s="1"/>
      <c r="P114" s="1"/>
      <c r="Q114" s="1"/>
      <c r="R114" s="1">
        <v>5</v>
      </c>
      <c r="S114" s="1">
        <v>8</v>
      </c>
      <c r="T114" s="1">
        <v>1</v>
      </c>
      <c r="U114" s="1" t="s">
        <v>90</v>
      </c>
      <c r="V114" s="1">
        <v>0</v>
      </c>
      <c r="W114" s="1">
        <f t="shared" si="40"/>
        <v>1</v>
      </c>
      <c r="X114" s="1">
        <f t="shared" si="41"/>
        <v>1</v>
      </c>
      <c r="Y114" s="1">
        <f t="shared" si="42"/>
        <v>0</v>
      </c>
      <c r="Z114" s="1">
        <f t="shared" si="43"/>
        <v>0</v>
      </c>
      <c r="AA114" s="1">
        <f t="shared" si="44"/>
        <v>0</v>
      </c>
      <c r="AB114" s="1">
        <f t="shared" si="45"/>
        <v>1</v>
      </c>
      <c r="AC114" s="1">
        <f t="shared" si="46"/>
        <v>0</v>
      </c>
      <c r="AD114" s="1">
        <f t="shared" si="47"/>
        <v>0</v>
      </c>
      <c r="AE114" s="1">
        <f t="shared" si="48"/>
        <v>0</v>
      </c>
      <c r="AF114" s="1">
        <f t="shared" si="49"/>
        <v>0</v>
      </c>
      <c r="AI114">
        <v>86</v>
      </c>
      <c r="AJ114">
        <v>113</v>
      </c>
      <c r="AK114">
        <v>-27</v>
      </c>
      <c r="AL114">
        <v>7</v>
      </c>
      <c r="AM114">
        <v>9</v>
      </c>
      <c r="AN114">
        <v>0</v>
      </c>
      <c r="AO114">
        <v>0</v>
      </c>
      <c r="AP114">
        <v>2</v>
      </c>
      <c r="AQ114" s="1"/>
      <c r="AR114" s="1"/>
      <c r="AS114" s="1"/>
      <c r="AT114" s="1"/>
      <c r="AU114" s="1"/>
      <c r="AV114" s="1"/>
    </row>
    <row r="115" spans="1:48" x14ac:dyDescent="0.2">
      <c r="A115" s="1" t="s">
        <v>6</v>
      </c>
      <c r="B115" s="1">
        <v>2008</v>
      </c>
      <c r="C115" s="1">
        <v>5</v>
      </c>
      <c r="D115">
        <v>86</v>
      </c>
      <c r="E115">
        <v>113</v>
      </c>
      <c r="F115">
        <v>-27</v>
      </c>
      <c r="G115">
        <v>7</v>
      </c>
      <c r="H115">
        <v>9</v>
      </c>
      <c r="I115">
        <v>0</v>
      </c>
      <c r="J115">
        <v>0</v>
      </c>
      <c r="K115">
        <v>2</v>
      </c>
      <c r="L115" s="1"/>
      <c r="M115" s="1"/>
      <c r="N115" s="1"/>
      <c r="O115" s="1"/>
      <c r="P115" s="1"/>
      <c r="Q115" s="1"/>
      <c r="R115" s="1">
        <v>1</v>
      </c>
      <c r="S115" s="1">
        <v>10</v>
      </c>
      <c r="T115" s="1">
        <v>1</v>
      </c>
      <c r="U115" s="1" t="s">
        <v>70</v>
      </c>
      <c r="V115" s="1">
        <v>0</v>
      </c>
      <c r="W115" s="1">
        <f t="shared" si="40"/>
        <v>1</v>
      </c>
      <c r="X115" s="1">
        <f t="shared" si="41"/>
        <v>0</v>
      </c>
      <c r="Y115" s="1">
        <f t="shared" si="42"/>
        <v>1</v>
      </c>
      <c r="Z115" s="1">
        <f t="shared" si="43"/>
        <v>1</v>
      </c>
      <c r="AA115" s="1">
        <f t="shared" si="44"/>
        <v>1</v>
      </c>
      <c r="AB115" s="1">
        <f t="shared" si="45"/>
        <v>0</v>
      </c>
      <c r="AC115" s="1">
        <f t="shared" si="46"/>
        <v>1</v>
      </c>
      <c r="AD115" s="1">
        <f t="shared" si="47"/>
        <v>1</v>
      </c>
      <c r="AE115" s="1">
        <f t="shared" si="48"/>
        <v>1</v>
      </c>
      <c r="AF115" s="1">
        <f t="shared" si="49"/>
        <v>1</v>
      </c>
      <c r="AI115">
        <v>148</v>
      </c>
      <c r="AJ115">
        <v>66</v>
      </c>
      <c r="AK115">
        <v>82</v>
      </c>
      <c r="AL115">
        <v>13</v>
      </c>
      <c r="AM115">
        <v>2</v>
      </c>
      <c r="AN115">
        <v>0</v>
      </c>
      <c r="AO115">
        <v>0</v>
      </c>
      <c r="AP115">
        <v>10</v>
      </c>
      <c r="AQ115" s="1"/>
      <c r="AR115" s="1"/>
      <c r="AS115" s="1"/>
      <c r="AT115" s="1"/>
      <c r="AU115" s="1"/>
      <c r="AV115" s="1"/>
    </row>
    <row r="116" spans="1:48" x14ac:dyDescent="0.2">
      <c r="A116" s="1" t="s">
        <v>6</v>
      </c>
      <c r="B116" s="1">
        <v>2009</v>
      </c>
      <c r="C116" s="1">
        <v>1</v>
      </c>
      <c r="D116">
        <v>148</v>
      </c>
      <c r="E116">
        <v>66</v>
      </c>
      <c r="F116">
        <v>82</v>
      </c>
      <c r="G116">
        <v>13</v>
      </c>
      <c r="H116">
        <v>2</v>
      </c>
      <c r="I116">
        <v>0</v>
      </c>
      <c r="J116">
        <v>0</v>
      </c>
      <c r="K116">
        <v>10</v>
      </c>
      <c r="L116" s="1"/>
      <c r="M116" s="1"/>
      <c r="N116" s="1"/>
      <c r="O116" s="1"/>
      <c r="P116" s="1"/>
      <c r="Q116" s="1"/>
      <c r="R116" s="1">
        <v>4</v>
      </c>
      <c r="S116" s="1">
        <v>5</v>
      </c>
      <c r="T116" s="1">
        <v>2</v>
      </c>
      <c r="U116" s="1" t="s">
        <v>70</v>
      </c>
      <c r="V116" s="1">
        <v>0</v>
      </c>
      <c r="W116" s="1">
        <f t="shared" si="40"/>
        <v>1</v>
      </c>
      <c r="X116" s="1">
        <f t="shared" si="41"/>
        <v>1</v>
      </c>
      <c r="Y116" s="1">
        <f t="shared" si="42"/>
        <v>0</v>
      </c>
      <c r="Z116" s="1">
        <f t="shared" si="43"/>
        <v>0</v>
      </c>
      <c r="AA116" s="1">
        <f t="shared" si="44"/>
        <v>0</v>
      </c>
      <c r="AB116" s="1">
        <f t="shared" si="45"/>
        <v>1</v>
      </c>
      <c r="AC116" s="1">
        <f t="shared" si="46"/>
        <v>1</v>
      </c>
      <c r="AD116" s="1">
        <f t="shared" si="47"/>
        <v>0</v>
      </c>
      <c r="AE116" s="1">
        <f t="shared" si="48"/>
        <v>1</v>
      </c>
      <c r="AF116" s="1">
        <f t="shared" si="49"/>
        <v>0</v>
      </c>
      <c r="AI116">
        <v>100</v>
      </c>
      <c r="AJ116">
        <v>81</v>
      </c>
      <c r="AK116">
        <v>19</v>
      </c>
      <c r="AL116">
        <v>8</v>
      </c>
      <c r="AM116">
        <v>7</v>
      </c>
      <c r="AN116">
        <v>0</v>
      </c>
      <c r="AO116">
        <v>0</v>
      </c>
      <c r="AP116">
        <v>6</v>
      </c>
      <c r="AQ116" s="1">
        <f t="shared" ref="AQ116:AQ126" si="50">1-AV11</f>
        <v>0.76190476190476186</v>
      </c>
      <c r="AR116" s="1">
        <f t="shared" ref="AR116:AR126" si="51">1-AV32</f>
        <v>0.43243243243243246</v>
      </c>
      <c r="AS116" s="1">
        <f t="shared" ref="AS116:AS126" si="52">1-AV53</f>
        <v>0.46875</v>
      </c>
      <c r="AT116" s="1">
        <f t="shared" ref="AT116:AT126" si="53">1-AV74</f>
        <v>0.95238095238095233</v>
      </c>
      <c r="AU116" s="1">
        <f t="shared" ref="AU116:AU126" si="54">1-AV95</f>
        <v>0.7142857142857143</v>
      </c>
      <c r="AV116" s="1"/>
    </row>
    <row r="117" spans="1:48" x14ac:dyDescent="0.2">
      <c r="A117" s="1" t="s">
        <v>6</v>
      </c>
      <c r="B117" s="1">
        <v>2010</v>
      </c>
      <c r="C117" s="1">
        <v>4</v>
      </c>
      <c r="D117">
        <v>100</v>
      </c>
      <c r="E117">
        <v>81</v>
      </c>
      <c r="F117">
        <v>19</v>
      </c>
      <c r="G117">
        <v>8</v>
      </c>
      <c r="H117">
        <v>7</v>
      </c>
      <c r="I117">
        <v>0</v>
      </c>
      <c r="J117">
        <v>0</v>
      </c>
      <c r="K117">
        <v>6</v>
      </c>
      <c r="L117" s="1">
        <f t="shared" ref="L117:L127" si="55">1-Q12</f>
        <v>0.76190476190476186</v>
      </c>
      <c r="M117" s="1">
        <f t="shared" ref="M117:M127" si="56">1-Q33</f>
        <v>0.43243243243243246</v>
      </c>
      <c r="N117" s="1">
        <f t="shared" ref="N117:N127" si="57">1-Q54</f>
        <v>0.46875</v>
      </c>
      <c r="O117" s="1">
        <f t="shared" ref="O117:O127" si="58">1-Q75</f>
        <v>0.95238095238095233</v>
      </c>
      <c r="P117" s="1">
        <f t="shared" ref="P117:P127" si="59">1-Q96</f>
        <v>0.7142857142857143</v>
      </c>
      <c r="Q117" s="1"/>
      <c r="R117" s="1">
        <v>4</v>
      </c>
      <c r="S117" s="1">
        <v>8</v>
      </c>
      <c r="T117" s="1">
        <v>3</v>
      </c>
      <c r="U117" s="1" t="s">
        <v>70</v>
      </c>
      <c r="V117" s="1">
        <v>0</v>
      </c>
      <c r="W117" s="1">
        <f t="shared" si="40"/>
        <v>0</v>
      </c>
      <c r="X117" s="1">
        <f t="shared" si="41"/>
        <v>0</v>
      </c>
      <c r="Y117" s="1">
        <f t="shared" si="42"/>
        <v>0</v>
      </c>
      <c r="Z117" s="1">
        <f t="shared" si="43"/>
        <v>1</v>
      </c>
      <c r="AA117" s="1">
        <f t="shared" si="44"/>
        <v>0</v>
      </c>
      <c r="AB117" s="1">
        <f t="shared" si="45"/>
        <v>0</v>
      </c>
      <c r="AC117" s="1">
        <f t="shared" si="46"/>
        <v>1</v>
      </c>
      <c r="AD117" s="1">
        <f t="shared" si="47"/>
        <v>1</v>
      </c>
      <c r="AE117" s="1">
        <f t="shared" si="48"/>
        <v>1</v>
      </c>
      <c r="AF117" s="1">
        <f t="shared" si="49"/>
        <v>1</v>
      </c>
      <c r="AI117">
        <v>113</v>
      </c>
      <c r="AJ117">
        <v>117</v>
      </c>
      <c r="AK117">
        <v>-4</v>
      </c>
      <c r="AL117">
        <v>10</v>
      </c>
      <c r="AM117">
        <v>11</v>
      </c>
      <c r="AN117">
        <v>0</v>
      </c>
      <c r="AO117">
        <v>0</v>
      </c>
      <c r="AP117">
        <v>4</v>
      </c>
      <c r="AQ117" s="1">
        <f t="shared" si="50"/>
        <v>0.36363636363636365</v>
      </c>
      <c r="AR117" s="1">
        <f t="shared" si="51"/>
        <v>0.25373134328358204</v>
      </c>
      <c r="AS117" s="1">
        <f t="shared" si="52"/>
        <v>0.24875621890547261</v>
      </c>
      <c r="AT117" s="1">
        <f t="shared" si="53"/>
        <v>0.875</v>
      </c>
      <c r="AU117" s="1">
        <f t="shared" si="54"/>
        <v>0.81583793738489874</v>
      </c>
      <c r="AV117" s="1"/>
    </row>
    <row r="118" spans="1:48" x14ac:dyDescent="0.2">
      <c r="A118" s="1" t="s">
        <v>6</v>
      </c>
      <c r="B118" s="1">
        <v>2011</v>
      </c>
      <c r="C118" s="1">
        <v>4</v>
      </c>
      <c r="D118">
        <v>113</v>
      </c>
      <c r="E118">
        <v>117</v>
      </c>
      <c r="F118">
        <v>-4</v>
      </c>
      <c r="G118">
        <v>10</v>
      </c>
      <c r="H118">
        <v>11</v>
      </c>
      <c r="I118">
        <v>0</v>
      </c>
      <c r="J118">
        <v>0</v>
      </c>
      <c r="K118">
        <v>4</v>
      </c>
      <c r="L118" s="1">
        <f t="shared" si="55"/>
        <v>0.36363636363636365</v>
      </c>
      <c r="M118" s="1">
        <f t="shared" si="56"/>
        <v>0.25373134328358204</v>
      </c>
      <c r="N118" s="1">
        <f t="shared" si="57"/>
        <v>0.24875621890547261</v>
      </c>
      <c r="O118" s="1">
        <f t="shared" si="58"/>
        <v>0.875</v>
      </c>
      <c r="P118" s="1">
        <f t="shared" si="59"/>
        <v>0.81583793738489874</v>
      </c>
      <c r="Q118" s="1"/>
      <c r="R118" s="1">
        <v>4</v>
      </c>
      <c r="S118" s="1">
        <v>9</v>
      </c>
      <c r="T118" s="1">
        <v>4</v>
      </c>
      <c r="U118" s="1" t="s">
        <v>70</v>
      </c>
      <c r="V118" s="1">
        <v>0</v>
      </c>
      <c r="W118" s="1">
        <f t="shared" si="40"/>
        <v>0</v>
      </c>
      <c r="X118" s="1">
        <f t="shared" si="41"/>
        <v>1</v>
      </c>
      <c r="Y118" s="1">
        <f t="shared" si="42"/>
        <v>0</v>
      </c>
      <c r="Z118" s="1">
        <f t="shared" si="43"/>
        <v>0</v>
      </c>
      <c r="AA118" s="1">
        <f t="shared" si="44"/>
        <v>1</v>
      </c>
      <c r="AB118" s="1">
        <f t="shared" si="45"/>
        <v>1</v>
      </c>
      <c r="AC118" s="1">
        <f t="shared" si="46"/>
        <v>1</v>
      </c>
      <c r="AD118" s="1">
        <f t="shared" si="47"/>
        <v>0</v>
      </c>
      <c r="AE118" s="1">
        <f t="shared" si="48"/>
        <v>1</v>
      </c>
      <c r="AF118" s="1">
        <f t="shared" si="49"/>
        <v>0</v>
      </c>
      <c r="AI118">
        <v>95</v>
      </c>
      <c r="AJ118">
        <v>89</v>
      </c>
      <c r="AK118">
        <v>6</v>
      </c>
      <c r="AL118">
        <v>6</v>
      </c>
      <c r="AM118">
        <v>8</v>
      </c>
      <c r="AN118">
        <v>0</v>
      </c>
      <c r="AO118">
        <v>0</v>
      </c>
      <c r="AP118">
        <v>6</v>
      </c>
      <c r="AQ118" s="1">
        <f t="shared" si="50"/>
        <v>0.31972789115646261</v>
      </c>
      <c r="AR118" s="1">
        <f t="shared" si="51"/>
        <v>0.27173913043478259</v>
      </c>
      <c r="AS118" s="1">
        <f t="shared" si="52"/>
        <v>0.52153110047846885</v>
      </c>
      <c r="AT118" s="1">
        <f t="shared" si="53"/>
        <v>0.86206896551724133</v>
      </c>
      <c r="AU118" s="1">
        <f t="shared" si="54"/>
        <v>0.41152263374485598</v>
      </c>
      <c r="AV118" s="1"/>
    </row>
    <row r="119" spans="1:48" x14ac:dyDescent="0.2">
      <c r="A119" s="1" t="s">
        <v>6</v>
      </c>
      <c r="B119" s="1">
        <v>2012</v>
      </c>
      <c r="C119" s="1">
        <v>4</v>
      </c>
      <c r="D119">
        <v>95</v>
      </c>
      <c r="E119">
        <v>89</v>
      </c>
      <c r="F119">
        <v>6</v>
      </c>
      <c r="G119">
        <v>6</v>
      </c>
      <c r="H119">
        <v>8</v>
      </c>
      <c r="I119">
        <v>0</v>
      </c>
      <c r="J119">
        <v>0</v>
      </c>
      <c r="K119">
        <v>6</v>
      </c>
      <c r="L119" s="1">
        <f t="shared" si="55"/>
        <v>0.31972789115646261</v>
      </c>
      <c r="M119" s="1">
        <f t="shared" si="56"/>
        <v>0.27173913043478259</v>
      </c>
      <c r="N119" s="1">
        <f t="shared" si="57"/>
        <v>0.52153110047846885</v>
      </c>
      <c r="O119" s="1">
        <f t="shared" si="58"/>
        <v>0.86206896551724133</v>
      </c>
      <c r="P119" s="1">
        <f t="shared" si="59"/>
        <v>0.41152263374485598</v>
      </c>
      <c r="Q119" s="1"/>
      <c r="R119" s="1">
        <v>1</v>
      </c>
      <c r="S119" s="1">
        <v>8</v>
      </c>
      <c r="T119" s="1">
        <v>5</v>
      </c>
      <c r="U119" s="1" t="s">
        <v>70</v>
      </c>
      <c r="V119" s="1">
        <v>0</v>
      </c>
      <c r="W119" s="1">
        <f t="shared" si="40"/>
        <v>1</v>
      </c>
      <c r="X119" s="1">
        <f t="shared" si="41"/>
        <v>0</v>
      </c>
      <c r="Y119" s="1">
        <f t="shared" si="42"/>
        <v>1</v>
      </c>
      <c r="Z119" s="1">
        <f t="shared" si="43"/>
        <v>1</v>
      </c>
      <c r="AA119" s="1">
        <f t="shared" si="44"/>
        <v>1</v>
      </c>
      <c r="AB119" s="1">
        <f t="shared" si="45"/>
        <v>0</v>
      </c>
      <c r="AC119" s="1">
        <f t="shared" si="46"/>
        <v>1</v>
      </c>
      <c r="AD119" s="1">
        <f t="shared" si="47"/>
        <v>1</v>
      </c>
      <c r="AE119" s="1">
        <f t="shared" si="48"/>
        <v>1</v>
      </c>
      <c r="AF119" s="1">
        <f t="shared" si="49"/>
        <v>1</v>
      </c>
      <c r="AI119">
        <v>109</v>
      </c>
      <c r="AJ119">
        <v>58</v>
      </c>
      <c r="AK119">
        <v>51</v>
      </c>
      <c r="AL119">
        <v>10</v>
      </c>
      <c r="AM119">
        <v>3</v>
      </c>
      <c r="AN119">
        <v>0</v>
      </c>
      <c r="AO119">
        <v>0</v>
      </c>
      <c r="AP119">
        <v>10</v>
      </c>
      <c r="AQ119" s="1">
        <f t="shared" si="50"/>
        <v>0.6097560975609756</v>
      </c>
      <c r="AR119" s="1">
        <f t="shared" si="51"/>
        <v>0.6941896024464832</v>
      </c>
      <c r="AS119" s="1">
        <f t="shared" si="52"/>
        <v>0.36630036630036633</v>
      </c>
      <c r="AT119" s="1">
        <f t="shared" si="53"/>
        <v>0.9285714285714286</v>
      </c>
      <c r="AU119" s="1">
        <f t="shared" si="54"/>
        <v>0.84686064318529863</v>
      </c>
      <c r="AV119" s="1"/>
    </row>
    <row r="120" spans="1:48" x14ac:dyDescent="0.2">
      <c r="A120" s="1" t="s">
        <v>6</v>
      </c>
      <c r="B120" s="1">
        <v>2013</v>
      </c>
      <c r="C120" s="1">
        <v>1</v>
      </c>
      <c r="D120">
        <v>109</v>
      </c>
      <c r="E120">
        <v>58</v>
      </c>
      <c r="F120">
        <v>51</v>
      </c>
      <c r="G120">
        <v>10</v>
      </c>
      <c r="H120">
        <v>3</v>
      </c>
      <c r="I120">
        <v>0</v>
      </c>
      <c r="J120">
        <v>0</v>
      </c>
      <c r="K120">
        <v>10</v>
      </c>
      <c r="L120" s="1">
        <f t="shared" si="55"/>
        <v>0.6097560975609756</v>
      </c>
      <c r="M120" s="1">
        <f t="shared" si="56"/>
        <v>0.6941896024464832</v>
      </c>
      <c r="N120" s="1">
        <f t="shared" si="57"/>
        <v>0.36630036630036633</v>
      </c>
      <c r="O120" s="1">
        <f t="shared" si="58"/>
        <v>0.9285714285714286</v>
      </c>
      <c r="P120" s="1">
        <f t="shared" si="59"/>
        <v>0.84686064318529863</v>
      </c>
      <c r="Q120" s="1"/>
      <c r="R120" s="1">
        <v>1</v>
      </c>
      <c r="S120" s="1">
        <v>9</v>
      </c>
      <c r="T120" s="1">
        <v>1</v>
      </c>
      <c r="U120" s="1" t="s">
        <v>91</v>
      </c>
      <c r="V120" s="1">
        <v>0</v>
      </c>
      <c r="W120" s="1">
        <f t="shared" si="40"/>
        <v>1</v>
      </c>
      <c r="X120" s="1">
        <f t="shared" si="41"/>
        <v>1</v>
      </c>
      <c r="Y120" s="1">
        <f t="shared" si="42"/>
        <v>1</v>
      </c>
      <c r="Z120" s="1">
        <f t="shared" si="43"/>
        <v>0</v>
      </c>
      <c r="AA120" s="1">
        <f t="shared" si="44"/>
        <v>0</v>
      </c>
      <c r="AB120" s="1">
        <f t="shared" si="45"/>
        <v>1</v>
      </c>
      <c r="AC120" s="1">
        <f t="shared" si="46"/>
        <v>1</v>
      </c>
      <c r="AD120" s="1">
        <f t="shared" si="47"/>
        <v>0</v>
      </c>
      <c r="AE120" s="1">
        <f t="shared" si="48"/>
        <v>1</v>
      </c>
      <c r="AF120" s="1">
        <f t="shared" si="49"/>
        <v>0</v>
      </c>
      <c r="AI120">
        <v>122</v>
      </c>
      <c r="AJ120">
        <v>66</v>
      </c>
      <c r="AK120">
        <v>56</v>
      </c>
      <c r="AL120">
        <v>9</v>
      </c>
      <c r="AM120">
        <v>3</v>
      </c>
      <c r="AN120">
        <v>0</v>
      </c>
      <c r="AO120">
        <v>0</v>
      </c>
      <c r="AP120">
        <v>8</v>
      </c>
      <c r="AQ120" s="1">
        <f t="shared" si="50"/>
        <v>0.4505494505494505</v>
      </c>
      <c r="AR120" s="1">
        <f t="shared" si="51"/>
        <v>0.24509803921568629</v>
      </c>
      <c r="AS120" s="1">
        <f t="shared" si="52"/>
        <v>0.52606635071090047</v>
      </c>
      <c r="AT120" s="1">
        <f t="shared" si="53"/>
        <v>0.79365079365079372</v>
      </c>
      <c r="AU120" s="1">
        <f t="shared" si="54"/>
        <v>0.70422535211267601</v>
      </c>
      <c r="AV120" s="1"/>
    </row>
    <row r="121" spans="1:48" x14ac:dyDescent="0.2">
      <c r="A121" s="1" t="s">
        <v>6</v>
      </c>
      <c r="B121" s="1">
        <v>2014</v>
      </c>
      <c r="C121" s="1">
        <v>1</v>
      </c>
      <c r="D121">
        <v>122</v>
      </c>
      <c r="E121">
        <v>66</v>
      </c>
      <c r="F121">
        <v>56</v>
      </c>
      <c r="G121">
        <v>9</v>
      </c>
      <c r="H121">
        <v>3</v>
      </c>
      <c r="I121">
        <v>0</v>
      </c>
      <c r="J121">
        <v>0</v>
      </c>
      <c r="K121">
        <v>8</v>
      </c>
      <c r="L121" s="1">
        <f t="shared" si="55"/>
        <v>0.4505494505494505</v>
      </c>
      <c r="M121" s="1">
        <f t="shared" si="56"/>
        <v>0.24509803921568629</v>
      </c>
      <c r="N121" s="1">
        <f t="shared" si="57"/>
        <v>0.52606635071090047</v>
      </c>
      <c r="O121" s="1">
        <f t="shared" si="58"/>
        <v>0.79365079365079372</v>
      </c>
      <c r="P121" s="1">
        <f t="shared" si="59"/>
        <v>0.70422535211267601</v>
      </c>
      <c r="Q121" s="1"/>
      <c r="R121" s="1">
        <v>3</v>
      </c>
      <c r="S121" s="1">
        <v>6</v>
      </c>
      <c r="T121" s="1">
        <v>7</v>
      </c>
      <c r="U121" s="1" t="s">
        <v>70</v>
      </c>
      <c r="V121" s="1">
        <v>0</v>
      </c>
      <c r="W121" s="1">
        <f t="shared" si="40"/>
        <v>0</v>
      </c>
      <c r="X121" s="1">
        <f t="shared" si="41"/>
        <v>0</v>
      </c>
      <c r="Y121" s="1">
        <f t="shared" si="42"/>
        <v>1</v>
      </c>
      <c r="Z121" s="1">
        <f t="shared" si="43"/>
        <v>1</v>
      </c>
      <c r="AA121" s="1">
        <f t="shared" si="44"/>
        <v>0</v>
      </c>
      <c r="AB121" s="1">
        <f t="shared" si="45"/>
        <v>0</v>
      </c>
      <c r="AC121" s="1">
        <f t="shared" si="46"/>
        <v>1</v>
      </c>
      <c r="AD121" s="1">
        <f t="shared" si="47"/>
        <v>1</v>
      </c>
      <c r="AE121" s="1">
        <f t="shared" si="48"/>
        <v>1</v>
      </c>
      <c r="AF121" s="1">
        <f t="shared" si="49"/>
        <v>1</v>
      </c>
      <c r="AI121">
        <v>122</v>
      </c>
      <c r="AJ121">
        <v>79</v>
      </c>
      <c r="AK121">
        <v>43</v>
      </c>
      <c r="AL121">
        <v>11</v>
      </c>
      <c r="AM121">
        <v>6</v>
      </c>
      <c r="AN121">
        <v>0</v>
      </c>
      <c r="AO121">
        <v>0</v>
      </c>
      <c r="AP121">
        <v>6</v>
      </c>
      <c r="AQ121" s="1">
        <f t="shared" si="50"/>
        <v>0.40816326530612246</v>
      </c>
      <c r="AR121" s="1">
        <f t="shared" si="51"/>
        <v>0.55947136563876654</v>
      </c>
      <c r="AS121" s="1">
        <f t="shared" si="52"/>
        <v>0.4464285714285714</v>
      </c>
      <c r="AT121" s="1">
        <f t="shared" si="53"/>
        <v>0.92038216560509556</v>
      </c>
      <c r="AU121" s="1">
        <f t="shared" si="54"/>
        <v>0.85401459854014594</v>
      </c>
      <c r="AV121" s="1"/>
    </row>
    <row r="122" spans="1:48" x14ac:dyDescent="0.2">
      <c r="A122" s="1" t="s">
        <v>6</v>
      </c>
      <c r="B122" s="1">
        <v>2015</v>
      </c>
      <c r="C122" s="1">
        <v>3</v>
      </c>
      <c r="D122">
        <v>122</v>
      </c>
      <c r="E122">
        <v>79</v>
      </c>
      <c r="F122">
        <v>43</v>
      </c>
      <c r="G122">
        <v>11</v>
      </c>
      <c r="H122">
        <v>6</v>
      </c>
      <c r="I122">
        <v>0</v>
      </c>
      <c r="J122">
        <v>0</v>
      </c>
      <c r="K122">
        <v>6</v>
      </c>
      <c r="L122" s="1">
        <f t="shared" si="55"/>
        <v>0.40816326530612246</v>
      </c>
      <c r="M122" s="1">
        <f t="shared" si="56"/>
        <v>0.55947136563876654</v>
      </c>
      <c r="N122" s="1">
        <f t="shared" si="57"/>
        <v>0.4464285714285714</v>
      </c>
      <c r="O122" s="1">
        <f t="shared" si="58"/>
        <v>0.92038216560509556</v>
      </c>
      <c r="P122" s="1">
        <f t="shared" si="59"/>
        <v>0.85401459854014594</v>
      </c>
      <c r="Q122" s="1"/>
      <c r="R122" s="1">
        <v>3</v>
      </c>
      <c r="S122" s="1">
        <v>6</v>
      </c>
      <c r="T122" s="1">
        <v>8</v>
      </c>
      <c r="U122" s="1" t="s">
        <v>70</v>
      </c>
      <c r="V122" s="1">
        <v>0</v>
      </c>
      <c r="W122" s="1">
        <f t="shared" si="40"/>
        <v>0</v>
      </c>
      <c r="X122" s="1">
        <f t="shared" si="41"/>
        <v>1</v>
      </c>
      <c r="Y122" s="1">
        <f t="shared" si="42"/>
        <v>1</v>
      </c>
      <c r="Z122" s="1">
        <f t="shared" si="43"/>
        <v>0</v>
      </c>
      <c r="AA122" s="1">
        <f t="shared" si="44"/>
        <v>1</v>
      </c>
      <c r="AB122" s="1">
        <f t="shared" si="45"/>
        <v>1</v>
      </c>
      <c r="AC122" s="1">
        <f t="shared" si="46"/>
        <v>1</v>
      </c>
      <c r="AD122" s="1">
        <f t="shared" si="47"/>
        <v>0</v>
      </c>
      <c r="AE122" s="1">
        <f t="shared" si="48"/>
        <v>1</v>
      </c>
      <c r="AF122" s="1">
        <f t="shared" si="49"/>
        <v>0</v>
      </c>
      <c r="AI122">
        <v>102</v>
      </c>
      <c r="AJ122">
        <v>86</v>
      </c>
      <c r="AK122">
        <v>16</v>
      </c>
      <c r="AL122">
        <v>8</v>
      </c>
      <c r="AM122">
        <v>7</v>
      </c>
      <c r="AN122">
        <v>0</v>
      </c>
      <c r="AO122">
        <v>2</v>
      </c>
      <c r="AP122">
        <v>10</v>
      </c>
      <c r="AQ122" s="1">
        <f t="shared" si="50"/>
        <v>0.62406015037593987</v>
      </c>
      <c r="AR122" s="1">
        <f t="shared" si="51"/>
        <v>0.42194092827004215</v>
      </c>
      <c r="AS122" s="1">
        <f t="shared" si="52"/>
        <v>0.44134078212290506</v>
      </c>
      <c r="AT122" s="1">
        <f t="shared" si="53"/>
        <v>0.96153846153846156</v>
      </c>
      <c r="AU122" s="1">
        <f t="shared" si="54"/>
        <v>0.64102564102564097</v>
      </c>
      <c r="AV122" s="1"/>
    </row>
    <row r="123" spans="1:48" x14ac:dyDescent="0.2">
      <c r="A123" s="1" t="s">
        <v>6</v>
      </c>
      <c r="B123" s="1">
        <v>2016</v>
      </c>
      <c r="C123" s="1">
        <v>5</v>
      </c>
      <c r="D123">
        <v>102</v>
      </c>
      <c r="E123">
        <v>86</v>
      </c>
      <c r="F123">
        <v>16</v>
      </c>
      <c r="G123">
        <v>8</v>
      </c>
      <c r="H123">
        <v>7</v>
      </c>
      <c r="I123">
        <v>0</v>
      </c>
      <c r="J123">
        <v>2</v>
      </c>
      <c r="K123">
        <v>10</v>
      </c>
      <c r="L123" s="1">
        <f t="shared" si="55"/>
        <v>0.62406015037593987</v>
      </c>
      <c r="M123" s="1">
        <f t="shared" si="56"/>
        <v>0.42194092827004215</v>
      </c>
      <c r="N123" s="1">
        <f t="shared" si="57"/>
        <v>0.44134078212290506</v>
      </c>
      <c r="O123" s="1">
        <f t="shared" si="58"/>
        <v>0.96153846153846156</v>
      </c>
      <c r="P123" s="1">
        <f t="shared" si="59"/>
        <v>0.64102564102564097</v>
      </c>
      <c r="Q123" s="1"/>
      <c r="R123" s="1">
        <v>2</v>
      </c>
      <c r="S123" s="1">
        <v>4</v>
      </c>
      <c r="T123" s="1">
        <v>9</v>
      </c>
      <c r="U123" s="1" t="s">
        <v>70</v>
      </c>
      <c r="V123" s="1">
        <v>0</v>
      </c>
      <c r="W123" s="1">
        <f t="shared" si="40"/>
        <v>0</v>
      </c>
      <c r="X123" s="1">
        <f t="shared" si="41"/>
        <v>0</v>
      </c>
      <c r="Y123" s="1">
        <f t="shared" si="42"/>
        <v>1</v>
      </c>
      <c r="Z123" s="1">
        <f t="shared" si="43"/>
        <v>1</v>
      </c>
      <c r="AA123" s="1">
        <f t="shared" si="44"/>
        <v>0</v>
      </c>
      <c r="AB123" s="1">
        <f t="shared" si="45"/>
        <v>0</v>
      </c>
      <c r="AC123" s="1">
        <f t="shared" si="46"/>
        <v>1</v>
      </c>
      <c r="AD123" s="1">
        <f t="shared" si="47"/>
        <v>1</v>
      </c>
      <c r="AE123" s="1">
        <f t="shared" si="48"/>
        <v>1</v>
      </c>
      <c r="AF123" s="1">
        <f t="shared" si="49"/>
        <v>1</v>
      </c>
      <c r="AI123">
        <v>119</v>
      </c>
      <c r="AJ123">
        <v>83</v>
      </c>
      <c r="AK123">
        <v>36</v>
      </c>
      <c r="AL123">
        <v>13</v>
      </c>
      <c r="AM123">
        <v>11</v>
      </c>
      <c r="AN123">
        <v>2</v>
      </c>
      <c r="AO123">
        <v>1</v>
      </c>
      <c r="AP123">
        <v>15</v>
      </c>
      <c r="AQ123" s="1">
        <f t="shared" si="50"/>
        <v>0.33003300330033003</v>
      </c>
      <c r="AR123" s="1">
        <f t="shared" si="51"/>
        <v>0.79550102249488752</v>
      </c>
      <c r="AS123" s="1">
        <f t="shared" si="52"/>
        <v>0.53191489361702127</v>
      </c>
      <c r="AT123" s="1">
        <f t="shared" si="53"/>
        <v>0.96311324234599782</v>
      </c>
      <c r="AU123" s="1">
        <f t="shared" si="54"/>
        <v>0.82698961937716264</v>
      </c>
      <c r="AV123" s="1"/>
    </row>
    <row r="124" spans="1:48" x14ac:dyDescent="0.2">
      <c r="A124" s="1" t="s">
        <v>6</v>
      </c>
      <c r="B124" s="1">
        <v>2017</v>
      </c>
      <c r="C124" s="1">
        <v>2</v>
      </c>
      <c r="D124">
        <v>119</v>
      </c>
      <c r="E124">
        <v>83</v>
      </c>
      <c r="F124">
        <v>36</v>
      </c>
      <c r="G124">
        <v>13</v>
      </c>
      <c r="H124">
        <v>11</v>
      </c>
      <c r="I124">
        <v>2</v>
      </c>
      <c r="J124">
        <v>1</v>
      </c>
      <c r="K124">
        <v>15</v>
      </c>
      <c r="L124" s="1">
        <f t="shared" si="55"/>
        <v>0.33003300330033003</v>
      </c>
      <c r="M124" s="1">
        <f t="shared" si="56"/>
        <v>0.79550102249488752</v>
      </c>
      <c r="N124" s="1">
        <f t="shared" si="57"/>
        <v>0.53191489361702127</v>
      </c>
      <c r="O124" s="1">
        <f t="shared" si="58"/>
        <v>0.96311324234599782</v>
      </c>
      <c r="P124" s="1">
        <f t="shared" si="59"/>
        <v>0.82698961937716264</v>
      </c>
      <c r="Q124" s="1"/>
      <c r="R124" s="1">
        <v>5</v>
      </c>
      <c r="S124" s="1">
        <v>5</v>
      </c>
      <c r="T124" s="1">
        <v>5</v>
      </c>
      <c r="U124" s="1" t="s">
        <v>91</v>
      </c>
      <c r="V124" s="1">
        <v>0</v>
      </c>
      <c r="W124" s="1">
        <f t="shared" si="40"/>
        <v>0</v>
      </c>
      <c r="X124" s="1">
        <f t="shared" si="41"/>
        <v>1</v>
      </c>
      <c r="Y124" s="1">
        <f t="shared" si="42"/>
        <v>0</v>
      </c>
      <c r="Z124" s="1">
        <f t="shared" si="43"/>
        <v>0</v>
      </c>
      <c r="AA124" s="1">
        <f t="shared" si="44"/>
        <v>1</v>
      </c>
      <c r="AB124" s="1">
        <f t="shared" si="45"/>
        <v>1</v>
      </c>
      <c r="AC124" s="1">
        <f t="shared" si="46"/>
        <v>1</v>
      </c>
      <c r="AD124" s="1">
        <f t="shared" si="47"/>
        <v>0</v>
      </c>
      <c r="AE124" s="1">
        <f t="shared" si="48"/>
        <v>0</v>
      </c>
      <c r="AF124" s="1">
        <f t="shared" si="49"/>
        <v>0</v>
      </c>
      <c r="AI124">
        <v>114</v>
      </c>
      <c r="AJ124">
        <v>65</v>
      </c>
      <c r="AK124">
        <v>49</v>
      </c>
      <c r="AL124">
        <v>10</v>
      </c>
      <c r="AM124">
        <v>7</v>
      </c>
      <c r="AN124">
        <v>0</v>
      </c>
      <c r="AO124">
        <v>0</v>
      </c>
      <c r="AP124">
        <v>23</v>
      </c>
      <c r="AQ124" s="1">
        <f t="shared" si="50"/>
        <v>0.33333333333333337</v>
      </c>
      <c r="AR124" s="1">
        <f t="shared" si="51"/>
        <v>0.27027027027027029</v>
      </c>
      <c r="AS124" s="1">
        <f t="shared" si="52"/>
        <v>0.375</v>
      </c>
      <c r="AT124" s="1">
        <f t="shared" si="53"/>
        <v>0.85470085470085466</v>
      </c>
      <c r="AU124" s="1">
        <f t="shared" si="54"/>
        <v>0.57471264367816088</v>
      </c>
      <c r="AV124" s="1"/>
    </row>
    <row r="125" spans="1:48" x14ac:dyDescent="0.2">
      <c r="A125" s="1" t="s">
        <v>6</v>
      </c>
      <c r="B125" s="1">
        <v>2018</v>
      </c>
      <c r="C125" s="1">
        <v>1</v>
      </c>
      <c r="D125">
        <v>114</v>
      </c>
      <c r="E125">
        <v>65</v>
      </c>
      <c r="F125">
        <v>49</v>
      </c>
      <c r="G125">
        <v>10</v>
      </c>
      <c r="H125">
        <v>7</v>
      </c>
      <c r="I125">
        <v>0</v>
      </c>
      <c r="J125">
        <v>0</v>
      </c>
      <c r="K125">
        <v>23</v>
      </c>
      <c r="L125" s="1">
        <f t="shared" si="55"/>
        <v>0.33333333333333337</v>
      </c>
      <c r="M125" s="1">
        <f t="shared" si="56"/>
        <v>0.27027027027027029</v>
      </c>
      <c r="N125" s="1">
        <f t="shared" si="57"/>
        <v>0.375</v>
      </c>
      <c r="O125" s="1">
        <f t="shared" si="58"/>
        <v>0.85470085470085466</v>
      </c>
      <c r="P125" s="1">
        <f t="shared" si="59"/>
        <v>0.57471264367816088</v>
      </c>
      <c r="Q125" s="1"/>
      <c r="R125" s="1">
        <v>2</v>
      </c>
      <c r="S125" s="1">
        <v>7</v>
      </c>
      <c r="T125" s="1">
        <v>10</v>
      </c>
      <c r="U125" s="1" t="s">
        <v>70</v>
      </c>
      <c r="V125" s="1">
        <v>0</v>
      </c>
      <c r="W125" s="1">
        <f t="shared" si="40"/>
        <v>0</v>
      </c>
      <c r="X125" s="1">
        <f t="shared" si="41"/>
        <v>0</v>
      </c>
      <c r="Y125" s="1">
        <f t="shared" si="42"/>
        <v>1</v>
      </c>
      <c r="Z125" s="1">
        <f t="shared" si="43"/>
        <v>1</v>
      </c>
      <c r="AA125" s="1">
        <f t="shared" si="44"/>
        <v>0</v>
      </c>
      <c r="AB125" s="1">
        <f t="shared" si="45"/>
        <v>0</v>
      </c>
      <c r="AC125" s="1">
        <f t="shared" si="46"/>
        <v>1</v>
      </c>
      <c r="AD125" s="1">
        <f t="shared" si="47"/>
        <v>1</v>
      </c>
      <c r="AE125" s="1">
        <f t="shared" si="48"/>
        <v>1</v>
      </c>
      <c r="AF125" s="1">
        <f t="shared" si="49"/>
        <v>1</v>
      </c>
      <c r="AI125">
        <v>119</v>
      </c>
      <c r="AJ125">
        <v>83</v>
      </c>
      <c r="AK125">
        <v>36</v>
      </c>
      <c r="AL125">
        <v>13</v>
      </c>
      <c r="AM125">
        <v>11</v>
      </c>
      <c r="AN125">
        <v>2</v>
      </c>
      <c r="AO125">
        <v>1</v>
      </c>
      <c r="AP125">
        <v>15</v>
      </c>
      <c r="AQ125" s="1">
        <f t="shared" si="50"/>
        <v>0.19646365422396861</v>
      </c>
      <c r="AR125" s="1">
        <f t="shared" si="51"/>
        <v>0.7389033942558747</v>
      </c>
      <c r="AS125" s="1">
        <f t="shared" si="52"/>
        <v>0.30959752321981426</v>
      </c>
      <c r="AT125" s="1">
        <f t="shared" si="53"/>
        <v>0.93902439024390238</v>
      </c>
      <c r="AU125" s="1">
        <f t="shared" si="54"/>
        <v>0.57081545064377681</v>
      </c>
      <c r="AV125" s="1"/>
    </row>
    <row r="126" spans="1:48" x14ac:dyDescent="0.2">
      <c r="A126" s="1" t="s">
        <v>6</v>
      </c>
      <c r="B126" s="1">
        <v>2019</v>
      </c>
      <c r="C126" s="1">
        <v>2</v>
      </c>
      <c r="D126">
        <v>119</v>
      </c>
      <c r="E126">
        <v>83</v>
      </c>
      <c r="F126">
        <v>36</v>
      </c>
      <c r="G126">
        <v>13</v>
      </c>
      <c r="H126">
        <v>11</v>
      </c>
      <c r="I126">
        <v>2</v>
      </c>
      <c r="J126">
        <v>1</v>
      </c>
      <c r="K126">
        <v>15</v>
      </c>
      <c r="L126" s="1">
        <f t="shared" si="55"/>
        <v>0.19646365422396861</v>
      </c>
      <c r="M126" s="1">
        <f t="shared" si="56"/>
        <v>0.7389033942558747</v>
      </c>
      <c r="N126" s="1">
        <f t="shared" si="57"/>
        <v>0.30959752321981426</v>
      </c>
      <c r="O126" s="1">
        <f t="shared" si="58"/>
        <v>0.93902439024390238</v>
      </c>
      <c r="P126" s="1">
        <f t="shared" si="59"/>
        <v>0.57081545064377681</v>
      </c>
      <c r="Q126" s="1"/>
      <c r="R126" s="1">
        <v>1</v>
      </c>
      <c r="S126" s="1">
        <v>3</v>
      </c>
      <c r="T126" s="1">
        <v>11</v>
      </c>
      <c r="U126" s="1" t="s">
        <v>70</v>
      </c>
      <c r="V126" s="1">
        <v>0</v>
      </c>
      <c r="W126" s="1">
        <f t="shared" si="40"/>
        <v>1</v>
      </c>
      <c r="X126" s="1">
        <f t="shared" si="41"/>
        <v>1</v>
      </c>
      <c r="Y126" s="1">
        <f t="shared" si="42"/>
        <v>1</v>
      </c>
      <c r="Z126" s="1">
        <f t="shared" si="43"/>
        <v>0</v>
      </c>
      <c r="AA126" s="1">
        <f t="shared" si="44"/>
        <v>1</v>
      </c>
      <c r="AB126" s="1">
        <f t="shared" si="45"/>
        <v>1</v>
      </c>
      <c r="AC126" s="1">
        <f t="shared" si="46"/>
        <v>1</v>
      </c>
      <c r="AD126" s="1">
        <f t="shared" si="47"/>
        <v>0</v>
      </c>
      <c r="AE126" s="1">
        <f t="shared" si="48"/>
        <v>1</v>
      </c>
      <c r="AF126" s="1">
        <f t="shared" si="49"/>
        <v>0</v>
      </c>
      <c r="AI126">
        <v>114</v>
      </c>
      <c r="AJ126">
        <v>65</v>
      </c>
      <c r="AK126">
        <v>49</v>
      </c>
      <c r="AL126">
        <v>10</v>
      </c>
      <c r="AM126">
        <v>7</v>
      </c>
      <c r="AN126">
        <v>0</v>
      </c>
      <c r="AO126">
        <v>0</v>
      </c>
      <c r="AP126">
        <v>23</v>
      </c>
      <c r="AQ126" s="1">
        <f t="shared" si="50"/>
        <v>0.33333333333333337</v>
      </c>
      <c r="AR126" s="1">
        <f t="shared" si="51"/>
        <v>0.50761421319796951</v>
      </c>
      <c r="AS126" s="1">
        <f t="shared" si="52"/>
        <v>0.52153110047846885</v>
      </c>
      <c r="AT126" s="1">
        <f t="shared" si="53"/>
        <v>0.93457943925233644</v>
      </c>
      <c r="AU126" s="1">
        <f t="shared" si="54"/>
        <v>0.66666666666666674</v>
      </c>
      <c r="AV126" s="1"/>
    </row>
    <row r="127" spans="1:48" x14ac:dyDescent="0.2">
      <c r="A127" s="1" t="s">
        <v>6</v>
      </c>
      <c r="B127" s="1">
        <v>2020</v>
      </c>
      <c r="C127" s="1">
        <v>1</v>
      </c>
      <c r="D127">
        <v>114</v>
      </c>
      <c r="E127">
        <v>65</v>
      </c>
      <c r="F127">
        <v>49</v>
      </c>
      <c r="G127">
        <v>10</v>
      </c>
      <c r="H127">
        <v>7</v>
      </c>
      <c r="I127">
        <v>0</v>
      </c>
      <c r="J127">
        <v>0</v>
      </c>
      <c r="K127">
        <v>23</v>
      </c>
      <c r="L127" s="1">
        <f t="shared" si="55"/>
        <v>0.33333333333333337</v>
      </c>
      <c r="M127" s="1">
        <f t="shared" si="56"/>
        <v>0.50761421319796951</v>
      </c>
      <c r="N127" s="1">
        <f t="shared" si="57"/>
        <v>0.52153110047846885</v>
      </c>
      <c r="O127" s="1">
        <f t="shared" si="58"/>
        <v>0.93457943925233644</v>
      </c>
      <c r="P127" s="1">
        <f t="shared" si="59"/>
        <v>0.66666666666666674</v>
      </c>
      <c r="Q127" s="1"/>
      <c r="R127" s="1"/>
      <c r="S127" s="1">
        <v>4</v>
      </c>
      <c r="T127" s="1">
        <v>1</v>
      </c>
      <c r="U127" s="1" t="s">
        <v>92</v>
      </c>
      <c r="V127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"/>
  <sheetViews>
    <sheetView workbookViewId="0">
      <selection activeCell="A18" sqref="A18"/>
    </sheetView>
  </sheetViews>
  <sheetFormatPr baseColWidth="10" defaultColWidth="8.83203125" defaultRowHeight="15" x14ac:dyDescent="0.2"/>
  <cols>
    <col min="1" max="1" width="7.83203125" bestFit="1" customWidth="1"/>
    <col min="2" max="2" width="17.83203125" bestFit="1" customWidth="1"/>
    <col min="3" max="3" width="20.83203125" bestFit="1" customWidth="1"/>
    <col min="4" max="4" width="5.5" bestFit="1" customWidth="1"/>
  </cols>
  <sheetData>
    <row r="1" spans="1:4" x14ac:dyDescent="0.2">
      <c r="A1" s="3" t="s">
        <v>33</v>
      </c>
      <c r="B1" s="3" t="s">
        <v>93</v>
      </c>
      <c r="C1" s="3" t="s">
        <v>834</v>
      </c>
      <c r="D1" s="3" t="s">
        <v>739</v>
      </c>
    </row>
    <row r="2" spans="1:4" x14ac:dyDescent="0.2">
      <c r="A2" s="1" t="s">
        <v>1</v>
      </c>
      <c r="B2" s="1" t="s">
        <v>566</v>
      </c>
      <c r="C2" s="1" t="s">
        <v>833</v>
      </c>
      <c r="D2" s="1">
        <v>59</v>
      </c>
    </row>
    <row r="3" spans="1:4" x14ac:dyDescent="0.2">
      <c r="A3" s="1" t="s">
        <v>1</v>
      </c>
      <c r="B3" s="1" t="s">
        <v>836</v>
      </c>
      <c r="C3" s="1" t="s">
        <v>835</v>
      </c>
      <c r="D3" s="1">
        <v>6</v>
      </c>
    </row>
    <row r="4" spans="1:4" x14ac:dyDescent="0.2">
      <c r="A4" s="1" t="s">
        <v>5</v>
      </c>
      <c r="B4" s="1" t="s">
        <v>208</v>
      </c>
      <c r="C4" s="1" t="s">
        <v>837</v>
      </c>
      <c r="D4" s="1">
        <v>4</v>
      </c>
    </row>
    <row r="5" spans="1:4" x14ac:dyDescent="0.2">
      <c r="A5" s="1" t="s">
        <v>1</v>
      </c>
      <c r="B5" s="1" t="s">
        <v>566</v>
      </c>
      <c r="C5" s="1" t="s">
        <v>838</v>
      </c>
      <c r="D5" s="1">
        <v>15</v>
      </c>
    </row>
    <row r="6" spans="1:4" x14ac:dyDescent="0.2">
      <c r="A6" s="1" t="s">
        <v>6</v>
      </c>
      <c r="B6" s="1" t="s">
        <v>840</v>
      </c>
      <c r="C6" s="1" t="s">
        <v>839</v>
      </c>
      <c r="D6" s="1">
        <v>11</v>
      </c>
    </row>
    <row r="7" spans="1:4" x14ac:dyDescent="0.2">
      <c r="A7" s="1" t="s">
        <v>3</v>
      </c>
      <c r="B7" s="1" t="s">
        <v>842</v>
      </c>
      <c r="C7" s="1" t="s">
        <v>841</v>
      </c>
      <c r="D7" s="1">
        <v>443</v>
      </c>
    </row>
    <row r="8" spans="1:4" x14ac:dyDescent="0.2">
      <c r="A8" s="1" t="s">
        <v>1</v>
      </c>
      <c r="B8" s="1" t="s">
        <v>844</v>
      </c>
      <c r="C8" s="1" t="s">
        <v>843</v>
      </c>
      <c r="D8" s="1">
        <v>71</v>
      </c>
    </row>
    <row r="9" spans="1:4" x14ac:dyDescent="0.2">
      <c r="A9" s="1" t="s">
        <v>3</v>
      </c>
      <c r="B9" s="1" t="s">
        <v>131</v>
      </c>
      <c r="C9" s="1" t="s">
        <v>846</v>
      </c>
      <c r="D9" s="1">
        <v>395</v>
      </c>
    </row>
    <row r="10" spans="1:4" x14ac:dyDescent="0.2">
      <c r="A10" s="1" t="s">
        <v>1</v>
      </c>
      <c r="B10" s="1" t="s">
        <v>848</v>
      </c>
      <c r="C10" s="1" t="s">
        <v>847</v>
      </c>
      <c r="D10" s="1">
        <v>12</v>
      </c>
    </row>
    <row r="11" spans="1:4" x14ac:dyDescent="0.2">
      <c r="A11" s="1" t="s">
        <v>3</v>
      </c>
      <c r="B11" s="1" t="s">
        <v>131</v>
      </c>
      <c r="C11" s="1" t="s">
        <v>849</v>
      </c>
      <c r="D11" s="1">
        <v>23</v>
      </c>
    </row>
    <row r="12" spans="1:4" x14ac:dyDescent="0.2">
      <c r="A12" s="1" t="s">
        <v>1</v>
      </c>
      <c r="B12" s="1" t="s">
        <v>545</v>
      </c>
      <c r="C12" s="1" t="s">
        <v>850</v>
      </c>
      <c r="D12" s="1">
        <v>86</v>
      </c>
    </row>
    <row r="13" spans="1:4" x14ac:dyDescent="0.2">
      <c r="A13" s="1" t="s">
        <v>2</v>
      </c>
      <c r="B13" s="1" t="s">
        <v>852</v>
      </c>
      <c r="C13" s="1" t="s">
        <v>851</v>
      </c>
      <c r="D13" s="1">
        <v>7</v>
      </c>
    </row>
    <row r="14" spans="1:4" x14ac:dyDescent="0.2">
      <c r="A14" s="1" t="s">
        <v>2</v>
      </c>
      <c r="B14" s="1" t="s">
        <v>852</v>
      </c>
      <c r="C14" s="1" t="s">
        <v>853</v>
      </c>
      <c r="D14" s="1">
        <v>9</v>
      </c>
    </row>
    <row r="15" spans="1:4" x14ac:dyDescent="0.2">
      <c r="A15" s="1" t="s">
        <v>1</v>
      </c>
      <c r="B15" s="1" t="s">
        <v>573</v>
      </c>
      <c r="C15" s="1" t="s">
        <v>854</v>
      </c>
      <c r="D15" s="1">
        <v>70</v>
      </c>
    </row>
    <row r="16" spans="1:4" x14ac:dyDescent="0.2">
      <c r="A16" s="1" t="s">
        <v>3</v>
      </c>
      <c r="B16" s="1" t="s">
        <v>855</v>
      </c>
      <c r="C16" s="1" t="s">
        <v>856</v>
      </c>
      <c r="D16" s="1">
        <v>30</v>
      </c>
    </row>
    <row r="17" spans="1:4" x14ac:dyDescent="0.2">
      <c r="A17" s="1" t="s">
        <v>6</v>
      </c>
      <c r="B17" s="1" t="s">
        <v>10</v>
      </c>
      <c r="C17" s="1" t="s">
        <v>857</v>
      </c>
      <c r="D17" s="1">
        <v>65</v>
      </c>
    </row>
    <row r="18" spans="1:4" x14ac:dyDescent="0.2">
      <c r="A18" s="1" t="s">
        <v>6</v>
      </c>
      <c r="B18" s="1" t="s">
        <v>10</v>
      </c>
      <c r="C18" s="1" t="s">
        <v>879</v>
      </c>
      <c r="D18" s="1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7"/>
  <sheetViews>
    <sheetView topLeftCell="L1" workbookViewId="0">
      <selection activeCell="W7" sqref="W7"/>
    </sheetView>
  </sheetViews>
  <sheetFormatPr baseColWidth="10" defaultColWidth="8.83203125" defaultRowHeight="15" x14ac:dyDescent="0.2"/>
  <cols>
    <col min="1" max="1" width="8.33203125" bestFit="1" customWidth="1"/>
    <col min="2" max="2" width="5.83203125" bestFit="1" customWidth="1"/>
    <col min="3" max="3" width="4.83203125" bestFit="1" customWidth="1"/>
    <col min="4" max="4" width="11" bestFit="1" customWidth="1"/>
    <col min="5" max="5" width="12" bestFit="1" customWidth="1"/>
    <col min="6" max="6" width="10.1640625" bestFit="1" customWidth="1"/>
    <col min="7" max="7" width="13.1640625" bestFit="1" customWidth="1"/>
    <col min="8" max="8" width="6.6640625" bestFit="1" customWidth="1"/>
    <col min="9" max="9" width="15.83203125" bestFit="1" customWidth="1"/>
    <col min="10" max="10" width="11.5" bestFit="1" customWidth="1"/>
    <col min="11" max="11" width="11.83203125" bestFit="1" customWidth="1"/>
    <col min="12" max="12" width="11.5" bestFit="1" customWidth="1"/>
    <col min="13" max="13" width="14.1640625" bestFit="1" customWidth="1"/>
    <col min="14" max="14" width="12.1640625" bestFit="1" customWidth="1"/>
    <col min="15" max="15" width="13.33203125" bestFit="1" customWidth="1"/>
    <col min="16" max="16" width="13.83203125" bestFit="1" customWidth="1"/>
    <col min="17" max="17" width="18.1640625" bestFit="1" customWidth="1"/>
    <col min="18" max="18" width="17.1640625" bestFit="1" customWidth="1"/>
    <col min="19" max="19" width="21.33203125" bestFit="1" customWidth="1"/>
    <col min="20" max="20" width="13.5" bestFit="1" customWidth="1"/>
    <col min="21" max="21" width="6.33203125" bestFit="1" customWidth="1"/>
    <col min="22" max="22" width="8.83203125" bestFit="1" customWidth="1"/>
    <col min="23" max="23" width="14.6640625" bestFit="1" customWidth="1"/>
  </cols>
  <sheetData>
    <row r="1" spans="1:23" x14ac:dyDescent="0.2">
      <c r="A1" s="3" t="s">
        <v>33</v>
      </c>
      <c r="B1" s="4" t="s">
        <v>768</v>
      </c>
      <c r="C1" s="4" t="s">
        <v>251</v>
      </c>
      <c r="D1" s="4" t="s">
        <v>860</v>
      </c>
      <c r="E1" s="4" t="s">
        <v>861</v>
      </c>
      <c r="F1" s="4" t="s">
        <v>862</v>
      </c>
      <c r="G1" s="4" t="s">
        <v>845</v>
      </c>
      <c r="H1" s="4" t="s">
        <v>863</v>
      </c>
      <c r="I1" s="4" t="s">
        <v>864</v>
      </c>
      <c r="J1" s="4" t="s">
        <v>865</v>
      </c>
      <c r="K1" s="4" t="s">
        <v>866</v>
      </c>
      <c r="L1" s="4" t="s">
        <v>867</v>
      </c>
      <c r="M1" s="4" t="s">
        <v>868</v>
      </c>
      <c r="N1" s="4" t="s">
        <v>869</v>
      </c>
      <c r="O1" s="4" t="s">
        <v>870</v>
      </c>
      <c r="P1" s="4" t="s">
        <v>871</v>
      </c>
      <c r="Q1" s="4" t="s">
        <v>872</v>
      </c>
      <c r="R1" s="4" t="s">
        <v>873</v>
      </c>
      <c r="S1" s="4" t="s">
        <v>874</v>
      </c>
      <c r="T1" s="4" t="s">
        <v>875</v>
      </c>
      <c r="U1" s="4" t="s">
        <v>876</v>
      </c>
      <c r="V1" s="4" t="s">
        <v>877</v>
      </c>
      <c r="W1" s="4" t="s">
        <v>878</v>
      </c>
    </row>
    <row r="2" spans="1:23" x14ac:dyDescent="0.2">
      <c r="A2" s="1" t="s">
        <v>1</v>
      </c>
      <c r="B2" s="1">
        <v>184</v>
      </c>
      <c r="C2" s="1">
        <v>24</v>
      </c>
      <c r="D2" s="1">
        <v>19</v>
      </c>
      <c r="E2" s="1">
        <v>8</v>
      </c>
      <c r="F2" s="1">
        <v>0</v>
      </c>
      <c r="G2" s="1">
        <v>2279</v>
      </c>
      <c r="H2" s="1">
        <v>627</v>
      </c>
      <c r="I2" s="1">
        <v>112</v>
      </c>
      <c r="J2" s="1">
        <v>67</v>
      </c>
      <c r="K2" s="1">
        <v>5</v>
      </c>
      <c r="L2" s="1">
        <v>730</v>
      </c>
      <c r="M2" s="1">
        <v>33</v>
      </c>
      <c r="N2" s="1">
        <v>908</v>
      </c>
      <c r="O2" s="1">
        <v>134</v>
      </c>
      <c r="P2" s="1">
        <v>31</v>
      </c>
      <c r="Q2" s="1">
        <v>79</v>
      </c>
      <c r="R2" s="1">
        <v>29</v>
      </c>
      <c r="S2" s="1">
        <v>49</v>
      </c>
      <c r="T2" s="1">
        <v>4</v>
      </c>
      <c r="U2" s="1">
        <v>1</v>
      </c>
      <c r="V2" s="1">
        <v>0</v>
      </c>
      <c r="W2" s="1">
        <f>G2/H2</f>
        <v>3.6347687400318978</v>
      </c>
    </row>
    <row r="3" spans="1:23" x14ac:dyDescent="0.2">
      <c r="A3" s="1" t="s">
        <v>34</v>
      </c>
      <c r="B3" s="1">
        <v>93</v>
      </c>
      <c r="C3" s="1">
        <v>12</v>
      </c>
      <c r="D3" s="1">
        <v>6</v>
      </c>
      <c r="E3" s="1">
        <v>5</v>
      </c>
      <c r="F3" s="1">
        <v>2</v>
      </c>
      <c r="G3" s="1">
        <v>2094</v>
      </c>
      <c r="H3" s="1">
        <v>629</v>
      </c>
      <c r="I3" s="1">
        <v>140</v>
      </c>
      <c r="J3" s="1">
        <v>53</v>
      </c>
      <c r="K3" s="1">
        <v>1</v>
      </c>
      <c r="L3" s="1">
        <v>666</v>
      </c>
      <c r="M3" s="1">
        <v>59</v>
      </c>
      <c r="N3" s="1">
        <v>816</v>
      </c>
      <c r="O3" s="1">
        <v>118</v>
      </c>
      <c r="P3" s="1">
        <v>40</v>
      </c>
      <c r="Q3" s="1">
        <v>76</v>
      </c>
      <c r="R3" s="1">
        <v>47</v>
      </c>
      <c r="S3" s="1">
        <v>46</v>
      </c>
      <c r="T3" s="1">
        <v>6</v>
      </c>
      <c r="U3" s="1">
        <v>4</v>
      </c>
      <c r="V3" s="1">
        <v>0</v>
      </c>
      <c r="W3" s="1">
        <f t="shared" ref="W3:W7" si="0">G3/H3</f>
        <v>3.3290937996820351</v>
      </c>
    </row>
    <row r="4" spans="1:23" x14ac:dyDescent="0.2">
      <c r="A4" s="1" t="s">
        <v>704</v>
      </c>
      <c r="B4" s="1">
        <v>101</v>
      </c>
      <c r="C4" s="1">
        <v>14</v>
      </c>
      <c r="D4" s="1">
        <v>11</v>
      </c>
      <c r="E4" s="1">
        <v>3</v>
      </c>
      <c r="F4" s="1">
        <v>0</v>
      </c>
      <c r="G4" s="1">
        <v>1811</v>
      </c>
      <c r="H4" s="1">
        <v>740</v>
      </c>
      <c r="I4" s="1">
        <v>134</v>
      </c>
      <c r="J4" s="1">
        <v>32</v>
      </c>
      <c r="K4" s="1">
        <v>2</v>
      </c>
      <c r="L4" s="1">
        <v>931</v>
      </c>
      <c r="M4" s="1">
        <v>15</v>
      </c>
      <c r="N4" s="1">
        <v>631</v>
      </c>
      <c r="O4" s="1">
        <v>91</v>
      </c>
      <c r="P4" s="1">
        <v>23</v>
      </c>
      <c r="Q4" s="1">
        <v>80</v>
      </c>
      <c r="R4" s="1">
        <v>37</v>
      </c>
      <c r="S4" s="1">
        <v>68</v>
      </c>
      <c r="T4" s="1">
        <v>6</v>
      </c>
      <c r="U4" s="1">
        <v>0</v>
      </c>
      <c r="V4" s="1">
        <v>0</v>
      </c>
      <c r="W4" s="1">
        <f t="shared" si="0"/>
        <v>2.4472972972972973</v>
      </c>
    </row>
    <row r="5" spans="1:23" x14ac:dyDescent="0.2">
      <c r="A5" s="1" t="s">
        <v>858</v>
      </c>
      <c r="B5" s="1">
        <v>79</v>
      </c>
      <c r="C5" s="1">
        <v>10</v>
      </c>
      <c r="D5" s="1">
        <v>4</v>
      </c>
      <c r="E5" s="1">
        <v>7</v>
      </c>
      <c r="F5" s="1">
        <v>0</v>
      </c>
      <c r="G5" s="1">
        <v>1994</v>
      </c>
      <c r="H5" s="1">
        <v>677</v>
      </c>
      <c r="I5" s="1">
        <v>108</v>
      </c>
      <c r="J5" s="1">
        <v>35</v>
      </c>
      <c r="K5" s="1">
        <v>2</v>
      </c>
      <c r="L5" s="1">
        <v>774</v>
      </c>
      <c r="M5" s="1">
        <v>35</v>
      </c>
      <c r="N5" s="1">
        <v>760</v>
      </c>
      <c r="O5" s="1">
        <v>126</v>
      </c>
      <c r="P5" s="1">
        <v>20</v>
      </c>
      <c r="Q5" s="1">
        <v>67</v>
      </c>
      <c r="R5" s="1">
        <v>41</v>
      </c>
      <c r="S5" s="1">
        <v>55</v>
      </c>
      <c r="T5" s="1">
        <v>9</v>
      </c>
      <c r="U5" s="1">
        <v>0</v>
      </c>
      <c r="V5" s="1">
        <v>0</v>
      </c>
      <c r="W5" s="1">
        <f t="shared" si="0"/>
        <v>2.9453471196454948</v>
      </c>
    </row>
    <row r="6" spans="1:23" x14ac:dyDescent="0.2">
      <c r="A6" s="1" t="s">
        <v>859</v>
      </c>
      <c r="B6" s="1">
        <v>105</v>
      </c>
      <c r="C6" s="1">
        <v>14</v>
      </c>
      <c r="D6" s="1">
        <v>10</v>
      </c>
      <c r="E6" s="1">
        <v>5</v>
      </c>
      <c r="F6" s="1">
        <v>0</v>
      </c>
      <c r="G6" s="1">
        <v>2292</v>
      </c>
      <c r="H6" s="1">
        <v>696</v>
      </c>
      <c r="I6" s="1">
        <v>145</v>
      </c>
      <c r="J6" s="1">
        <v>56</v>
      </c>
      <c r="K6" s="1">
        <v>5</v>
      </c>
      <c r="L6" s="1">
        <v>924</v>
      </c>
      <c r="M6" s="1">
        <v>35</v>
      </c>
      <c r="N6" s="1">
        <v>874</v>
      </c>
      <c r="O6" s="1">
        <v>144</v>
      </c>
      <c r="P6" s="1">
        <v>25</v>
      </c>
      <c r="Q6" s="1">
        <v>59</v>
      </c>
      <c r="R6" s="1">
        <v>45</v>
      </c>
      <c r="S6" s="1">
        <v>56</v>
      </c>
      <c r="T6" s="1">
        <v>1</v>
      </c>
      <c r="U6" s="1">
        <v>1</v>
      </c>
      <c r="V6" s="1">
        <v>0</v>
      </c>
      <c r="W6" s="1">
        <f t="shared" si="0"/>
        <v>3.2931034482758621</v>
      </c>
    </row>
    <row r="7" spans="1:23" x14ac:dyDescent="0.2">
      <c r="A7" s="1" t="s">
        <v>705</v>
      </c>
      <c r="B7" s="1">
        <v>114</v>
      </c>
      <c r="C7" s="1">
        <v>10</v>
      </c>
      <c r="D7" s="1">
        <v>8</v>
      </c>
      <c r="E7" s="1">
        <v>16</v>
      </c>
      <c r="F7" s="1">
        <v>0</v>
      </c>
      <c r="G7" s="1">
        <v>1480</v>
      </c>
      <c r="H7" s="1">
        <v>569</v>
      </c>
      <c r="I7" s="1">
        <v>69</v>
      </c>
      <c r="J7" s="1">
        <v>29</v>
      </c>
      <c r="K7" s="1">
        <v>4</v>
      </c>
      <c r="L7" s="1">
        <v>621</v>
      </c>
      <c r="M7" s="1">
        <v>30</v>
      </c>
      <c r="N7" s="1">
        <v>837</v>
      </c>
      <c r="O7" s="1">
        <v>95</v>
      </c>
      <c r="P7" s="1">
        <v>37</v>
      </c>
      <c r="Q7" s="1">
        <v>66</v>
      </c>
      <c r="R7" s="1">
        <v>41</v>
      </c>
      <c r="S7" s="1">
        <v>38</v>
      </c>
      <c r="T7" s="1">
        <v>1</v>
      </c>
      <c r="U7" s="1">
        <v>0</v>
      </c>
      <c r="V7" s="1">
        <v>0</v>
      </c>
      <c r="W7" s="1">
        <f t="shared" si="0"/>
        <v>2.6010544815465728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8"/>
  <sheetViews>
    <sheetView workbookViewId="0">
      <selection activeCell="E33" sqref="E33"/>
    </sheetView>
  </sheetViews>
  <sheetFormatPr baseColWidth="10" defaultColWidth="8.83203125" defaultRowHeight="15" x14ac:dyDescent="0.2"/>
  <cols>
    <col min="1" max="1" width="27.33203125" style="1" bestFit="1" customWidth="1"/>
    <col min="2" max="2" width="15.5" style="1" bestFit="1" customWidth="1"/>
    <col min="3" max="3" width="39.83203125" style="1" bestFit="1" customWidth="1"/>
    <col min="4" max="4" width="11.83203125" bestFit="1" customWidth="1"/>
    <col min="5" max="5" width="9.6640625" style="1" bestFit="1" customWidth="1"/>
    <col min="6" max="6" width="9.1640625" bestFit="1" customWidth="1"/>
    <col min="7" max="7" width="8.1640625" customWidth="1"/>
  </cols>
  <sheetData>
    <row r="1" spans="1:7" x14ac:dyDescent="0.2">
      <c r="A1" s="3" t="s">
        <v>93</v>
      </c>
      <c r="B1" s="3" t="s">
        <v>33</v>
      </c>
      <c r="C1" s="3" t="s">
        <v>741</v>
      </c>
      <c r="D1" s="3" t="s">
        <v>742</v>
      </c>
      <c r="E1" s="3" t="s">
        <v>944</v>
      </c>
      <c r="F1" s="4" t="s">
        <v>912</v>
      </c>
      <c r="G1" s="4" t="s">
        <v>913</v>
      </c>
    </row>
    <row r="2" spans="1:7" x14ac:dyDescent="0.2">
      <c r="A2" s="1" t="s">
        <v>740</v>
      </c>
      <c r="B2" s="1" t="s">
        <v>3</v>
      </c>
      <c r="C2" s="1" t="s">
        <v>743</v>
      </c>
      <c r="D2" s="1">
        <v>557</v>
      </c>
      <c r="E2" s="1" t="s">
        <v>763</v>
      </c>
      <c r="F2" t="str">
        <f>LEFT(E2,4)</f>
        <v>2000</v>
      </c>
      <c r="G2" t="str">
        <f>RIGHT(E2,4)</f>
        <v>2013</v>
      </c>
    </row>
    <row r="3" spans="1:7" x14ac:dyDescent="0.2">
      <c r="A3" s="1" t="s">
        <v>746</v>
      </c>
      <c r="B3" s="1" t="s">
        <v>1</v>
      </c>
      <c r="C3" s="1" t="s">
        <v>744</v>
      </c>
      <c r="D3" s="1">
        <v>35</v>
      </c>
      <c r="E3" s="1">
        <v>2001</v>
      </c>
      <c r="F3" t="str">
        <f t="shared" ref="F3:F28" si="0">LEFT(E3,4)</f>
        <v>2001</v>
      </c>
      <c r="G3" t="str">
        <f>RIGHT(E3,4)</f>
        <v>2001</v>
      </c>
    </row>
    <row r="4" spans="1:7" x14ac:dyDescent="0.2">
      <c r="A4" s="1" t="s">
        <v>746</v>
      </c>
      <c r="B4" s="1" t="s">
        <v>1</v>
      </c>
      <c r="C4" s="1" t="s">
        <v>745</v>
      </c>
      <c r="D4" s="1">
        <v>89</v>
      </c>
      <c r="E4" s="1">
        <v>2001</v>
      </c>
      <c r="F4" t="str">
        <f t="shared" si="0"/>
        <v>2001</v>
      </c>
      <c r="G4" t="str">
        <f t="shared" ref="G4:G28" si="1">RIGHT(E4,4)</f>
        <v>2001</v>
      </c>
    </row>
    <row r="5" spans="1:7" x14ac:dyDescent="0.2">
      <c r="A5" s="1" t="s">
        <v>748</v>
      </c>
      <c r="B5" s="1" t="s">
        <v>5</v>
      </c>
      <c r="C5" s="1" t="s">
        <v>747</v>
      </c>
      <c r="D5" s="1">
        <v>12</v>
      </c>
      <c r="E5" s="1">
        <v>1887</v>
      </c>
      <c r="F5" t="str">
        <f t="shared" si="0"/>
        <v>1887</v>
      </c>
      <c r="G5" t="str">
        <f t="shared" si="1"/>
        <v>1887</v>
      </c>
    </row>
    <row r="6" spans="1:7" x14ac:dyDescent="0.2">
      <c r="B6" s="1" t="s">
        <v>4</v>
      </c>
      <c r="C6" s="1" t="s">
        <v>826</v>
      </c>
      <c r="D6" s="1">
        <v>2</v>
      </c>
      <c r="E6" s="1">
        <v>2009</v>
      </c>
      <c r="F6" t="str">
        <f t="shared" si="0"/>
        <v>2009</v>
      </c>
      <c r="G6" t="str">
        <f t="shared" si="1"/>
        <v>2009</v>
      </c>
    </row>
    <row r="7" spans="1:7" x14ac:dyDescent="0.2">
      <c r="B7" s="1" t="s">
        <v>1</v>
      </c>
      <c r="C7" s="1" t="s">
        <v>824</v>
      </c>
      <c r="D7" s="1">
        <v>29</v>
      </c>
      <c r="E7" s="1">
        <v>2001</v>
      </c>
      <c r="F7" t="str">
        <f t="shared" si="0"/>
        <v>2001</v>
      </c>
      <c r="G7" t="str">
        <f t="shared" si="1"/>
        <v>2001</v>
      </c>
    </row>
    <row r="8" spans="1:7" x14ac:dyDescent="0.2">
      <c r="B8" s="1" t="s">
        <v>4</v>
      </c>
      <c r="C8" s="1" t="s">
        <v>825</v>
      </c>
      <c r="D8" s="1">
        <v>29</v>
      </c>
      <c r="E8" s="1">
        <v>2016</v>
      </c>
      <c r="F8" t="str">
        <f t="shared" si="0"/>
        <v>2016</v>
      </c>
      <c r="G8" t="str">
        <f t="shared" si="1"/>
        <v>2016</v>
      </c>
    </row>
    <row r="9" spans="1:7" x14ac:dyDescent="0.2">
      <c r="A9" s="1" t="s">
        <v>722</v>
      </c>
      <c r="B9" s="1" t="s">
        <v>3</v>
      </c>
      <c r="C9" s="1" t="s">
        <v>766</v>
      </c>
      <c r="D9" s="1">
        <v>26</v>
      </c>
      <c r="E9" s="1" t="s">
        <v>764</v>
      </c>
      <c r="F9" t="str">
        <f t="shared" si="0"/>
        <v>2000</v>
      </c>
      <c r="G9" t="str">
        <f t="shared" si="1"/>
        <v>2014</v>
      </c>
    </row>
    <row r="10" spans="1:7" x14ac:dyDescent="0.2">
      <c r="A10" s="1" t="s">
        <v>751</v>
      </c>
      <c r="B10" s="1" t="s">
        <v>4</v>
      </c>
      <c r="C10" s="1" t="s">
        <v>752</v>
      </c>
      <c r="D10" s="1">
        <v>69</v>
      </c>
      <c r="E10" s="1" t="s">
        <v>765</v>
      </c>
      <c r="F10" t="str">
        <f t="shared" si="0"/>
        <v>2004</v>
      </c>
      <c r="G10" t="str">
        <f t="shared" si="1"/>
        <v>2019</v>
      </c>
    </row>
    <row r="11" spans="1:7" x14ac:dyDescent="0.2">
      <c r="B11" s="1" t="s">
        <v>1</v>
      </c>
      <c r="C11" s="1" t="s">
        <v>753</v>
      </c>
      <c r="D11" s="1">
        <v>80</v>
      </c>
      <c r="E11" s="1">
        <v>2001</v>
      </c>
      <c r="F11" t="str">
        <f t="shared" si="0"/>
        <v>2001</v>
      </c>
      <c r="G11" t="str">
        <f t="shared" si="1"/>
        <v>2001</v>
      </c>
    </row>
    <row r="12" spans="1:7" x14ac:dyDescent="0.2">
      <c r="B12" s="1" t="s">
        <v>2</v>
      </c>
      <c r="C12" s="1" t="s">
        <v>815</v>
      </c>
      <c r="D12" s="1">
        <v>35</v>
      </c>
      <c r="E12" s="1">
        <v>2015</v>
      </c>
      <c r="F12" t="str">
        <f t="shared" si="0"/>
        <v>2015</v>
      </c>
      <c r="G12" t="str">
        <f t="shared" si="1"/>
        <v>2015</v>
      </c>
    </row>
    <row r="13" spans="1:7" x14ac:dyDescent="0.2">
      <c r="B13" s="1" t="s">
        <v>816</v>
      </c>
      <c r="C13" s="1" t="s">
        <v>817</v>
      </c>
      <c r="D13" s="1">
        <v>103</v>
      </c>
      <c r="E13" s="1">
        <v>2001</v>
      </c>
      <c r="F13" t="str">
        <f t="shared" si="0"/>
        <v>2001</v>
      </c>
      <c r="G13" t="str">
        <f t="shared" si="1"/>
        <v>2001</v>
      </c>
    </row>
    <row r="14" spans="1:7" x14ac:dyDescent="0.2">
      <c r="B14" s="1" t="s">
        <v>1</v>
      </c>
      <c r="C14" s="1" t="s">
        <v>754</v>
      </c>
      <c r="D14" s="1">
        <v>229</v>
      </c>
      <c r="E14" s="1">
        <v>2001</v>
      </c>
      <c r="F14" t="str">
        <f t="shared" si="0"/>
        <v>2001</v>
      </c>
      <c r="G14" t="str">
        <f t="shared" si="1"/>
        <v>2001</v>
      </c>
    </row>
    <row r="15" spans="1:7" x14ac:dyDescent="0.2">
      <c r="B15" s="1" t="s">
        <v>4</v>
      </c>
      <c r="C15" s="1" t="s">
        <v>821</v>
      </c>
      <c r="D15" s="1">
        <v>228</v>
      </c>
      <c r="E15" s="1">
        <v>2000</v>
      </c>
      <c r="F15" t="str">
        <f t="shared" si="0"/>
        <v>2000</v>
      </c>
      <c r="G15" t="str">
        <f t="shared" si="1"/>
        <v>2000</v>
      </c>
    </row>
    <row r="16" spans="1:7" x14ac:dyDescent="0.2">
      <c r="B16" s="1" t="s">
        <v>1</v>
      </c>
      <c r="C16" s="1" t="s">
        <v>823</v>
      </c>
      <c r="D16" s="1">
        <v>46</v>
      </c>
      <c r="E16" s="1">
        <v>2003</v>
      </c>
      <c r="F16" t="str">
        <f t="shared" si="0"/>
        <v>2003</v>
      </c>
      <c r="G16" t="str">
        <f t="shared" si="1"/>
        <v>2003</v>
      </c>
    </row>
    <row r="17" spans="1:7" x14ac:dyDescent="0.2">
      <c r="B17" s="1" t="s">
        <v>4</v>
      </c>
      <c r="C17" s="1" t="s">
        <v>822</v>
      </c>
      <c r="D17" s="1">
        <v>42</v>
      </c>
      <c r="E17" s="1">
        <v>2004</v>
      </c>
      <c r="F17" t="str">
        <f t="shared" si="0"/>
        <v>2004</v>
      </c>
      <c r="G17" t="str">
        <f t="shared" si="1"/>
        <v>2004</v>
      </c>
    </row>
    <row r="18" spans="1:7" x14ac:dyDescent="0.2">
      <c r="B18" s="1" t="s">
        <v>750</v>
      </c>
      <c r="C18" s="1" t="s">
        <v>818</v>
      </c>
      <c r="D18" s="1">
        <v>76</v>
      </c>
      <c r="E18" s="1">
        <v>2019</v>
      </c>
      <c r="F18" t="str">
        <f t="shared" si="0"/>
        <v>2019</v>
      </c>
      <c r="G18" t="str">
        <f t="shared" si="1"/>
        <v>2019</v>
      </c>
    </row>
    <row r="19" spans="1:7" x14ac:dyDescent="0.2">
      <c r="B19" s="1" t="s">
        <v>1</v>
      </c>
      <c r="C19" s="1" t="s">
        <v>819</v>
      </c>
      <c r="D19" s="1">
        <v>57</v>
      </c>
      <c r="E19" s="1">
        <v>2001</v>
      </c>
      <c r="F19" t="str">
        <f t="shared" si="0"/>
        <v>2001</v>
      </c>
      <c r="G19" t="str">
        <f t="shared" si="1"/>
        <v>2001</v>
      </c>
    </row>
    <row r="20" spans="1:7" x14ac:dyDescent="0.2">
      <c r="B20" s="1" t="s">
        <v>3</v>
      </c>
      <c r="C20" s="1" t="s">
        <v>820</v>
      </c>
      <c r="D20" s="1">
        <v>53</v>
      </c>
      <c r="E20" s="1">
        <v>2017</v>
      </c>
      <c r="F20" t="str">
        <f t="shared" si="0"/>
        <v>2017</v>
      </c>
      <c r="G20" t="str">
        <f t="shared" si="1"/>
        <v>2017</v>
      </c>
    </row>
    <row r="21" spans="1:7" x14ac:dyDescent="0.2">
      <c r="B21" s="1" t="s">
        <v>6</v>
      </c>
      <c r="C21" s="1" t="s">
        <v>827</v>
      </c>
      <c r="D21" s="1">
        <v>2</v>
      </c>
      <c r="E21" s="1">
        <v>2008</v>
      </c>
      <c r="F21" t="str">
        <f t="shared" si="0"/>
        <v>2008</v>
      </c>
      <c r="G21" t="str">
        <f t="shared" si="1"/>
        <v>2008</v>
      </c>
    </row>
    <row r="22" spans="1:7" x14ac:dyDescent="0.2">
      <c r="B22" s="1" t="s">
        <v>6</v>
      </c>
      <c r="C22" s="1" t="s">
        <v>755</v>
      </c>
      <c r="D22" s="1">
        <v>358</v>
      </c>
      <c r="E22" s="1">
        <v>2013</v>
      </c>
      <c r="F22" t="str">
        <f t="shared" si="0"/>
        <v>2013</v>
      </c>
      <c r="G22" t="str">
        <f t="shared" si="1"/>
        <v>2013</v>
      </c>
    </row>
    <row r="23" spans="1:7" x14ac:dyDescent="0.2">
      <c r="A23" s="1" t="s">
        <v>760</v>
      </c>
      <c r="B23" s="1" t="s">
        <v>759</v>
      </c>
      <c r="C23" s="1" t="s">
        <v>756</v>
      </c>
      <c r="D23" s="1">
        <v>9</v>
      </c>
      <c r="E23" s="1" t="s">
        <v>914</v>
      </c>
      <c r="F23" t="str">
        <f t="shared" si="0"/>
        <v>2001</v>
      </c>
      <c r="G23" t="str">
        <f t="shared" si="1"/>
        <v>2017</v>
      </c>
    </row>
    <row r="24" spans="1:7" x14ac:dyDescent="0.2">
      <c r="A24" s="1" t="s">
        <v>761</v>
      </c>
      <c r="B24" s="1" t="s">
        <v>1</v>
      </c>
      <c r="C24" s="1" t="s">
        <v>757</v>
      </c>
      <c r="D24" s="1">
        <v>24</v>
      </c>
      <c r="E24" s="1">
        <v>2001</v>
      </c>
      <c r="F24" t="str">
        <f t="shared" si="0"/>
        <v>2001</v>
      </c>
      <c r="G24" t="str">
        <f t="shared" si="1"/>
        <v>2001</v>
      </c>
    </row>
    <row r="25" spans="1:7" x14ac:dyDescent="0.2">
      <c r="A25" s="1" t="s">
        <v>761</v>
      </c>
      <c r="B25" s="1" t="s">
        <v>1</v>
      </c>
      <c r="C25" s="1" t="s">
        <v>758</v>
      </c>
      <c r="D25" s="1">
        <v>89</v>
      </c>
      <c r="E25" s="1" t="s">
        <v>762</v>
      </c>
      <c r="F25" t="str">
        <f t="shared" si="0"/>
        <v>1991</v>
      </c>
      <c r="G25" t="str">
        <f t="shared" si="1"/>
        <v>2011</v>
      </c>
    </row>
    <row r="26" spans="1:7" x14ac:dyDescent="0.2">
      <c r="C26" s="1" t="s">
        <v>830</v>
      </c>
      <c r="D26" s="1">
        <v>84</v>
      </c>
      <c r="E26" s="1">
        <v>2019</v>
      </c>
      <c r="F26" t="str">
        <f t="shared" si="0"/>
        <v>2019</v>
      </c>
      <c r="G26" t="str">
        <f t="shared" si="1"/>
        <v>2019</v>
      </c>
    </row>
    <row r="27" spans="1:7" x14ac:dyDescent="0.2">
      <c r="B27" s="1" t="s">
        <v>1</v>
      </c>
      <c r="C27" s="1" t="s">
        <v>828</v>
      </c>
      <c r="D27" s="1">
        <v>149</v>
      </c>
      <c r="E27" s="1">
        <v>2001</v>
      </c>
      <c r="F27" t="str">
        <f t="shared" si="0"/>
        <v>2001</v>
      </c>
      <c r="G27" t="str">
        <f t="shared" si="1"/>
        <v>2001</v>
      </c>
    </row>
    <row r="28" spans="1:7" x14ac:dyDescent="0.2">
      <c r="B28" s="1" t="s">
        <v>4</v>
      </c>
      <c r="C28" s="1" t="s">
        <v>829</v>
      </c>
      <c r="D28" s="1">
        <v>-151</v>
      </c>
      <c r="E28" s="1">
        <v>2017</v>
      </c>
      <c r="F28" t="str">
        <f t="shared" si="0"/>
        <v>2017</v>
      </c>
      <c r="G28" t="str">
        <f t="shared" si="1"/>
        <v>2017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5.6640625" bestFit="1" customWidth="1"/>
    <col min="2" max="2" width="5.83203125" bestFit="1" customWidth="1"/>
    <col min="3" max="3" width="8.33203125" bestFit="1" customWidth="1"/>
  </cols>
  <sheetData>
    <row r="1" spans="1:3" x14ac:dyDescent="0.2">
      <c r="A1" s="3" t="s">
        <v>767</v>
      </c>
      <c r="B1" s="3" t="s">
        <v>768</v>
      </c>
      <c r="C1" s="3" t="s">
        <v>769</v>
      </c>
    </row>
    <row r="2" spans="1:3" x14ac:dyDescent="0.2">
      <c r="A2" s="1" t="s">
        <v>740</v>
      </c>
      <c r="B2" s="1">
        <v>557</v>
      </c>
      <c r="C2" s="1" t="s">
        <v>777</v>
      </c>
    </row>
    <row r="3" spans="1:3" x14ac:dyDescent="0.2">
      <c r="A3" s="1" t="s">
        <v>770</v>
      </c>
      <c r="B3" s="1">
        <v>546</v>
      </c>
      <c r="C3" s="1" t="s">
        <v>778</v>
      </c>
    </row>
    <row r="4" spans="1:3" x14ac:dyDescent="0.2">
      <c r="A4" s="1" t="s">
        <v>771</v>
      </c>
      <c r="B4" s="1">
        <v>467</v>
      </c>
      <c r="C4" s="1" t="s">
        <v>779</v>
      </c>
    </row>
    <row r="5" spans="1:3" x14ac:dyDescent="0.2">
      <c r="A5" s="1" t="s">
        <v>772</v>
      </c>
      <c r="B5" s="1">
        <v>406</v>
      </c>
      <c r="C5" s="1" t="s">
        <v>779</v>
      </c>
    </row>
    <row r="6" spans="1:3" x14ac:dyDescent="0.2">
      <c r="A6" s="1" t="s">
        <v>773</v>
      </c>
      <c r="B6" s="1">
        <v>403</v>
      </c>
      <c r="C6" s="1" t="s">
        <v>780</v>
      </c>
    </row>
    <row r="7" spans="1:3" x14ac:dyDescent="0.2">
      <c r="A7" s="1" t="s">
        <v>566</v>
      </c>
      <c r="B7" s="1">
        <v>402</v>
      </c>
      <c r="C7" s="1" t="s">
        <v>778</v>
      </c>
    </row>
    <row r="8" spans="1:3" x14ac:dyDescent="0.2">
      <c r="A8" s="1" t="s">
        <v>248</v>
      </c>
      <c r="B8" s="1">
        <v>388</v>
      </c>
      <c r="C8" s="1" t="s">
        <v>779</v>
      </c>
    </row>
    <row r="9" spans="1:3" x14ac:dyDescent="0.2">
      <c r="A9" s="1" t="s">
        <v>130</v>
      </c>
      <c r="B9" s="1">
        <v>380</v>
      </c>
      <c r="C9" s="1" t="s">
        <v>777</v>
      </c>
    </row>
    <row r="10" spans="1:3" x14ac:dyDescent="0.2">
      <c r="A10" s="1" t="s">
        <v>774</v>
      </c>
      <c r="B10" s="1">
        <v>290</v>
      </c>
      <c r="C10" s="1" t="s">
        <v>780</v>
      </c>
    </row>
    <row r="11" spans="1:3" x14ac:dyDescent="0.2">
      <c r="A11" s="1" t="s">
        <v>775</v>
      </c>
      <c r="B11" s="1">
        <v>288</v>
      </c>
      <c r="C11" s="1" t="s">
        <v>780</v>
      </c>
    </row>
    <row r="12" spans="1:3" x14ac:dyDescent="0.2">
      <c r="A12" s="1" t="s">
        <v>776</v>
      </c>
      <c r="B12" s="1">
        <v>270</v>
      </c>
      <c r="C12" s="1" t="s">
        <v>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Cumulativ Awards, Participation</vt:lpstr>
      <vt:lpstr>Trophies and POT each year</vt:lpstr>
      <vt:lpstr>All player stats</vt:lpstr>
      <vt:lpstr>Player KPI Names and desc</vt:lpstr>
      <vt:lpstr>Points, Odds, Ranking, Coach,HA</vt:lpstr>
      <vt:lpstr>2019 Records</vt:lpstr>
      <vt:lpstr>2019 Team Stats</vt:lpstr>
      <vt:lpstr>Historic Records</vt:lpstr>
      <vt:lpstr>Individual Points Records</vt:lpstr>
      <vt:lpstr>Individual Appearances Records</vt:lpstr>
      <vt:lpstr>Individual Tries Records</vt:lpstr>
      <vt:lpstr>POT Info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Cian Mc Govern Leahy</dc:creator>
  <cp:lastModifiedBy>Thomas Goold</cp:lastModifiedBy>
  <dcterms:created xsi:type="dcterms:W3CDTF">2020-01-14T16:27:31Z</dcterms:created>
  <dcterms:modified xsi:type="dcterms:W3CDTF">2024-07-19T14:17:25Z</dcterms:modified>
</cp:coreProperties>
</file>