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1640" activeTab="1"/>
  </bookViews>
  <sheets>
    <sheet name="Sheet2" sheetId="2" r:id="rId1"/>
    <sheet name="Sheet3" sheetId="3" r:id="rId2"/>
    <sheet name="Sheet1" sheetId="4" r:id="rId3"/>
    <sheet name="old" sheetId="5" r:id="rId4"/>
  </sheets>
  <calcPr calcId="145621"/>
</workbook>
</file>

<file path=xl/calcChain.xml><?xml version="1.0" encoding="utf-8"?>
<calcChain xmlns="http://schemas.openxmlformats.org/spreadsheetml/2006/main">
  <c r="B15" i="3" l="1"/>
  <c r="B12" i="3"/>
  <c r="B7" i="3"/>
  <c r="C9" i="3"/>
  <c r="C10" i="3"/>
  <c r="C11" i="3"/>
  <c r="C13" i="3"/>
  <c r="C17" i="3"/>
  <c r="C7" i="3"/>
  <c r="C18" i="3"/>
  <c r="C16" i="3"/>
  <c r="C14" i="3"/>
  <c r="C12" i="3"/>
  <c r="B17" i="3"/>
  <c r="B8" i="3"/>
  <c r="B14" i="3"/>
  <c r="G37" i="2" l="1"/>
  <c r="K22" i="2" l="1"/>
  <c r="I22" i="2"/>
  <c r="J22" i="2" s="1"/>
  <c r="L22" i="2" s="1"/>
  <c r="F22" i="2"/>
  <c r="D22" i="2"/>
  <c r="E22" i="2" s="1"/>
  <c r="G22" i="2" s="1"/>
  <c r="K21" i="2"/>
  <c r="I21" i="2"/>
  <c r="J21" i="2" s="1"/>
  <c r="L21" i="2" s="1"/>
  <c r="F21" i="2"/>
  <c r="D21" i="2"/>
  <c r="E21" i="2" s="1"/>
  <c r="G21" i="2" s="1"/>
  <c r="K20" i="2"/>
  <c r="I20" i="2"/>
  <c r="J20" i="2" s="1"/>
  <c r="L20" i="2" s="1"/>
  <c r="F20" i="2"/>
  <c r="D20" i="2"/>
  <c r="E20" i="2" s="1"/>
  <c r="G20" i="2" s="1"/>
  <c r="K19" i="2"/>
  <c r="I19" i="2"/>
  <c r="J19" i="2" s="1"/>
  <c r="L19" i="2" s="1"/>
  <c r="F19" i="2"/>
  <c r="D19" i="2"/>
  <c r="E19" i="2" s="1"/>
  <c r="G19" i="2" s="1"/>
  <c r="K18" i="2"/>
  <c r="J18" i="2"/>
  <c r="L18" i="2" s="1"/>
  <c r="F18" i="2"/>
  <c r="D18" i="2"/>
  <c r="E18" i="2" s="1"/>
  <c r="G18" i="2" s="1"/>
  <c r="K17" i="2"/>
  <c r="I17" i="2"/>
  <c r="J17" i="2" s="1"/>
  <c r="L17" i="2" s="1"/>
  <c r="F17" i="2"/>
  <c r="D17" i="2"/>
  <c r="E17" i="2" s="1"/>
  <c r="G17" i="2" s="1"/>
  <c r="L16" i="2"/>
  <c r="K16" i="2"/>
  <c r="J16" i="2"/>
  <c r="F16" i="2"/>
  <c r="D16" i="2"/>
  <c r="E16" i="2" s="1"/>
  <c r="G16" i="2" s="1"/>
  <c r="K32" i="5"/>
  <c r="D32" i="5"/>
  <c r="F16" i="5" s="1"/>
  <c r="K29" i="5"/>
  <c r="K33" i="5" s="1"/>
  <c r="K34" i="5" s="1"/>
  <c r="K22" i="5"/>
  <c r="I22" i="5"/>
  <c r="J22" i="5" s="1"/>
  <c r="L22" i="5" s="1"/>
  <c r="D22" i="5"/>
  <c r="E22" i="5" s="1"/>
  <c r="K21" i="5"/>
  <c r="I21" i="5"/>
  <c r="J21" i="5" s="1"/>
  <c r="L21" i="5" s="1"/>
  <c r="D21" i="5"/>
  <c r="E21" i="5" s="1"/>
  <c r="K20" i="5"/>
  <c r="I20" i="5"/>
  <c r="J20" i="5" s="1"/>
  <c r="L20" i="5" s="1"/>
  <c r="D20" i="5"/>
  <c r="E20" i="5" s="1"/>
  <c r="K19" i="5"/>
  <c r="I19" i="5"/>
  <c r="J19" i="5" s="1"/>
  <c r="L19" i="5" s="1"/>
  <c r="D19" i="5"/>
  <c r="E19" i="5" s="1"/>
  <c r="J18" i="5"/>
  <c r="H18" i="5"/>
  <c r="K18" i="5" s="1"/>
  <c r="D18" i="5"/>
  <c r="E18" i="5" s="1"/>
  <c r="K17" i="5"/>
  <c r="J17" i="5"/>
  <c r="L17" i="5" s="1"/>
  <c r="I17" i="5"/>
  <c r="D17" i="5"/>
  <c r="E17" i="5" s="1"/>
  <c r="K16" i="5"/>
  <c r="J16" i="5"/>
  <c r="L16" i="5" s="1"/>
  <c r="D16" i="5"/>
  <c r="E16" i="5" s="1"/>
  <c r="K11" i="5"/>
  <c r="I11" i="5"/>
  <c r="J11" i="5" s="1"/>
  <c r="L11" i="5" s="1"/>
  <c r="D11" i="5"/>
  <c r="E11" i="5" s="1"/>
  <c r="G11" i="5" s="1"/>
  <c r="C11" i="5"/>
  <c r="F11" i="5" s="1"/>
  <c r="K10" i="5"/>
  <c r="J10" i="5"/>
  <c r="L10" i="5" s="1"/>
  <c r="I10" i="5"/>
  <c r="D10" i="5"/>
  <c r="E10" i="5" s="1"/>
  <c r="C10" i="5"/>
  <c r="F10" i="5" s="1"/>
  <c r="K9" i="5"/>
  <c r="I9" i="5"/>
  <c r="J9" i="5" s="1"/>
  <c r="L9" i="5" s="1"/>
  <c r="F9" i="5"/>
  <c r="E9" i="5"/>
  <c r="G9" i="5" s="1"/>
  <c r="D9" i="5"/>
  <c r="C9" i="5"/>
  <c r="K8" i="5"/>
  <c r="I8" i="5"/>
  <c r="J8" i="5" s="1"/>
  <c r="L8" i="5" s="1"/>
  <c r="D8" i="5"/>
  <c r="E8" i="5" s="1"/>
  <c r="C8" i="5"/>
  <c r="F8" i="5" s="1"/>
  <c r="K7" i="5"/>
  <c r="J7" i="5"/>
  <c r="L7" i="5" s="1"/>
  <c r="I7" i="5"/>
  <c r="D7" i="5"/>
  <c r="E7" i="5" s="1"/>
  <c r="C7" i="5"/>
  <c r="F7" i="5" s="1"/>
  <c r="K6" i="5"/>
  <c r="I6" i="5"/>
  <c r="J6" i="5" s="1"/>
  <c r="L6" i="5" s="1"/>
  <c r="E6" i="5"/>
  <c r="D6" i="5"/>
  <c r="C6" i="5"/>
  <c r="F6" i="5" s="1"/>
  <c r="K5" i="5"/>
  <c r="J5" i="5"/>
  <c r="L5" i="5" s="1"/>
  <c r="I5" i="5"/>
  <c r="H5" i="5"/>
  <c r="D5" i="5"/>
  <c r="E5" i="5" s="1"/>
  <c r="C5" i="5"/>
  <c r="F5" i="5" s="1"/>
  <c r="G18" i="5" l="1"/>
  <c r="G10" i="5"/>
  <c r="G6" i="5"/>
  <c r="G16" i="5"/>
  <c r="G7" i="5"/>
  <c r="L18" i="5"/>
  <c r="G22" i="5"/>
  <c r="G5" i="5"/>
  <c r="G8" i="5"/>
  <c r="F17" i="5"/>
  <c r="G17" i="5" s="1"/>
  <c r="F18" i="5"/>
  <c r="F19" i="5"/>
  <c r="G19" i="5" s="1"/>
  <c r="F20" i="5"/>
  <c r="G20" i="5" s="1"/>
  <c r="F21" i="5"/>
  <c r="G21" i="5" s="1"/>
  <c r="F22" i="5"/>
  <c r="E7" i="4"/>
  <c r="F7" i="4" s="1"/>
  <c r="E4" i="4"/>
  <c r="F4" i="4" s="1"/>
  <c r="L10" i="4"/>
  <c r="J10" i="4"/>
  <c r="K10" i="4" s="1"/>
  <c r="G10" i="4"/>
  <c r="E10" i="4"/>
  <c r="F10" i="4" s="1"/>
  <c r="L9" i="4"/>
  <c r="K9" i="4"/>
  <c r="J9" i="4"/>
  <c r="G9" i="4"/>
  <c r="E9" i="4"/>
  <c r="F9" i="4" s="1"/>
  <c r="L8" i="4"/>
  <c r="K8" i="4"/>
  <c r="J8" i="4"/>
  <c r="G8" i="4"/>
  <c r="E8" i="4"/>
  <c r="F8" i="4" s="1"/>
  <c r="L7" i="4"/>
  <c r="K7" i="4"/>
  <c r="M7" i="4" s="1"/>
  <c r="J7" i="4"/>
  <c r="G7" i="4"/>
  <c r="L6" i="4"/>
  <c r="K6" i="4"/>
  <c r="G6" i="4"/>
  <c r="E6" i="4"/>
  <c r="F6" i="4" s="1"/>
  <c r="L5" i="4"/>
  <c r="K5" i="4"/>
  <c r="J5" i="4"/>
  <c r="G5" i="4"/>
  <c r="E5" i="4"/>
  <c r="F5" i="4" s="1"/>
  <c r="L4" i="4"/>
  <c r="K4" i="4"/>
  <c r="G4" i="4"/>
  <c r="H10" i="4" l="1"/>
  <c r="H9" i="4"/>
  <c r="H8" i="4"/>
  <c r="H7" i="4"/>
  <c r="H6" i="4"/>
  <c r="H5" i="4"/>
  <c r="H4" i="4"/>
  <c r="M10" i="4"/>
  <c r="M9" i="4"/>
  <c r="M8" i="4"/>
  <c r="M6" i="4"/>
  <c r="M5" i="4"/>
  <c r="M4" i="4"/>
  <c r="K29" i="2"/>
  <c r="B18" i="3" l="1"/>
  <c r="E18" i="3"/>
  <c r="D18" i="3"/>
  <c r="I18" i="3"/>
  <c r="K18" i="3" s="1"/>
  <c r="H18" i="3"/>
  <c r="J18" i="3"/>
  <c r="F18" i="3" l="1"/>
  <c r="H17" i="3"/>
  <c r="B16" i="3"/>
  <c r="H16" i="3"/>
  <c r="C15" i="3"/>
  <c r="H15" i="3"/>
  <c r="H14" i="3"/>
  <c r="B13" i="3"/>
  <c r="H13" i="3"/>
  <c r="H12" i="3"/>
  <c r="B11" i="3"/>
  <c r="H11" i="3"/>
  <c r="B10" i="3"/>
  <c r="H10" i="3"/>
  <c r="B9" i="3"/>
  <c r="H9" i="3"/>
  <c r="C8" i="3"/>
  <c r="H8" i="3"/>
  <c r="H7" i="3"/>
  <c r="D7" i="3"/>
  <c r="E7" i="3"/>
  <c r="I7" i="3"/>
  <c r="J7" i="3"/>
  <c r="K7" i="3"/>
  <c r="D8" i="3"/>
  <c r="E8" i="3"/>
  <c r="F8" i="3" s="1"/>
  <c r="I8" i="3"/>
  <c r="J8" i="3"/>
  <c r="K8" i="3"/>
  <c r="D9" i="3"/>
  <c r="F9" i="3" s="1"/>
  <c r="E9" i="3"/>
  <c r="I9" i="3"/>
  <c r="J9" i="3"/>
  <c r="K9" i="3"/>
  <c r="D10" i="3"/>
  <c r="F10" i="3" s="1"/>
  <c r="E10" i="3"/>
  <c r="I10" i="3"/>
  <c r="J10" i="3"/>
  <c r="K10" i="3"/>
  <c r="D11" i="3"/>
  <c r="F11" i="3" s="1"/>
  <c r="E11" i="3"/>
  <c r="I11" i="3"/>
  <c r="J11" i="3"/>
  <c r="K11" i="3"/>
  <c r="D12" i="3"/>
  <c r="E12" i="3"/>
  <c r="I12" i="3"/>
  <c r="J12" i="3"/>
  <c r="K12" i="3"/>
  <c r="D13" i="3"/>
  <c r="F13" i="3" s="1"/>
  <c r="E13" i="3"/>
  <c r="I13" i="3"/>
  <c r="J13" i="3"/>
  <c r="K13" i="3"/>
  <c r="D14" i="3"/>
  <c r="E14" i="3"/>
  <c r="F14" i="3" s="1"/>
  <c r="I14" i="3"/>
  <c r="J14" i="3"/>
  <c r="K14" i="3"/>
  <c r="D15" i="3"/>
  <c r="E15" i="3"/>
  <c r="F15" i="3" s="1"/>
  <c r="I15" i="3"/>
  <c r="J15" i="3"/>
  <c r="K15" i="3"/>
  <c r="D16" i="3"/>
  <c r="F16" i="3" s="1"/>
  <c r="E16" i="3"/>
  <c r="I16" i="3"/>
  <c r="J16" i="3"/>
  <c r="K16" i="3"/>
  <c r="D17" i="3"/>
  <c r="E17" i="3"/>
  <c r="I17" i="3"/>
  <c r="J17" i="3"/>
  <c r="K17" i="3"/>
  <c r="F17" i="3" l="1"/>
  <c r="F12" i="3"/>
  <c r="F7" i="3"/>
  <c r="D37" i="3"/>
  <c r="C38" i="3"/>
  <c r="D38" i="3"/>
  <c r="C37" i="3"/>
  <c r="C36" i="3"/>
  <c r="D36" i="3"/>
  <c r="D35" i="3"/>
  <c r="C35" i="3"/>
  <c r="C34" i="3"/>
  <c r="D34" i="3"/>
  <c r="C32" i="3"/>
  <c r="D32" i="3"/>
  <c r="C33" i="3"/>
  <c r="D33" i="3"/>
  <c r="C31" i="3"/>
  <c r="D31" i="3"/>
  <c r="D27" i="3"/>
  <c r="D28" i="3"/>
  <c r="D29" i="3"/>
  <c r="D30" i="3"/>
  <c r="D26" i="3"/>
  <c r="C27" i="3"/>
  <c r="C28" i="3"/>
  <c r="C29" i="3"/>
  <c r="C30" i="3"/>
  <c r="C26" i="3"/>
  <c r="J25" i="3"/>
  <c r="J24" i="3"/>
  <c r="K33" i="2"/>
  <c r="K32" i="2"/>
  <c r="K6" i="2"/>
  <c r="K7" i="2"/>
  <c r="K8" i="2"/>
  <c r="K9" i="2"/>
  <c r="K10" i="2"/>
  <c r="K11" i="2"/>
  <c r="D9" i="2"/>
  <c r="E9" i="2" s="1"/>
  <c r="D8" i="2"/>
  <c r="E8" i="2" s="1"/>
  <c r="D7" i="2"/>
  <c r="E7" i="2" s="1"/>
  <c r="D6" i="2"/>
  <c r="E6" i="2" s="1"/>
  <c r="D5" i="2"/>
  <c r="E5" i="2" s="1"/>
  <c r="I9" i="2"/>
  <c r="J9" i="2" s="1"/>
  <c r="L9" i="2" s="1"/>
  <c r="I8" i="2"/>
  <c r="J8" i="2" s="1"/>
  <c r="I7" i="2"/>
  <c r="J7" i="2" s="1"/>
  <c r="I6" i="2"/>
  <c r="J6" i="2" s="1"/>
  <c r="I5" i="2"/>
  <c r="J5" i="2" s="1"/>
  <c r="I11" i="2"/>
  <c r="J11" i="2" s="1"/>
  <c r="D11" i="2"/>
  <c r="E11" i="2" s="1"/>
  <c r="C11" i="2"/>
  <c r="C10" i="2"/>
  <c r="H5" i="2"/>
  <c r="K5" i="2" s="1"/>
  <c r="C9" i="2"/>
  <c r="C8" i="2"/>
  <c r="C7" i="2"/>
  <c r="C6" i="2"/>
  <c r="I10" i="2"/>
  <c r="J10" i="2" s="1"/>
  <c r="L10" i="2" s="1"/>
  <c r="D10" i="2"/>
  <c r="E10" i="2" s="1"/>
  <c r="C5" i="2"/>
  <c r="D32" i="2"/>
  <c r="L6" i="2" l="1"/>
  <c r="L7" i="2"/>
  <c r="K34" i="2"/>
  <c r="L11" i="2"/>
  <c r="L5" i="2"/>
  <c r="L8" i="2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</calcChain>
</file>

<file path=xl/sharedStrings.xml><?xml version="1.0" encoding="utf-8"?>
<sst xmlns="http://schemas.openxmlformats.org/spreadsheetml/2006/main" count="133" uniqueCount="42">
  <si>
    <t>R</t>
  </si>
  <si>
    <t>STD</t>
  </si>
  <si>
    <t>N</t>
  </si>
  <si>
    <t>V_src[V]</t>
  </si>
  <si>
    <t>I_src[am]</t>
  </si>
  <si>
    <t>V_res[V]</t>
  </si>
  <si>
    <t>I_Res[am]</t>
  </si>
  <si>
    <t>I_Res_Std[am]</t>
  </si>
  <si>
    <t>V_res_std[V]</t>
  </si>
  <si>
    <t>Range Am</t>
  </si>
  <si>
    <t>Range V</t>
  </si>
  <si>
    <t>100 mili amper</t>
  </si>
  <si>
    <t>10 volt</t>
  </si>
  <si>
    <t>שגיאה סטטיסטית</t>
  </si>
  <si>
    <t>dV_inst[v]</t>
  </si>
  <si>
    <t>dI_inst[v]</t>
  </si>
  <si>
    <t>dI_stat[am]</t>
  </si>
  <si>
    <t>di_tot</t>
  </si>
  <si>
    <t>dv_stat[v]</t>
  </si>
  <si>
    <t>dv_tot[v]</t>
  </si>
  <si>
    <t>התנגדות נגד R1</t>
  </si>
  <si>
    <t>Range</t>
  </si>
  <si>
    <t>100 אוהם</t>
  </si>
  <si>
    <t>dr_inst</t>
  </si>
  <si>
    <t>dr_tot</t>
  </si>
  <si>
    <t>dr_stat</t>
  </si>
  <si>
    <t>V_src[v]</t>
  </si>
  <si>
    <t>התנגדות נגד R3</t>
  </si>
  <si>
    <t>Range I</t>
  </si>
  <si>
    <t>1 mili amper</t>
  </si>
  <si>
    <t>100 Kilo ohm</t>
  </si>
  <si>
    <t>Range R</t>
  </si>
  <si>
    <t>dr_stat[ohm]</t>
  </si>
  <si>
    <t>dr_inst[ohm]</t>
  </si>
  <si>
    <t>R_x[ohm]</t>
  </si>
  <si>
    <t>R_x_std[ohm]</t>
  </si>
  <si>
    <t>drx_tot[ohm]</t>
  </si>
  <si>
    <t>a</t>
  </si>
  <si>
    <t>b</t>
  </si>
  <si>
    <t>dR_inst</t>
  </si>
  <si>
    <t>dR_stat</t>
  </si>
  <si>
    <t>dR_tot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</si>
</sst>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Sheet3!$C$26:$C$37</c:f>
              <c:numCache>
                <c:formatCode>General</c:formatCode>
                <c:ptCount val="12"/>
                <c:pt idx="0">
                  <c:v>3504.54</c:v>
                </c:pt>
                <c:pt idx="1">
                  <c:v>4502.3289999999997</c:v>
                </c:pt>
                <c:pt idx="2">
                  <c:v>4999.2539999999999</c:v>
                </c:pt>
                <c:pt idx="3">
                  <c:v>5504.7160000000003</c:v>
                </c:pt>
                <c:pt idx="4">
                  <c:v>6002.7719999999999</c:v>
                </c:pt>
                <c:pt idx="5">
                  <c:v>4005.5419999999999</c:v>
                </c:pt>
                <c:pt idx="6">
                  <c:v>6500.9759999999997</c:v>
                </c:pt>
                <c:pt idx="7">
                  <c:v>7000.1589999999997</c:v>
                </c:pt>
                <c:pt idx="8">
                  <c:v>7500.5290000000005</c:v>
                </c:pt>
                <c:pt idx="9">
                  <c:v>8002.0879999999997</c:v>
                </c:pt>
                <c:pt idx="10">
                  <c:v>8504.473</c:v>
                </c:pt>
                <c:pt idx="11">
                  <c:v>4001.5520000000001</c:v>
                </c:pt>
              </c:numCache>
            </c:numRef>
          </c:xVal>
          <c:yVal>
            <c:numRef>
              <c:f>Sheet3!$D$26:$D$37</c:f>
              <c:numCache>
                <c:formatCode>General</c:formatCode>
                <c:ptCount val="12"/>
                <c:pt idx="0">
                  <c:v>9.3485319999999999E-4</c:v>
                </c:pt>
                <c:pt idx="1">
                  <c:v>8.2093509999999999E-4</c:v>
                </c:pt>
                <c:pt idx="2">
                  <c:v>7.8094419999999996E-4</c:v>
                </c:pt>
                <c:pt idx="3">
                  <c:v>7.4800300000000001E-4</c:v>
                </c:pt>
                <c:pt idx="4">
                  <c:v>7.2014099999999988E-4</c:v>
                </c:pt>
                <c:pt idx="5">
                  <c:v>8.7091149999999999E-4</c:v>
                </c:pt>
                <c:pt idx="6">
                  <c:v>6.9730460000000003E-4</c:v>
                </c:pt>
                <c:pt idx="7">
                  <c:v>6.7671650000000001E-4</c:v>
                </c:pt>
                <c:pt idx="8">
                  <c:v>6.5913430000000002E-4</c:v>
                </c:pt>
                <c:pt idx="9">
                  <c:v>6.4401589999999993E-4</c:v>
                </c:pt>
                <c:pt idx="10">
                  <c:v>6.3001849999999994E-4</c:v>
                </c:pt>
                <c:pt idx="11">
                  <c:v>8.6689199999999997E-4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4768"/>
        <c:axId val="66066304"/>
      </c:scatterChart>
      <c:valAx>
        <c:axId val="660647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66066304"/>
        <c:crosses val="autoZero"/>
        <c:crossBetween val="midCat"/>
      </c:valAx>
      <c:valAx>
        <c:axId val="660663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66064768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39</xdr:row>
      <xdr:rowOff>0</xdr:rowOff>
    </xdr:from>
    <xdr:to>
      <xdr:col>8</xdr:col>
      <xdr:colOff>715327</xdr:colOff>
      <xdr:row>54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F36" sqref="F36:K37"/>
    </sheetView>
  </sheetViews>
  <sheetFormatPr defaultRowHeight="14.4"/>
  <cols>
    <col min="2" max="2" width="8.77734375" customWidth="1"/>
    <col min="3" max="3" width="12.77734375" customWidth="1"/>
    <col min="4" max="4" width="15.109375" customWidth="1"/>
    <col min="5" max="5" width="13.109375" customWidth="1"/>
    <col min="6" max="7" width="14" customWidth="1"/>
    <col min="8" max="8" width="11.88671875" customWidth="1"/>
    <col min="9" max="10" width="12.21875" customWidth="1"/>
    <col min="11" max="12" width="11" customWidth="1"/>
  </cols>
  <sheetData>
    <row r="1" spans="1:13" ht="13.5" customHeight="1"/>
    <row r="3" spans="1:13">
      <c r="A3" t="s">
        <v>37</v>
      </c>
      <c r="C3" t="s">
        <v>13</v>
      </c>
    </row>
    <row r="4" spans="1:13">
      <c r="A4" s="1" t="s">
        <v>3</v>
      </c>
      <c r="B4" s="1" t="s">
        <v>4</v>
      </c>
      <c r="C4" s="1" t="s">
        <v>6</v>
      </c>
      <c r="D4" s="1" t="s">
        <v>7</v>
      </c>
      <c r="E4" s="1" t="s">
        <v>16</v>
      </c>
      <c r="F4" s="1" t="s">
        <v>15</v>
      </c>
      <c r="G4" s="1" t="s">
        <v>17</v>
      </c>
      <c r="H4" s="1" t="s">
        <v>5</v>
      </c>
      <c r="I4" s="1" t="s">
        <v>8</v>
      </c>
      <c r="J4" s="1" t="s">
        <v>18</v>
      </c>
      <c r="K4" s="1" t="s">
        <v>14</v>
      </c>
      <c r="L4" s="1" t="s">
        <v>19</v>
      </c>
      <c r="M4" s="1" t="s">
        <v>2</v>
      </c>
    </row>
    <row r="5" spans="1:13">
      <c r="A5">
        <v>1</v>
      </c>
      <c r="B5">
        <v>0.01</v>
      </c>
      <c r="C5">
        <f>9.87919197*10^-3</f>
        <v>9.8791919700000012E-3</v>
      </c>
      <c r="D5">
        <f>724.798*10^-9</f>
        <v>7.2479800000000008E-7</v>
      </c>
      <c r="E5">
        <f t="shared" ref="E5:E11" si="0">D5/SQRT(M5)</f>
        <v>9.3571019445481455E-8</v>
      </c>
      <c r="F5">
        <f t="shared" ref="F5:F11" si="1">(0.05*C5+0.005*$D$32)/100</f>
        <v>9.9395959849999998E-6</v>
      </c>
      <c r="G5">
        <f>SQRT(E5^2+F5^2)</f>
        <v>9.9400364124437793E-6</v>
      </c>
      <c r="H5">
        <f>989.8656*10^-3</f>
        <v>0.98986560000000001</v>
      </c>
      <c r="I5">
        <f>61.7507*10^-6</f>
        <v>6.1750700000000005E-5</v>
      </c>
      <c r="J5">
        <f t="shared" ref="J5:J11" si="2">I5/SQRT(M5)</f>
        <v>7.9719810905550123E-6</v>
      </c>
      <c r="K5">
        <f t="shared" ref="K5:K11" si="3">(0.0035*H5+0.0005*$D$33)/100</f>
        <v>8.4645295999999997E-5</v>
      </c>
      <c r="L5">
        <f>SQRT(J5^2+K5^2)</f>
        <v>8.5019871897314581E-5</v>
      </c>
      <c r="M5">
        <v>60</v>
      </c>
    </row>
    <row r="6" spans="1:13">
      <c r="A6">
        <v>1.8</v>
      </c>
      <c r="B6">
        <v>0.02</v>
      </c>
      <c r="C6">
        <f>18.00557*10^-3</f>
        <v>1.8005569999999999E-2</v>
      </c>
      <c r="D6">
        <f>2.05805*10^-6</f>
        <v>2.0580500000000001E-6</v>
      </c>
      <c r="E6">
        <f t="shared" si="0"/>
        <v>2.6569311252207247E-7</v>
      </c>
      <c r="F6">
        <f t="shared" si="1"/>
        <v>1.4002785E-5</v>
      </c>
      <c r="G6">
        <f t="shared" ref="G6:G11" si="4">SQRT(E6^2+F6^2)</f>
        <v>1.4005305444233148E-5</v>
      </c>
      <c r="H6">
        <v>1.803196</v>
      </c>
      <c r="I6">
        <f>136.414*10^-6</f>
        <v>1.3641399999999999E-4</v>
      </c>
      <c r="J6">
        <f t="shared" si="2"/>
        <v>1.7610971672984616E-5</v>
      </c>
      <c r="K6">
        <f t="shared" si="3"/>
        <v>1.1311186000000001E-4</v>
      </c>
      <c r="L6">
        <f t="shared" ref="L6:L11" si="5">SQRT(J6^2+K6^2)</f>
        <v>1.1447462249741761E-4</v>
      </c>
      <c r="M6">
        <v>60</v>
      </c>
    </row>
    <row r="7" spans="1:13">
      <c r="A7">
        <v>2.5</v>
      </c>
      <c r="B7">
        <v>0.02</v>
      </c>
      <c r="C7">
        <f>25.40724*10^-3</f>
        <v>2.5407240000000001E-2</v>
      </c>
      <c r="D7">
        <f>739.475*10^-6</f>
        <v>7.3947499999999996E-4</v>
      </c>
      <c r="E7">
        <f t="shared" si="0"/>
        <v>9.5465811997890972E-5</v>
      </c>
      <c r="F7">
        <f t="shared" si="1"/>
        <v>1.7703620000000002E-5</v>
      </c>
      <c r="G7">
        <f t="shared" si="4"/>
        <v>9.7093457150938158E-5</v>
      </c>
      <c r="H7">
        <v>2.5418500000000002</v>
      </c>
      <c r="I7">
        <f>115.997*10^-6</f>
        <v>1.1599699999999999E-4</v>
      </c>
      <c r="J7">
        <f t="shared" si="2"/>
        <v>1.4975148307000723E-5</v>
      </c>
      <c r="K7">
        <f t="shared" si="3"/>
        <v>1.3896475000000003E-4</v>
      </c>
      <c r="L7">
        <f t="shared" si="5"/>
        <v>1.3976929852216894E-4</v>
      </c>
      <c r="M7">
        <v>60</v>
      </c>
    </row>
    <row r="8" spans="1:13">
      <c r="A8">
        <v>3.2</v>
      </c>
      <c r="B8">
        <v>0.03</v>
      </c>
      <c r="C8">
        <f>31.93128*10^-3</f>
        <v>3.1931279999999999E-2</v>
      </c>
      <c r="D8">
        <f>3.7948*10^-6</f>
        <v>3.7947999999999996E-6</v>
      </c>
      <c r="E8">
        <f t="shared" si="0"/>
        <v>4.8990657340626345E-7</v>
      </c>
      <c r="F8">
        <f t="shared" si="1"/>
        <v>2.0965640000000001E-5</v>
      </c>
      <c r="G8">
        <f t="shared" si="4"/>
        <v>2.0971363071108818E-5</v>
      </c>
      <c r="H8">
        <v>3.19164</v>
      </c>
      <c r="I8">
        <f>130.15*10^-6</f>
        <v>1.3014999999999999E-4</v>
      </c>
      <c r="J8">
        <f t="shared" si="2"/>
        <v>1.6802292750296507E-5</v>
      </c>
      <c r="K8">
        <f t="shared" si="3"/>
        <v>1.617074E-4</v>
      </c>
      <c r="L8">
        <f t="shared" si="5"/>
        <v>1.6257798207760688E-4</v>
      </c>
      <c r="M8">
        <v>60</v>
      </c>
    </row>
    <row r="9" spans="1:13">
      <c r="A9">
        <v>4</v>
      </c>
      <c r="B9">
        <v>0.04</v>
      </c>
      <c r="C9">
        <f>40.40059*10^-3</f>
        <v>4.040059E-2</v>
      </c>
      <c r="D9">
        <f>12.9861*10^-6</f>
        <v>1.2986099999999999E-5</v>
      </c>
      <c r="E9">
        <f t="shared" si="0"/>
        <v>1.6764983010728044E-6</v>
      </c>
      <c r="F9">
        <f t="shared" si="1"/>
        <v>2.5200295000000003E-5</v>
      </c>
      <c r="G9">
        <f t="shared" si="4"/>
        <v>2.525599957714058E-5</v>
      </c>
      <c r="H9">
        <v>4.0339910000000003</v>
      </c>
      <c r="I9">
        <f>83.7329*10^-6</f>
        <v>8.3732899999999999E-5</v>
      </c>
      <c r="J9">
        <f t="shared" si="2"/>
        <v>1.0809870907655034E-5</v>
      </c>
      <c r="K9">
        <f t="shared" si="3"/>
        <v>1.91189685E-4</v>
      </c>
      <c r="L9">
        <f t="shared" si="5"/>
        <v>1.9149503638329478E-4</v>
      </c>
      <c r="M9">
        <v>60</v>
      </c>
    </row>
    <row r="10" spans="1:13">
      <c r="A10">
        <v>4.5</v>
      </c>
      <c r="B10">
        <v>0.04</v>
      </c>
      <c r="C10">
        <f>45.10628*10^-3</f>
        <v>4.5106279999999999E-2</v>
      </c>
      <c r="D10">
        <f>25.7092*10^-6</f>
        <v>2.5709199999999998E-5</v>
      </c>
      <c r="E10">
        <f t="shared" si="0"/>
        <v>3.3190434481438571E-6</v>
      </c>
      <c r="F10">
        <f t="shared" si="1"/>
        <v>2.7553140000000002E-5</v>
      </c>
      <c r="G10">
        <f t="shared" si="4"/>
        <v>2.7752325547064822E-5</v>
      </c>
      <c r="H10">
        <v>4.5021370000000003</v>
      </c>
      <c r="I10">
        <f>49.7925*10^-6</f>
        <v>4.9792499999999995E-5</v>
      </c>
      <c r="J10">
        <f t="shared" si="2"/>
        <v>6.4281841088677591E-6</v>
      </c>
      <c r="K10">
        <f t="shared" si="3"/>
        <v>2.0757479500000002E-4</v>
      </c>
      <c r="L10">
        <f t="shared" si="5"/>
        <v>2.0767430527205222E-4</v>
      </c>
      <c r="M10">
        <v>60</v>
      </c>
    </row>
    <row r="11" spans="1:13">
      <c r="A11">
        <v>5</v>
      </c>
      <c r="B11">
        <v>0.05</v>
      </c>
      <c r="C11">
        <f>50.14126*10^-3</f>
        <v>5.0141260000000007E-2</v>
      </c>
      <c r="D11">
        <f>20.6863*10^-6</f>
        <v>2.0686299999999999E-5</v>
      </c>
      <c r="E11">
        <f t="shared" si="0"/>
        <v>2.6705898464883493E-6</v>
      </c>
      <c r="F11">
        <f t="shared" si="1"/>
        <v>3.0070630000000005E-5</v>
      </c>
      <c r="G11">
        <f t="shared" si="4"/>
        <v>3.0188985387473146E-5</v>
      </c>
      <c r="H11">
        <v>4.9933459999999998</v>
      </c>
      <c r="I11">
        <f>230.625*10^-6</f>
        <v>2.3062499999999998E-4</v>
      </c>
      <c r="J11">
        <f t="shared" si="2"/>
        <v>2.9773559473969514E-5</v>
      </c>
      <c r="K11">
        <f t="shared" si="3"/>
        <v>2.2476711000000001E-4</v>
      </c>
      <c r="L11">
        <f t="shared" si="5"/>
        <v>2.2673049768723682E-4</v>
      </c>
      <c r="M11">
        <v>60</v>
      </c>
    </row>
    <row r="14" spans="1:13">
      <c r="A14" t="s">
        <v>38</v>
      </c>
      <c r="I14" s="1"/>
      <c r="J14" s="1"/>
      <c r="K14" s="1"/>
      <c r="L14" s="1"/>
    </row>
    <row r="15" spans="1:13">
      <c r="A15" s="1" t="s">
        <v>3</v>
      </c>
      <c r="B15" s="1" t="s">
        <v>4</v>
      </c>
      <c r="C15" s="1" t="s">
        <v>6</v>
      </c>
      <c r="D15" s="1" t="s">
        <v>7</v>
      </c>
      <c r="E15" s="1" t="s">
        <v>16</v>
      </c>
      <c r="F15" s="1" t="s">
        <v>15</v>
      </c>
      <c r="G15" s="1" t="s">
        <v>17</v>
      </c>
      <c r="H15" s="1" t="s">
        <v>5</v>
      </c>
      <c r="I15" s="1" t="s">
        <v>8</v>
      </c>
      <c r="J15" s="1" t="s">
        <v>18</v>
      </c>
      <c r="K15" s="1" t="s">
        <v>14</v>
      </c>
      <c r="L15" s="1" t="s">
        <v>19</v>
      </c>
      <c r="M15" s="1" t="s">
        <v>2</v>
      </c>
    </row>
    <row r="16" spans="1:13">
      <c r="A16">
        <v>1.3</v>
      </c>
      <c r="B16">
        <v>0.01</v>
      </c>
      <c r="C16">
        <v>1.361949E-2</v>
      </c>
      <c r="D16">
        <f>55.1798*10^-6</f>
        <v>5.5179799999999996E-5</v>
      </c>
      <c r="E16">
        <f t="shared" ref="E16:E22" si="6">D16/SQRT(M16)</f>
        <v>7.1236815482352004E-6</v>
      </c>
      <c r="F16">
        <f t="shared" ref="F16:F22" si="7">(0.05*C16+0.005*$D$32)/100</f>
        <v>1.1809745000000001E-5</v>
      </c>
      <c r="G16">
        <f>SQRT(E16^2+F16^2)</f>
        <v>1.3791914869433166E-5</v>
      </c>
      <c r="H16">
        <v>1.328838</v>
      </c>
      <c r="I16">
        <v>1.8927399999999999E-4</v>
      </c>
      <c r="J16">
        <f t="shared" ref="J16:J22" si="8">I16/SQRT(M16)</f>
        <v>2.4435168329002086E-5</v>
      </c>
      <c r="K16">
        <f t="shared" ref="K16:K22" si="9">(0.0035*H16+0.0005*$D$33)/100</f>
        <v>9.6509330000000003E-5</v>
      </c>
      <c r="L16">
        <f>SQRT(J16^2+K16^2)</f>
        <v>9.9554649456042821E-5</v>
      </c>
      <c r="M16">
        <v>60</v>
      </c>
    </row>
    <row r="17" spans="1:13">
      <c r="A17">
        <v>2</v>
      </c>
      <c r="B17">
        <v>0.02</v>
      </c>
      <c r="C17">
        <v>2.0198509999999999E-2</v>
      </c>
      <c r="D17">
        <f>739.475*10^-6</f>
        <v>7.3947499999999996E-4</v>
      </c>
      <c r="E17">
        <f t="shared" si="6"/>
        <v>9.5465811997890972E-5</v>
      </c>
      <c r="F17">
        <f t="shared" si="7"/>
        <v>1.5099255E-5</v>
      </c>
      <c r="G17">
        <f t="shared" ref="G17:G22" si="10">SQRT(E17^2+F17^2)</f>
        <v>9.6652515549113812E-5</v>
      </c>
      <c r="H17">
        <v>1.9720690000000001</v>
      </c>
      <c r="I17">
        <f>115.997*10^-6</f>
        <v>1.1599699999999999E-4</v>
      </c>
      <c r="J17">
        <f t="shared" si="8"/>
        <v>1.4975148307000723E-5</v>
      </c>
      <c r="K17">
        <f t="shared" si="9"/>
        <v>1.1902241500000001E-4</v>
      </c>
      <c r="L17">
        <f t="shared" ref="L17:L22" si="11">SQRT(J17^2+K17^2)</f>
        <v>1.1996078667318289E-4</v>
      </c>
      <c r="M17">
        <v>60</v>
      </c>
    </row>
    <row r="18" spans="1:13">
      <c r="A18">
        <v>2.5</v>
      </c>
      <c r="B18">
        <v>0.03</v>
      </c>
      <c r="C18">
        <v>2.5655049999999999E-2</v>
      </c>
      <c r="D18">
        <f>74.11*10^-6</f>
        <v>7.4109999999999993E-5</v>
      </c>
      <c r="E18">
        <f t="shared" si="6"/>
        <v>9.5675598595810551E-6</v>
      </c>
      <c r="F18">
        <f>(0.05*C18+0.005*$D$32)/100</f>
        <v>1.7827525E-5</v>
      </c>
      <c r="G18">
        <f t="shared" si="10"/>
        <v>2.0232618448739935E-5</v>
      </c>
      <c r="H18">
        <v>2.5035759999999998</v>
      </c>
      <c r="I18">
        <v>4.13881E-4</v>
      </c>
      <c r="J18">
        <f t="shared" si="8"/>
        <v>5.3431807343722397E-5</v>
      </c>
      <c r="K18">
        <f t="shared" si="9"/>
        <v>1.3762515999999998E-4</v>
      </c>
      <c r="L18">
        <f t="shared" si="11"/>
        <v>1.4763347418875661E-4</v>
      </c>
      <c r="M18">
        <v>60</v>
      </c>
    </row>
    <row r="19" spans="1:13">
      <c r="A19">
        <v>3</v>
      </c>
      <c r="B19">
        <v>0.03</v>
      </c>
      <c r="C19">
        <v>2.997352E-2</v>
      </c>
      <c r="D19">
        <f>37.948*10^-6</f>
        <v>3.7947999999999996E-5</v>
      </c>
      <c r="E19">
        <f t="shared" si="6"/>
        <v>4.8990657340626345E-6</v>
      </c>
      <c r="F19">
        <f t="shared" si="7"/>
        <v>1.998676E-5</v>
      </c>
      <c r="G19">
        <f t="shared" si="10"/>
        <v>2.0578421231092211E-5</v>
      </c>
      <c r="H19">
        <v>2.9228589999999999</v>
      </c>
      <c r="I19">
        <f>130.15*10^-6</f>
        <v>1.3014999999999999E-4</v>
      </c>
      <c r="J19">
        <f t="shared" si="8"/>
        <v>1.6802292750296507E-5</v>
      </c>
      <c r="K19">
        <f t="shared" si="9"/>
        <v>1.52300065E-4</v>
      </c>
      <c r="L19">
        <f t="shared" si="11"/>
        <v>1.5322410659119828E-4</v>
      </c>
      <c r="M19">
        <v>60</v>
      </c>
    </row>
    <row r="20" spans="1:13">
      <c r="A20">
        <v>3.5</v>
      </c>
      <c r="B20">
        <v>0.04</v>
      </c>
      <c r="C20">
        <v>3.5339460000000003E-2</v>
      </c>
      <c r="D20">
        <f>12.9861*10^-6</f>
        <v>1.2986099999999999E-5</v>
      </c>
      <c r="E20">
        <f t="shared" si="6"/>
        <v>1.6764983010728044E-6</v>
      </c>
      <c r="F20">
        <f t="shared" si="7"/>
        <v>2.2669730000000003E-5</v>
      </c>
      <c r="G20">
        <f t="shared" si="10"/>
        <v>2.273163665085293E-5</v>
      </c>
      <c r="H20">
        <v>3.4436499999999999</v>
      </c>
      <c r="I20">
        <f>83.7329*10^-6</f>
        <v>8.3732899999999999E-5</v>
      </c>
      <c r="J20">
        <f t="shared" si="8"/>
        <v>1.0809870907655034E-5</v>
      </c>
      <c r="K20">
        <f t="shared" si="9"/>
        <v>1.7052775E-4</v>
      </c>
      <c r="L20">
        <f t="shared" si="11"/>
        <v>1.7087002905454972E-4</v>
      </c>
      <c r="M20">
        <v>60</v>
      </c>
    </row>
    <row r="21" spans="1:13">
      <c r="A21">
        <v>4</v>
      </c>
      <c r="B21">
        <v>0.04</v>
      </c>
      <c r="C21">
        <v>4.0970090000000001E-2</v>
      </c>
      <c r="D21">
        <f>449.753*10^-6</f>
        <v>4.4975299999999995E-4</v>
      </c>
      <c r="E21">
        <f t="shared" si="6"/>
        <v>5.806286263022747E-5</v>
      </c>
      <c r="F21">
        <f t="shared" si="7"/>
        <v>2.5485045000000001E-5</v>
      </c>
      <c r="G21">
        <f t="shared" si="10"/>
        <v>6.3409648599157918E-5</v>
      </c>
      <c r="H21">
        <v>3.9880460000000002</v>
      </c>
      <c r="I21">
        <f>49.7925*10^-6</f>
        <v>4.9792499999999995E-5</v>
      </c>
      <c r="J21">
        <f t="shared" si="8"/>
        <v>6.4281841088677591E-6</v>
      </c>
      <c r="K21">
        <f t="shared" si="9"/>
        <v>1.8958161E-4</v>
      </c>
      <c r="L21">
        <f t="shared" si="11"/>
        <v>1.8969055959938965E-4</v>
      </c>
      <c r="M21">
        <v>60</v>
      </c>
    </row>
    <row r="22" spans="1:13">
      <c r="A22">
        <v>4.5</v>
      </c>
      <c r="B22">
        <v>0.05</v>
      </c>
      <c r="C22">
        <v>4.5829889999999998E-2</v>
      </c>
      <c r="D22">
        <f>39.8185*10^-6</f>
        <v>3.9818499999999998E-5</v>
      </c>
      <c r="E22">
        <f t="shared" si="6"/>
        <v>5.1405462456986676E-6</v>
      </c>
      <c r="F22">
        <f t="shared" si="7"/>
        <v>2.7914944999999999E-5</v>
      </c>
      <c r="G22">
        <f t="shared" si="10"/>
        <v>2.838431556436039E-5</v>
      </c>
      <c r="H22">
        <v>4.4589600000000003</v>
      </c>
      <c r="I22">
        <f>49.7925*10^-6</f>
        <v>4.9792499999999995E-5</v>
      </c>
      <c r="J22">
        <f t="shared" si="8"/>
        <v>6.4281841088677591E-6</v>
      </c>
      <c r="K22">
        <f t="shared" si="9"/>
        <v>2.060636E-4</v>
      </c>
      <c r="L22">
        <f t="shared" si="11"/>
        <v>2.0616383969042072E-4</v>
      </c>
      <c r="M22">
        <v>60</v>
      </c>
    </row>
    <row r="23" spans="1:13">
      <c r="I23" s="1"/>
      <c r="J23" s="1"/>
      <c r="K23" s="1"/>
      <c r="L23" s="1"/>
    </row>
    <row r="24" spans="1:13">
      <c r="I24" s="1"/>
      <c r="J24" s="1"/>
      <c r="K24" s="1"/>
      <c r="L24" s="1"/>
    </row>
    <row r="25" spans="1:13">
      <c r="I25" s="1"/>
      <c r="J25" s="1"/>
      <c r="K25" s="1"/>
      <c r="L25" s="1"/>
    </row>
    <row r="27" spans="1:13">
      <c r="C27">
        <v>2.794131E-2</v>
      </c>
      <c r="J27" s="1" t="s">
        <v>20</v>
      </c>
    </row>
    <row r="28" spans="1:13">
      <c r="J28" t="s">
        <v>0</v>
      </c>
      <c r="K28">
        <v>98.109319999999997</v>
      </c>
    </row>
    <row r="29" spans="1:13">
      <c r="J29" t="s">
        <v>1</v>
      </c>
      <c r="K29">
        <f>279.198*10^-6</f>
        <v>2.7919799999999998E-4</v>
      </c>
    </row>
    <row r="30" spans="1:13">
      <c r="J30" t="s">
        <v>2</v>
      </c>
      <c r="K30">
        <v>60</v>
      </c>
    </row>
    <row r="31" spans="1:13">
      <c r="J31" t="s">
        <v>21</v>
      </c>
      <c r="K31">
        <v>100</v>
      </c>
      <c r="L31" t="s">
        <v>22</v>
      </c>
    </row>
    <row r="32" spans="1:13">
      <c r="C32" t="s">
        <v>9</v>
      </c>
      <c r="D32">
        <f>100*10^-3</f>
        <v>0.1</v>
      </c>
      <c r="F32" t="s">
        <v>11</v>
      </c>
      <c r="J32" t="s">
        <v>23</v>
      </c>
      <c r="K32">
        <f>(0.01*K28+0.04*K31)/100</f>
        <v>4.9810932000000002E-2</v>
      </c>
    </row>
    <row r="33" spans="3:11">
      <c r="C33" t="s">
        <v>10</v>
      </c>
      <c r="D33">
        <v>10</v>
      </c>
      <c r="F33" t="s">
        <v>12</v>
      </c>
      <c r="J33" t="s">
        <v>25</v>
      </c>
      <c r="K33">
        <f>K29/SQRT(K30)</f>
        <v>3.604430680981394E-5</v>
      </c>
    </row>
    <row r="34" spans="3:11">
      <c r="J34" t="s">
        <v>24</v>
      </c>
      <c r="K34">
        <f>SQRT(K33^2+K32^2)</f>
        <v>4.9810945041232429E-2</v>
      </c>
    </row>
    <row r="36" spans="3:11">
      <c r="F36" t="s">
        <v>0</v>
      </c>
      <c r="G36" t="s">
        <v>1</v>
      </c>
      <c r="H36" t="s">
        <v>2</v>
      </c>
      <c r="I36" t="s">
        <v>39</v>
      </c>
      <c r="J36" t="s">
        <v>40</v>
      </c>
      <c r="K36" t="s">
        <v>41</v>
      </c>
    </row>
    <row r="37" spans="3:11">
      <c r="F37">
        <v>98.109319999999997</v>
      </c>
      <c r="G37">
        <f>279.198*10^-6</f>
        <v>2.7919799999999998E-4</v>
      </c>
      <c r="H37">
        <v>60</v>
      </c>
      <c r="I37">
        <v>4.9810932000000002E-2</v>
      </c>
      <c r="J37">
        <v>3.604430680981394E-5</v>
      </c>
      <c r="K37">
        <v>4.9810945041232429E-2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41"/>
  <sheetViews>
    <sheetView tabSelected="1" workbookViewId="0">
      <selection activeCell="B15" sqref="B15"/>
    </sheetView>
  </sheetViews>
  <sheetFormatPr defaultRowHeight="14.4"/>
  <cols>
    <col min="2" max="3" width="12.21875" bestFit="1" customWidth="1"/>
    <col min="5" max="5" width="12.21875" bestFit="1" customWidth="1"/>
    <col min="7" max="7" width="11.33203125" customWidth="1"/>
    <col min="8" max="8" width="13.109375" customWidth="1"/>
    <col min="9" max="9" width="13.77734375" customWidth="1"/>
  </cols>
  <sheetData>
    <row r="6" spans="1:12">
      <c r="A6" s="1" t="s">
        <v>26</v>
      </c>
      <c r="B6" s="1" t="s">
        <v>6</v>
      </c>
      <c r="C6" s="1" t="s">
        <v>7</v>
      </c>
      <c r="D6" s="1" t="s">
        <v>16</v>
      </c>
      <c r="E6" s="1" t="s">
        <v>15</v>
      </c>
      <c r="F6" s="1" t="s">
        <v>17</v>
      </c>
      <c r="G6" s="1" t="s">
        <v>34</v>
      </c>
      <c r="H6" s="1" t="s">
        <v>35</v>
      </c>
      <c r="I6" s="1" t="s">
        <v>32</v>
      </c>
      <c r="J6" s="1" t="s">
        <v>33</v>
      </c>
      <c r="K6" s="1" t="s">
        <v>36</v>
      </c>
      <c r="L6" s="1" t="s">
        <v>2</v>
      </c>
    </row>
    <row r="7" spans="1:12">
      <c r="A7">
        <v>2</v>
      </c>
      <c r="B7">
        <f>934.8532*10^-6</f>
        <v>9.3485319999999999E-4</v>
      </c>
      <c r="C7">
        <f>3.39012*10^-6</f>
        <v>3.3901200000000001E-6</v>
      </c>
      <c r="D7">
        <f>C7/SQRT(L7)</f>
        <v>4.3766261005482294E-7</v>
      </c>
      <c r="E7">
        <f>(0.05*B7+0.005*$J$24)/100</f>
        <v>5.1742659999999994E-7</v>
      </c>
      <c r="F7">
        <f>SQRT(E7^2+D7^2)</f>
        <v>6.7770114846262432E-7</v>
      </c>
      <c r="G7">
        <v>3504.54</v>
      </c>
      <c r="H7">
        <f>179.105*10^-3</f>
        <v>0.17910499999999999</v>
      </c>
      <c r="I7">
        <f>H7/SQRT(L7)</f>
        <v>2.3122356074082643E-2</v>
      </c>
      <c r="J7">
        <f>(0.01*G7+0.001*$J$25)/100</f>
        <v>1.350454</v>
      </c>
      <c r="K7">
        <f>SQRT(J7^2+I7^2)</f>
        <v>1.3506519349804438</v>
      </c>
      <c r="L7">
        <v>60</v>
      </c>
    </row>
    <row r="8" spans="1:12">
      <c r="A8">
        <v>2</v>
      </c>
      <c r="B8">
        <f>820.9351*10^-6</f>
        <v>8.2093509999999999E-4</v>
      </c>
      <c r="C8">
        <f>3.5197*10^-6</f>
        <v>3.5196999999999995E-6</v>
      </c>
      <c r="D8">
        <f t="shared" ref="D8:D14" si="0">C8/SQRT(L8)</f>
        <v>4.5439131612154144E-7</v>
      </c>
      <c r="E8">
        <f t="shared" ref="E8:E14" si="1">(0.05*B8+0.005*$J$24)/100</f>
        <v>4.6046755000000005E-7</v>
      </c>
      <c r="F8">
        <f t="shared" ref="F8:F14" si="2">SQRT(E8^2+D8^2)</f>
        <v>6.4691717612818811E-7</v>
      </c>
      <c r="G8">
        <v>4502.3289999999997</v>
      </c>
      <c r="H8">
        <f>962.145*10^-3</f>
        <v>0.96214500000000003</v>
      </c>
      <c r="I8">
        <f t="shared" ref="I8:I18" si="3">H8/SQRT(L8)</f>
        <v>0.12421238538789117</v>
      </c>
      <c r="J8">
        <f>(0.01*G8+0.001*$J$25)/100</f>
        <v>1.4502329</v>
      </c>
      <c r="K8">
        <f t="shared" ref="K8:K18" si="4">SQRT(J8^2+I8^2)</f>
        <v>1.4555425726945126</v>
      </c>
      <c r="L8">
        <v>60</v>
      </c>
    </row>
    <row r="9" spans="1:12">
      <c r="A9">
        <v>2</v>
      </c>
      <c r="B9">
        <f>780.9442*10^-6</f>
        <v>7.8094419999999996E-4</v>
      </c>
      <c r="C9">
        <f>535.6168*10^-9</f>
        <v>5.3561680000000007E-7</v>
      </c>
      <c r="D9">
        <f t="shared" si="0"/>
        <v>6.9147831544963635E-8</v>
      </c>
      <c r="E9">
        <f t="shared" si="1"/>
        <v>4.4047210000000002E-7</v>
      </c>
      <c r="F9">
        <f t="shared" si="2"/>
        <v>4.4586667680572481E-7</v>
      </c>
      <c r="G9">
        <v>4999.2539999999999</v>
      </c>
      <c r="H9">
        <f>1.82662</f>
        <v>1.8266199999999999</v>
      </c>
      <c r="I9">
        <f t="shared" si="3"/>
        <v>0.23581562799497971</v>
      </c>
      <c r="J9">
        <f>(0.01*G9+0.001*$J$25)/100</f>
        <v>1.4999254</v>
      </c>
      <c r="K9">
        <f t="shared" si="4"/>
        <v>1.5183495038929036</v>
      </c>
      <c r="L9">
        <v>60</v>
      </c>
    </row>
    <row r="10" spans="1:12">
      <c r="A10">
        <v>2</v>
      </c>
      <c r="B10">
        <f>748.003*10^-6</f>
        <v>7.4800300000000001E-4</v>
      </c>
      <c r="C10">
        <f>183.8581*10^-9</f>
        <v>1.8385810000000002E-7</v>
      </c>
      <c r="D10">
        <f t="shared" si="0"/>
        <v>2.3735978645511264E-8</v>
      </c>
      <c r="E10">
        <f t="shared" si="1"/>
        <v>4.2400150000000003E-7</v>
      </c>
      <c r="F10">
        <f t="shared" si="2"/>
        <v>4.2466536082486192E-7</v>
      </c>
      <c r="G10">
        <v>5504.7160000000003</v>
      </c>
      <c r="H10">
        <f>19.6487*10^-3</f>
        <v>1.9648700000000002E-2</v>
      </c>
      <c r="I10">
        <f t="shared" si="3"/>
        <v>2.5366362624875227E-3</v>
      </c>
      <c r="J10">
        <f>(0.01*G10+0.001*$J$25)/100</f>
        <v>1.5504716000000003</v>
      </c>
      <c r="K10">
        <f t="shared" si="4"/>
        <v>1.5504736750200208</v>
      </c>
      <c r="L10">
        <v>60</v>
      </c>
    </row>
    <row r="11" spans="1:12">
      <c r="A11">
        <v>2</v>
      </c>
      <c r="B11">
        <f>720.141*10^-6</f>
        <v>7.2014099999999988E-4</v>
      </c>
      <c r="C11">
        <f>250.33*10^-9</f>
        <v>2.5033000000000005E-7</v>
      </c>
      <c r="D11">
        <f t="shared" si="0"/>
        <v>3.231746403520343E-8</v>
      </c>
      <c r="E11">
        <f t="shared" si="1"/>
        <v>4.1007049999999993E-7</v>
      </c>
      <c r="F11">
        <f t="shared" si="2"/>
        <v>4.1134199086881053E-7</v>
      </c>
      <c r="G11">
        <v>6002.7719999999999</v>
      </c>
      <c r="H11">
        <f>58.5512*10^-3</f>
        <v>5.8551200000000005E-2</v>
      </c>
      <c r="I11">
        <f t="shared" si="3"/>
        <v>7.558927416681991E-3</v>
      </c>
      <c r="J11">
        <f t="shared" ref="J11:J18" si="5">(0.01*G11+0.001*$J$25)/100</f>
        <v>1.6002771999999998</v>
      </c>
      <c r="K11">
        <f t="shared" si="4"/>
        <v>1.6002950522399082</v>
      </c>
      <c r="L11">
        <v>60</v>
      </c>
    </row>
    <row r="12" spans="1:12">
      <c r="A12">
        <v>2</v>
      </c>
      <c r="B12">
        <f>870.9115*10^-6</f>
        <v>8.7091149999999999E-4</v>
      </c>
      <c r="C12">
        <f>249.504*10^-9</f>
        <v>2.4950400000000001E-7</v>
      </c>
      <c r="D12">
        <f t="shared" si="0"/>
        <v>3.2210827893737845E-8</v>
      </c>
      <c r="E12">
        <f t="shared" si="1"/>
        <v>4.8545575000000005E-7</v>
      </c>
      <c r="F12">
        <f t="shared" si="2"/>
        <v>4.86523198461967E-7</v>
      </c>
      <c r="G12">
        <v>4005.5419999999999</v>
      </c>
      <c r="H12">
        <f>450.766*10^-3</f>
        <v>0.45076600000000006</v>
      </c>
      <c r="I12">
        <f t="shared" si="3"/>
        <v>5.8193640367884422E-2</v>
      </c>
      <c r="J12">
        <f t="shared" si="5"/>
        <v>1.4005542</v>
      </c>
      <c r="K12">
        <f t="shared" si="4"/>
        <v>1.4017626642612888</v>
      </c>
      <c r="L12">
        <v>60</v>
      </c>
    </row>
    <row r="13" spans="1:12">
      <c r="A13">
        <v>2</v>
      </c>
      <c r="B13">
        <f>697.3046*10^-6</f>
        <v>6.9730460000000003E-4</v>
      </c>
      <c r="C13">
        <f>344.57*10^-9</f>
        <v>3.4457000000000002E-7</v>
      </c>
      <c r="D13">
        <f t="shared" si="0"/>
        <v>4.4483795720089655E-8</v>
      </c>
      <c r="E13">
        <f t="shared" si="1"/>
        <v>3.9865230000000002E-7</v>
      </c>
      <c r="F13">
        <f t="shared" si="2"/>
        <v>4.0112649423462006E-7</v>
      </c>
      <c r="G13">
        <v>6500.9759999999997</v>
      </c>
      <c r="H13">
        <f>498.734*10^-3</f>
        <v>0.49873400000000001</v>
      </c>
      <c r="I13">
        <f t="shared" si="3"/>
        <v>6.4386282539580328E-2</v>
      </c>
      <c r="J13">
        <f t="shared" si="5"/>
        <v>1.6500976000000001</v>
      </c>
      <c r="K13">
        <f t="shared" si="4"/>
        <v>1.651353288338091</v>
      </c>
      <c r="L13">
        <v>60</v>
      </c>
    </row>
    <row r="14" spans="1:12">
      <c r="A14">
        <v>2</v>
      </c>
      <c r="B14">
        <f>676.7165*10^-6</f>
        <v>6.7671650000000001E-4</v>
      </c>
      <c r="C14">
        <f>794.061*10^-9</f>
        <v>7.9406100000000003E-7</v>
      </c>
      <c r="D14">
        <f t="shared" si="0"/>
        <v>1.0251283429576026E-7</v>
      </c>
      <c r="E14">
        <f t="shared" si="1"/>
        <v>3.8835825000000002E-7</v>
      </c>
      <c r="F14">
        <f t="shared" si="2"/>
        <v>4.0166031860069586E-7</v>
      </c>
      <c r="G14">
        <v>7000.1589999999997</v>
      </c>
      <c r="H14">
        <f>28.9527*10^-3</f>
        <v>2.8952700000000001E-2</v>
      </c>
      <c r="I14">
        <f t="shared" si="3"/>
        <v>3.7377774975913161E-3</v>
      </c>
      <c r="J14">
        <f t="shared" si="5"/>
        <v>1.7000158999999999</v>
      </c>
      <c r="K14">
        <f t="shared" si="4"/>
        <v>1.7000200090685493</v>
      </c>
      <c r="L14">
        <v>60</v>
      </c>
    </row>
    <row r="15" spans="1:12">
      <c r="A15">
        <v>2</v>
      </c>
      <c r="B15">
        <f>659.1343*10^-6</f>
        <v>6.5913430000000002E-4</v>
      </c>
      <c r="C15">
        <f>250.872*10^-9</f>
        <v>2.5087200000000002E-7</v>
      </c>
      <c r="D15">
        <f t="shared" ref="D15:D18" si="6">C15/SQRT(L15)</f>
        <v>3.2387435934324907E-8</v>
      </c>
      <c r="E15">
        <f t="shared" ref="E15:E18" si="7">(0.05*B15+0.005*$J$24)/100</f>
        <v>3.7956715000000004E-7</v>
      </c>
      <c r="F15">
        <f t="shared" ref="F15:F18" si="8">SQRT(E15^2+D15^2)</f>
        <v>3.809464100966467E-7</v>
      </c>
      <c r="G15">
        <v>7500.5290000000005</v>
      </c>
      <c r="H15">
        <f>199.498*10^-3</f>
        <v>0.19949799999999998</v>
      </c>
      <c r="I15">
        <f t="shared" si="3"/>
        <v>2.5755081053389573E-2</v>
      </c>
      <c r="J15">
        <f t="shared" si="5"/>
        <v>1.7500529</v>
      </c>
      <c r="K15">
        <f t="shared" si="4"/>
        <v>1.7502424052109116</v>
      </c>
      <c r="L15">
        <v>60</v>
      </c>
    </row>
    <row r="16" spans="1:12">
      <c r="A16">
        <v>2</v>
      </c>
      <c r="B16">
        <f>644.0159*10^-6</f>
        <v>6.4401589999999993E-4</v>
      </c>
      <c r="C16">
        <f>713.656*10^-9</f>
        <v>7.1365599999999999E-7</v>
      </c>
      <c r="D16">
        <f t="shared" si="6"/>
        <v>9.2132593430700002E-8</v>
      </c>
      <c r="E16">
        <f t="shared" si="7"/>
        <v>3.7200794999999998E-7</v>
      </c>
      <c r="F16">
        <f t="shared" si="8"/>
        <v>3.8324708692365704E-7</v>
      </c>
      <c r="G16">
        <v>8002.0879999999997</v>
      </c>
      <c r="H16">
        <f>822.932*10^-3</f>
        <v>0.822932</v>
      </c>
      <c r="I16">
        <f t="shared" si="3"/>
        <v>0.10624006436870539</v>
      </c>
      <c r="J16">
        <f t="shared" si="5"/>
        <v>1.8002088000000001</v>
      </c>
      <c r="K16">
        <f t="shared" si="4"/>
        <v>1.8033409757654004</v>
      </c>
      <c r="L16">
        <v>60</v>
      </c>
    </row>
    <row r="17" spans="1:12">
      <c r="A17">
        <v>2</v>
      </c>
      <c r="B17">
        <f>630.0185*10^-6</f>
        <v>6.3001849999999994E-4</v>
      </c>
      <c r="C17">
        <f>529.5*10^-9</f>
        <v>5.2950000000000008E-7</v>
      </c>
      <c r="D17">
        <f t="shared" si="6"/>
        <v>6.8358156060560916E-8</v>
      </c>
      <c r="E17">
        <f t="shared" si="7"/>
        <v>3.6500924999999999E-7</v>
      </c>
      <c r="F17">
        <f t="shared" si="8"/>
        <v>3.7135507278824465E-7</v>
      </c>
      <c r="G17">
        <v>8504.473</v>
      </c>
      <c r="H17">
        <f>107.565*10^-3</f>
        <v>0.10756499999999999</v>
      </c>
      <c r="I17">
        <f t="shared" si="3"/>
        <v>1.3886581787826691E-2</v>
      </c>
      <c r="J17">
        <f t="shared" si="5"/>
        <v>1.8504473000000001</v>
      </c>
      <c r="K17">
        <f t="shared" si="4"/>
        <v>1.8504994048178023</v>
      </c>
      <c r="L17">
        <v>60</v>
      </c>
    </row>
    <row r="18" spans="1:12">
      <c r="A18" s="2">
        <v>2</v>
      </c>
      <c r="B18" s="2">
        <f>866.892*10^-6</f>
        <v>8.6689199999999997E-4</v>
      </c>
      <c r="C18" s="2">
        <f>943.674*10^-9</f>
        <v>9.4367400000000009E-7</v>
      </c>
      <c r="D18" s="2">
        <f t="shared" si="6"/>
        <v>1.2182778954163127E-7</v>
      </c>
      <c r="E18" s="2">
        <f t="shared" si="7"/>
        <v>4.83446E-7</v>
      </c>
      <c r="F18" s="2">
        <f t="shared" si="8"/>
        <v>4.9855997153863051E-7</v>
      </c>
      <c r="G18" s="2">
        <v>4001.5520000000001</v>
      </c>
      <c r="H18" s="2">
        <f>6.22162*10^-3</f>
        <v>6.2216199999999998E-3</v>
      </c>
      <c r="I18" s="2">
        <f t="shared" si="3"/>
        <v>8.0320768821436626E-4</v>
      </c>
      <c r="J18" s="2">
        <f t="shared" si="5"/>
        <v>1.4001552000000002</v>
      </c>
      <c r="K18" s="2">
        <f t="shared" si="4"/>
        <v>1.4001554303825097</v>
      </c>
      <c r="L18" s="2">
        <v>60</v>
      </c>
    </row>
    <row r="24" spans="1:12">
      <c r="I24" t="s">
        <v>28</v>
      </c>
      <c r="J24">
        <f>0.001</f>
        <v>1E-3</v>
      </c>
      <c r="K24" t="s">
        <v>29</v>
      </c>
    </row>
    <row r="25" spans="1:12">
      <c r="I25" t="s">
        <v>31</v>
      </c>
      <c r="J25">
        <f>100*10^3</f>
        <v>100000</v>
      </c>
      <c r="K25" t="s">
        <v>30</v>
      </c>
    </row>
    <row r="26" spans="1:12">
      <c r="C26">
        <f>G7</f>
        <v>3504.54</v>
      </c>
      <c r="D26">
        <f>B7</f>
        <v>9.3485319999999999E-4</v>
      </c>
    </row>
    <row r="27" spans="1:12">
      <c r="C27">
        <f t="shared" ref="C27:C30" si="9">G8</f>
        <v>4502.3289999999997</v>
      </c>
      <c r="D27">
        <f t="shared" ref="D27:D30" si="10">B8</f>
        <v>8.2093509999999999E-4</v>
      </c>
    </row>
    <row r="28" spans="1:12">
      <c r="C28">
        <f t="shared" si="9"/>
        <v>4999.2539999999999</v>
      </c>
      <c r="D28">
        <f t="shared" si="10"/>
        <v>7.8094419999999996E-4</v>
      </c>
    </row>
    <row r="29" spans="1:12">
      <c r="C29">
        <f t="shared" si="9"/>
        <v>5504.7160000000003</v>
      </c>
      <c r="D29">
        <f t="shared" si="10"/>
        <v>7.4800300000000001E-4</v>
      </c>
      <c r="J29" s="1" t="s">
        <v>27</v>
      </c>
    </row>
    <row r="30" spans="1:12">
      <c r="C30">
        <f t="shared" si="9"/>
        <v>6002.7719999999999</v>
      </c>
      <c r="D30">
        <f t="shared" si="10"/>
        <v>7.2014099999999988E-4</v>
      </c>
      <c r="J30" t="s">
        <v>0</v>
      </c>
      <c r="K30">
        <v>4763.9579999999996</v>
      </c>
    </row>
    <row r="31" spans="1:12">
      <c r="C31">
        <f t="shared" ref="C31" si="11">G12</f>
        <v>4005.5419999999999</v>
      </c>
      <c r="D31">
        <f t="shared" ref="D31" si="12">B12</f>
        <v>8.7091149999999999E-4</v>
      </c>
      <c r="J31" t="s">
        <v>1</v>
      </c>
      <c r="K31">
        <v>3.5984400000000001E-3</v>
      </c>
    </row>
    <row r="32" spans="1:12">
      <c r="C32">
        <f t="shared" ref="C32:C33" si="13">G13</f>
        <v>6500.9759999999997</v>
      </c>
      <c r="D32">
        <f t="shared" ref="D32:D33" si="14">B13</f>
        <v>6.9730460000000003E-4</v>
      </c>
      <c r="J32" t="s">
        <v>2</v>
      </c>
      <c r="K32">
        <v>60</v>
      </c>
    </row>
    <row r="33" spans="3:14">
      <c r="C33">
        <f t="shared" si="13"/>
        <v>7000.1589999999997</v>
      </c>
      <c r="D33">
        <f t="shared" si="14"/>
        <v>6.7671650000000001E-4</v>
      </c>
      <c r="J33" t="s">
        <v>21</v>
      </c>
      <c r="K33">
        <v>100000</v>
      </c>
      <c r="L33" t="s">
        <v>30</v>
      </c>
    </row>
    <row r="34" spans="3:14">
      <c r="C34">
        <f t="shared" ref="C34:C35" si="15">G15</f>
        <v>7500.5290000000005</v>
      </c>
      <c r="D34">
        <f t="shared" ref="D34:D35" si="16">B15</f>
        <v>6.5913430000000002E-4</v>
      </c>
      <c r="J34" t="s">
        <v>23</v>
      </c>
      <c r="K34">
        <v>1.4763957999999999</v>
      </c>
    </row>
    <row r="35" spans="3:14">
      <c r="C35">
        <f t="shared" si="15"/>
        <v>8002.0879999999997</v>
      </c>
      <c r="D35">
        <f t="shared" si="16"/>
        <v>6.4401589999999993E-4</v>
      </c>
      <c r="J35" t="s">
        <v>25</v>
      </c>
      <c r="K35">
        <v>4.6455699999999999E-4</v>
      </c>
    </row>
    <row r="36" spans="3:14">
      <c r="C36">
        <f t="shared" ref="C36" si="17">G17</f>
        <v>8504.473</v>
      </c>
      <c r="D36">
        <f t="shared" ref="D36" si="18">B17</f>
        <v>6.3001849999999994E-4</v>
      </c>
      <c r="J36" t="s">
        <v>24</v>
      </c>
      <c r="K36">
        <v>1.476395873</v>
      </c>
    </row>
    <row r="37" spans="3:14">
      <c r="C37">
        <f t="shared" ref="C37" si="19">G18</f>
        <v>4001.5520000000001</v>
      </c>
      <c r="D37">
        <f>B18</f>
        <v>8.6689199999999997E-4</v>
      </c>
    </row>
    <row r="38" spans="3:14">
      <c r="C38">
        <f t="shared" ref="C38" si="20">G19</f>
        <v>0</v>
      </c>
      <c r="D38">
        <f t="shared" ref="D38" si="21">B19</f>
        <v>0</v>
      </c>
    </row>
    <row r="40" spans="3:14">
      <c r="J40" t="s">
        <v>0</v>
      </c>
      <c r="K40" t="s">
        <v>1</v>
      </c>
      <c r="L40" t="s">
        <v>39</v>
      </c>
      <c r="M40" t="s">
        <v>40</v>
      </c>
      <c r="N40" t="s">
        <v>41</v>
      </c>
    </row>
    <row r="41" spans="3:14">
      <c r="J41">
        <v>4763.9579999999996</v>
      </c>
      <c r="K41">
        <v>3.5980000000000001E-3</v>
      </c>
      <c r="L41">
        <v>1.4763900000000001</v>
      </c>
      <c r="M41">
        <v>4.6500000000000003E-4</v>
      </c>
      <c r="N41">
        <v>1.4763900000000001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"/>
  <sheetViews>
    <sheetView workbookViewId="0">
      <selection activeCell="M4" sqref="B4:M10"/>
    </sheetView>
  </sheetViews>
  <sheetFormatPr defaultRowHeight="14.4"/>
  <cols>
    <col min="4" max="4" width="11" bestFit="1" customWidth="1"/>
    <col min="5" max="5" width="13.33203125" bestFit="1" customWidth="1"/>
    <col min="6" max="8" width="12" bestFit="1" customWidth="1"/>
    <col min="9" max="9" width="9" bestFit="1" customWidth="1"/>
    <col min="10" max="13" width="12" bestFit="1" customWidth="1"/>
  </cols>
  <sheetData>
    <row r="3" spans="2:14">
      <c r="B3" s="1" t="s">
        <v>3</v>
      </c>
      <c r="C3" s="1" t="s">
        <v>4</v>
      </c>
      <c r="D3" s="1" t="s">
        <v>6</v>
      </c>
      <c r="E3" s="1" t="s">
        <v>7</v>
      </c>
      <c r="F3" s="1" t="s">
        <v>16</v>
      </c>
      <c r="G3" s="1" t="s">
        <v>15</v>
      </c>
      <c r="H3" s="1" t="s">
        <v>17</v>
      </c>
      <c r="I3" s="1" t="s">
        <v>5</v>
      </c>
      <c r="J3" s="1" t="s">
        <v>8</v>
      </c>
      <c r="K3" s="1" t="s">
        <v>18</v>
      </c>
      <c r="L3" s="1" t="s">
        <v>14</v>
      </c>
      <c r="M3" s="1" t="s">
        <v>19</v>
      </c>
      <c r="N3" s="1" t="s">
        <v>2</v>
      </c>
    </row>
    <row r="4" spans="2:14">
      <c r="B4">
        <v>1.3</v>
      </c>
      <c r="C4">
        <v>0.01</v>
      </c>
      <c r="D4">
        <v>1.361949E-2</v>
      </c>
      <c r="E4">
        <f>55.1798*10^-6</f>
        <v>5.5179799999999996E-5</v>
      </c>
      <c r="F4">
        <f t="shared" ref="F4:F10" si="0">E4/SQRT(N4)</f>
        <v>7.1236815482352004E-6</v>
      </c>
      <c r="G4">
        <f t="shared" ref="G4:G10" si="1">(0.05*D4+0.005*$D$32)/100</f>
        <v>6.8097450000000008E-6</v>
      </c>
      <c r="H4">
        <f>SQRT(F4^2+G4^2)</f>
        <v>9.8549208908895697E-6</v>
      </c>
      <c r="I4">
        <v>1.328838</v>
      </c>
      <c r="J4">
        <v>1.8927399999999999E-4</v>
      </c>
      <c r="K4">
        <f t="shared" ref="K4:K10" si="2">J4/SQRT(N4)</f>
        <v>2.4435168329002086E-5</v>
      </c>
      <c r="L4">
        <f t="shared" ref="L4:L10" si="3">(0.0035*I4+0.0005*$D$33)/100</f>
        <v>4.6509330000000001E-5</v>
      </c>
      <c r="M4">
        <f>SQRT(K4^2+L4^2)</f>
        <v>5.2537560167137253E-5</v>
      </c>
      <c r="N4">
        <v>60</v>
      </c>
    </row>
    <row r="5" spans="2:14">
      <c r="B5">
        <v>2</v>
      </c>
      <c r="C5">
        <v>0.02</v>
      </c>
      <c r="D5">
        <v>2.0198509999999999E-2</v>
      </c>
      <c r="E5">
        <f>739.475*10^-6</f>
        <v>7.3947499999999996E-4</v>
      </c>
      <c r="F5">
        <f t="shared" si="0"/>
        <v>9.5465811997890972E-5</v>
      </c>
      <c r="G5">
        <f t="shared" si="1"/>
        <v>1.0099255E-5</v>
      </c>
      <c r="H5">
        <f t="shared" ref="H5:H10" si="4">SQRT(F5^2+G5^2)</f>
        <v>9.5998521925973887E-5</v>
      </c>
      <c r="I5">
        <v>1.9720690000000001</v>
      </c>
      <c r="J5">
        <f>115.997*10^-6</f>
        <v>1.1599699999999999E-4</v>
      </c>
      <c r="K5">
        <f t="shared" si="2"/>
        <v>1.4975148307000723E-5</v>
      </c>
      <c r="L5">
        <f t="shared" si="3"/>
        <v>6.9022414999999999E-5</v>
      </c>
      <c r="M5">
        <f t="shared" ref="M5:M10" si="5">SQRT(K5^2+L5^2)</f>
        <v>7.0628243920183167E-5</v>
      </c>
      <c r="N5">
        <v>60</v>
      </c>
    </row>
    <row r="6" spans="2:14">
      <c r="B6">
        <v>2.5</v>
      </c>
      <c r="C6">
        <v>0.03</v>
      </c>
      <c r="D6">
        <v>2.5655049999999999E-2</v>
      </c>
      <c r="E6">
        <f>74.11*10^-6</f>
        <v>7.4109999999999993E-5</v>
      </c>
      <c r="F6">
        <f t="shared" si="0"/>
        <v>9.5675598595810551E-6</v>
      </c>
      <c r="G6">
        <f>(0.05*D6+0.005*$D$32)/100</f>
        <v>1.2827525E-5</v>
      </c>
      <c r="H6">
        <f t="shared" si="4"/>
        <v>1.6002612264636411E-5</v>
      </c>
      <c r="I6">
        <v>2.5035759999999998</v>
      </c>
      <c r="J6">
        <v>4.13881E-4</v>
      </c>
      <c r="K6">
        <f t="shared" si="2"/>
        <v>5.3431807343722397E-5</v>
      </c>
      <c r="L6">
        <f t="shared" si="3"/>
        <v>8.762516E-5</v>
      </c>
      <c r="M6">
        <f t="shared" si="5"/>
        <v>1.0263102211827702E-4</v>
      </c>
      <c r="N6">
        <v>60</v>
      </c>
    </row>
    <row r="7" spans="2:14">
      <c r="B7">
        <v>3</v>
      </c>
      <c r="C7">
        <v>0.03</v>
      </c>
      <c r="D7">
        <v>2.997352E-2</v>
      </c>
      <c r="E7">
        <f>37.948*10^-6</f>
        <v>3.7947999999999996E-5</v>
      </c>
      <c r="F7">
        <f t="shared" si="0"/>
        <v>4.8990657340626345E-6</v>
      </c>
      <c r="G7">
        <f t="shared" si="1"/>
        <v>1.4986760000000001E-5</v>
      </c>
      <c r="H7">
        <f t="shared" si="4"/>
        <v>1.5767175408558968E-5</v>
      </c>
      <c r="I7">
        <v>2.9228589999999999</v>
      </c>
      <c r="J7">
        <f>130.15*10^-6</f>
        <v>1.3014999999999999E-4</v>
      </c>
      <c r="K7">
        <f t="shared" si="2"/>
        <v>1.6802292750296507E-5</v>
      </c>
      <c r="L7">
        <f t="shared" si="3"/>
        <v>1.0230006499999999E-4</v>
      </c>
      <c r="M7">
        <f t="shared" si="5"/>
        <v>1.0367073039518382E-4</v>
      </c>
      <c r="N7">
        <v>60</v>
      </c>
    </row>
    <row r="8" spans="2:14">
      <c r="B8">
        <v>3.5</v>
      </c>
      <c r="C8">
        <v>0.04</v>
      </c>
      <c r="D8">
        <v>3.5339460000000003E-2</v>
      </c>
      <c r="E8">
        <f>12.9861*10^-6</f>
        <v>1.2986099999999999E-5</v>
      </c>
      <c r="F8">
        <f t="shared" si="0"/>
        <v>1.6764983010728044E-6</v>
      </c>
      <c r="G8">
        <f t="shared" si="1"/>
        <v>1.7669730000000003E-5</v>
      </c>
      <c r="H8">
        <f t="shared" si="4"/>
        <v>1.774908461939376E-5</v>
      </c>
      <c r="I8">
        <v>3.4436499999999999</v>
      </c>
      <c r="J8">
        <f>83.7329*10^-6</f>
        <v>8.3732899999999999E-5</v>
      </c>
      <c r="K8">
        <f t="shared" si="2"/>
        <v>1.0809870907655034E-5</v>
      </c>
      <c r="L8">
        <f t="shared" si="3"/>
        <v>1.2052775E-4</v>
      </c>
      <c r="M8">
        <f t="shared" si="5"/>
        <v>1.2101153593398717E-4</v>
      </c>
      <c r="N8">
        <v>60</v>
      </c>
    </row>
    <row r="9" spans="2:14">
      <c r="B9">
        <v>4</v>
      </c>
      <c r="C9">
        <v>0.04</v>
      </c>
      <c r="D9">
        <v>4.0970090000000001E-2</v>
      </c>
      <c r="E9">
        <f>449.753*10^-6</f>
        <v>4.4975299999999995E-4</v>
      </c>
      <c r="F9">
        <f t="shared" si="0"/>
        <v>5.806286263022747E-5</v>
      </c>
      <c r="G9">
        <f t="shared" si="1"/>
        <v>2.0485045000000001E-5</v>
      </c>
      <c r="H9">
        <f t="shared" si="4"/>
        <v>6.1570553720660098E-5</v>
      </c>
      <c r="I9">
        <v>3.9880460000000002</v>
      </c>
      <c r="J9">
        <f>49.7925*10^-6</f>
        <v>4.9792499999999995E-5</v>
      </c>
      <c r="K9">
        <f t="shared" si="2"/>
        <v>6.4281841088677591E-6</v>
      </c>
      <c r="L9">
        <f t="shared" si="3"/>
        <v>1.3958161000000001E-4</v>
      </c>
      <c r="M9">
        <f t="shared" si="5"/>
        <v>1.3972955092295114E-4</v>
      </c>
      <c r="N9">
        <v>60</v>
      </c>
    </row>
    <row r="10" spans="2:14">
      <c r="B10">
        <v>4.5</v>
      </c>
      <c r="C10">
        <v>0.05</v>
      </c>
      <c r="D10">
        <v>4.5829889999999998E-2</v>
      </c>
      <c r="E10">
        <f>39.8185*10^-6</f>
        <v>3.9818499999999998E-5</v>
      </c>
      <c r="F10">
        <f t="shared" si="0"/>
        <v>5.1405462456986676E-6</v>
      </c>
      <c r="G10">
        <f t="shared" si="1"/>
        <v>2.2914945E-5</v>
      </c>
      <c r="H10">
        <f t="shared" si="4"/>
        <v>2.3484461246900931E-5</v>
      </c>
      <c r="I10">
        <v>4.4589600000000003</v>
      </c>
      <c r="J10">
        <f>49.7925*10^-6</f>
        <v>4.9792499999999995E-5</v>
      </c>
      <c r="K10">
        <f t="shared" si="2"/>
        <v>6.4281841088677591E-6</v>
      </c>
      <c r="L10">
        <f t="shared" si="3"/>
        <v>1.560636E-4</v>
      </c>
      <c r="M10">
        <f t="shared" si="5"/>
        <v>1.5619593079173829E-4</v>
      </c>
      <c r="N10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4" zoomScaleNormal="100" workbookViewId="0">
      <selection activeCell="M15" sqref="M15"/>
    </sheetView>
  </sheetViews>
  <sheetFormatPr defaultRowHeight="14.4"/>
  <cols>
    <col min="3" max="3" width="18.33203125" customWidth="1"/>
    <col min="4" max="5" width="15.109375" customWidth="1"/>
    <col min="6" max="7" width="14" customWidth="1"/>
    <col min="8" max="8" width="13.88671875" customWidth="1"/>
    <col min="9" max="10" width="12.21875" customWidth="1"/>
    <col min="11" max="12" width="11" customWidth="1"/>
  </cols>
  <sheetData>
    <row r="1" spans="1:13" ht="13.5" customHeight="1"/>
    <row r="3" spans="1:13">
      <c r="A3" t="s">
        <v>37</v>
      </c>
      <c r="C3" t="s">
        <v>13</v>
      </c>
    </row>
    <row r="4" spans="1:13">
      <c r="A4" s="1" t="s">
        <v>3</v>
      </c>
      <c r="B4" s="1" t="s">
        <v>4</v>
      </c>
      <c r="C4" s="1" t="s">
        <v>6</v>
      </c>
      <c r="D4" s="1" t="s">
        <v>7</v>
      </c>
      <c r="E4" s="1" t="s">
        <v>16</v>
      </c>
      <c r="F4" s="1" t="s">
        <v>15</v>
      </c>
      <c r="G4" s="1" t="s">
        <v>17</v>
      </c>
      <c r="H4" s="1" t="s">
        <v>5</v>
      </c>
      <c r="I4" s="1" t="s">
        <v>8</v>
      </c>
      <c r="J4" s="1" t="s">
        <v>18</v>
      </c>
      <c r="K4" s="1" t="s">
        <v>14</v>
      </c>
      <c r="L4" s="1" t="s">
        <v>19</v>
      </c>
      <c r="M4" s="1" t="s">
        <v>2</v>
      </c>
    </row>
    <row r="5" spans="1:13">
      <c r="A5">
        <v>1</v>
      </c>
      <c r="B5">
        <v>0.01</v>
      </c>
      <c r="C5">
        <f>9.87919197*10^-3</f>
        <v>9.8791919700000012E-3</v>
      </c>
      <c r="D5">
        <f>724.798*10^-9</f>
        <v>7.2479800000000008E-7</v>
      </c>
      <c r="E5">
        <f t="shared" ref="E5:E11" si="0">D5/SQRT(M5)</f>
        <v>9.3571019445481455E-8</v>
      </c>
      <c r="F5">
        <f t="shared" ref="F5:F11" si="1">(0.05*C5+0.005*$D$32)/100</f>
        <v>9.9395959849999998E-6</v>
      </c>
      <c r="G5">
        <f>SQRT(E5^2+F5^2)</f>
        <v>9.9400364124437793E-6</v>
      </c>
      <c r="H5">
        <f>989.8656*10^-3</f>
        <v>0.98986560000000001</v>
      </c>
      <c r="I5">
        <f>61.7507*10^-6</f>
        <v>6.1750700000000005E-5</v>
      </c>
      <c r="J5">
        <f t="shared" ref="J5:J11" si="2">I5/SQRT(M5)</f>
        <v>7.9719810905550123E-6</v>
      </c>
      <c r="K5">
        <f t="shared" ref="K5:K11" si="3">(0.0035*H5+0.0005*$D$33)/100</f>
        <v>8.4645295999999997E-5</v>
      </c>
      <c r="L5">
        <f>SQRT(J5^2+K5^2)</f>
        <v>8.5019871897314581E-5</v>
      </c>
      <c r="M5">
        <v>60</v>
      </c>
    </row>
    <row r="6" spans="1:13">
      <c r="A6">
        <v>1.8</v>
      </c>
      <c r="B6">
        <v>0.02</v>
      </c>
      <c r="C6">
        <f>18.00557*10^-3</f>
        <v>1.8005569999999999E-2</v>
      </c>
      <c r="D6">
        <f>2.05805*10^-6</f>
        <v>2.0580500000000001E-6</v>
      </c>
      <c r="E6">
        <f t="shared" si="0"/>
        <v>2.6569311252207247E-7</v>
      </c>
      <c r="F6">
        <f t="shared" si="1"/>
        <v>1.4002785E-5</v>
      </c>
      <c r="G6">
        <f t="shared" ref="G6:G11" si="4">SQRT(E6^2+F6^2)</f>
        <v>1.4005305444233148E-5</v>
      </c>
      <c r="H6">
        <v>1.803196</v>
      </c>
      <c r="I6">
        <f>136.414*10^-6</f>
        <v>1.3641399999999999E-4</v>
      </c>
      <c r="J6">
        <f t="shared" si="2"/>
        <v>1.7610971672984616E-5</v>
      </c>
      <c r="K6">
        <f t="shared" si="3"/>
        <v>1.1311186000000001E-4</v>
      </c>
      <c r="L6">
        <f t="shared" ref="L6:L11" si="5">SQRT(J6^2+K6^2)</f>
        <v>1.1447462249741761E-4</v>
      </c>
      <c r="M6">
        <v>60</v>
      </c>
    </row>
    <row r="7" spans="1:13">
      <c r="A7">
        <v>2.5</v>
      </c>
      <c r="B7">
        <v>0.02</v>
      </c>
      <c r="C7">
        <f>25.40724*10^-3</f>
        <v>2.5407240000000001E-2</v>
      </c>
      <c r="D7">
        <f>739.475*10^-6</f>
        <v>7.3947499999999996E-4</v>
      </c>
      <c r="E7">
        <f t="shared" si="0"/>
        <v>9.5465811997890972E-5</v>
      </c>
      <c r="F7">
        <f t="shared" si="1"/>
        <v>1.7703620000000002E-5</v>
      </c>
      <c r="G7">
        <f t="shared" si="4"/>
        <v>9.7093457150938158E-5</v>
      </c>
      <c r="H7">
        <v>2.5418500000000002</v>
      </c>
      <c r="I7">
        <f>115.997*10^-6</f>
        <v>1.1599699999999999E-4</v>
      </c>
      <c r="J7">
        <f t="shared" si="2"/>
        <v>1.4975148307000723E-5</v>
      </c>
      <c r="K7">
        <f t="shared" si="3"/>
        <v>1.3896475000000003E-4</v>
      </c>
      <c r="L7">
        <f t="shared" si="5"/>
        <v>1.3976929852216894E-4</v>
      </c>
      <c r="M7">
        <v>60</v>
      </c>
    </row>
    <row r="8" spans="1:13">
      <c r="A8">
        <v>3.2</v>
      </c>
      <c r="B8">
        <v>0.03</v>
      </c>
      <c r="C8">
        <f>31.93128*10^-3</f>
        <v>3.1931279999999999E-2</v>
      </c>
      <c r="D8">
        <f>3.7948*10^-6</f>
        <v>3.7947999999999996E-6</v>
      </c>
      <c r="E8">
        <f t="shared" si="0"/>
        <v>4.8990657340626345E-7</v>
      </c>
      <c r="F8">
        <f t="shared" si="1"/>
        <v>2.0965640000000001E-5</v>
      </c>
      <c r="G8">
        <f t="shared" si="4"/>
        <v>2.0971363071108818E-5</v>
      </c>
      <c r="H8">
        <v>3.19164</v>
      </c>
      <c r="I8">
        <f>130.15*10^-6</f>
        <v>1.3014999999999999E-4</v>
      </c>
      <c r="J8">
        <f t="shared" si="2"/>
        <v>1.6802292750296507E-5</v>
      </c>
      <c r="K8">
        <f t="shared" si="3"/>
        <v>1.617074E-4</v>
      </c>
      <c r="L8">
        <f t="shared" si="5"/>
        <v>1.6257798207760688E-4</v>
      </c>
      <c r="M8">
        <v>60</v>
      </c>
    </row>
    <row r="9" spans="1:13">
      <c r="A9">
        <v>4</v>
      </c>
      <c r="B9">
        <v>0.04</v>
      </c>
      <c r="C9">
        <f>40.40059*10^-3</f>
        <v>4.040059E-2</v>
      </c>
      <c r="D9">
        <f>12.9861*10^-6</f>
        <v>1.2986099999999999E-5</v>
      </c>
      <c r="E9">
        <f t="shared" si="0"/>
        <v>1.6764983010728044E-6</v>
      </c>
      <c r="F9">
        <f t="shared" si="1"/>
        <v>2.5200295000000003E-5</v>
      </c>
      <c r="G9">
        <f t="shared" si="4"/>
        <v>2.525599957714058E-5</v>
      </c>
      <c r="H9">
        <v>4.0339910000000003</v>
      </c>
      <c r="I9">
        <f>83.7329*10^-6</f>
        <v>8.3732899999999999E-5</v>
      </c>
      <c r="J9">
        <f t="shared" si="2"/>
        <v>1.0809870907655034E-5</v>
      </c>
      <c r="K9">
        <f t="shared" si="3"/>
        <v>1.91189685E-4</v>
      </c>
      <c r="L9">
        <f t="shared" si="5"/>
        <v>1.9149503638329478E-4</v>
      </c>
      <c r="M9">
        <v>60</v>
      </c>
    </row>
    <row r="10" spans="1:13">
      <c r="A10">
        <v>4.5</v>
      </c>
      <c r="B10">
        <v>0.04</v>
      </c>
      <c r="C10">
        <f>45.10628*10^-3</f>
        <v>4.5106279999999999E-2</v>
      </c>
      <c r="D10">
        <f>25.7092*10^-6</f>
        <v>2.5709199999999998E-5</v>
      </c>
      <c r="E10">
        <f t="shared" si="0"/>
        <v>3.3190434481438571E-6</v>
      </c>
      <c r="F10">
        <f t="shared" si="1"/>
        <v>2.7553140000000002E-5</v>
      </c>
      <c r="G10">
        <f t="shared" si="4"/>
        <v>2.7752325547064822E-5</v>
      </c>
      <c r="H10">
        <v>4.5021370000000003</v>
      </c>
      <c r="I10">
        <f>49.7925*10^-6</f>
        <v>4.9792499999999995E-5</v>
      </c>
      <c r="J10">
        <f t="shared" si="2"/>
        <v>6.4281841088677591E-6</v>
      </c>
      <c r="K10">
        <f t="shared" si="3"/>
        <v>2.0757479500000002E-4</v>
      </c>
      <c r="L10">
        <f t="shared" si="5"/>
        <v>2.0767430527205222E-4</v>
      </c>
      <c r="M10">
        <v>60</v>
      </c>
    </row>
    <row r="11" spans="1:13">
      <c r="A11">
        <v>5</v>
      </c>
      <c r="B11">
        <v>0.05</v>
      </c>
      <c r="C11">
        <f>50.14126*10^-3</f>
        <v>5.0141260000000007E-2</v>
      </c>
      <c r="D11">
        <f>20.6863*10^-6</f>
        <v>2.0686299999999999E-5</v>
      </c>
      <c r="E11">
        <f t="shared" si="0"/>
        <v>2.6705898464883493E-6</v>
      </c>
      <c r="F11">
        <f t="shared" si="1"/>
        <v>3.0070630000000005E-5</v>
      </c>
      <c r="G11">
        <f t="shared" si="4"/>
        <v>3.0188985387473146E-5</v>
      </c>
      <c r="H11">
        <v>4.9933459999999998</v>
      </c>
      <c r="I11">
        <f>230.625*10^-6</f>
        <v>2.3062499999999998E-4</v>
      </c>
      <c r="J11">
        <f t="shared" si="2"/>
        <v>2.9773559473969514E-5</v>
      </c>
      <c r="K11">
        <f t="shared" si="3"/>
        <v>2.2476711000000001E-4</v>
      </c>
      <c r="L11">
        <f t="shared" si="5"/>
        <v>2.2673049768723682E-4</v>
      </c>
      <c r="M11">
        <v>60</v>
      </c>
    </row>
    <row r="14" spans="1:13">
      <c r="A14" t="s">
        <v>38</v>
      </c>
      <c r="I14" s="1"/>
      <c r="J14" s="1"/>
      <c r="K14" s="1"/>
      <c r="L14" s="1"/>
    </row>
    <row r="15" spans="1:13">
      <c r="A15" s="1" t="s">
        <v>3</v>
      </c>
      <c r="B15" s="1" t="s">
        <v>4</v>
      </c>
      <c r="C15" s="1" t="s">
        <v>6</v>
      </c>
      <c r="D15" s="1" t="s">
        <v>7</v>
      </c>
      <c r="E15" s="1" t="s">
        <v>16</v>
      </c>
      <c r="F15" s="1" t="s">
        <v>15</v>
      </c>
      <c r="G15" s="1" t="s">
        <v>17</v>
      </c>
      <c r="H15" s="1" t="s">
        <v>5</v>
      </c>
      <c r="I15" s="1" t="s">
        <v>8</v>
      </c>
      <c r="J15" s="1" t="s">
        <v>18</v>
      </c>
      <c r="K15" s="1" t="s">
        <v>14</v>
      </c>
      <c r="L15" s="1" t="s">
        <v>19</v>
      </c>
      <c r="M15" s="1" t="s">
        <v>2</v>
      </c>
    </row>
    <row r="16" spans="1:13">
      <c r="A16">
        <v>1</v>
      </c>
      <c r="B16">
        <v>0.01</v>
      </c>
      <c r="C16">
        <v>1.01271E-2</v>
      </c>
      <c r="D16">
        <f>5.51798*10^-6</f>
        <v>5.5179799999999998E-6</v>
      </c>
      <c r="E16">
        <f t="shared" ref="E16:E22" si="6">D16/SQRT(M16)</f>
        <v>7.1236815482351999E-7</v>
      </c>
      <c r="F16">
        <f t="shared" ref="F16:F22" si="7">(0.05*C16+0.005*$D$32)/100</f>
        <v>1.006355E-5</v>
      </c>
      <c r="G16">
        <f>SQRT(E16^2+F16^2)</f>
        <v>1.0088731683938603E-5</v>
      </c>
      <c r="H16">
        <v>1.012151</v>
      </c>
      <c r="I16">
        <v>1.8927399999999999E-4</v>
      </c>
      <c r="J16">
        <f t="shared" ref="J16:J22" si="8">I16/SQRT(M16)</f>
        <v>2.4435168329002086E-5</v>
      </c>
      <c r="K16">
        <f t="shared" ref="K16:K22" si="9">(0.0035*H16+0.0005*$D$33)/100</f>
        <v>8.5425285000000002E-5</v>
      </c>
      <c r="L16">
        <f>SQRT(J16^2+K16^2)</f>
        <v>8.8851318327855388E-5</v>
      </c>
      <c r="M16">
        <v>60</v>
      </c>
    </row>
    <row r="17" spans="1:13">
      <c r="A17">
        <v>2</v>
      </c>
      <c r="B17">
        <v>0.02</v>
      </c>
      <c r="C17">
        <v>2.0321740000000001E-2</v>
      </c>
      <c r="D17">
        <f>739.475*10^-6</f>
        <v>7.3947499999999996E-4</v>
      </c>
      <c r="E17">
        <f t="shared" si="6"/>
        <v>9.5465811997890972E-5</v>
      </c>
      <c r="F17">
        <f t="shared" si="7"/>
        <v>1.5160870000000002E-5</v>
      </c>
      <c r="G17">
        <f t="shared" ref="G17:G22" si="10">SQRT(E17^2+F17^2)</f>
        <v>9.6662160329539308E-5</v>
      </c>
      <c r="H17">
        <v>2.0418500000000002</v>
      </c>
      <c r="I17">
        <f>115.997*10^-6</f>
        <v>1.1599699999999999E-4</v>
      </c>
      <c r="J17">
        <f t="shared" si="8"/>
        <v>1.4975148307000723E-5</v>
      </c>
      <c r="K17">
        <f t="shared" si="9"/>
        <v>1.2146475E-4</v>
      </c>
      <c r="L17">
        <f t="shared" ref="L17:L22" si="11">SQRT(J17^2+K17^2)</f>
        <v>1.2238439671534589E-4</v>
      </c>
      <c r="M17">
        <v>60</v>
      </c>
    </row>
    <row r="18" spans="1:13">
      <c r="A18">
        <v>2.8</v>
      </c>
      <c r="B18">
        <v>0.03</v>
      </c>
      <c r="C18">
        <v>2.794131E-2</v>
      </c>
      <c r="D18">
        <f>74.11*10^-6</f>
        <v>7.4109999999999993E-5</v>
      </c>
      <c r="E18">
        <f t="shared" si="6"/>
        <v>9.5675598595810551E-6</v>
      </c>
      <c r="F18">
        <f>(0.05*C18+0.005*$D$32)/100</f>
        <v>1.8970655000000001E-5</v>
      </c>
      <c r="G18">
        <f t="shared" si="10"/>
        <v>2.124673981569153E-5</v>
      </c>
      <c r="H18">
        <f>2.785031</f>
        <v>2.785031</v>
      </c>
      <c r="I18">
        <v>4.13881E-4</v>
      </c>
      <c r="J18">
        <f t="shared" si="8"/>
        <v>5.3431807343722397E-5</v>
      </c>
      <c r="K18">
        <f t="shared" si="9"/>
        <v>1.4747608500000002E-4</v>
      </c>
      <c r="L18">
        <f t="shared" si="11"/>
        <v>1.5685711231226939E-4</v>
      </c>
      <c r="M18">
        <v>60</v>
      </c>
    </row>
    <row r="19" spans="1:13">
      <c r="A19">
        <v>3.5</v>
      </c>
      <c r="B19">
        <v>0.03</v>
      </c>
      <c r="C19">
        <v>3.5308939999999997E-2</v>
      </c>
      <c r="D19">
        <f>3.7948*10^-6</f>
        <v>3.7947999999999996E-6</v>
      </c>
      <c r="E19">
        <f t="shared" si="6"/>
        <v>4.8990657340626345E-7</v>
      </c>
      <c r="F19">
        <f t="shared" si="7"/>
        <v>2.2654469999999999E-5</v>
      </c>
      <c r="G19">
        <f t="shared" si="10"/>
        <v>2.2659766535239648E-5</v>
      </c>
      <c r="H19">
        <v>3.5201639999999998</v>
      </c>
      <c r="I19">
        <f>130.15*10^-6</f>
        <v>1.3014999999999999E-4</v>
      </c>
      <c r="J19">
        <f t="shared" si="8"/>
        <v>1.6802292750296507E-5</v>
      </c>
      <c r="K19">
        <f t="shared" si="9"/>
        <v>1.7320573999999998E-4</v>
      </c>
      <c r="L19">
        <f t="shared" si="11"/>
        <v>1.7401880763473314E-4</v>
      </c>
      <c r="M19">
        <v>60</v>
      </c>
    </row>
    <row r="20" spans="1:13">
      <c r="A20">
        <v>4</v>
      </c>
      <c r="B20">
        <v>0.04</v>
      </c>
      <c r="C20">
        <v>4.0911959999999997E-2</v>
      </c>
      <c r="D20">
        <f>12.9861*10^-6</f>
        <v>1.2986099999999999E-5</v>
      </c>
      <c r="E20">
        <f t="shared" si="6"/>
        <v>1.6764983010728044E-6</v>
      </c>
      <c r="F20">
        <f t="shared" si="7"/>
        <v>2.545598E-5</v>
      </c>
      <c r="G20">
        <f t="shared" si="10"/>
        <v>2.5511126284699779E-5</v>
      </c>
      <c r="H20">
        <v>4.0739910000000004</v>
      </c>
      <c r="I20">
        <f>83.7329*10^-6</f>
        <v>8.3732899999999999E-5</v>
      </c>
      <c r="J20">
        <f t="shared" si="8"/>
        <v>1.0809870907655034E-5</v>
      </c>
      <c r="K20">
        <f t="shared" si="9"/>
        <v>1.9258968500000001E-4</v>
      </c>
      <c r="L20">
        <f t="shared" si="11"/>
        <v>1.9289282018115499E-4</v>
      </c>
      <c r="M20">
        <v>60</v>
      </c>
    </row>
    <row r="21" spans="1:13">
      <c r="A21">
        <v>4.5</v>
      </c>
      <c r="B21">
        <v>0.04</v>
      </c>
      <c r="C21">
        <v>4.5508170000000001E-2</v>
      </c>
      <c r="D21">
        <f>449.753*10^-6</f>
        <v>4.4975299999999995E-4</v>
      </c>
      <c r="E21">
        <f t="shared" si="6"/>
        <v>5.806286263022747E-5</v>
      </c>
      <c r="F21">
        <f t="shared" si="7"/>
        <v>2.7754085000000001E-5</v>
      </c>
      <c r="G21">
        <f t="shared" si="10"/>
        <v>6.4355149374419846E-5</v>
      </c>
      <c r="H21">
        <v>4.5211370000000004</v>
      </c>
      <c r="I21">
        <f>49.7925*10^-6</f>
        <v>4.9792499999999995E-5</v>
      </c>
      <c r="J21">
        <f t="shared" si="8"/>
        <v>6.4281841088677591E-6</v>
      </c>
      <c r="K21">
        <f t="shared" si="9"/>
        <v>2.0823979500000003E-4</v>
      </c>
      <c r="L21">
        <f t="shared" si="11"/>
        <v>2.0833898764412661E-4</v>
      </c>
      <c r="M21">
        <v>60</v>
      </c>
    </row>
    <row r="22" spans="1:13">
      <c r="A22">
        <v>5</v>
      </c>
      <c r="B22">
        <v>0.05</v>
      </c>
      <c r="C22">
        <v>5.0297960000000003E-2</v>
      </c>
      <c r="D22">
        <f>39.8185*10^-6</f>
        <v>3.9818499999999998E-5</v>
      </c>
      <c r="E22">
        <f t="shared" si="6"/>
        <v>5.1405462456986676E-6</v>
      </c>
      <c r="F22">
        <f t="shared" si="7"/>
        <v>3.0148980000000001E-5</v>
      </c>
      <c r="G22">
        <f t="shared" si="10"/>
        <v>3.0584084271800039E-5</v>
      </c>
      <c r="H22">
        <v>5.0043740000000003</v>
      </c>
      <c r="I22">
        <f>49.7925*10^-6</f>
        <v>4.9792499999999995E-5</v>
      </c>
      <c r="J22">
        <f t="shared" si="8"/>
        <v>6.4281841088677591E-6</v>
      </c>
      <c r="K22">
        <f t="shared" si="9"/>
        <v>2.2515309000000004E-4</v>
      </c>
      <c r="L22">
        <f t="shared" si="11"/>
        <v>2.2524483454118457E-4</v>
      </c>
      <c r="M22">
        <v>60</v>
      </c>
    </row>
    <row r="23" spans="1:13">
      <c r="I23" s="1"/>
      <c r="J23" s="1"/>
      <c r="K23" s="1"/>
      <c r="L23" s="1"/>
    </row>
    <row r="24" spans="1:13">
      <c r="I24" s="1"/>
      <c r="J24" s="1"/>
      <c r="K24" s="1"/>
      <c r="L24" s="1"/>
    </row>
    <row r="25" spans="1:13">
      <c r="I25" s="1"/>
      <c r="J25" s="1"/>
      <c r="K25" s="1"/>
      <c r="L25" s="1"/>
    </row>
    <row r="27" spans="1:13">
      <c r="C27">
        <v>2.794131E-2</v>
      </c>
      <c r="J27" s="1" t="s">
        <v>20</v>
      </c>
    </row>
    <row r="28" spans="1:13">
      <c r="J28" t="s">
        <v>0</v>
      </c>
      <c r="K28">
        <v>98.109319999999997</v>
      </c>
    </row>
    <row r="29" spans="1:13">
      <c r="J29" t="s">
        <v>1</v>
      </c>
      <c r="K29">
        <f>279.198*10^-6</f>
        <v>2.7919799999999998E-4</v>
      </c>
    </row>
    <row r="30" spans="1:13">
      <c r="J30" t="s">
        <v>2</v>
      </c>
      <c r="K30">
        <v>60</v>
      </c>
    </row>
    <row r="31" spans="1:13">
      <c r="J31" t="s">
        <v>21</v>
      </c>
      <c r="K31">
        <v>100</v>
      </c>
      <c r="L31" t="s">
        <v>22</v>
      </c>
    </row>
    <row r="32" spans="1:13">
      <c r="C32" t="s">
        <v>9</v>
      </c>
      <c r="D32">
        <f>100*10^-3</f>
        <v>0.1</v>
      </c>
      <c r="F32" t="s">
        <v>11</v>
      </c>
      <c r="J32" t="s">
        <v>23</v>
      </c>
      <c r="K32">
        <f>(0.01*K28+0.04*K31)/100</f>
        <v>4.9810932000000002E-2</v>
      </c>
    </row>
    <row r="33" spans="3:11">
      <c r="C33" t="s">
        <v>10</v>
      </c>
      <c r="D33">
        <v>10</v>
      </c>
      <c r="F33" t="s">
        <v>12</v>
      </c>
      <c r="J33" t="s">
        <v>25</v>
      </c>
      <c r="K33">
        <f>K29/SQRT(K30)</f>
        <v>3.604430680981394E-5</v>
      </c>
    </row>
    <row r="34" spans="3:11">
      <c r="J34" t="s">
        <v>24</v>
      </c>
      <c r="K34">
        <f>SQRT(K33^2+K32^2)</f>
        <v>4.9810945041232429E-2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Raz</dc:creator>
  <cp:lastModifiedBy>Amir Markovitz</cp:lastModifiedBy>
  <dcterms:created xsi:type="dcterms:W3CDTF">2015-12-24T06:52:44Z</dcterms:created>
  <dcterms:modified xsi:type="dcterms:W3CDTF">2016-01-05T19:32:14Z</dcterms:modified>
</cp:coreProperties>
</file>