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2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3" i="1"/>
  <c r="Q3" i="1"/>
  <c r="Y21" i="1" s="1"/>
  <c r="Q4" i="1"/>
  <c r="Q5" i="1"/>
  <c r="Y23" i="1" s="1"/>
  <c r="Q6" i="1"/>
  <c r="Q7" i="1"/>
  <c r="Q8" i="1"/>
  <c r="Q9" i="1"/>
  <c r="Q10" i="1"/>
  <c r="N4" i="1"/>
  <c r="N5" i="1"/>
  <c r="N6" i="1"/>
  <c r="N7" i="1"/>
  <c r="N8" i="1"/>
  <c r="N9" i="1"/>
  <c r="N10" i="1"/>
  <c r="N3" i="1"/>
  <c r="R32" i="1"/>
  <c r="R33" i="1"/>
  <c r="R34" i="1"/>
  <c r="R35" i="1"/>
  <c r="R36" i="1"/>
  <c r="R37" i="1"/>
  <c r="R38" i="1"/>
  <c r="R31" i="1"/>
  <c r="T32" i="1"/>
  <c r="T33" i="1"/>
  <c r="T34" i="1"/>
  <c r="T35" i="1"/>
  <c r="T36" i="1"/>
  <c r="T37" i="1"/>
  <c r="T38" i="1"/>
  <c r="T31" i="1"/>
  <c r="J33" i="1"/>
  <c r="J34" i="1"/>
  <c r="J35" i="1"/>
  <c r="J36" i="1"/>
  <c r="J37" i="1" s="1"/>
  <c r="J32" i="1"/>
  <c r="H40" i="1"/>
  <c r="I40" i="1"/>
  <c r="I39" i="1"/>
  <c r="J39" i="1"/>
  <c r="H39" i="1"/>
  <c r="U4" i="1"/>
  <c r="U5" i="1"/>
  <c r="U6" i="1"/>
  <c r="U7" i="1"/>
  <c r="U8" i="1"/>
  <c r="U9" i="1"/>
  <c r="U10" i="1"/>
  <c r="U3" i="1"/>
  <c r="W24" i="1"/>
  <c r="G4" i="1"/>
  <c r="T4" i="1" s="1"/>
  <c r="W4" i="1" s="1"/>
  <c r="G5" i="1"/>
  <c r="T5" i="1" s="1"/>
  <c r="W5" i="1" s="1"/>
  <c r="G6" i="1"/>
  <c r="G7" i="1"/>
  <c r="G8" i="1"/>
  <c r="T8" i="1" s="1"/>
  <c r="W8" i="1" s="1"/>
  <c r="G9" i="1"/>
  <c r="T9" i="1" s="1"/>
  <c r="W9" i="1" s="1"/>
  <c r="G10" i="1"/>
  <c r="G3" i="1"/>
  <c r="Y22" i="1"/>
  <c r="U32" i="1" s="1"/>
  <c r="Y24" i="1"/>
  <c r="U34" i="1" s="1"/>
  <c r="Y25" i="1"/>
  <c r="U35" i="1" s="1"/>
  <c r="Y26" i="1"/>
  <c r="U36" i="1" s="1"/>
  <c r="Y27" i="1"/>
  <c r="U37" i="1" s="1"/>
  <c r="Y28" i="1"/>
  <c r="V10" i="1" s="1"/>
  <c r="S28" i="1"/>
  <c r="S27" i="1"/>
  <c r="S26" i="1"/>
  <c r="S25" i="1"/>
  <c r="S24" i="1"/>
  <c r="S23" i="1"/>
  <c r="S22" i="1"/>
  <c r="S21" i="1"/>
  <c r="T6" i="1"/>
  <c r="W6" i="1" s="1"/>
  <c r="T7" i="1"/>
  <c r="W7" i="1" s="1"/>
  <c r="T10" i="1"/>
  <c r="W10" i="1" s="1"/>
  <c r="T3" i="1"/>
  <c r="W3" i="1" s="1"/>
  <c r="S4" i="1"/>
  <c r="S5" i="1"/>
  <c r="S6" i="1"/>
  <c r="S7" i="1"/>
  <c r="S8" i="1"/>
  <c r="S9" i="1"/>
  <c r="S10" i="1"/>
  <c r="S3" i="1"/>
  <c r="F4" i="1"/>
  <c r="F5" i="1"/>
  <c r="F6" i="1"/>
  <c r="F7" i="1"/>
  <c r="F8" i="1"/>
  <c r="F9" i="1"/>
  <c r="F10" i="1"/>
  <c r="F3" i="1"/>
  <c r="D4" i="1"/>
  <c r="D5" i="1"/>
  <c r="D6" i="1"/>
  <c r="D7" i="1"/>
  <c r="D8" i="1"/>
  <c r="D9" i="1"/>
  <c r="D10" i="1"/>
  <c r="D3" i="1"/>
  <c r="R4" i="1"/>
  <c r="R5" i="1"/>
  <c r="R6" i="1"/>
  <c r="R7" i="1"/>
  <c r="R8" i="1"/>
  <c r="R9" i="1"/>
  <c r="R10" i="1"/>
  <c r="R3" i="1"/>
  <c r="I38" i="1"/>
  <c r="H38" i="1"/>
  <c r="O4" i="1"/>
  <c r="O5" i="1"/>
  <c r="O6" i="1"/>
  <c r="O7" i="1"/>
  <c r="O8" i="1"/>
  <c r="O9" i="1"/>
  <c r="O10" i="1"/>
  <c r="O3" i="1"/>
  <c r="I37" i="1"/>
  <c r="H37" i="1"/>
  <c r="U33" i="1" l="1"/>
  <c r="V5" i="1"/>
  <c r="W27" i="1"/>
  <c r="V8" i="1"/>
  <c r="V9" i="1"/>
  <c r="W28" i="1"/>
  <c r="U38" i="1"/>
  <c r="W26" i="1"/>
  <c r="V7" i="1"/>
  <c r="W25" i="1"/>
  <c r="V6" i="1"/>
  <c r="W23" i="1"/>
  <c r="V4" i="1"/>
  <c r="W22" i="1"/>
  <c r="V3" i="1"/>
  <c r="W21" i="1"/>
  <c r="U31" i="1"/>
  <c r="J38" i="1"/>
  <c r="J40" i="1" s="1"/>
  <c r="P16" i="1"/>
  <c r="P18" i="1"/>
  <c r="P19" i="1"/>
  <c r="P20" i="1"/>
  <c r="O14" i="1"/>
  <c r="O15" i="1"/>
  <c r="O16" i="1"/>
  <c r="O17" i="1"/>
  <c r="O18" i="1"/>
  <c r="O19" i="1"/>
  <c r="O20" i="1"/>
  <c r="M14" i="1"/>
  <c r="M15" i="1"/>
  <c r="M16" i="1"/>
  <c r="M17" i="1"/>
  <c r="M18" i="1"/>
  <c r="M19" i="1"/>
  <c r="M20" i="1"/>
  <c r="M13" i="1"/>
  <c r="P4" i="1"/>
  <c r="S32" i="1" s="1"/>
  <c r="P5" i="1"/>
  <c r="S33" i="1" s="1"/>
  <c r="P6" i="1"/>
  <c r="S34" i="1" s="1"/>
  <c r="P7" i="1"/>
  <c r="P8" i="1"/>
  <c r="S36" i="1" s="1"/>
  <c r="P9" i="1"/>
  <c r="S37" i="1" s="1"/>
  <c r="P10" i="1"/>
  <c r="S38" i="1" s="1"/>
  <c r="P3" i="1"/>
  <c r="M3" i="1"/>
  <c r="O13" i="1" s="1"/>
  <c r="M4" i="1"/>
  <c r="M5" i="1"/>
  <c r="M6" i="1"/>
  <c r="M7" i="1"/>
  <c r="M8" i="1"/>
  <c r="M9" i="1"/>
  <c r="M10" i="1"/>
  <c r="P15" i="1" l="1"/>
  <c r="P17" i="1"/>
  <c r="S35" i="1"/>
  <c r="P14" i="1"/>
  <c r="P13" i="1"/>
  <c r="S31" i="1"/>
</calcChain>
</file>

<file path=xl/sharedStrings.xml><?xml version="1.0" encoding="utf-8"?>
<sst xmlns="http://schemas.openxmlformats.org/spreadsheetml/2006/main" count="83" uniqueCount="76">
  <si>
    <t>דיוק המשקל</t>
  </si>
  <si>
    <t>דיוק המיקרומטר</t>
  </si>
  <si>
    <t>מיקרומטר</t>
  </si>
  <si>
    <t>כדור 1</t>
  </si>
  <si>
    <t>כדור 2</t>
  </si>
  <si>
    <t>כדור 3</t>
  </si>
  <si>
    <t>כדור 4</t>
  </si>
  <si>
    <t>כדור 5</t>
  </si>
  <si>
    <t>כדור 6</t>
  </si>
  <si>
    <t>כדור 7</t>
  </si>
  <si>
    <t>כדור 8</t>
  </si>
  <si>
    <t>Num of balls</t>
  </si>
  <si>
    <t>diameter [mm]</t>
  </si>
  <si>
    <t>שגיאת הקליבר</t>
  </si>
  <si>
    <t>0.01 mm</t>
  </si>
  <si>
    <t>עובי של השיט השחור</t>
  </si>
  <si>
    <t>13.79mm</t>
  </si>
  <si>
    <t xml:space="preserve"> 0.2 יחידה</t>
  </si>
  <si>
    <t xml:space="preserve">שגיאת אריומטר גליצרין </t>
  </si>
  <si>
    <t>L מבפנים</t>
  </si>
  <si>
    <t>t_1 [sec]</t>
  </si>
  <si>
    <t>t_2 [sec]</t>
  </si>
  <si>
    <t>t_3 [sec]</t>
  </si>
  <si>
    <t>רזולציית הטימר</t>
  </si>
  <si>
    <t>t_4 [sec]</t>
  </si>
  <si>
    <t>t_5 [sec]</t>
  </si>
  <si>
    <t>החסם העליון שממנו מתחילה המדידה הוא 30 סמ</t>
  </si>
  <si>
    <t>∆t_stat[sec]</t>
  </si>
  <si>
    <t>0.01g</t>
  </si>
  <si>
    <t>∆t_tot [sec]</t>
  </si>
  <si>
    <t>x</t>
  </si>
  <si>
    <t>dx</t>
  </si>
  <si>
    <t>y</t>
  </si>
  <si>
    <t xml:space="preserve">         </t>
  </si>
  <si>
    <t xml:space="preserve">צפיפות גליצרין - </t>
  </si>
  <si>
    <t>∆t_inst [sec]</t>
  </si>
  <si>
    <t>t_avg [sec]</t>
  </si>
  <si>
    <t>∆d_tot [mm]</t>
  </si>
  <si>
    <t>stat</t>
  </si>
  <si>
    <t>tot</t>
  </si>
  <si>
    <t>∆m [gr]</t>
  </si>
  <si>
    <t xml:space="preserve"> </t>
  </si>
  <si>
    <t>Radius [mm]</t>
  </si>
  <si>
    <t>Mass_tot[g]</t>
  </si>
  <si>
    <t>Mass [gr]</t>
  </si>
  <si>
    <t>const</t>
  </si>
  <si>
    <t>r</t>
  </si>
  <si>
    <t>dr</t>
  </si>
  <si>
    <t>dr^2</t>
  </si>
  <si>
    <t>1/(r^3)</t>
  </si>
  <si>
    <t>R^3 [mm^3]</t>
  </si>
  <si>
    <t>dr^3</t>
  </si>
  <si>
    <t>dV</t>
  </si>
  <si>
    <t>V[cm^3]</t>
  </si>
  <si>
    <t>t_avg</t>
  </si>
  <si>
    <t>dt_stat</t>
  </si>
  <si>
    <t>dt_inst</t>
  </si>
  <si>
    <t>t_upper</t>
  </si>
  <si>
    <t>Vf Measurement</t>
  </si>
  <si>
    <t>t_lower</t>
  </si>
  <si>
    <t>ratio (upper/lower)</t>
  </si>
  <si>
    <t>dt_total</t>
  </si>
  <si>
    <t>t</t>
  </si>
  <si>
    <t>dt</t>
  </si>
  <si>
    <t>1/r^2</t>
  </si>
  <si>
    <t>L [mm]</t>
  </si>
  <si>
    <t>∆L [mm]</t>
  </si>
  <si>
    <t>m [gr]</t>
  </si>
  <si>
    <t>dm [gr]</t>
  </si>
  <si>
    <t>dV [cm^3]</t>
  </si>
  <si>
    <t>#</t>
  </si>
  <si>
    <t>t1</t>
  </si>
  <si>
    <t>t2</t>
  </si>
  <si>
    <t>t3</t>
  </si>
  <si>
    <t>t4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</si>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</sst>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182880</xdr:colOff>
      <xdr:row>1</xdr:row>
      <xdr:rowOff>0</xdr:rowOff>
    </xdr:from>
    <xdr:to>
      <xdr:col>23</xdr:col>
      <xdr:colOff>441960</xdr:colOff>
      <xdr:row>1</xdr:row>
      <xdr:rowOff>175260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4640" y="0"/>
          <a:ext cx="2590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160020</xdr:colOff>
      <xdr:row>1</xdr:row>
      <xdr:rowOff>0</xdr:rowOff>
    </xdr:from>
    <xdr:to>
      <xdr:col>22</xdr:col>
      <xdr:colOff>327660</xdr:colOff>
      <xdr:row>1</xdr:row>
      <xdr:rowOff>175260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0"/>
          <a:ext cx="1676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abSelected="1" topLeftCell="B22" workbookViewId="0">
      <selection activeCell="J37" sqref="J37"/>
    </sheetView>
  </sheetViews>
  <sheetFormatPr defaultRowHeight="14.4"/>
  <cols>
    <col min="3" max="3" width="10.88671875" bestFit="1" customWidth="1"/>
    <col min="4" max="4" width="8.88671875" style="3"/>
    <col min="5" max="5" width="9.88671875" customWidth="1"/>
    <col min="6" max="6" width="8.109375" style="3" customWidth="1"/>
    <col min="7" max="7" width="12.44140625" style="3" customWidth="1"/>
    <col min="8" max="8" width="9.33203125" customWidth="1"/>
    <col min="9" max="9" width="18.77734375" customWidth="1"/>
    <col min="10" max="10" width="19.44140625" customWidth="1"/>
    <col min="11" max="11" width="7.109375" customWidth="1"/>
    <col min="13" max="13" width="12" customWidth="1"/>
    <col min="14" max="14" width="11.88671875" customWidth="1"/>
    <col min="15" max="15" width="12.5546875" customWidth="1"/>
    <col min="16" max="16" width="11.6640625" customWidth="1"/>
    <col min="17" max="17" width="4.33203125" customWidth="1"/>
    <col min="19" max="22" width="8.88671875" style="3"/>
  </cols>
  <sheetData>
    <row r="1" spans="1:26" s="3" customFormat="1"/>
    <row r="2" spans="1:26" ht="15.6">
      <c r="B2" t="s">
        <v>11</v>
      </c>
      <c r="C2" t="s">
        <v>43</v>
      </c>
      <c r="D2" s="3" t="s">
        <v>44</v>
      </c>
      <c r="E2" t="s">
        <v>12</v>
      </c>
      <c r="F2" s="3" t="s">
        <v>42</v>
      </c>
      <c r="G2" s="3" t="s">
        <v>50</v>
      </c>
      <c r="H2" t="s">
        <v>20</v>
      </c>
      <c r="I2" t="s">
        <v>21</v>
      </c>
      <c r="J2" t="s">
        <v>22</v>
      </c>
      <c r="K2" t="s">
        <v>24</v>
      </c>
      <c r="L2" t="s">
        <v>25</v>
      </c>
      <c r="M2" s="4" t="s">
        <v>36</v>
      </c>
      <c r="N2" t="s">
        <v>35</v>
      </c>
      <c r="O2" t="s">
        <v>27</v>
      </c>
      <c r="P2" t="s">
        <v>29</v>
      </c>
      <c r="Q2" s="3" t="s">
        <v>37</v>
      </c>
      <c r="R2" s="3" t="s">
        <v>40</v>
      </c>
      <c r="S2" s="3" t="s">
        <v>45</v>
      </c>
      <c r="T2" s="3" t="s">
        <v>49</v>
      </c>
      <c r="U2" s="3" t="s">
        <v>53</v>
      </c>
      <c r="V2" s="3" t="s">
        <v>52</v>
      </c>
      <c r="X2" s="6" t="s">
        <v>41</v>
      </c>
      <c r="Y2" t="s">
        <v>65</v>
      </c>
      <c r="Z2" s="3" t="s">
        <v>66</v>
      </c>
    </row>
    <row r="3" spans="1:26">
      <c r="A3" t="s">
        <v>3</v>
      </c>
      <c r="B3">
        <v>12</v>
      </c>
      <c r="C3">
        <v>0.36</v>
      </c>
      <c r="D3" s="3">
        <f>C3/B3</f>
        <v>0.03</v>
      </c>
      <c r="E3">
        <v>1.944</v>
      </c>
      <c r="F3" s="3">
        <f>E3/2</f>
        <v>0.97199999999999998</v>
      </c>
      <c r="G3" s="3">
        <f>F3^3</f>
        <v>0.91833004799999995</v>
      </c>
      <c r="H3">
        <v>24.61</v>
      </c>
      <c r="I3">
        <v>23.89</v>
      </c>
      <c r="J3">
        <v>24.14</v>
      </c>
      <c r="K3">
        <v>23.89</v>
      </c>
      <c r="L3">
        <v>24.44</v>
      </c>
      <c r="M3" s="3">
        <f t="shared" ref="M3:M9" si="0">AVERAGE(H3:L3)</f>
        <v>24.193999999999999</v>
      </c>
      <c r="N3" s="3">
        <f>0.01/SQRT(12)+0.3</f>
        <v>0.30288675134594811</v>
      </c>
      <c r="O3" s="3">
        <f>_xlfn.STDEV.S(H3:L3)/SQRT(5)</f>
        <v>0.14514131045295123</v>
      </c>
      <c r="P3">
        <f>SQRT(O3^2+N3^2)</f>
        <v>0.33586661659191758</v>
      </c>
      <c r="Q3">
        <f>(10^-3)/SQRT(12)</f>
        <v>2.886751345948129E-4</v>
      </c>
      <c r="R3" s="3">
        <f>0.01/12*SQRT(12)</f>
        <v>2.886751345948129E-3</v>
      </c>
      <c r="S3" s="3">
        <f>3/(4*3.141593)</f>
        <v>0.23873238831382679</v>
      </c>
      <c r="T3" s="3">
        <f>1/G3</f>
        <v>1.0889331152540052</v>
      </c>
      <c r="U3" s="3">
        <f>(4/3)*3.141593*((F3/10)^3)</f>
        <v>3.8466923339819507E-3</v>
      </c>
      <c r="V3" s="3">
        <f>(4*3.141593)*(F3^2)*Y21</f>
        <v>1.7136488074954857E-3</v>
      </c>
      <c r="W3">
        <f>C3*S3*T3</f>
        <v>9.3586897194697524E-2</v>
      </c>
      <c r="Y3">
        <v>252.81</v>
      </c>
      <c r="Z3">
        <f>0.01/SQRT(12)</f>
        <v>2.886751345948129E-3</v>
      </c>
    </row>
    <row r="4" spans="1:26">
      <c r="A4" t="s">
        <v>4</v>
      </c>
      <c r="B4">
        <v>12</v>
      </c>
      <c r="C4">
        <v>0.76</v>
      </c>
      <c r="D4" s="3">
        <f t="shared" ref="D4:D10" si="1">C4/B4</f>
        <v>6.3333333333333339E-2</v>
      </c>
      <c r="E4">
        <v>2.4660000000000002</v>
      </c>
      <c r="F4" s="3">
        <f t="shared" ref="F4:F10" si="2">E4/2</f>
        <v>1.2330000000000001</v>
      </c>
      <c r="G4" s="3">
        <f t="shared" ref="G4:G10" si="3">F4^3</f>
        <v>1.8745163370000004</v>
      </c>
      <c r="H4">
        <v>16.29</v>
      </c>
      <c r="I4">
        <v>15.62</v>
      </c>
      <c r="J4">
        <v>16.059999999999999</v>
      </c>
      <c r="K4">
        <v>16.25</v>
      </c>
      <c r="L4">
        <v>16.45</v>
      </c>
      <c r="M4" s="3">
        <f t="shared" si="0"/>
        <v>16.134</v>
      </c>
      <c r="N4" s="3">
        <f t="shared" ref="N4:N10" si="4">0.01/SQRT(12)+0.3</f>
        <v>0.30288675134594811</v>
      </c>
      <c r="O4" s="3">
        <f t="shared" ref="O4:O10" si="5">_xlfn.STDEV.S(H4:L4)/SQRT(5)</f>
        <v>0.14270949512909087</v>
      </c>
      <c r="P4" s="3">
        <f>SQRT(O4^2+N4^2)</f>
        <v>0.3348229145994972</v>
      </c>
      <c r="Q4" s="3">
        <f t="shared" ref="Q4:Q10" si="6">(10^-3)/SQRT(12)</f>
        <v>2.886751345948129E-4</v>
      </c>
      <c r="R4" s="3">
        <f t="shared" ref="R4:R10" si="7">0.01/12*SQRT(12)</f>
        <v>2.886751345948129E-3</v>
      </c>
      <c r="S4" s="3">
        <f t="shared" ref="S4:S10" si="8">3/(4*3.141593)</f>
        <v>0.23873238831382679</v>
      </c>
      <c r="T4" s="3">
        <f t="shared" ref="T4:T10" si="9">1/G4</f>
        <v>0.53347094408385509</v>
      </c>
      <c r="U4" s="3">
        <f t="shared" ref="U4:U10" si="10">(4/3)*3.141593*((F4/10)^3)</f>
        <v>7.851956536939788E-3</v>
      </c>
      <c r="V4" s="3">
        <f t="shared" ref="V4:V10" si="11">(4*3.141593)*(F4^2)*Y22</f>
        <v>2.7574995257101153E-3</v>
      </c>
      <c r="W4" s="3">
        <f t="shared" ref="W4:W10" si="12">C4*S4*T4</f>
        <v>9.6791162358649707E-2</v>
      </c>
      <c r="Y4" s="3">
        <v>252.81</v>
      </c>
      <c r="Z4" s="3">
        <f t="shared" ref="Z4:Z10" si="13">0.01/SQRT(12)</f>
        <v>2.886751345948129E-3</v>
      </c>
    </row>
    <row r="5" spans="1:26">
      <c r="A5" t="s">
        <v>5</v>
      </c>
      <c r="B5">
        <v>12</v>
      </c>
      <c r="C5">
        <v>1.32</v>
      </c>
      <c r="D5" s="3">
        <f t="shared" si="1"/>
        <v>0.11</v>
      </c>
      <c r="E5">
        <v>2.9649999999999999</v>
      </c>
      <c r="F5" s="3">
        <f t="shared" si="2"/>
        <v>1.4824999999999999</v>
      </c>
      <c r="G5" s="3">
        <f t="shared" si="3"/>
        <v>3.2582477656249993</v>
      </c>
      <c r="H5">
        <v>11.35</v>
      </c>
      <c r="I5">
        <v>11.39</v>
      </c>
      <c r="J5">
        <v>11.57</v>
      </c>
      <c r="K5">
        <v>11.63</v>
      </c>
      <c r="L5">
        <v>11.38</v>
      </c>
      <c r="M5" s="3">
        <f t="shared" si="0"/>
        <v>11.464000000000002</v>
      </c>
      <c r="N5" s="3">
        <f t="shared" si="4"/>
        <v>0.30288675134594811</v>
      </c>
      <c r="O5" s="3">
        <f t="shared" si="5"/>
        <v>5.670978751503139E-2</v>
      </c>
      <c r="P5" s="3">
        <f t="shared" ref="P5:P10" si="14">SQRT(O5^2+N5^2)</f>
        <v>0.3081499377590432</v>
      </c>
      <c r="Q5" s="3">
        <f t="shared" si="6"/>
        <v>2.886751345948129E-4</v>
      </c>
      <c r="R5" s="3">
        <f t="shared" si="7"/>
        <v>2.886751345948129E-3</v>
      </c>
      <c r="S5" s="3">
        <f t="shared" si="8"/>
        <v>0.23873238831382679</v>
      </c>
      <c r="T5" s="3">
        <f t="shared" si="9"/>
        <v>0.30691343075568084</v>
      </c>
      <c r="U5" s="3">
        <f t="shared" si="10"/>
        <v>1.3648117830337517E-2</v>
      </c>
      <c r="V5" s="3">
        <f t="shared" si="11"/>
        <v>3.9863800185212976E-3</v>
      </c>
      <c r="W5" s="3">
        <f t="shared" si="12"/>
        <v>9.6716632755460066E-2</v>
      </c>
      <c r="Y5" s="3">
        <v>252.81</v>
      </c>
      <c r="Z5" s="3">
        <f t="shared" si="13"/>
        <v>2.886751345948129E-3</v>
      </c>
    </row>
    <row r="6" spans="1:26">
      <c r="A6" t="s">
        <v>6</v>
      </c>
      <c r="B6">
        <v>12</v>
      </c>
      <c r="C6">
        <v>2.29</v>
      </c>
      <c r="D6" s="3">
        <f t="shared" si="1"/>
        <v>0.19083333333333333</v>
      </c>
      <c r="E6">
        <v>3.4670000000000001</v>
      </c>
      <c r="F6" s="3">
        <f t="shared" si="2"/>
        <v>1.7335</v>
      </c>
      <c r="G6" s="3">
        <f t="shared" si="3"/>
        <v>5.2092060703750001</v>
      </c>
      <c r="H6">
        <v>8.4</v>
      </c>
      <c r="I6">
        <v>8.5399999999999991</v>
      </c>
      <c r="J6">
        <v>8.41</v>
      </c>
      <c r="K6">
        <v>8.5500000000000007</v>
      </c>
      <c r="L6">
        <v>8.5</v>
      </c>
      <c r="M6" s="3">
        <f t="shared" si="0"/>
        <v>8.48</v>
      </c>
      <c r="N6" s="3">
        <f t="shared" si="4"/>
        <v>0.30288675134594811</v>
      </c>
      <c r="O6" s="3">
        <f t="shared" si="5"/>
        <v>3.1780497164141337E-2</v>
      </c>
      <c r="P6" s="3">
        <f t="shared" si="14"/>
        <v>0.30454947732823678</v>
      </c>
      <c r="Q6" s="3">
        <f t="shared" si="6"/>
        <v>2.886751345948129E-4</v>
      </c>
      <c r="R6" s="3">
        <f t="shared" si="7"/>
        <v>2.886751345948129E-3</v>
      </c>
      <c r="S6" s="3">
        <f t="shared" si="8"/>
        <v>0.23873238831382679</v>
      </c>
      <c r="T6" s="3">
        <f t="shared" si="9"/>
        <v>0.19196783281180735</v>
      </c>
      <c r="U6" s="3">
        <f t="shared" si="10"/>
        <v>2.182027376833014E-2</v>
      </c>
      <c r="V6" s="3">
        <f t="shared" si="11"/>
        <v>5.4505080475642075E-3</v>
      </c>
      <c r="W6" s="3">
        <f t="shared" si="12"/>
        <v>0.10494827078309608</v>
      </c>
      <c r="Y6" s="3">
        <v>252.81</v>
      </c>
      <c r="Z6" s="3">
        <f t="shared" si="13"/>
        <v>2.886751345948129E-3</v>
      </c>
    </row>
    <row r="7" spans="1:26">
      <c r="A7" t="s">
        <v>7</v>
      </c>
      <c r="B7">
        <v>12</v>
      </c>
      <c r="C7">
        <v>3.1</v>
      </c>
      <c r="D7" s="3">
        <f t="shared" si="1"/>
        <v>0.25833333333333336</v>
      </c>
      <c r="E7">
        <v>3.9670000000000001</v>
      </c>
      <c r="F7" s="3">
        <f t="shared" si="2"/>
        <v>1.9835</v>
      </c>
      <c r="G7" s="3">
        <f t="shared" si="3"/>
        <v>7.803629007875001</v>
      </c>
      <c r="H7">
        <v>6.62</v>
      </c>
      <c r="I7">
        <v>6.84</v>
      </c>
      <c r="J7">
        <v>6.74</v>
      </c>
      <c r="K7">
        <v>6.7</v>
      </c>
      <c r="L7">
        <v>6.69</v>
      </c>
      <c r="M7" s="3">
        <f t="shared" si="0"/>
        <v>6.7180000000000009</v>
      </c>
      <c r="N7" s="3">
        <f t="shared" si="4"/>
        <v>0.30288675134594811</v>
      </c>
      <c r="O7" s="3">
        <f t="shared" si="5"/>
        <v>3.6110940170535524E-2</v>
      </c>
      <c r="P7" s="3">
        <f t="shared" si="14"/>
        <v>0.3050317756249375</v>
      </c>
      <c r="Q7" s="3">
        <f t="shared" si="6"/>
        <v>2.886751345948129E-4</v>
      </c>
      <c r="R7" s="3">
        <f t="shared" si="7"/>
        <v>2.886751345948129E-3</v>
      </c>
      <c r="S7" s="3">
        <f t="shared" si="8"/>
        <v>0.23873238831382679</v>
      </c>
      <c r="T7" s="3">
        <f t="shared" si="9"/>
        <v>0.12814550755691409</v>
      </c>
      <c r="U7" s="3">
        <f t="shared" si="10"/>
        <v>3.2687768354316055E-2</v>
      </c>
      <c r="V7" s="3">
        <f t="shared" si="11"/>
        <v>7.135981292628879E-3</v>
      </c>
      <c r="W7" s="3">
        <f t="shared" si="12"/>
        <v>9.4836697519323887E-2</v>
      </c>
      <c r="Y7" s="3">
        <v>252.81</v>
      </c>
      <c r="Z7" s="3">
        <f t="shared" si="13"/>
        <v>2.886751345948129E-3</v>
      </c>
    </row>
    <row r="8" spans="1:26">
      <c r="A8" t="s">
        <v>8</v>
      </c>
      <c r="B8">
        <v>9</v>
      </c>
      <c r="C8">
        <v>3.41</v>
      </c>
      <c r="D8" s="3">
        <f t="shared" si="1"/>
        <v>0.37888888888888889</v>
      </c>
      <c r="E8">
        <v>4.4980000000000002</v>
      </c>
      <c r="F8" s="3">
        <f t="shared" si="2"/>
        <v>2.2490000000000001</v>
      </c>
      <c r="G8" s="3">
        <f t="shared" si="3"/>
        <v>11.375444249000003</v>
      </c>
      <c r="H8">
        <v>5.32</v>
      </c>
      <c r="I8">
        <v>5.34</v>
      </c>
      <c r="J8">
        <v>5.44</v>
      </c>
      <c r="K8">
        <v>5.52</v>
      </c>
      <c r="L8">
        <v>5.3</v>
      </c>
      <c r="M8" s="3">
        <f t="shared" si="0"/>
        <v>5.3840000000000003</v>
      </c>
      <c r="N8" s="3">
        <f t="shared" si="4"/>
        <v>0.30288675134594811</v>
      </c>
      <c r="O8" s="3">
        <f t="shared" si="5"/>
        <v>4.1665333311999279E-2</v>
      </c>
      <c r="P8" s="3">
        <f t="shared" si="14"/>
        <v>0.30573907853086463</v>
      </c>
      <c r="Q8" s="3">
        <f t="shared" si="6"/>
        <v>2.886751345948129E-4</v>
      </c>
      <c r="R8" s="3">
        <f t="shared" si="7"/>
        <v>2.886751345948129E-3</v>
      </c>
      <c r="S8" s="3">
        <f t="shared" si="8"/>
        <v>0.23873238831382679</v>
      </c>
      <c r="T8" s="3">
        <f t="shared" si="9"/>
        <v>8.7908654652138832E-2</v>
      </c>
      <c r="U8" s="3">
        <f t="shared" si="10"/>
        <v>4.7649354699398211E-2</v>
      </c>
      <c r="V8" s="3">
        <f t="shared" si="11"/>
        <v>9.1742000096963726E-3</v>
      </c>
      <c r="W8" s="3">
        <f t="shared" si="12"/>
        <v>7.1564452897891317E-2</v>
      </c>
      <c r="Y8" s="3">
        <v>252.81</v>
      </c>
      <c r="Z8" s="3">
        <f t="shared" si="13"/>
        <v>2.886751345948129E-3</v>
      </c>
    </row>
    <row r="9" spans="1:26">
      <c r="A9" t="s">
        <v>9</v>
      </c>
      <c r="B9">
        <v>12</v>
      </c>
      <c r="C9">
        <v>6.23</v>
      </c>
      <c r="D9" s="3">
        <f t="shared" si="1"/>
        <v>0.51916666666666667</v>
      </c>
      <c r="E9">
        <v>4.9470000000000001</v>
      </c>
      <c r="F9" s="3">
        <f t="shared" si="2"/>
        <v>2.4735</v>
      </c>
      <c r="G9" s="3">
        <f t="shared" si="3"/>
        <v>15.133373265375001</v>
      </c>
      <c r="H9">
        <v>4.54</v>
      </c>
      <c r="I9">
        <v>4.5599999999999996</v>
      </c>
      <c r="J9">
        <v>4.66</v>
      </c>
      <c r="K9">
        <v>4.6100000000000003</v>
      </c>
      <c r="L9">
        <v>4.5999999999999996</v>
      </c>
      <c r="M9" s="3">
        <f t="shared" si="0"/>
        <v>4.5939999999999994</v>
      </c>
      <c r="N9" s="3">
        <f t="shared" si="4"/>
        <v>0.30288675134594811</v>
      </c>
      <c r="O9" s="3">
        <f t="shared" si="5"/>
        <v>2.0880613017821154E-2</v>
      </c>
      <c r="P9" s="3">
        <f t="shared" si="14"/>
        <v>0.30360563917836275</v>
      </c>
      <c r="Q9" s="3">
        <f t="shared" si="6"/>
        <v>2.886751345948129E-4</v>
      </c>
      <c r="R9" s="3">
        <f t="shared" si="7"/>
        <v>2.886751345948129E-3</v>
      </c>
      <c r="S9" s="3">
        <f t="shared" si="8"/>
        <v>0.23873238831382679</v>
      </c>
      <c r="T9" s="3">
        <f t="shared" si="9"/>
        <v>6.6079120792453427E-2</v>
      </c>
      <c r="U9" s="3">
        <f t="shared" si="10"/>
        <v>6.3390532689185666E-2</v>
      </c>
      <c r="V9" s="3">
        <f t="shared" si="11"/>
        <v>1.1097192574946972E-2</v>
      </c>
      <c r="W9" s="3">
        <f t="shared" si="12"/>
        <v>9.8279660001387409E-2</v>
      </c>
      <c r="Y9" s="3">
        <v>252.81</v>
      </c>
      <c r="Z9" s="3">
        <f t="shared" si="13"/>
        <v>2.886751345948129E-3</v>
      </c>
    </row>
    <row r="10" spans="1:26">
      <c r="A10" t="s">
        <v>10</v>
      </c>
      <c r="B10">
        <v>12</v>
      </c>
      <c r="C10">
        <v>8.14</v>
      </c>
      <c r="D10" s="3">
        <f t="shared" si="1"/>
        <v>0.67833333333333334</v>
      </c>
      <c r="E10">
        <v>5.484</v>
      </c>
      <c r="F10" s="3">
        <f t="shared" si="2"/>
        <v>2.742</v>
      </c>
      <c r="G10" s="3">
        <f t="shared" si="3"/>
        <v>20.615902488</v>
      </c>
      <c r="H10">
        <v>3.93</v>
      </c>
      <c r="I10">
        <v>3.94</v>
      </c>
      <c r="J10" s="2">
        <v>3.86</v>
      </c>
      <c r="K10">
        <v>3.94</v>
      </c>
      <c r="L10">
        <v>3.97</v>
      </c>
      <c r="M10" s="3">
        <f t="shared" ref="M10" si="15">AVERAGE(H10:L10)</f>
        <v>3.9279999999999999</v>
      </c>
      <c r="N10" s="3">
        <f t="shared" si="4"/>
        <v>0.30288675134594811</v>
      </c>
      <c r="O10" s="3">
        <f t="shared" si="5"/>
        <v>1.8275666882497106E-2</v>
      </c>
      <c r="P10" s="3">
        <f t="shared" si="14"/>
        <v>0.30343761161217669</v>
      </c>
      <c r="Q10" s="3">
        <f t="shared" si="6"/>
        <v>2.886751345948129E-4</v>
      </c>
      <c r="R10" s="3">
        <f t="shared" si="7"/>
        <v>2.886751345948129E-3</v>
      </c>
      <c r="S10" s="3">
        <f t="shared" si="8"/>
        <v>0.23873238831382679</v>
      </c>
      <c r="T10" s="3">
        <f t="shared" si="9"/>
        <v>4.8506244176410661E-2</v>
      </c>
      <c r="U10" s="3">
        <f t="shared" si="10"/>
        <v>8.6355699926644491E-2</v>
      </c>
      <c r="V10" s="3">
        <f t="shared" si="11"/>
        <v>1.3637168106867274E-2</v>
      </c>
      <c r="W10" s="3">
        <f t="shared" si="12"/>
        <v>9.4261293775796895E-2</v>
      </c>
      <c r="Y10" s="3">
        <v>252.81</v>
      </c>
      <c r="Z10" s="3">
        <f t="shared" si="13"/>
        <v>2.886751345948129E-3</v>
      </c>
    </row>
    <row r="11" spans="1:26">
      <c r="M11" s="3"/>
    </row>
    <row r="12" spans="1:26">
      <c r="M12" t="s">
        <v>30</v>
      </c>
      <c r="N12" t="s">
        <v>31</v>
      </c>
      <c r="O12" t="s">
        <v>32</v>
      </c>
    </row>
    <row r="13" spans="1:26">
      <c r="M13">
        <f>E3</f>
        <v>1.944</v>
      </c>
      <c r="N13">
        <v>1E-3</v>
      </c>
      <c r="O13">
        <f>M3</f>
        <v>24.193999999999999</v>
      </c>
      <c r="P13">
        <f>P3</f>
        <v>0.33586661659191758</v>
      </c>
      <c r="R13">
        <v>3.1415926000000001</v>
      </c>
    </row>
    <row r="14" spans="1:26">
      <c r="M14" s="3">
        <f t="shared" ref="M14:M20" si="16">E4</f>
        <v>2.4660000000000002</v>
      </c>
      <c r="N14" s="3">
        <v>1E-3</v>
      </c>
      <c r="O14" s="3">
        <f t="shared" ref="O14:O20" si="17">M4</f>
        <v>16.134</v>
      </c>
      <c r="P14" s="3">
        <f t="shared" ref="P14:P20" si="18">P4</f>
        <v>0.3348229145994972</v>
      </c>
    </row>
    <row r="15" spans="1:26">
      <c r="I15" t="s">
        <v>28</v>
      </c>
      <c r="J15" s="1" t="s">
        <v>0</v>
      </c>
      <c r="M15" s="3">
        <f t="shared" si="16"/>
        <v>2.9649999999999999</v>
      </c>
      <c r="N15" s="3">
        <v>1E-3</v>
      </c>
      <c r="O15" s="3">
        <f t="shared" si="17"/>
        <v>11.464000000000002</v>
      </c>
      <c r="P15" s="3">
        <f t="shared" si="18"/>
        <v>0.3081499377590432</v>
      </c>
    </row>
    <row r="16" spans="1:26">
      <c r="I16" t="s">
        <v>2</v>
      </c>
      <c r="J16" s="1" t="s">
        <v>1</v>
      </c>
      <c r="M16" s="3">
        <f t="shared" si="16"/>
        <v>3.4670000000000001</v>
      </c>
      <c r="N16" s="3">
        <v>1E-3</v>
      </c>
      <c r="O16" s="3">
        <f t="shared" si="17"/>
        <v>8.48</v>
      </c>
      <c r="P16" s="3">
        <f t="shared" si="18"/>
        <v>0.30454947732823678</v>
      </c>
    </row>
    <row r="17" spans="5:25">
      <c r="I17" t="s">
        <v>17</v>
      </c>
      <c r="J17" t="s">
        <v>18</v>
      </c>
      <c r="M17" s="3">
        <f t="shared" si="16"/>
        <v>3.9670000000000001</v>
      </c>
      <c r="N17" s="3">
        <v>1E-3</v>
      </c>
      <c r="O17" s="3">
        <f t="shared" si="17"/>
        <v>6.7180000000000009</v>
      </c>
      <c r="P17" s="3">
        <f t="shared" si="18"/>
        <v>0.3050317756249375</v>
      </c>
    </row>
    <row r="18" spans="5:25">
      <c r="I18">
        <v>1.2609999999999999</v>
      </c>
      <c r="J18" t="s">
        <v>34</v>
      </c>
      <c r="M18" s="3">
        <f t="shared" si="16"/>
        <v>4.4980000000000002</v>
      </c>
      <c r="N18" s="3">
        <v>1E-3</v>
      </c>
      <c r="O18" s="3">
        <f t="shared" si="17"/>
        <v>5.3840000000000003</v>
      </c>
      <c r="P18" s="3">
        <f t="shared" si="18"/>
        <v>0.30573907853086463</v>
      </c>
    </row>
    <row r="19" spans="5:25">
      <c r="I19">
        <v>25.280999999999999</v>
      </c>
      <c r="J19" t="s">
        <v>19</v>
      </c>
      <c r="M19" s="3">
        <f t="shared" si="16"/>
        <v>4.9470000000000001</v>
      </c>
      <c r="N19" s="3">
        <v>1E-3</v>
      </c>
      <c r="O19" s="3">
        <f t="shared" si="17"/>
        <v>4.5939999999999994</v>
      </c>
      <c r="P19" s="3">
        <f t="shared" si="18"/>
        <v>0.30360563917836275</v>
      </c>
    </row>
    <row r="20" spans="5:25">
      <c r="I20" t="s">
        <v>14</v>
      </c>
      <c r="J20" t="s">
        <v>13</v>
      </c>
      <c r="M20" s="3">
        <f t="shared" si="16"/>
        <v>5.484</v>
      </c>
      <c r="N20" s="3">
        <v>1E-3</v>
      </c>
      <c r="O20" s="3">
        <f t="shared" si="17"/>
        <v>3.9279999999999999</v>
      </c>
      <c r="P20" s="3">
        <f t="shared" si="18"/>
        <v>0.30343761161217669</v>
      </c>
      <c r="Q20" s="8" t="s">
        <v>70</v>
      </c>
      <c r="R20" s="3" t="s">
        <v>67</v>
      </c>
      <c r="S20" t="s">
        <v>68</v>
      </c>
      <c r="T20" s="3" t="s">
        <v>53</v>
      </c>
      <c r="U20" s="3" t="s">
        <v>69</v>
      </c>
      <c r="W20" t="s">
        <v>51</v>
      </c>
      <c r="X20" t="s">
        <v>46</v>
      </c>
      <c r="Y20" t="s">
        <v>47</v>
      </c>
    </row>
    <row r="21" spans="5:25">
      <c r="I21" t="s">
        <v>16</v>
      </c>
      <c r="J21" t="s">
        <v>15</v>
      </c>
      <c r="M21" s="3"/>
      <c r="Q21">
        <v>1</v>
      </c>
      <c r="R21" s="3">
        <v>0.03</v>
      </c>
      <c r="S21" s="3">
        <f>0.01/12*SQRT(12)</f>
        <v>2.886751345948129E-3</v>
      </c>
      <c r="T21" s="3">
        <v>3.8466923339819507E-3</v>
      </c>
      <c r="U21" s="3">
        <v>1.7136488074954857E-3</v>
      </c>
      <c r="W21">
        <f>(3*Y21)/(X21^4)</f>
        <v>4.8510480495478212E-4</v>
      </c>
      <c r="X21">
        <v>0.97199999999999998</v>
      </c>
      <c r="Y21">
        <f>0.5*Q3</f>
        <v>1.4433756729740645E-4</v>
      </c>
    </row>
    <row r="22" spans="5:25">
      <c r="I22">
        <v>0.01</v>
      </c>
      <c r="J22" t="s">
        <v>23</v>
      </c>
      <c r="Q22">
        <v>2</v>
      </c>
      <c r="R22" s="3">
        <v>6.3333333333333339E-2</v>
      </c>
      <c r="S22" s="3">
        <f t="shared" ref="S22:S28" si="19">0.01/12*SQRT(12)</f>
        <v>2.886751345948129E-3</v>
      </c>
      <c r="T22" s="3">
        <v>7.851956536939788E-3</v>
      </c>
      <c r="U22" s="3">
        <v>2.7574995257101153E-3</v>
      </c>
      <c r="W22" s="3">
        <f t="shared" ref="W22:W28" si="20">(3*Y22)/(X22^4)</f>
        <v>1.8734768441098389E-4</v>
      </c>
      <c r="X22">
        <v>1.2330000000000001</v>
      </c>
      <c r="Y22" s="3">
        <f t="shared" ref="Y22:Y28" si="21">0.5*Q4</f>
        <v>1.4433756729740645E-4</v>
      </c>
    </row>
    <row r="23" spans="5:25">
      <c r="Q23" s="3">
        <v>3</v>
      </c>
      <c r="R23" s="3">
        <v>0.11</v>
      </c>
      <c r="S23" s="3">
        <f t="shared" si="19"/>
        <v>2.886751345948129E-3</v>
      </c>
      <c r="T23" s="3">
        <v>1.3648117830337517E-2</v>
      </c>
      <c r="U23" s="3">
        <v>3.9863800185212976E-3</v>
      </c>
      <c r="W23" s="3">
        <f t="shared" si="20"/>
        <v>8.964412404622457E-5</v>
      </c>
      <c r="X23">
        <v>1.4824999999999999</v>
      </c>
      <c r="Y23" s="3">
        <f t="shared" si="21"/>
        <v>1.4433756729740645E-4</v>
      </c>
    </row>
    <row r="24" spans="5:25">
      <c r="Q24" s="3">
        <v>4</v>
      </c>
      <c r="R24" s="3">
        <v>0.19083333333333333</v>
      </c>
      <c r="S24" s="3">
        <f t="shared" si="19"/>
        <v>2.886751345948129E-3</v>
      </c>
      <c r="T24" s="3">
        <v>2.182027376833014E-2</v>
      </c>
      <c r="U24" s="3">
        <v>5.4505080475642075E-3</v>
      </c>
      <c r="W24" s="3">
        <f t="shared" si="20"/>
        <v>4.795183730154862E-5</v>
      </c>
      <c r="X24">
        <v>1.7335</v>
      </c>
      <c r="Y24" s="3">
        <f t="shared" si="21"/>
        <v>1.4433756729740645E-4</v>
      </c>
    </row>
    <row r="25" spans="5:25">
      <c r="G25" s="3">
        <v>105.4</v>
      </c>
      <c r="Q25" s="3">
        <v>5</v>
      </c>
      <c r="R25" s="3">
        <v>0.25833333333333336</v>
      </c>
      <c r="S25" s="3">
        <f t="shared" si="19"/>
        <v>2.886751345948129E-3</v>
      </c>
      <c r="T25" s="3">
        <v>3.2687768354316055E-2</v>
      </c>
      <c r="U25" s="3">
        <v>7.135981292628879E-3</v>
      </c>
      <c r="W25" s="3">
        <f t="shared" si="20"/>
        <v>2.7975110896178063E-5</v>
      </c>
      <c r="X25">
        <v>1.9835</v>
      </c>
      <c r="Y25" s="3">
        <f t="shared" si="21"/>
        <v>1.4433756729740645E-4</v>
      </c>
    </row>
    <row r="26" spans="5:25">
      <c r="L26" t="s">
        <v>33</v>
      </c>
      <c r="Q26" s="3">
        <v>6</v>
      </c>
      <c r="R26" s="3">
        <v>0.37888888888888889</v>
      </c>
      <c r="S26" s="3">
        <f t="shared" si="19"/>
        <v>2.886751345948129E-3</v>
      </c>
      <c r="T26" s="3">
        <v>4.7649354699398211E-2</v>
      </c>
      <c r="U26" s="3">
        <v>9.1742000096963726E-3</v>
      </c>
      <c r="W26" s="3">
        <f t="shared" si="20"/>
        <v>1.6925550942922477E-5</v>
      </c>
      <c r="X26">
        <v>2.2490000000000001</v>
      </c>
      <c r="Y26" s="3">
        <f t="shared" si="21"/>
        <v>1.4433756729740645E-4</v>
      </c>
    </row>
    <row r="27" spans="5:25">
      <c r="J27" t="s">
        <v>26</v>
      </c>
      <c r="Q27" s="3">
        <v>7</v>
      </c>
      <c r="R27" s="3">
        <v>0.51916666666666667</v>
      </c>
      <c r="S27" s="3">
        <f t="shared" si="19"/>
        <v>2.886751345948129E-3</v>
      </c>
      <c r="T27" s="3">
        <v>6.3390532689185666E-2</v>
      </c>
      <c r="U27" s="3">
        <v>1.1097192574946972E-2</v>
      </c>
      <c r="W27" s="3">
        <f t="shared" si="20"/>
        <v>1.156785875601479E-5</v>
      </c>
      <c r="X27">
        <v>2.4735</v>
      </c>
      <c r="Y27" s="3">
        <f t="shared" si="21"/>
        <v>1.4433756729740645E-4</v>
      </c>
    </row>
    <row r="28" spans="5:25">
      <c r="Q28" s="3">
        <v>8</v>
      </c>
      <c r="R28" s="3">
        <v>0.67833333333333334</v>
      </c>
      <c r="S28" s="3">
        <f t="shared" si="19"/>
        <v>2.886751345948129E-3</v>
      </c>
      <c r="T28" s="3">
        <v>8.6355699926644491E-2</v>
      </c>
      <c r="U28" s="3">
        <v>1.3637168106867274E-2</v>
      </c>
      <c r="W28" s="3">
        <f t="shared" si="20"/>
        <v>7.6600364148327169E-6</v>
      </c>
      <c r="X28">
        <v>2.742</v>
      </c>
      <c r="Y28" s="3">
        <f t="shared" si="21"/>
        <v>1.4433756729740645E-4</v>
      </c>
    </row>
    <row r="30" spans="5:25">
      <c r="G30" s="7" t="s">
        <v>58</v>
      </c>
      <c r="H30" s="7"/>
      <c r="I30" s="7"/>
      <c r="J30" s="7"/>
      <c r="R30" t="s">
        <v>62</v>
      </c>
      <c r="S30" s="3" t="s">
        <v>63</v>
      </c>
      <c r="T30" s="3" t="s">
        <v>64</v>
      </c>
      <c r="U30" s="3" t="s">
        <v>48</v>
      </c>
    </row>
    <row r="31" spans="5:25">
      <c r="G31" s="3" t="s">
        <v>70</v>
      </c>
      <c r="H31" t="s">
        <v>57</v>
      </c>
      <c r="I31" t="s">
        <v>59</v>
      </c>
      <c r="J31" t="s">
        <v>60</v>
      </c>
      <c r="K31" s="3"/>
      <c r="R31">
        <f>M3</f>
        <v>24.193999999999999</v>
      </c>
      <c r="S31" s="3">
        <f>P3</f>
        <v>0.33586661659191758</v>
      </c>
      <c r="T31" s="3">
        <f>1/(F3^2)</f>
        <v>1.0584429880268931</v>
      </c>
      <c r="U31" s="3">
        <f>2*T3*Y21</f>
        <v>3.1434791361069884E-4</v>
      </c>
    </row>
    <row r="32" spans="5:25">
      <c r="E32" t="s">
        <v>3</v>
      </c>
      <c r="G32" s="3" t="s">
        <v>71</v>
      </c>
      <c r="H32">
        <v>9.5</v>
      </c>
      <c r="I32">
        <v>9.48</v>
      </c>
      <c r="J32">
        <f>H32/I32</f>
        <v>1.0021097046413501</v>
      </c>
      <c r="K32" s="3"/>
      <c r="R32" s="3">
        <f t="shared" ref="R32:R38" si="22">M4</f>
        <v>16.134</v>
      </c>
      <c r="S32" s="3">
        <f t="shared" ref="S32:S38" si="23">P4</f>
        <v>0.3348229145994972</v>
      </c>
      <c r="T32" s="3">
        <f t="shared" ref="T32:T38" si="24">1/(F4^2)</f>
        <v>0.65776967405539333</v>
      </c>
      <c r="U32" s="3">
        <f t="shared" ref="U32:U38" si="25">2*T4*Y22</f>
        <v>1.5399979658582878E-4</v>
      </c>
    </row>
    <row r="33" spans="5:21">
      <c r="G33" s="3" t="s">
        <v>72</v>
      </c>
      <c r="H33">
        <v>9.57</v>
      </c>
      <c r="I33">
        <v>9.81</v>
      </c>
      <c r="J33" s="3">
        <f t="shared" ref="J33:J36" si="26">H33/I33</f>
        <v>0.97553516819571862</v>
      </c>
      <c r="K33" s="3"/>
      <c r="R33" s="3">
        <f t="shared" si="22"/>
        <v>11.464000000000002</v>
      </c>
      <c r="S33" s="3">
        <f t="shared" si="23"/>
        <v>0.3081499377590432</v>
      </c>
      <c r="T33" s="3">
        <f t="shared" si="24"/>
        <v>0.45499916109529681</v>
      </c>
      <c r="U33" s="3">
        <f t="shared" si="25"/>
        <v>8.8598275932351954E-5</v>
      </c>
    </row>
    <row r="34" spans="5:21">
      <c r="G34" s="3" t="s">
        <v>73</v>
      </c>
      <c r="H34">
        <v>9.56</v>
      </c>
      <c r="I34">
        <v>9.81</v>
      </c>
      <c r="J34" s="3">
        <f t="shared" si="26"/>
        <v>0.97451580020387363</v>
      </c>
      <c r="K34" s="3"/>
      <c r="R34" s="3">
        <f t="shared" si="22"/>
        <v>8.48</v>
      </c>
      <c r="S34" s="3">
        <f t="shared" si="23"/>
        <v>0.30454947732823678</v>
      </c>
      <c r="T34" s="3">
        <f t="shared" si="24"/>
        <v>0.33277623817926805</v>
      </c>
      <c r="U34" s="3">
        <f t="shared" si="25"/>
        <v>5.5416339974823026E-5</v>
      </c>
    </row>
    <row r="35" spans="5:21">
      <c r="G35" s="3" t="s">
        <v>74</v>
      </c>
      <c r="H35">
        <v>9.48</v>
      </c>
      <c r="I35">
        <v>9.48</v>
      </c>
      <c r="J35" s="3">
        <f t="shared" si="26"/>
        <v>1</v>
      </c>
      <c r="K35" s="3"/>
      <c r="R35" s="3">
        <f t="shared" si="22"/>
        <v>6.7180000000000009</v>
      </c>
      <c r="S35" s="3">
        <f t="shared" si="23"/>
        <v>0.3050317756249375</v>
      </c>
      <c r="T35" s="3">
        <f t="shared" si="24"/>
        <v>0.25417661423913912</v>
      </c>
      <c r="U35" s="3">
        <f t="shared" si="25"/>
        <v>3.699242164171279E-5</v>
      </c>
    </row>
    <row r="36" spans="5:21">
      <c r="G36" s="3" t="s">
        <v>75</v>
      </c>
      <c r="H36">
        <v>9.64</v>
      </c>
      <c r="I36">
        <v>9.6199999999999992</v>
      </c>
      <c r="J36" s="3">
        <f t="shared" si="26"/>
        <v>1.0020790020790022</v>
      </c>
      <c r="K36" s="3"/>
      <c r="R36" s="3">
        <f t="shared" si="22"/>
        <v>5.3840000000000003</v>
      </c>
      <c r="S36" s="3">
        <f t="shared" si="23"/>
        <v>0.30573907853086463</v>
      </c>
      <c r="T36" s="3">
        <f t="shared" si="24"/>
        <v>0.19770656431266023</v>
      </c>
      <c r="U36" s="3">
        <f t="shared" si="25"/>
        <v>2.5377042713755101E-5</v>
      </c>
    </row>
    <row r="37" spans="5:21">
      <c r="G37" s="3" t="s">
        <v>54</v>
      </c>
      <c r="H37">
        <f>AVERAGE(H32:H36)</f>
        <v>9.5500000000000007</v>
      </c>
      <c r="I37" s="3">
        <f>AVERAGE(I32:I36)</f>
        <v>9.6399999999999988</v>
      </c>
      <c r="J37" s="5">
        <f>AVERAGE(J32:J36)</f>
        <v>0.99084793502398882</v>
      </c>
      <c r="R37" s="3">
        <f t="shared" si="22"/>
        <v>4.5939999999999994</v>
      </c>
      <c r="S37" s="3">
        <f t="shared" si="23"/>
        <v>0.30360563917836275</v>
      </c>
      <c r="T37" s="3">
        <f t="shared" si="24"/>
        <v>0.16344670528013355</v>
      </c>
      <c r="U37" s="3">
        <f t="shared" si="25"/>
        <v>1.9075399088668392E-5</v>
      </c>
    </row>
    <row r="38" spans="5:21">
      <c r="E38" t="s">
        <v>38</v>
      </c>
      <c r="G38" s="3" t="s">
        <v>55</v>
      </c>
      <c r="H38">
        <f>_xlfn.STDEV.S(H32:H37)/SQRT(6)</f>
        <v>2.3094010767585077E-2</v>
      </c>
      <c r="I38" s="3">
        <f t="shared" ref="I38:J38" si="27">_xlfn.STDEV.S(I32:I37)/SQRT(6)</f>
        <v>6.0387636703771334E-2</v>
      </c>
      <c r="J38" s="3">
        <f t="shared" si="27"/>
        <v>5.2850230877870066E-3</v>
      </c>
      <c r="R38" s="3">
        <f t="shared" si="22"/>
        <v>3.9279999999999999</v>
      </c>
      <c r="S38" s="3">
        <f t="shared" si="23"/>
        <v>0.30343761161217669</v>
      </c>
      <c r="T38" s="3">
        <f t="shared" si="24"/>
        <v>0.13300412153171803</v>
      </c>
      <c r="U38" s="3">
        <f t="shared" si="25"/>
        <v>1.4002546566314207E-5</v>
      </c>
    </row>
    <row r="39" spans="5:21" s="3" customFormat="1">
      <c r="G39" s="3" t="s">
        <v>56</v>
      </c>
      <c r="H39" s="3">
        <f t="shared" ref="H39:J39" si="28">0.01/SQRT(12)</f>
        <v>2.886751345948129E-3</v>
      </c>
      <c r="I39" s="3">
        <f t="shared" si="28"/>
        <v>2.886751345948129E-3</v>
      </c>
      <c r="J39" s="3">
        <f t="shared" si="28"/>
        <v>2.886751345948129E-3</v>
      </c>
    </row>
    <row r="40" spans="5:21">
      <c r="E40" t="s">
        <v>39</v>
      </c>
      <c r="G40" s="3" t="s">
        <v>61</v>
      </c>
      <c r="H40" s="3">
        <f>SQRT(H38^2+H39^2)</f>
        <v>2.3273733406281614E-2</v>
      </c>
      <c r="I40" s="3">
        <f>SQRT(I38^2+I39^2)</f>
        <v>6.0456596000767394E-2</v>
      </c>
      <c r="J40" s="3">
        <f>SQRT(J38^2+J39^2)</f>
        <v>6.0220264339983631E-3</v>
      </c>
    </row>
    <row r="41" spans="5:21">
      <c r="R41" t="s">
        <v>62</v>
      </c>
      <c r="S41" s="3" t="s">
        <v>63</v>
      </c>
      <c r="T41" s="3" t="s">
        <v>64</v>
      </c>
      <c r="U41" s="3" t="s">
        <v>48</v>
      </c>
    </row>
    <row r="42" spans="5:21">
      <c r="R42">
        <v>24.193999999999999</v>
      </c>
      <c r="S42" s="3">
        <v>0.24517001526945301</v>
      </c>
      <c r="T42" s="3">
        <v>1.0584429880268931</v>
      </c>
      <c r="U42" s="3">
        <v>3.1434791361069901E-3</v>
      </c>
    </row>
    <row r="43" spans="5:21">
      <c r="R43">
        <v>16.134</v>
      </c>
      <c r="S43" s="3">
        <v>0.24273868898561901</v>
      </c>
      <c r="T43" s="3">
        <v>0.65776967405539333</v>
      </c>
      <c r="U43" s="3">
        <v>1.53999796585829E-3</v>
      </c>
    </row>
    <row r="44" spans="5:21">
      <c r="R44">
        <v>11.464000000000002</v>
      </c>
      <c r="S44" s="3">
        <v>7.6783213481920395E-2</v>
      </c>
      <c r="T44" s="3">
        <v>0.45499916109529681</v>
      </c>
      <c r="U44" s="3">
        <v>8.8598275932351997E-4</v>
      </c>
    </row>
    <row r="45" spans="5:21">
      <c r="R45">
        <v>8.48</v>
      </c>
      <c r="S45" s="3">
        <v>5.1911335499056299E-2</v>
      </c>
      <c r="T45" s="3">
        <v>0.33277623817926805</v>
      </c>
      <c r="U45" s="3">
        <v>5.5416339974822995E-4</v>
      </c>
    </row>
    <row r="46" spans="5:21">
      <c r="R46">
        <v>6.7180000000000009</v>
      </c>
      <c r="S46" s="3">
        <v>4.6226141573914997E-2</v>
      </c>
      <c r="T46" s="3">
        <v>0.25417661423913912</v>
      </c>
      <c r="U46" s="3">
        <v>3.6992421641712802E-4</v>
      </c>
    </row>
    <row r="47" spans="5:21">
      <c r="R47">
        <v>5.3840000000000003</v>
      </c>
      <c r="S47" s="3">
        <v>5.1765216787816801E-2</v>
      </c>
      <c r="T47" s="3">
        <v>0.19770656431266023</v>
      </c>
      <c r="U47" s="3">
        <v>2.5377042713755097E-4</v>
      </c>
    </row>
    <row r="48" spans="5:21">
      <c r="R48">
        <v>4.5939999999999994</v>
      </c>
      <c r="S48" s="3">
        <v>0.31079215671683202</v>
      </c>
      <c r="T48" s="3">
        <v>0.16344670528013355</v>
      </c>
      <c r="U48" s="3">
        <v>1.9075399088668401E-4</v>
      </c>
    </row>
    <row r="49" spans="18:21">
      <c r="R49">
        <v>3.9279999999999999</v>
      </c>
      <c r="S49" s="3">
        <v>2.8502252115170601E-2</v>
      </c>
      <c r="T49" s="3">
        <v>0.13300412153171803</v>
      </c>
      <c r="U49" s="3">
        <v>1.40025465663142E-4</v>
      </c>
    </row>
  </sheetData>
  <mergeCells count="1">
    <mergeCell ref="G30:J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Raz</dc:creator>
  <cp:lastModifiedBy>Amir Markovitz</cp:lastModifiedBy>
  <dcterms:created xsi:type="dcterms:W3CDTF">2015-11-26T07:09:28Z</dcterms:created>
  <dcterms:modified xsi:type="dcterms:W3CDTF">2015-12-06T17:10:32Z</dcterms:modified>
</cp:coreProperties>
</file>