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30"/>
  <workbookPr/>
  <mc:AlternateContent xmlns:mc="http://schemas.openxmlformats.org/markup-compatibility/2006">
    <mc:Choice Requires="x15">
      <x15ac:absPath xmlns:x15ac="http://schemas.microsoft.com/office/spreadsheetml/2010/11/ac" url="C:\Users\tom_r\OneDrive\Documents\Activité Professionnelle\LIMNO 2019-2022\Experiments\Prey Growth IXM\"/>
    </mc:Choice>
  </mc:AlternateContent>
  <xr:revisionPtr revIDLastSave="0" documentId="13_ncr:1_{290F58D5-E333-4812-AD9A-A28C20F0C730}" xr6:coauthVersionLast="47" xr6:coauthVersionMax="47" xr10:uidLastSave="{00000000-0000-0000-0000-000000000000}"/>
  <bookViews>
    <workbookView xWindow="-110" yWindow="-110" windowWidth="19420" windowHeight="10420" firstSheet="4" activeTab="9" xr2:uid="{00000000-000D-0000-FFFF-FFFF00000000}"/>
  </bookViews>
  <sheets>
    <sheet name="AG 24.10.20" sheetId="7" r:id="rId1"/>
    <sheet name="AG 03.11.20" sheetId="9" r:id="rId2"/>
    <sheet name="AG 10.12.20" sheetId="10" r:id="rId3"/>
    <sheet name="AG 18.12.20" sheetId="11" r:id="rId4"/>
    <sheet name="AG 25.01.21" sheetId="13" r:id="rId5"/>
    <sheet name="AG 06.02.21" sheetId="14" r:id="rId6"/>
    <sheet name="AG 12.02.21" sheetId="15" r:id="rId7"/>
    <sheet name="AG 14.04.21" sheetId="17" r:id="rId8"/>
    <sheet name="AG 06.08.21" sheetId="16" r:id="rId9"/>
    <sheet name="AG 11.10.21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0" i="18" l="1"/>
  <c r="O40" i="18"/>
  <c r="P40" i="18"/>
  <c r="Q40" i="18"/>
  <c r="R40" i="18"/>
  <c r="M40" i="18"/>
  <c r="N40" i="16"/>
  <c r="O40" i="16"/>
  <c r="P40" i="16"/>
  <c r="Q40" i="16"/>
  <c r="R40" i="16"/>
  <c r="M40" i="16"/>
  <c r="N25" i="16"/>
  <c r="O25" i="16"/>
  <c r="P25" i="16"/>
  <c r="Q25" i="16"/>
  <c r="R25" i="16"/>
  <c r="M25" i="16"/>
  <c r="N25" i="18"/>
  <c r="O25" i="18"/>
  <c r="P25" i="18"/>
  <c r="Q25" i="18"/>
  <c r="R25" i="18"/>
  <c r="M25" i="18"/>
  <c r="R41" i="18" l="1"/>
  <c r="M41" i="18"/>
  <c r="Q41" i="18"/>
  <c r="P41" i="18"/>
  <c r="O41" i="18"/>
  <c r="N41" i="18"/>
  <c r="Q26" i="18"/>
  <c r="N26" i="18"/>
  <c r="R26" i="18"/>
  <c r="P26" i="18"/>
  <c r="O26" i="18"/>
  <c r="M26" i="18"/>
  <c r="H14" i="18"/>
  <c r="H15" i="18" s="1"/>
  <c r="G14" i="18"/>
  <c r="G15" i="18" s="1"/>
  <c r="F14" i="18"/>
  <c r="F15" i="18" s="1"/>
  <c r="E14" i="18"/>
  <c r="E15" i="18" s="1"/>
  <c r="D14" i="18"/>
  <c r="D15" i="18" s="1"/>
  <c r="C14" i="18"/>
  <c r="C15" i="18" s="1"/>
  <c r="H13" i="18"/>
  <c r="G13" i="18"/>
  <c r="F13" i="18"/>
  <c r="E13" i="18"/>
  <c r="D13" i="18"/>
  <c r="C13" i="18"/>
  <c r="H6" i="18"/>
  <c r="G6" i="18"/>
  <c r="F6" i="18"/>
  <c r="E6" i="18"/>
  <c r="D6" i="18"/>
  <c r="C6" i="18"/>
  <c r="H5" i="18"/>
  <c r="G5" i="18"/>
  <c r="F5" i="18"/>
  <c r="E5" i="18"/>
  <c r="D5" i="18"/>
  <c r="C5" i="18"/>
  <c r="D14" i="16"/>
  <c r="D15" i="16" s="1"/>
  <c r="E14" i="16"/>
  <c r="E15" i="16" s="1"/>
  <c r="F14" i="16"/>
  <c r="F15" i="16" s="1"/>
  <c r="G14" i="16"/>
  <c r="G15" i="16" s="1"/>
  <c r="H14" i="16"/>
  <c r="H15" i="16" s="1"/>
  <c r="D6" i="16"/>
  <c r="E6" i="16"/>
  <c r="F6" i="16"/>
  <c r="G6" i="16"/>
  <c r="H6" i="16"/>
  <c r="C14" i="16"/>
  <c r="C15" i="16" s="1"/>
  <c r="C6" i="16"/>
  <c r="T22" i="16"/>
  <c r="T21" i="16"/>
  <c r="T20" i="16"/>
  <c r="T19" i="16"/>
  <c r="T18" i="16"/>
  <c r="T17" i="16"/>
  <c r="T16" i="16"/>
  <c r="T15" i="16"/>
  <c r="T25" i="16" s="1"/>
  <c r="R40" i="17"/>
  <c r="R41" i="17" s="1"/>
  <c r="Q40" i="17"/>
  <c r="Q41" i="17" s="1"/>
  <c r="P40" i="17"/>
  <c r="P41" i="17" s="1"/>
  <c r="O40" i="17"/>
  <c r="O41" i="17" s="1"/>
  <c r="N40" i="17"/>
  <c r="N41" i="17" s="1"/>
  <c r="M40" i="17"/>
  <c r="M41" i="17" s="1"/>
  <c r="R25" i="17"/>
  <c r="R26" i="17" s="1"/>
  <c r="Q25" i="17"/>
  <c r="Q26" i="17" s="1"/>
  <c r="P25" i="17"/>
  <c r="P26" i="17" s="1"/>
  <c r="O25" i="17"/>
  <c r="O26" i="17" s="1"/>
  <c r="N25" i="17"/>
  <c r="N26" i="17" s="1"/>
  <c r="M25" i="17"/>
  <c r="M26" i="17" s="1"/>
  <c r="T22" i="17"/>
  <c r="U22" i="17" s="1"/>
  <c r="T21" i="17"/>
  <c r="U21" i="17" s="1"/>
  <c r="T20" i="17"/>
  <c r="U20" i="17" s="1"/>
  <c r="T19" i="17"/>
  <c r="U19" i="17" s="1"/>
  <c r="T18" i="17"/>
  <c r="T17" i="17"/>
  <c r="U17" i="17" s="1"/>
  <c r="T16" i="17"/>
  <c r="U16" i="17" s="1"/>
  <c r="T15" i="17"/>
  <c r="U15" i="17" s="1"/>
  <c r="H15" i="17"/>
  <c r="H14" i="17"/>
  <c r="G14" i="17"/>
  <c r="G15" i="17" s="1"/>
  <c r="F14" i="17"/>
  <c r="F15" i="17" s="1"/>
  <c r="E14" i="17"/>
  <c r="E15" i="17" s="1"/>
  <c r="D14" i="17"/>
  <c r="D15" i="17" s="1"/>
  <c r="C14" i="17"/>
  <c r="C15" i="17" s="1"/>
  <c r="H13" i="17"/>
  <c r="G13" i="17"/>
  <c r="F13" i="17"/>
  <c r="E13" i="17"/>
  <c r="D13" i="17"/>
  <c r="C13" i="17"/>
  <c r="H6" i="17"/>
  <c r="G6" i="17"/>
  <c r="F6" i="17"/>
  <c r="E6" i="17"/>
  <c r="D6" i="17"/>
  <c r="C6" i="17"/>
  <c r="H5" i="17"/>
  <c r="G5" i="17"/>
  <c r="F5" i="17"/>
  <c r="E5" i="17"/>
  <c r="D5" i="17"/>
  <c r="C5" i="17"/>
  <c r="U15" i="16" l="1"/>
  <c r="T25" i="17"/>
  <c r="U18" i="17"/>
  <c r="U25" i="17" s="1"/>
  <c r="U22" i="16"/>
  <c r="U21" i="16"/>
  <c r="U20" i="16"/>
  <c r="U19" i="16"/>
  <c r="U18" i="16"/>
  <c r="U17" i="16"/>
  <c r="U16" i="16"/>
  <c r="U25" i="16" l="1"/>
  <c r="T22" i="13"/>
  <c r="U22" i="13" s="1"/>
  <c r="T21" i="13"/>
  <c r="U21" i="13" s="1"/>
  <c r="T20" i="13"/>
  <c r="U20" i="13" s="1"/>
  <c r="T19" i="13"/>
  <c r="U19" i="13" s="1"/>
  <c r="T18" i="13"/>
  <c r="U18" i="13" s="1"/>
  <c r="T17" i="13"/>
  <c r="U17" i="13" s="1"/>
  <c r="T16" i="13"/>
  <c r="U16" i="13" s="1"/>
  <c r="T15" i="13"/>
  <c r="U15" i="13" s="1"/>
  <c r="T22" i="14"/>
  <c r="U22" i="14" s="1"/>
  <c r="T21" i="14"/>
  <c r="U21" i="14" s="1"/>
  <c r="T20" i="14"/>
  <c r="U20" i="14" s="1"/>
  <c r="T19" i="14"/>
  <c r="U19" i="14" s="1"/>
  <c r="T18" i="14"/>
  <c r="U18" i="14" s="1"/>
  <c r="T17" i="14"/>
  <c r="U17" i="14" s="1"/>
  <c r="T16" i="14"/>
  <c r="U16" i="14" s="1"/>
  <c r="T15" i="14"/>
  <c r="U15" i="14" s="1"/>
  <c r="T30" i="15"/>
  <c r="U30" i="15" s="1"/>
  <c r="T29" i="15"/>
  <c r="U29" i="15" s="1"/>
  <c r="T28" i="15"/>
  <c r="U28" i="15" s="1"/>
  <c r="T27" i="15"/>
  <c r="U27" i="15" s="1"/>
  <c r="T26" i="15"/>
  <c r="U26" i="15" s="1"/>
  <c r="T25" i="15"/>
  <c r="U25" i="15" s="1"/>
  <c r="T24" i="15"/>
  <c r="U24" i="15" s="1"/>
  <c r="T23" i="15"/>
  <c r="U23" i="15" s="1"/>
  <c r="T22" i="15"/>
  <c r="U22" i="15" s="1"/>
  <c r="T21" i="15"/>
  <c r="U21" i="15" s="1"/>
  <c r="T20" i="15"/>
  <c r="U20" i="15" s="1"/>
  <c r="T19" i="15"/>
  <c r="U19" i="15" s="1"/>
  <c r="R26" i="16" l="1"/>
  <c r="R41" i="16"/>
  <c r="Q41" i="16"/>
  <c r="P41" i="16"/>
  <c r="O41" i="16"/>
  <c r="N41" i="16"/>
  <c r="M41" i="16"/>
  <c r="Q26" i="16"/>
  <c r="P26" i="16"/>
  <c r="O26" i="16"/>
  <c r="N26" i="16"/>
  <c r="M26" i="16"/>
  <c r="H13" i="16"/>
  <c r="G13" i="16"/>
  <c r="F13" i="16"/>
  <c r="E13" i="16"/>
  <c r="D13" i="16"/>
  <c r="C13" i="16"/>
  <c r="H5" i="16"/>
  <c r="G5" i="16"/>
  <c r="F5" i="16"/>
  <c r="E5" i="16"/>
  <c r="D5" i="16"/>
  <c r="C5" i="16"/>
  <c r="D14" i="15"/>
  <c r="D15" i="15" s="1"/>
  <c r="E14" i="15"/>
  <c r="E15" i="15" s="1"/>
  <c r="F14" i="15"/>
  <c r="F15" i="15" s="1"/>
  <c r="G14" i="15"/>
  <c r="G15" i="15" s="1"/>
  <c r="H14" i="15"/>
  <c r="H15" i="15" s="1"/>
  <c r="C14" i="15"/>
  <c r="C15" i="15" s="1"/>
  <c r="D6" i="15"/>
  <c r="E6" i="15"/>
  <c r="F6" i="15"/>
  <c r="G6" i="15"/>
  <c r="H6" i="15"/>
  <c r="C6" i="15"/>
  <c r="N33" i="15"/>
  <c r="O33" i="15"/>
  <c r="P33" i="15"/>
  <c r="Q33" i="15"/>
  <c r="R33" i="15"/>
  <c r="M33" i="15"/>
  <c r="N52" i="15"/>
  <c r="O52" i="15"/>
  <c r="P52" i="15"/>
  <c r="Q52" i="15"/>
  <c r="R52" i="15"/>
  <c r="M52" i="15"/>
  <c r="T33" i="15" l="1"/>
  <c r="M34" i="15"/>
  <c r="O53" i="15" l="1"/>
  <c r="P53" i="15"/>
  <c r="Q53" i="15"/>
  <c r="M53" i="15"/>
  <c r="N34" i="15"/>
  <c r="O34" i="15"/>
  <c r="P34" i="15"/>
  <c r="R34" i="15"/>
  <c r="R53" i="15"/>
  <c r="N53" i="15"/>
  <c r="Q34" i="15"/>
  <c r="H13" i="15"/>
  <c r="G13" i="15"/>
  <c r="F13" i="15"/>
  <c r="E13" i="15"/>
  <c r="D13" i="15"/>
  <c r="C13" i="15"/>
  <c r="H5" i="15"/>
  <c r="G5" i="15"/>
  <c r="F5" i="15"/>
  <c r="E5" i="15"/>
  <c r="D5" i="15"/>
  <c r="C5" i="15"/>
  <c r="D14" i="14"/>
  <c r="D15" i="14" s="1"/>
  <c r="E14" i="14"/>
  <c r="E15" i="14" s="1"/>
  <c r="F14" i="14"/>
  <c r="F15" i="14" s="1"/>
  <c r="G14" i="14"/>
  <c r="G15" i="14" s="1"/>
  <c r="H14" i="14"/>
  <c r="H15" i="14" s="1"/>
  <c r="D14" i="13"/>
  <c r="D15" i="13" s="1"/>
  <c r="E14" i="13"/>
  <c r="E15" i="13" s="1"/>
  <c r="F14" i="13"/>
  <c r="F15" i="13" s="1"/>
  <c r="G14" i="13"/>
  <c r="G15" i="13" s="1"/>
  <c r="H14" i="13"/>
  <c r="H15" i="13" s="1"/>
  <c r="U33" i="15" l="1"/>
  <c r="R40" i="14"/>
  <c r="R41" i="14" s="1"/>
  <c r="Q40" i="14"/>
  <c r="Q41" i="14" s="1"/>
  <c r="P40" i="14"/>
  <c r="P41" i="14" s="1"/>
  <c r="O40" i="14"/>
  <c r="O41" i="14" s="1"/>
  <c r="N40" i="14"/>
  <c r="N41" i="14" s="1"/>
  <c r="M40" i="14"/>
  <c r="M41" i="14" s="1"/>
  <c r="R25" i="14"/>
  <c r="R26" i="14" s="1"/>
  <c r="Q25" i="14"/>
  <c r="Q26" i="14" s="1"/>
  <c r="P25" i="14"/>
  <c r="P26" i="14" s="1"/>
  <c r="O25" i="14"/>
  <c r="O26" i="14" s="1"/>
  <c r="N25" i="14"/>
  <c r="N26" i="14" s="1"/>
  <c r="M25" i="14"/>
  <c r="M26" i="14" s="1"/>
  <c r="C14" i="14"/>
  <c r="C15" i="14" s="1"/>
  <c r="H13" i="14"/>
  <c r="G13" i="14"/>
  <c r="F13" i="14"/>
  <c r="E13" i="14"/>
  <c r="D13" i="14"/>
  <c r="C13" i="14"/>
  <c r="H6" i="14"/>
  <c r="G6" i="14"/>
  <c r="F6" i="14"/>
  <c r="E6" i="14"/>
  <c r="D6" i="14"/>
  <c r="C6" i="14"/>
  <c r="H5" i="14"/>
  <c r="G5" i="14"/>
  <c r="F5" i="14"/>
  <c r="E5" i="14"/>
  <c r="D5" i="14"/>
  <c r="C5" i="14"/>
  <c r="T25" i="14" l="1"/>
  <c r="U25" i="14"/>
  <c r="D6" i="13"/>
  <c r="E6" i="13"/>
  <c r="F6" i="13"/>
  <c r="G6" i="13"/>
  <c r="H6" i="13"/>
  <c r="C6" i="13"/>
  <c r="C14" i="13"/>
  <c r="C15" i="13"/>
  <c r="N40" i="13"/>
  <c r="N41" i="13" s="1"/>
  <c r="O40" i="13"/>
  <c r="O41" i="13" s="1"/>
  <c r="P40" i="13"/>
  <c r="P41" i="13" s="1"/>
  <c r="Q40" i="13"/>
  <c r="Q41" i="13" s="1"/>
  <c r="R40" i="13"/>
  <c r="R41" i="13" s="1"/>
  <c r="N25" i="13"/>
  <c r="N26" i="13" s="1"/>
  <c r="O25" i="13"/>
  <c r="O26" i="13" s="1"/>
  <c r="P25" i="13"/>
  <c r="P26" i="13" s="1"/>
  <c r="Q25" i="13"/>
  <c r="Q26" i="13" s="1"/>
  <c r="R25" i="13"/>
  <c r="R26" i="13" s="1"/>
  <c r="M40" i="13"/>
  <c r="M41" i="13" s="1"/>
  <c r="M25" i="13"/>
  <c r="M26" i="13" s="1"/>
  <c r="H13" i="13"/>
  <c r="G13" i="13"/>
  <c r="F13" i="13"/>
  <c r="E13" i="13"/>
  <c r="D13" i="13"/>
  <c r="C13" i="13"/>
  <c r="H5" i="13"/>
  <c r="G5" i="13"/>
  <c r="F5" i="13"/>
  <c r="E5" i="13"/>
  <c r="D5" i="13"/>
  <c r="C5" i="13"/>
  <c r="T25" i="13" l="1"/>
  <c r="U25" i="13"/>
  <c r="N46" i="11" l="1"/>
  <c r="O46" i="11"/>
  <c r="P46" i="11"/>
  <c r="Q46" i="11"/>
  <c r="R46" i="11"/>
  <c r="M46" i="11"/>
  <c r="T15" i="10"/>
  <c r="N40" i="10"/>
  <c r="N41" i="10" s="1"/>
  <c r="O40" i="10"/>
  <c r="O41" i="10" s="1"/>
  <c r="P40" i="10"/>
  <c r="P41" i="10" s="1"/>
  <c r="Q40" i="10"/>
  <c r="Q41" i="10" s="1"/>
  <c r="R40" i="10"/>
  <c r="R41" i="10" s="1"/>
  <c r="M40" i="10"/>
  <c r="N25" i="10"/>
  <c r="N26" i="10" s="1"/>
  <c r="O25" i="10"/>
  <c r="O26" i="10" s="1"/>
  <c r="P25" i="10"/>
  <c r="P26" i="10" s="1"/>
  <c r="Q25" i="10"/>
  <c r="Q26" i="10" s="1"/>
  <c r="R25" i="10"/>
  <c r="R26" i="10" s="1"/>
  <c r="M25" i="10"/>
  <c r="T17" i="11" l="1"/>
  <c r="U17" i="11" s="1"/>
  <c r="T26" i="11"/>
  <c r="U26" i="11" s="1"/>
  <c r="T25" i="11"/>
  <c r="U25" i="11" s="1"/>
  <c r="T24" i="11"/>
  <c r="T23" i="11"/>
  <c r="U23" i="11" s="1"/>
  <c r="T22" i="11"/>
  <c r="U22" i="11" s="1"/>
  <c r="T21" i="11"/>
  <c r="U21" i="11" s="1"/>
  <c r="T20" i="11"/>
  <c r="U20" i="11" s="1"/>
  <c r="T19" i="11"/>
  <c r="U19" i="11" s="1"/>
  <c r="T18" i="11"/>
  <c r="U18" i="11" s="1"/>
  <c r="N29" i="11"/>
  <c r="N30" i="11" s="1"/>
  <c r="O29" i="11"/>
  <c r="O30" i="11" s="1"/>
  <c r="P29" i="11"/>
  <c r="P30" i="11" s="1"/>
  <c r="Q29" i="11"/>
  <c r="Q30" i="11" s="1"/>
  <c r="R29" i="11"/>
  <c r="R30" i="11" s="1"/>
  <c r="M29" i="11"/>
  <c r="M30" i="11" s="1"/>
  <c r="R47" i="11"/>
  <c r="Q47" i="11"/>
  <c r="P47" i="11"/>
  <c r="O47" i="11"/>
  <c r="N47" i="11"/>
  <c r="M47" i="11"/>
  <c r="H18" i="11"/>
  <c r="H19" i="11" s="1"/>
  <c r="H20" i="11" s="1"/>
  <c r="G18" i="11"/>
  <c r="G19" i="11" s="1"/>
  <c r="G20" i="11" s="1"/>
  <c r="F18" i="11"/>
  <c r="F19" i="11" s="1"/>
  <c r="F20" i="11" s="1"/>
  <c r="E18" i="11"/>
  <c r="E19" i="11" s="1"/>
  <c r="E20" i="11" s="1"/>
  <c r="D18" i="11"/>
  <c r="D19" i="11" s="1"/>
  <c r="D20" i="11" s="1"/>
  <c r="C18" i="11"/>
  <c r="C19" i="11" s="1"/>
  <c r="C20" i="11" s="1"/>
  <c r="H14" i="11"/>
  <c r="H15" i="11" s="1"/>
  <c r="G14" i="11"/>
  <c r="G15" i="11" s="1"/>
  <c r="F14" i="11"/>
  <c r="F15" i="11" s="1"/>
  <c r="E14" i="11"/>
  <c r="E15" i="11" s="1"/>
  <c r="D14" i="11"/>
  <c r="D15" i="11" s="1"/>
  <c r="C14" i="11"/>
  <c r="C15" i="11" s="1"/>
  <c r="H13" i="11"/>
  <c r="G13" i="11"/>
  <c r="F13" i="11"/>
  <c r="E13" i="11"/>
  <c r="D13" i="11"/>
  <c r="C13" i="11"/>
  <c r="H6" i="11"/>
  <c r="G6" i="11"/>
  <c r="F6" i="11"/>
  <c r="E6" i="11"/>
  <c r="D6" i="11"/>
  <c r="C6" i="11"/>
  <c r="H5" i="11"/>
  <c r="G5" i="11"/>
  <c r="F5" i="11"/>
  <c r="E5" i="11"/>
  <c r="D5" i="11"/>
  <c r="C5" i="11"/>
  <c r="T29" i="11" l="1"/>
  <c r="U24" i="11"/>
  <c r="U29" i="11" s="1"/>
  <c r="D14" i="10"/>
  <c r="D15" i="10" s="1"/>
  <c r="E14" i="10"/>
  <c r="E15" i="10" s="1"/>
  <c r="F14" i="10"/>
  <c r="F15" i="10" s="1"/>
  <c r="G14" i="10"/>
  <c r="G15" i="10" s="1"/>
  <c r="H14" i="10"/>
  <c r="H15" i="10" s="1"/>
  <c r="C14" i="10"/>
  <c r="C15" i="10" s="1"/>
  <c r="D6" i="10"/>
  <c r="E6" i="10"/>
  <c r="F6" i="10"/>
  <c r="G6" i="10"/>
  <c r="H6" i="10"/>
  <c r="C6" i="10"/>
  <c r="D18" i="10"/>
  <c r="D19" i="10" s="1"/>
  <c r="D20" i="10" s="1"/>
  <c r="E18" i="10"/>
  <c r="E19" i="10" s="1"/>
  <c r="E20" i="10" s="1"/>
  <c r="F18" i="10"/>
  <c r="F19" i="10" s="1"/>
  <c r="F20" i="10" s="1"/>
  <c r="G18" i="10"/>
  <c r="G19" i="10" s="1"/>
  <c r="G20" i="10" s="1"/>
  <c r="H18" i="10"/>
  <c r="H19" i="10" s="1"/>
  <c r="H20" i="10" s="1"/>
  <c r="C18" i="10"/>
  <c r="C19" i="10" s="1"/>
  <c r="N46" i="9"/>
  <c r="N47" i="9" s="1"/>
  <c r="O46" i="9"/>
  <c r="O47" i="9" s="1"/>
  <c r="P46" i="9"/>
  <c r="P47" i="9" s="1"/>
  <c r="Q46" i="9"/>
  <c r="Q47" i="9" s="1"/>
  <c r="R46" i="9"/>
  <c r="R47" i="9" s="1"/>
  <c r="M46" i="9"/>
  <c r="M47" i="9" s="1"/>
  <c r="N29" i="9"/>
  <c r="N30" i="9" s="1"/>
  <c r="O29" i="9"/>
  <c r="O30" i="9" s="1"/>
  <c r="P29" i="9"/>
  <c r="P30" i="9" s="1"/>
  <c r="Q29" i="9"/>
  <c r="Q30" i="9" s="1"/>
  <c r="R29" i="9"/>
  <c r="R30" i="9" s="1"/>
  <c r="M29" i="9"/>
  <c r="M30" i="9" s="1"/>
  <c r="T26" i="9"/>
  <c r="U26" i="9" s="1"/>
  <c r="T25" i="9"/>
  <c r="U25" i="9" s="1"/>
  <c r="T24" i="9"/>
  <c r="U24" i="9" s="1"/>
  <c r="T23" i="9"/>
  <c r="U23" i="9" s="1"/>
  <c r="T22" i="9"/>
  <c r="U22" i="9" s="1"/>
  <c r="T21" i="9"/>
  <c r="U21" i="9" s="1"/>
  <c r="T20" i="9"/>
  <c r="U20" i="9" s="1"/>
  <c r="T19" i="9"/>
  <c r="U19" i="9" s="1"/>
  <c r="T18" i="9"/>
  <c r="U18" i="9" s="1"/>
  <c r="T17" i="9"/>
  <c r="U17" i="9" s="1"/>
  <c r="M41" i="10"/>
  <c r="T22" i="10"/>
  <c r="U22" i="10" s="1"/>
  <c r="T21" i="10"/>
  <c r="U21" i="10" s="1"/>
  <c r="T20" i="10"/>
  <c r="U20" i="10" s="1"/>
  <c r="T19" i="10"/>
  <c r="U19" i="10" s="1"/>
  <c r="T18" i="10"/>
  <c r="U18" i="10" s="1"/>
  <c r="T17" i="10"/>
  <c r="U17" i="10" s="1"/>
  <c r="U15" i="10"/>
  <c r="T16" i="10"/>
  <c r="U16" i="10" s="1"/>
  <c r="U25" i="10" l="1"/>
  <c r="T25" i="10"/>
  <c r="T29" i="9"/>
  <c r="U29" i="9"/>
  <c r="M26" i="10"/>
  <c r="H13" i="10" l="1"/>
  <c r="G13" i="10"/>
  <c r="F13" i="10"/>
  <c r="E13" i="10"/>
  <c r="D13" i="10"/>
  <c r="C13" i="10"/>
  <c r="C20" i="10" s="1"/>
  <c r="H5" i="10"/>
  <c r="G5" i="10"/>
  <c r="F5" i="10"/>
  <c r="E5" i="10"/>
  <c r="D5" i="10"/>
  <c r="C5" i="10"/>
  <c r="N10" i="7" l="1"/>
  <c r="N11" i="7" s="1"/>
  <c r="O10" i="7"/>
  <c r="O11" i="7" s="1"/>
  <c r="P10" i="7"/>
  <c r="P11" i="7" s="1"/>
  <c r="Q10" i="7"/>
  <c r="Q11" i="7" s="1"/>
  <c r="R10" i="7"/>
  <c r="R11" i="7" s="1"/>
  <c r="N12" i="7"/>
  <c r="N13" i="7" s="1"/>
  <c r="O12" i="7"/>
  <c r="O13" i="7" s="1"/>
  <c r="P12" i="7"/>
  <c r="P13" i="7" s="1"/>
  <c r="Q12" i="7"/>
  <c r="Q13" i="7" s="1"/>
  <c r="R12" i="7"/>
  <c r="R13" i="7" s="1"/>
  <c r="N14" i="7"/>
  <c r="N15" i="7" s="1"/>
  <c r="O14" i="7"/>
  <c r="O15" i="7" s="1"/>
  <c r="P14" i="7"/>
  <c r="P15" i="7" s="1"/>
  <c r="Q14" i="7"/>
  <c r="Q15" i="7" s="1"/>
  <c r="R14" i="7"/>
  <c r="R15" i="7" s="1"/>
  <c r="M14" i="7"/>
  <c r="M15" i="7" s="1"/>
  <c r="M12" i="7"/>
  <c r="M13" i="7" s="1"/>
  <c r="M10" i="7"/>
  <c r="M11" i="7" s="1"/>
  <c r="N18" i="7"/>
  <c r="N19" i="7" s="1"/>
  <c r="N20" i="7" s="1"/>
  <c r="O18" i="7"/>
  <c r="O19" i="7" s="1"/>
  <c r="O20" i="7" s="1"/>
  <c r="P18" i="7"/>
  <c r="P19" i="7" s="1"/>
  <c r="P20" i="7" s="1"/>
  <c r="Q18" i="7"/>
  <c r="Q19" i="7" s="1"/>
  <c r="Q20" i="7" s="1"/>
  <c r="R18" i="7"/>
  <c r="R19" i="7" s="1"/>
  <c r="R20" i="7" s="1"/>
  <c r="M18" i="7"/>
  <c r="M19" i="7" s="1"/>
  <c r="M20" i="7" s="1"/>
  <c r="D5" i="7"/>
  <c r="E5" i="7"/>
  <c r="F5" i="7"/>
  <c r="G5" i="7"/>
  <c r="H5" i="7"/>
  <c r="D6" i="7"/>
  <c r="D10" i="7" s="1"/>
  <c r="D11" i="7" s="1"/>
  <c r="D12" i="7" s="1"/>
  <c r="E6" i="7"/>
  <c r="E7" i="7" s="1"/>
  <c r="F6" i="7"/>
  <c r="F7" i="7" s="1"/>
  <c r="G6" i="7"/>
  <c r="G7" i="7" s="1"/>
  <c r="H6" i="7"/>
  <c r="H7" i="7" s="1"/>
  <c r="C6" i="7"/>
  <c r="C10" i="7" s="1"/>
  <c r="F10" i="7" l="1"/>
  <c r="F11" i="7" s="1"/>
  <c r="F12" i="7" s="1"/>
  <c r="H10" i="7"/>
  <c r="H11" i="7" s="1"/>
  <c r="H12" i="7" s="1"/>
  <c r="E10" i="7"/>
  <c r="E11" i="7" s="1"/>
  <c r="E12" i="7" s="1"/>
  <c r="G10" i="7"/>
  <c r="G11" i="7" s="1"/>
  <c r="G12" i="7" s="1"/>
  <c r="D7" i="7"/>
  <c r="D6" i="9"/>
  <c r="E6" i="9"/>
  <c r="F6" i="9"/>
  <c r="G6" i="9"/>
  <c r="H6" i="9"/>
  <c r="C6" i="9"/>
  <c r="D14" i="9" l="1"/>
  <c r="D15" i="9" s="1"/>
  <c r="E14" i="9"/>
  <c r="E15" i="9" s="1"/>
  <c r="F14" i="9"/>
  <c r="F15" i="9" s="1"/>
  <c r="G14" i="9"/>
  <c r="G15" i="9" s="1"/>
  <c r="H14" i="9"/>
  <c r="H15" i="9" s="1"/>
  <c r="C14" i="9"/>
  <c r="C15" i="9" s="1"/>
  <c r="D13" i="9"/>
  <c r="D18" i="9" s="1"/>
  <c r="D19" i="9" s="1"/>
  <c r="E13" i="9"/>
  <c r="E18" i="9" s="1"/>
  <c r="E19" i="9" s="1"/>
  <c r="F13" i="9"/>
  <c r="F18" i="9" s="1"/>
  <c r="F19" i="9" s="1"/>
  <c r="G13" i="9"/>
  <c r="G18" i="9" s="1"/>
  <c r="G19" i="9" s="1"/>
  <c r="H13" i="9"/>
  <c r="H18" i="9" s="1"/>
  <c r="H19" i="9" s="1"/>
  <c r="G20" i="9" l="1"/>
  <c r="F20" i="9"/>
  <c r="E20" i="9"/>
  <c r="H20" i="9"/>
  <c r="D20" i="9"/>
  <c r="C5" i="9"/>
  <c r="D5" i="9"/>
  <c r="E5" i="9"/>
  <c r="F5" i="9"/>
  <c r="G5" i="9"/>
  <c r="H5" i="9"/>
  <c r="C13" i="9" l="1"/>
  <c r="C18" i="9" s="1"/>
  <c r="C19" i="9" l="1"/>
  <c r="C20" i="9" s="1"/>
  <c r="C11" i="7" l="1"/>
  <c r="C12" i="7" s="1"/>
  <c r="C7" i="7" l="1"/>
  <c r="C5" i="7"/>
</calcChain>
</file>

<file path=xl/sharedStrings.xml><?xml version="1.0" encoding="utf-8"?>
<sst xmlns="http://schemas.openxmlformats.org/spreadsheetml/2006/main" count="938" uniqueCount="67">
  <si>
    <t>Strains</t>
  </si>
  <si>
    <t>TREATMENTS</t>
  </si>
  <si>
    <r>
      <t>C</t>
    </r>
    <r>
      <rPr>
        <vertAlign val="sub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(10</t>
    </r>
    <r>
      <rPr>
        <vertAlign val="super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)</t>
    </r>
  </si>
  <si>
    <r>
      <t>V</t>
    </r>
    <r>
      <rPr>
        <vertAlign val="subscript"/>
        <sz val="10"/>
        <color theme="1"/>
        <rFont val="Calibri"/>
        <family val="2"/>
        <scheme val="minor"/>
      </rPr>
      <t>1</t>
    </r>
  </si>
  <si>
    <r>
      <t>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(10</t>
    </r>
    <r>
      <rPr>
        <vertAlign val="super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)</t>
    </r>
  </si>
  <si>
    <r>
      <t>V</t>
    </r>
    <r>
      <rPr>
        <vertAlign val="subscript"/>
        <sz val="10"/>
        <color theme="1"/>
        <rFont val="Calibri"/>
        <family val="2"/>
        <scheme val="minor"/>
      </rPr>
      <t>COOL 0</t>
    </r>
  </si>
  <si>
    <t>COOL 160</t>
  </si>
  <si>
    <t>DILUTION VOLUMES</t>
  </si>
  <si>
    <r>
      <t>V</t>
    </r>
    <r>
      <rPr>
        <vertAlign val="subscript"/>
        <sz val="10"/>
        <color theme="1"/>
        <rFont val="Calibri"/>
        <family val="2"/>
        <scheme val="minor"/>
      </rPr>
      <t>SAFE</t>
    </r>
  </si>
  <si>
    <t>CR6</t>
  </si>
  <si>
    <t>CR1</t>
  </si>
  <si>
    <t>CR2</t>
  </si>
  <si>
    <t>CR3</t>
  </si>
  <si>
    <t>CR4</t>
  </si>
  <si>
    <r>
      <t>C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(10</t>
    </r>
    <r>
      <rPr>
        <vertAlign val="super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)</t>
    </r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</si>
  <si>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(1 mL)</t>
    </r>
  </si>
  <si>
    <t>Nitrogen</t>
  </si>
  <si>
    <r>
      <t>V</t>
    </r>
    <r>
      <rPr>
        <vertAlign val="subscript"/>
        <sz val="10"/>
        <color theme="1"/>
        <rFont val="Calibri"/>
        <family val="2"/>
        <scheme val="minor"/>
      </rPr>
      <t>CENTRI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</rPr>
      <t>×</t>
    </r>
    <r>
      <rPr>
        <sz val="10"/>
        <color theme="1"/>
        <rFont val="Calibri"/>
        <family val="2"/>
        <scheme val="minor"/>
      </rPr>
      <t xml:space="preserve"> V</t>
    </r>
    <r>
      <rPr>
        <vertAlign val="subscript"/>
        <sz val="10"/>
        <color theme="1"/>
        <rFont val="Calibri"/>
        <family val="2"/>
        <scheme val="minor"/>
      </rPr>
      <t xml:space="preserve">REP × </t>
    </r>
    <r>
      <rPr>
        <sz val="10"/>
        <color theme="1"/>
        <rFont val="Calibri"/>
        <family val="2"/>
        <scheme val="minor"/>
      </rPr>
      <t>V</t>
    </r>
    <r>
      <rPr>
        <vertAlign val="subscript"/>
        <sz val="10"/>
        <color theme="1"/>
        <rFont val="Calibri"/>
        <family val="2"/>
        <scheme val="minor"/>
      </rPr>
      <t>TREAT</t>
    </r>
  </si>
  <si>
    <r>
      <t>V</t>
    </r>
    <r>
      <rPr>
        <b/>
        <vertAlign val="subscript"/>
        <sz val="10"/>
        <color theme="1"/>
        <rFont val="Calibri"/>
        <family val="2"/>
        <scheme val="minor"/>
      </rPr>
      <t>COOL 0</t>
    </r>
  </si>
  <si>
    <r>
      <t>C</t>
    </r>
    <r>
      <rPr>
        <vertAlign val="subscript"/>
        <sz val="10"/>
        <color theme="1"/>
        <rFont val="Calibri"/>
        <family val="2"/>
        <scheme val="minor"/>
      </rPr>
      <t>CENTRI</t>
    </r>
    <r>
      <rPr>
        <sz val="10"/>
        <color theme="1"/>
        <rFont val="Calibri"/>
        <family val="2"/>
        <scheme val="minor"/>
      </rPr>
      <t xml:space="preserve"> (10</t>
    </r>
    <r>
      <rPr>
        <vertAlign val="super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)</t>
    </r>
  </si>
  <si>
    <r>
      <t>V</t>
    </r>
    <r>
      <rPr>
        <vertAlign val="subscript"/>
        <sz val="10"/>
        <color theme="1"/>
        <rFont val="Calibri"/>
        <family val="2"/>
        <scheme val="minor"/>
      </rPr>
      <t>CENTRI</t>
    </r>
    <r>
      <rPr>
        <sz val="10"/>
        <color theme="1"/>
        <rFont val="Calibri"/>
        <family val="2"/>
        <scheme val="minor"/>
      </rPr>
      <t xml:space="preserve"> (1 mL)</t>
    </r>
  </si>
  <si>
    <t>COOL 0</t>
  </si>
  <si>
    <r>
      <t>V</t>
    </r>
    <r>
      <rPr>
        <vertAlign val="subscript"/>
        <sz val="10"/>
        <color theme="1"/>
        <rFont val="Calibri"/>
        <family val="2"/>
        <scheme val="minor"/>
      </rPr>
      <t>COOL  0</t>
    </r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</si>
  <si>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</rPr>
      <t>×</t>
    </r>
    <r>
      <rPr>
        <sz val="10"/>
        <color theme="1"/>
        <rFont val="Calibri"/>
        <family val="2"/>
        <scheme val="minor"/>
      </rPr>
      <t xml:space="preserve"> V</t>
    </r>
    <r>
      <rPr>
        <vertAlign val="subscript"/>
        <sz val="10"/>
        <color theme="1"/>
        <rFont val="Calibri"/>
        <family val="2"/>
        <scheme val="minor"/>
      </rPr>
      <t xml:space="preserve">REP × </t>
    </r>
    <r>
      <rPr>
        <sz val="10"/>
        <color theme="1"/>
        <rFont val="Calibri"/>
        <family val="2"/>
        <scheme val="minor"/>
      </rPr>
      <t>V</t>
    </r>
    <r>
      <rPr>
        <vertAlign val="subscript"/>
        <sz val="10"/>
        <color theme="1"/>
        <rFont val="Calibri"/>
        <family val="2"/>
        <scheme val="minor"/>
      </rPr>
      <t>TREAT</t>
    </r>
  </si>
  <si>
    <r>
      <t>V</t>
    </r>
    <r>
      <rPr>
        <vertAlign val="subscript"/>
        <sz val="10"/>
        <color theme="1"/>
        <rFont val="Calibri"/>
        <family val="2"/>
        <scheme val="minor"/>
      </rPr>
      <t>WELL</t>
    </r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</si>
  <si>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(2 mL)</t>
    </r>
  </si>
  <si>
    <r>
      <t>V</t>
    </r>
    <r>
      <rPr>
        <vertAlign val="subscript"/>
        <sz val="10"/>
        <color theme="1"/>
        <rFont val="Calibri"/>
        <family val="2"/>
        <scheme val="minor"/>
      </rPr>
      <t xml:space="preserve">REP × </t>
    </r>
    <r>
      <rPr>
        <sz val="10"/>
        <color theme="1"/>
        <rFont val="Calibri"/>
        <family val="2"/>
        <scheme val="minor"/>
      </rPr>
      <t>V</t>
    </r>
    <r>
      <rPr>
        <vertAlign val="subscript"/>
        <sz val="10"/>
        <color theme="1"/>
        <rFont val="Calibri"/>
        <family val="2"/>
        <scheme val="minor"/>
      </rPr>
      <t>TREAT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</si>
  <si>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(10 mL) - 1000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</si>
  <si>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(10 mL) - 800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</si>
  <si>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(10 mL) - 600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</si>
  <si>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(10 mL) - 400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</si>
  <si>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(10 mL) - 200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</si>
  <si>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(10 mL) - 100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</si>
  <si>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(10 mL) - 80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</si>
  <si>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(10 mL) - 60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</si>
  <si>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(10 mL) - 40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</si>
  <si>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(10 mL) - 20</t>
    </r>
  </si>
  <si>
    <r>
      <t>V</t>
    </r>
    <r>
      <rPr>
        <vertAlign val="subscript"/>
        <sz val="10"/>
        <color theme="1"/>
        <rFont val="Calibri"/>
        <family val="2"/>
        <scheme val="minor"/>
      </rPr>
      <t>CENTRI</t>
    </r>
    <r>
      <rPr>
        <sz val="10"/>
        <color theme="1"/>
        <rFont val="Calibri"/>
        <family val="2"/>
        <scheme val="minor"/>
      </rPr>
      <t xml:space="preserve"> (10 mL)</t>
    </r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</si>
  <si>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(10 mL)</t>
    </r>
  </si>
  <si>
    <r>
      <t>V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(5 mL) - 800</t>
    </r>
  </si>
  <si>
    <r>
      <t>V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(5 mL) - 480</t>
    </r>
  </si>
  <si>
    <r>
      <t>V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(5 mL) - 160</t>
    </r>
  </si>
  <si>
    <r>
      <t>V</t>
    </r>
    <r>
      <rPr>
        <vertAlign val="subscript"/>
        <sz val="10"/>
        <color theme="1"/>
        <rFont val="Calibri"/>
        <family val="2"/>
        <scheme val="minor"/>
      </rPr>
      <t xml:space="preserve">REP × </t>
    </r>
    <r>
      <rPr>
        <sz val="10"/>
        <color theme="1"/>
        <rFont val="Calibri"/>
        <family val="2"/>
        <scheme val="minor"/>
      </rPr>
      <t>V</t>
    </r>
    <r>
      <rPr>
        <vertAlign val="subscript"/>
        <sz val="10"/>
        <color theme="1"/>
        <rFont val="Calibri"/>
        <family val="2"/>
        <scheme val="minor"/>
      </rPr>
      <t>TREAT</t>
    </r>
    <r>
      <rPr>
        <sz val="10"/>
        <color theme="1"/>
        <rFont val="Calibri"/>
        <family val="2"/>
        <scheme val="minor"/>
      </rPr>
      <t xml:space="preserve"> × V</t>
    </r>
    <r>
      <rPr>
        <vertAlign val="subscript"/>
        <sz val="10"/>
        <color theme="1"/>
        <rFont val="Calibri"/>
        <family val="2"/>
        <scheme val="minor"/>
      </rPr>
      <t>TIME</t>
    </r>
  </si>
  <si>
    <r>
      <t>V</t>
    </r>
    <r>
      <rPr>
        <b/>
        <vertAlign val="subscript"/>
        <sz val="10"/>
        <color theme="1"/>
        <rFont val="Calibri"/>
        <family val="2"/>
        <scheme val="minor"/>
      </rPr>
      <t>COOL 1000</t>
    </r>
  </si>
  <si>
    <r>
      <t>V</t>
    </r>
    <r>
      <rPr>
        <vertAlign val="subscript"/>
        <sz val="10"/>
        <color theme="1"/>
        <rFont val="Calibri"/>
        <family val="2"/>
        <scheme val="minor"/>
      </rPr>
      <t>CENTRI</t>
    </r>
    <r>
      <rPr>
        <sz val="10"/>
        <color theme="1"/>
        <rFont val="Calibri"/>
        <family val="2"/>
        <scheme val="minor"/>
      </rPr>
      <t xml:space="preserve"> (7 mL)</t>
    </r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</si>
  <si>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(7 mL)</t>
    </r>
  </si>
  <si>
    <t>CR5</t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</si>
  <si>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(10 mL) - 50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</si>
  <si>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(10 mL) - 500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</si>
  <si>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(10 mL) - 300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</si>
  <si>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(10 mL) - 75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</si>
  <si>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(10 mL) - 25</t>
    </r>
  </si>
  <si>
    <r>
      <t>V</t>
    </r>
    <r>
      <rPr>
        <vertAlign val="subscript"/>
        <sz val="10"/>
        <color theme="1"/>
        <rFont val="Calibri"/>
        <family val="2"/>
        <scheme val="minor"/>
      </rPr>
      <t>CENTRI</t>
    </r>
    <r>
      <rPr>
        <sz val="10"/>
        <color theme="1"/>
        <rFont val="Calibri"/>
        <family val="2"/>
        <scheme val="minor"/>
      </rPr>
      <t xml:space="preserve"> (2 mL)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</si>
  <si>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(10 mL) - 30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</si>
  <si>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(10 mL) - 10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</si>
  <si>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(10 mL) - 8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</si>
  <si>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(10 mL) - 6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</si>
  <si>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(10 mL) - 4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</si>
  <si>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(10 mL) - 2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</si>
  <si>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(10 mL) - 1</t>
    </r>
  </si>
  <si>
    <r>
      <t>V</t>
    </r>
    <r>
      <rPr>
        <vertAlign val="subscript"/>
        <sz val="10"/>
        <color theme="1"/>
        <rFont val="Calibri"/>
        <family val="2"/>
        <scheme val="minor"/>
      </rPr>
      <t>CENTRI</t>
    </r>
    <r>
      <rPr>
        <sz val="10"/>
        <color theme="1"/>
        <rFont val="Calibri"/>
        <family val="2"/>
        <scheme val="minor"/>
      </rPr>
      <t xml:space="preserve"> (8 mL)</t>
    </r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</si>
  <si>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(8 mL)</t>
    </r>
  </si>
  <si>
    <r>
      <t>V</t>
    </r>
    <r>
      <rPr>
        <b/>
        <vertAlign val="subscript"/>
        <sz val="10"/>
        <color theme="1"/>
        <rFont val="Calibri"/>
        <family val="2"/>
        <scheme val="minor"/>
      </rPr>
      <t>COOL 50</t>
    </r>
  </si>
  <si>
    <r>
      <t>V</t>
    </r>
    <r>
      <rPr>
        <vertAlign val="subscript"/>
        <sz val="10"/>
        <color theme="1"/>
        <rFont val="Calibri"/>
        <family val="2"/>
        <scheme val="minor"/>
      </rPr>
      <t>CENTRI</t>
    </r>
    <r>
      <rPr>
        <sz val="10"/>
        <color theme="1"/>
        <rFont val="Calibri"/>
        <family val="2"/>
        <scheme val="minor"/>
      </rPr>
      <t xml:space="preserve"> (5 mL)</t>
    </r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</si>
  <si>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(5 mL)</t>
    </r>
  </si>
  <si>
    <r>
      <t>V</t>
    </r>
    <r>
      <rPr>
        <vertAlign val="subscript"/>
        <sz val="10"/>
        <color theme="1"/>
        <rFont val="Calibri"/>
        <family val="2"/>
        <scheme val="minor"/>
      </rPr>
      <t>CENTRI</t>
    </r>
    <r>
      <rPr>
        <sz val="10"/>
        <color theme="1"/>
        <rFont val="Calibri"/>
        <family val="2"/>
        <scheme val="minor"/>
      </rPr>
      <t xml:space="preserve"> (6 mL)</t>
    </r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</si>
  <si>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(6 mL)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</si>
</sst>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</font>
    <font>
      <b/>
      <vertAlign val="subscript"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vertAlign val="subscript"/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65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0" xfId="0" applyNumberFormat="1"/>
    <xf numFmtId="164" fontId="10" fillId="0" borderId="0" xfId="0" applyNumberFormat="1" applyFont="1" applyFill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textRotation="90"/>
    </xf>
    <xf numFmtId="0" fontId="2" fillId="0" borderId="0" xfId="0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" fillId="2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 textRotation="90"/>
    </xf>
    <xf numFmtId="2" fontId="2" fillId="0" borderId="2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workbookViewId="0"/>
  </sheetViews>
  <sheetFormatPr defaultColWidth="8.7265625" defaultRowHeight="14.5" x14ac:dyDescent="0.35"/>
  <cols>
    <col min="1" max="1" width="4.7265625" customWidth="1"/>
    <col min="2" max="2" width="15.7265625" customWidth="1"/>
    <col min="3" max="9" width="8.7265625" customWidth="1"/>
    <col min="10" max="11" width="4.7265625" customWidth="1"/>
    <col min="12" max="12" width="15.7265625" customWidth="1"/>
    <col min="13" max="18" width="8.7265625" customWidth="1"/>
  </cols>
  <sheetData>
    <row r="1" spans="1:18" ht="15" customHeight="1" x14ac:dyDescent="0.35">
      <c r="A1" s="2"/>
      <c r="B1" s="1" t="s">
        <v>0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46</v>
      </c>
      <c r="H1" s="1" t="s">
        <v>9</v>
      </c>
      <c r="I1" s="2"/>
      <c r="J1" s="2"/>
      <c r="K1" s="2"/>
      <c r="L1" s="1" t="s">
        <v>16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46</v>
      </c>
      <c r="R1" s="1" t="s">
        <v>9</v>
      </c>
    </row>
    <row r="2" spans="1:18" ht="15" customHeight="1" x14ac:dyDescent="0.35">
      <c r="A2" s="53" t="s">
        <v>6</v>
      </c>
      <c r="B2" s="4" t="s">
        <v>2</v>
      </c>
      <c r="C2" s="9">
        <v>0.77180134386599997</v>
      </c>
      <c r="D2" s="9">
        <v>1.0797172444799998</v>
      </c>
      <c r="E2" s="9">
        <v>1.1325117264300002</v>
      </c>
      <c r="F2" s="9">
        <v>3.6258059055960006</v>
      </c>
      <c r="G2" s="9">
        <v>3.9757059748980002</v>
      </c>
      <c r="H2" s="9">
        <v>3.2268425250599999</v>
      </c>
      <c r="I2" s="2"/>
      <c r="J2" s="2"/>
      <c r="K2" s="53" t="s">
        <v>1</v>
      </c>
      <c r="L2" s="12" t="s">
        <v>2</v>
      </c>
      <c r="M2" s="3">
        <v>800</v>
      </c>
      <c r="N2" s="3">
        <v>800</v>
      </c>
      <c r="O2" s="3">
        <v>800</v>
      </c>
      <c r="P2" s="3">
        <v>800</v>
      </c>
      <c r="Q2" s="3">
        <v>800</v>
      </c>
      <c r="R2" s="3">
        <v>800</v>
      </c>
    </row>
    <row r="3" spans="1:18" ht="15" customHeight="1" x14ac:dyDescent="0.35">
      <c r="A3" s="54"/>
      <c r="B3" s="4" t="s">
        <v>3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2"/>
      <c r="J3" s="2"/>
      <c r="K3" s="54"/>
      <c r="L3" s="12" t="s">
        <v>3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</row>
    <row r="4" spans="1:18" ht="15" customHeight="1" x14ac:dyDescent="0.35">
      <c r="A4" s="54"/>
      <c r="B4" s="4" t="s">
        <v>14</v>
      </c>
      <c r="C4" s="6">
        <v>0.5</v>
      </c>
      <c r="D4" s="6">
        <v>0.5</v>
      </c>
      <c r="E4" s="6">
        <v>0.5</v>
      </c>
      <c r="F4" s="6">
        <v>0.5</v>
      </c>
      <c r="G4" s="6">
        <v>0.5</v>
      </c>
      <c r="H4" s="6">
        <v>0.5</v>
      </c>
      <c r="I4" s="2"/>
      <c r="J4" s="2"/>
      <c r="K4" s="54"/>
      <c r="L4" s="56" t="s">
        <v>4</v>
      </c>
      <c r="M4" s="3">
        <v>800</v>
      </c>
      <c r="N4" s="3">
        <v>800</v>
      </c>
      <c r="O4" s="3">
        <v>800</v>
      </c>
      <c r="P4" s="3">
        <v>800</v>
      </c>
      <c r="Q4" s="3">
        <v>800</v>
      </c>
      <c r="R4" s="3">
        <v>800</v>
      </c>
    </row>
    <row r="5" spans="1:18" ht="15" customHeight="1" x14ac:dyDescent="0.35">
      <c r="A5" s="54"/>
      <c r="B5" s="4" t="s">
        <v>15</v>
      </c>
      <c r="C5" s="10">
        <f>((C4*C$3)/C$2)</f>
        <v>0.64783509898475888</v>
      </c>
      <c r="D5" s="10">
        <f t="shared" ref="D5:H5" si="0">((D4*D$3)/D$2)</f>
        <v>0.4630842033469641</v>
      </c>
      <c r="E5" s="10">
        <f t="shared" si="0"/>
        <v>0.44149653229299668</v>
      </c>
      <c r="F5" s="10">
        <f t="shared" si="0"/>
        <v>0.137900376638559</v>
      </c>
      <c r="G5" s="10">
        <f t="shared" si="0"/>
        <v>0.1257638273949139</v>
      </c>
      <c r="H5" s="10">
        <f t="shared" si="0"/>
        <v>0.15495023265528057</v>
      </c>
      <c r="I5" s="2"/>
      <c r="J5" s="2"/>
      <c r="K5" s="54"/>
      <c r="L5" s="56"/>
      <c r="M5" s="3">
        <v>480</v>
      </c>
      <c r="N5" s="3">
        <v>480</v>
      </c>
      <c r="O5" s="3">
        <v>480</v>
      </c>
      <c r="P5" s="3">
        <v>480</v>
      </c>
      <c r="Q5" s="3">
        <v>480</v>
      </c>
      <c r="R5" s="3">
        <v>480</v>
      </c>
    </row>
    <row r="6" spans="1:18" ht="15" customHeight="1" x14ac:dyDescent="0.35">
      <c r="A6" s="54"/>
      <c r="B6" s="4" t="s">
        <v>38</v>
      </c>
      <c r="C6" s="10">
        <f>(((C4*C$3)/C$2))*10</f>
        <v>6.4783509898475886</v>
      </c>
      <c r="D6" s="10">
        <f t="shared" ref="D6:H6" si="1">(((D4*D$3)/D$2))*10</f>
        <v>4.6308420334696407</v>
      </c>
      <c r="E6" s="10">
        <f t="shared" si="1"/>
        <v>4.4149653229299668</v>
      </c>
      <c r="F6" s="10">
        <f t="shared" si="1"/>
        <v>1.3790037663855901</v>
      </c>
      <c r="G6" s="10">
        <f t="shared" si="1"/>
        <v>1.257638273949139</v>
      </c>
      <c r="H6" s="10">
        <f t="shared" si="1"/>
        <v>1.5495023265528056</v>
      </c>
      <c r="I6" s="2"/>
      <c r="J6" s="2"/>
      <c r="K6" s="55"/>
      <c r="L6" s="56"/>
      <c r="M6" s="6">
        <v>160</v>
      </c>
      <c r="N6" s="6">
        <v>160</v>
      </c>
      <c r="O6" s="6">
        <v>160</v>
      </c>
      <c r="P6" s="6">
        <v>160</v>
      </c>
      <c r="Q6" s="6">
        <v>160</v>
      </c>
      <c r="R6" s="6">
        <v>160</v>
      </c>
    </row>
    <row r="7" spans="1:18" ht="15" customHeight="1" x14ac:dyDescent="0.35">
      <c r="A7" s="55"/>
      <c r="B7" s="4" t="s">
        <v>22</v>
      </c>
      <c r="C7" s="11">
        <f>20-C6</f>
        <v>13.521649010152412</v>
      </c>
      <c r="D7" s="11">
        <f t="shared" ref="D7:H7" si="2">20-D6</f>
        <v>15.369157966530359</v>
      </c>
      <c r="E7" s="11">
        <f t="shared" si="2"/>
        <v>15.585034677070034</v>
      </c>
      <c r="F7" s="11">
        <f t="shared" si="2"/>
        <v>18.620996233614409</v>
      </c>
      <c r="G7" s="11">
        <f t="shared" si="2"/>
        <v>18.742361726050859</v>
      </c>
      <c r="H7" s="11">
        <f t="shared" si="2"/>
        <v>18.450497673447195</v>
      </c>
      <c r="I7" s="2"/>
      <c r="J7" s="2"/>
    </row>
    <row r="8" spans="1:18" ht="15" customHeight="1" x14ac:dyDescent="0.35">
      <c r="I8" s="2"/>
      <c r="J8" s="2"/>
    </row>
    <row r="9" spans="1:18" ht="15" customHeight="1" x14ac:dyDescent="0.35">
      <c r="A9" s="2"/>
      <c r="B9" s="1" t="s">
        <v>0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46</v>
      </c>
      <c r="H9" s="1" t="s">
        <v>9</v>
      </c>
      <c r="I9" s="2"/>
      <c r="J9" s="2"/>
      <c r="L9" s="1" t="s">
        <v>16</v>
      </c>
      <c r="M9" s="1" t="s">
        <v>10</v>
      </c>
      <c r="N9" s="1" t="s">
        <v>11</v>
      </c>
      <c r="O9" s="1" t="s">
        <v>12</v>
      </c>
      <c r="P9" s="1" t="s">
        <v>13</v>
      </c>
      <c r="Q9" s="1" t="s">
        <v>46</v>
      </c>
      <c r="R9" s="1" t="s">
        <v>9</v>
      </c>
    </row>
    <row r="10" spans="1:18" ht="15" customHeight="1" x14ac:dyDescent="0.35">
      <c r="B10" s="4" t="s">
        <v>17</v>
      </c>
      <c r="C10" s="17">
        <f>C6*1*3</f>
        <v>19.435052969542767</v>
      </c>
      <c r="D10" s="17">
        <f t="shared" ref="D10:H10" si="3">D6*1*3</f>
        <v>13.892526100408922</v>
      </c>
      <c r="E10" s="17">
        <f t="shared" si="3"/>
        <v>13.244895968789901</v>
      </c>
      <c r="F10" s="17">
        <f t="shared" si="3"/>
        <v>4.1370112991567698</v>
      </c>
      <c r="G10" s="17">
        <f t="shared" si="3"/>
        <v>3.7729148218474169</v>
      </c>
      <c r="H10" s="17">
        <f t="shared" si="3"/>
        <v>4.6485069796584169</v>
      </c>
      <c r="I10" s="2"/>
      <c r="J10" s="2"/>
      <c r="K10" s="53" t="s">
        <v>7</v>
      </c>
      <c r="L10" s="12" t="s">
        <v>39</v>
      </c>
      <c r="M10" s="7">
        <f>((M4*M$3)/M$2)*5</f>
        <v>5</v>
      </c>
      <c r="N10" s="7">
        <f t="shared" ref="N10:R10" si="4">((N4*N$3)/N$2)*5</f>
        <v>5</v>
      </c>
      <c r="O10" s="7">
        <f t="shared" si="4"/>
        <v>5</v>
      </c>
      <c r="P10" s="7">
        <f t="shared" si="4"/>
        <v>5</v>
      </c>
      <c r="Q10" s="7">
        <f t="shared" si="4"/>
        <v>5</v>
      </c>
      <c r="R10" s="7">
        <f t="shared" si="4"/>
        <v>5</v>
      </c>
    </row>
    <row r="11" spans="1:18" ht="15" customHeight="1" x14ac:dyDescent="0.35">
      <c r="B11" s="12" t="s">
        <v>8</v>
      </c>
      <c r="C11" s="18">
        <f>C10+5</f>
        <v>24.435052969542767</v>
      </c>
      <c r="D11" s="18">
        <f t="shared" ref="D11:H11" si="5">D10+5</f>
        <v>18.892526100408922</v>
      </c>
      <c r="E11" s="18">
        <f t="shared" si="5"/>
        <v>18.244895968789901</v>
      </c>
      <c r="F11" s="18">
        <f t="shared" si="5"/>
        <v>9.1370112991567698</v>
      </c>
      <c r="G11" s="18">
        <f t="shared" si="5"/>
        <v>8.7729148218474169</v>
      </c>
      <c r="H11" s="18">
        <f t="shared" si="5"/>
        <v>9.6485069796584177</v>
      </c>
      <c r="I11" s="2"/>
      <c r="J11" s="2"/>
      <c r="K11" s="54"/>
      <c r="L11" s="12" t="s">
        <v>5</v>
      </c>
      <c r="M11" s="8">
        <f>5-M10</f>
        <v>0</v>
      </c>
      <c r="N11" s="8">
        <f t="shared" ref="N11:R11" si="6">5-N10</f>
        <v>0</v>
      </c>
      <c r="O11" s="8">
        <f t="shared" si="6"/>
        <v>0</v>
      </c>
      <c r="P11" s="8">
        <f t="shared" si="6"/>
        <v>0</v>
      </c>
      <c r="Q11" s="8">
        <f t="shared" si="6"/>
        <v>0</v>
      </c>
      <c r="R11" s="8">
        <f t="shared" si="6"/>
        <v>0</v>
      </c>
    </row>
    <row r="12" spans="1:18" ht="15" customHeight="1" x14ac:dyDescent="0.35">
      <c r="B12" s="12" t="s">
        <v>24</v>
      </c>
      <c r="C12" s="8">
        <f>C11*0.02</f>
        <v>0.48870105939085534</v>
      </c>
      <c r="D12" s="8">
        <f t="shared" ref="D12:H12" si="7">D11*0.02</f>
        <v>0.37785052200817848</v>
      </c>
      <c r="E12" s="8">
        <f t="shared" si="7"/>
        <v>0.36489791937579802</v>
      </c>
      <c r="F12" s="8">
        <f t="shared" si="7"/>
        <v>0.18274022598313541</v>
      </c>
      <c r="G12" s="8">
        <f t="shared" si="7"/>
        <v>0.17545829643694835</v>
      </c>
      <c r="H12" s="8">
        <f t="shared" si="7"/>
        <v>0.19297013959316836</v>
      </c>
      <c r="I12" s="2"/>
      <c r="J12" s="2"/>
      <c r="K12" s="54"/>
      <c r="L12" s="12" t="s">
        <v>40</v>
      </c>
      <c r="M12" s="7">
        <f>((M5*M$3)/M$2)*5</f>
        <v>3</v>
      </c>
      <c r="N12" s="7">
        <f t="shared" ref="N12:R12" si="8">((N5*N$3)/N$2)*5</f>
        <v>3</v>
      </c>
      <c r="O12" s="7">
        <f t="shared" si="8"/>
        <v>3</v>
      </c>
      <c r="P12" s="7">
        <f t="shared" si="8"/>
        <v>3</v>
      </c>
      <c r="Q12" s="7">
        <f t="shared" si="8"/>
        <v>3</v>
      </c>
      <c r="R12" s="7">
        <f t="shared" si="8"/>
        <v>3</v>
      </c>
    </row>
    <row r="13" spans="1:18" ht="15" customHeight="1" x14ac:dyDescent="0.35">
      <c r="B13" s="25"/>
      <c r="C13" s="25"/>
      <c r="D13" s="25"/>
      <c r="E13" s="25"/>
      <c r="F13" s="25"/>
      <c r="G13" s="25"/>
      <c r="H13" s="25"/>
      <c r="I13" s="2"/>
      <c r="J13" s="2"/>
      <c r="K13" s="54"/>
      <c r="L13" s="12" t="s">
        <v>5</v>
      </c>
      <c r="M13" s="8">
        <f>5-M12</f>
        <v>2</v>
      </c>
      <c r="N13" s="8">
        <f t="shared" ref="N13:R13" si="9">5-N12</f>
        <v>2</v>
      </c>
      <c r="O13" s="8">
        <f t="shared" si="9"/>
        <v>2</v>
      </c>
      <c r="P13" s="8">
        <f t="shared" si="9"/>
        <v>2</v>
      </c>
      <c r="Q13" s="8">
        <f t="shared" si="9"/>
        <v>2</v>
      </c>
      <c r="R13" s="8">
        <f t="shared" si="9"/>
        <v>2</v>
      </c>
    </row>
    <row r="14" spans="1:18" ht="15" customHeight="1" x14ac:dyDescent="0.35">
      <c r="B14" s="5"/>
      <c r="C14" s="24"/>
      <c r="D14" s="24"/>
      <c r="E14" s="24"/>
      <c r="F14" s="24"/>
      <c r="G14" s="24"/>
      <c r="H14" s="24"/>
      <c r="I14" s="2"/>
      <c r="J14" s="2"/>
      <c r="K14" s="54"/>
      <c r="L14" s="12" t="s">
        <v>41</v>
      </c>
      <c r="M14" s="7">
        <f>((M6*M$3)/M$2)*5</f>
        <v>1</v>
      </c>
      <c r="N14" s="7">
        <f t="shared" ref="N14:R14" si="10">((N6*N$3)/N$2)*5</f>
        <v>1</v>
      </c>
      <c r="O14" s="7">
        <f t="shared" si="10"/>
        <v>1</v>
      </c>
      <c r="P14" s="7">
        <f t="shared" si="10"/>
        <v>1</v>
      </c>
      <c r="Q14" s="7">
        <f t="shared" si="10"/>
        <v>1</v>
      </c>
      <c r="R14" s="7">
        <f t="shared" si="10"/>
        <v>1</v>
      </c>
    </row>
    <row r="15" spans="1:18" ht="15" customHeight="1" x14ac:dyDescent="0.35">
      <c r="B15" s="5"/>
      <c r="C15" s="24"/>
      <c r="D15" s="24"/>
      <c r="E15" s="24"/>
      <c r="F15" s="24"/>
      <c r="G15" s="24"/>
      <c r="H15" s="24"/>
      <c r="I15" s="2"/>
      <c r="J15" s="2"/>
      <c r="K15" s="55"/>
      <c r="L15" s="12" t="s">
        <v>5</v>
      </c>
      <c r="M15" s="8">
        <f>5-M14</f>
        <v>4</v>
      </c>
      <c r="N15" s="8">
        <f t="shared" ref="N15:R15" si="11">5-N14</f>
        <v>4</v>
      </c>
      <c r="O15" s="8">
        <f t="shared" si="11"/>
        <v>4</v>
      </c>
      <c r="P15" s="8">
        <f t="shared" si="11"/>
        <v>4</v>
      </c>
      <c r="Q15" s="8">
        <f t="shared" si="11"/>
        <v>4</v>
      </c>
      <c r="R15" s="8">
        <f t="shared" si="11"/>
        <v>4</v>
      </c>
    </row>
    <row r="16" spans="1:18" ht="15" customHeight="1" x14ac:dyDescent="0.35">
      <c r="I16" s="2"/>
      <c r="J16" s="2"/>
    </row>
    <row r="17" spans="9:18" ht="15" customHeight="1" x14ac:dyDescent="0.35">
      <c r="I17" s="2"/>
      <c r="J17" s="2"/>
      <c r="L17" s="1" t="s">
        <v>16</v>
      </c>
      <c r="M17" s="1" t="s">
        <v>10</v>
      </c>
      <c r="N17" s="1" t="s">
        <v>11</v>
      </c>
      <c r="O17" s="1" t="s">
        <v>12</v>
      </c>
      <c r="P17" s="1" t="s">
        <v>13</v>
      </c>
      <c r="Q17" s="1" t="s">
        <v>46</v>
      </c>
      <c r="R17" s="1" t="s">
        <v>9</v>
      </c>
    </row>
    <row r="18" spans="9:18" ht="15" customHeight="1" x14ac:dyDescent="0.35">
      <c r="L18" s="4" t="s">
        <v>26</v>
      </c>
      <c r="M18" s="21">
        <f>3*3</f>
        <v>9</v>
      </c>
      <c r="N18" s="21">
        <f t="shared" ref="N18:R18" si="12">3*3</f>
        <v>9</v>
      </c>
      <c r="O18" s="21">
        <f t="shared" si="12"/>
        <v>9</v>
      </c>
      <c r="P18" s="21">
        <f t="shared" si="12"/>
        <v>9</v>
      </c>
      <c r="Q18" s="21">
        <f t="shared" si="12"/>
        <v>9</v>
      </c>
      <c r="R18" s="21">
        <f t="shared" si="12"/>
        <v>9</v>
      </c>
    </row>
    <row r="19" spans="9:18" ht="15" customHeight="1" x14ac:dyDescent="0.35">
      <c r="L19" s="12" t="s">
        <v>8</v>
      </c>
      <c r="M19" s="19">
        <f>M18+5</f>
        <v>14</v>
      </c>
      <c r="N19" s="19">
        <f t="shared" ref="N19:R19" si="13">N18+5</f>
        <v>14</v>
      </c>
      <c r="O19" s="19">
        <f t="shared" si="13"/>
        <v>14</v>
      </c>
      <c r="P19" s="19">
        <f t="shared" si="13"/>
        <v>14</v>
      </c>
      <c r="Q19" s="19">
        <f t="shared" si="13"/>
        <v>14</v>
      </c>
      <c r="R19" s="19">
        <f t="shared" si="13"/>
        <v>14</v>
      </c>
    </row>
    <row r="20" spans="9:18" ht="15" customHeight="1" x14ac:dyDescent="0.35">
      <c r="L20" s="12" t="s">
        <v>24</v>
      </c>
      <c r="M20" s="19">
        <f>M19*0.18</f>
        <v>2.52</v>
      </c>
      <c r="N20" s="19">
        <f t="shared" ref="N20:R20" si="14">N19*0.18</f>
        <v>2.52</v>
      </c>
      <c r="O20" s="19">
        <f t="shared" si="14"/>
        <v>2.52</v>
      </c>
      <c r="P20" s="19">
        <f t="shared" si="14"/>
        <v>2.52</v>
      </c>
      <c r="Q20" s="19">
        <f t="shared" si="14"/>
        <v>2.52</v>
      </c>
      <c r="R20" s="19">
        <f t="shared" si="14"/>
        <v>2.52</v>
      </c>
    </row>
    <row r="21" spans="9:18" ht="15" customHeight="1" x14ac:dyDescent="0.35"/>
    <row r="22" spans="9:18" ht="15" customHeight="1" x14ac:dyDescent="0.35"/>
    <row r="23" spans="9:18" ht="15" customHeight="1" x14ac:dyDescent="0.35"/>
  </sheetData>
  <mergeCells count="4">
    <mergeCell ref="K10:K15"/>
    <mergeCell ref="A2:A7"/>
    <mergeCell ref="L4:L6"/>
    <mergeCell ref="K2:K6"/>
  </mergeCells>
  <pageMargins left="0.7" right="0.7" top="0.75" bottom="0.75" header="0.3" footer="0.3"/>
  <pageSetup orientation="portrait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05E0-E0BC-4C38-8947-4CF8A28A7491}">
  <dimension ref="A1:R41"/>
  <sheetViews>
    <sheetView tabSelected="1" workbookViewId="0"/>
  </sheetViews>
  <sheetFormatPr defaultRowHeight="14.5" x14ac:dyDescent="0.35"/>
  <cols>
    <col min="1" max="1" width="4.7265625" customWidth="1"/>
    <col min="2" max="2" width="15.7265625" customWidth="1"/>
    <col min="10" max="11" width="4.7265625" customWidth="1"/>
    <col min="12" max="12" width="15.7265625" customWidth="1"/>
  </cols>
  <sheetData>
    <row r="1" spans="1:18" ht="15" customHeight="1" x14ac:dyDescent="0.35">
      <c r="A1" s="2"/>
      <c r="B1" s="1" t="s">
        <v>0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46</v>
      </c>
      <c r="H1" s="1" t="s">
        <v>9</v>
      </c>
      <c r="I1" s="2"/>
      <c r="J1" s="2"/>
      <c r="K1" s="2"/>
      <c r="L1" s="1" t="s">
        <v>16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46</v>
      </c>
      <c r="R1" s="1" t="s">
        <v>9</v>
      </c>
    </row>
    <row r="2" spans="1:18" ht="15" customHeight="1" x14ac:dyDescent="0.35">
      <c r="A2" s="60" t="s">
        <v>6</v>
      </c>
      <c r="B2" s="52" t="s">
        <v>2</v>
      </c>
      <c r="C2" s="13">
        <v>2.243052</v>
      </c>
      <c r="D2" s="13">
        <v>1.9613160000000001</v>
      </c>
      <c r="E2" s="13">
        <v>1.7012520000000002</v>
      </c>
      <c r="F2" s="13">
        <v>3.6300599999999998</v>
      </c>
      <c r="G2" s="13">
        <v>4.3777439999999999</v>
      </c>
      <c r="H2" s="13">
        <v>3.5217000000000001</v>
      </c>
      <c r="I2" s="2"/>
      <c r="J2" s="2"/>
      <c r="K2" s="53" t="s">
        <v>1</v>
      </c>
      <c r="L2" s="52" t="s">
        <v>2</v>
      </c>
      <c r="M2" s="16">
        <v>50</v>
      </c>
      <c r="N2" s="16">
        <v>50</v>
      </c>
      <c r="O2" s="16">
        <v>50</v>
      </c>
      <c r="P2" s="16">
        <v>50</v>
      </c>
      <c r="Q2" s="16">
        <v>50</v>
      </c>
      <c r="R2" s="16">
        <v>50</v>
      </c>
    </row>
    <row r="3" spans="1:18" ht="15" customHeight="1" x14ac:dyDescent="0.35">
      <c r="A3" s="60"/>
      <c r="B3" s="52" t="s">
        <v>3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2"/>
      <c r="J3" s="2"/>
      <c r="K3" s="54"/>
      <c r="L3" s="52" t="s">
        <v>3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</row>
    <row r="4" spans="1:18" ht="15" customHeight="1" x14ac:dyDescent="0.35">
      <c r="A4" s="60"/>
      <c r="B4" s="52" t="s">
        <v>19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2"/>
      <c r="J4" s="2"/>
      <c r="K4" s="54"/>
      <c r="L4" s="57" t="s">
        <v>4</v>
      </c>
      <c r="M4" s="16">
        <v>50</v>
      </c>
      <c r="N4" s="16">
        <v>50</v>
      </c>
      <c r="O4" s="16">
        <v>50</v>
      </c>
      <c r="P4" s="16">
        <v>50</v>
      </c>
      <c r="Q4" s="16">
        <v>50</v>
      </c>
      <c r="R4" s="16">
        <v>50</v>
      </c>
    </row>
    <row r="5" spans="1:18" ht="15" customHeight="1" x14ac:dyDescent="0.35">
      <c r="A5" s="60"/>
      <c r="B5" s="52" t="s">
        <v>20</v>
      </c>
      <c r="C5" s="14">
        <f t="shared" ref="C5:H5" si="0">((C4*C$3)/C$2)</f>
        <v>0.44582114012515089</v>
      </c>
      <c r="D5" s="14">
        <f t="shared" si="0"/>
        <v>0.5098617458889847</v>
      </c>
      <c r="E5" s="14">
        <f t="shared" si="0"/>
        <v>0.58780239494207787</v>
      </c>
      <c r="F5" s="14">
        <f t="shared" si="0"/>
        <v>0.27547754031613803</v>
      </c>
      <c r="G5" s="14">
        <f>((G4*G$3)/G$2)</f>
        <v>0.22842815843046099</v>
      </c>
      <c r="H5" s="14">
        <f t="shared" si="0"/>
        <v>0.28395377232586533</v>
      </c>
      <c r="I5" s="2"/>
      <c r="J5" s="2"/>
      <c r="K5" s="54"/>
      <c r="L5" s="58"/>
      <c r="M5" s="16">
        <v>30</v>
      </c>
      <c r="N5" s="16">
        <v>30</v>
      </c>
      <c r="O5" s="16">
        <v>30</v>
      </c>
      <c r="P5" s="16">
        <v>30</v>
      </c>
      <c r="Q5" s="16">
        <v>30</v>
      </c>
      <c r="R5" s="16">
        <v>30</v>
      </c>
    </row>
    <row r="6" spans="1:18" ht="15" customHeight="1" x14ac:dyDescent="0.35">
      <c r="A6" s="60"/>
      <c r="B6" s="52" t="s">
        <v>65</v>
      </c>
      <c r="C6" s="14">
        <f>(((C4*C$3)/C$2))*6</f>
        <v>2.6749268407509055</v>
      </c>
      <c r="D6" s="14">
        <f t="shared" ref="D6:H6" si="1">(((D4*D$3)/D$2))*6</f>
        <v>3.0591704753339082</v>
      </c>
      <c r="E6" s="14">
        <f t="shared" si="1"/>
        <v>3.5268143696524672</v>
      </c>
      <c r="F6" s="14">
        <f t="shared" si="1"/>
        <v>1.6528652418968282</v>
      </c>
      <c r="G6" s="14">
        <f t="shared" si="1"/>
        <v>1.3705689505827658</v>
      </c>
      <c r="H6" s="14">
        <f t="shared" si="1"/>
        <v>1.7037226339551919</v>
      </c>
      <c r="I6" s="2"/>
      <c r="J6" s="2"/>
      <c r="K6" s="54"/>
      <c r="L6" s="58"/>
      <c r="M6" s="15">
        <v>20</v>
      </c>
      <c r="N6" s="15">
        <v>20</v>
      </c>
      <c r="O6" s="15">
        <v>20</v>
      </c>
      <c r="P6" s="15">
        <v>20</v>
      </c>
      <c r="Q6" s="15">
        <v>20</v>
      </c>
      <c r="R6" s="15">
        <v>20</v>
      </c>
    </row>
    <row r="7" spans="1:18" ht="15" customHeight="1" x14ac:dyDescent="0.35">
      <c r="A7" s="60"/>
      <c r="B7" s="52" t="s">
        <v>5</v>
      </c>
      <c r="C7" s="6">
        <v>6</v>
      </c>
      <c r="D7" s="6">
        <v>6</v>
      </c>
      <c r="E7" s="6">
        <v>6</v>
      </c>
      <c r="F7" s="6">
        <v>6</v>
      </c>
      <c r="G7" s="6">
        <v>6</v>
      </c>
      <c r="H7" s="6">
        <v>6</v>
      </c>
      <c r="I7" s="2"/>
      <c r="J7" s="2"/>
      <c r="K7" s="54"/>
      <c r="L7" s="58"/>
      <c r="M7" s="16">
        <v>10</v>
      </c>
      <c r="N7" s="16">
        <v>10</v>
      </c>
      <c r="O7" s="16">
        <v>10</v>
      </c>
      <c r="P7" s="16">
        <v>10</v>
      </c>
      <c r="Q7" s="16">
        <v>10</v>
      </c>
      <c r="R7" s="16">
        <v>10</v>
      </c>
    </row>
    <row r="8" spans="1:18" ht="1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54"/>
      <c r="L8" s="58"/>
      <c r="M8" s="16">
        <v>8</v>
      </c>
      <c r="N8" s="16">
        <v>8</v>
      </c>
      <c r="O8" s="16">
        <v>8</v>
      </c>
      <c r="P8" s="16">
        <v>8</v>
      </c>
      <c r="Q8" s="16">
        <v>8</v>
      </c>
      <c r="R8" s="16">
        <v>8</v>
      </c>
    </row>
    <row r="9" spans="1:18" ht="15" customHeight="1" x14ac:dyDescent="0.35">
      <c r="A9" s="2"/>
      <c r="B9" s="1" t="s">
        <v>0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46</v>
      </c>
      <c r="H9" s="1" t="s">
        <v>9</v>
      </c>
      <c r="I9" s="2"/>
      <c r="J9" s="2"/>
      <c r="K9" s="54"/>
      <c r="L9" s="58"/>
      <c r="M9" s="16">
        <v>6</v>
      </c>
      <c r="N9" s="16">
        <v>6</v>
      </c>
      <c r="O9" s="16">
        <v>6</v>
      </c>
      <c r="P9" s="16">
        <v>6</v>
      </c>
      <c r="Q9" s="16">
        <v>6</v>
      </c>
      <c r="R9" s="16">
        <v>6</v>
      </c>
    </row>
    <row r="10" spans="1:18" ht="15" customHeight="1" x14ac:dyDescent="0.35">
      <c r="A10" s="53" t="s">
        <v>21</v>
      </c>
      <c r="B10" s="4" t="s">
        <v>2</v>
      </c>
      <c r="C10" s="9">
        <v>3.2941440000000002</v>
      </c>
      <c r="D10" s="9">
        <v>2.27556</v>
      </c>
      <c r="E10" s="9">
        <v>1.6904160000000001</v>
      </c>
      <c r="F10" s="9">
        <v>5.8189320000000011</v>
      </c>
      <c r="G10" s="9">
        <v>5.8297680000000005</v>
      </c>
      <c r="H10" s="9">
        <v>5.0712479999999998</v>
      </c>
      <c r="I10" s="2"/>
      <c r="J10" s="2"/>
      <c r="K10" s="54"/>
      <c r="L10" s="58"/>
      <c r="M10" s="16">
        <v>4</v>
      </c>
      <c r="N10" s="16">
        <v>4</v>
      </c>
      <c r="O10" s="16">
        <v>4</v>
      </c>
      <c r="P10" s="16">
        <v>4</v>
      </c>
      <c r="Q10" s="16">
        <v>4</v>
      </c>
      <c r="R10" s="16">
        <v>4</v>
      </c>
    </row>
    <row r="11" spans="1:18" ht="15" customHeight="1" x14ac:dyDescent="0.35">
      <c r="A11" s="54"/>
      <c r="B11" s="4" t="s">
        <v>3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2"/>
      <c r="J11" s="2"/>
      <c r="K11" s="55"/>
      <c r="L11" s="59"/>
      <c r="M11" s="16">
        <v>2</v>
      </c>
      <c r="N11" s="16">
        <v>2</v>
      </c>
      <c r="O11" s="16">
        <v>2</v>
      </c>
      <c r="P11" s="16">
        <v>2</v>
      </c>
      <c r="Q11" s="16">
        <v>2</v>
      </c>
      <c r="R11" s="16">
        <v>2</v>
      </c>
    </row>
    <row r="12" spans="1:18" ht="15" customHeight="1" x14ac:dyDescent="0.35">
      <c r="A12" s="54"/>
      <c r="B12" s="4" t="s">
        <v>14</v>
      </c>
      <c r="C12" s="6">
        <v>0.5</v>
      </c>
      <c r="D12" s="6">
        <v>0.5</v>
      </c>
      <c r="E12" s="6">
        <v>0.5</v>
      </c>
      <c r="F12" s="6">
        <v>0.5</v>
      </c>
      <c r="G12" s="6">
        <v>0.5</v>
      </c>
      <c r="H12" s="6">
        <v>0.5</v>
      </c>
      <c r="I12" s="2"/>
      <c r="J12" s="2"/>
    </row>
    <row r="13" spans="1:18" ht="15" customHeight="1" x14ac:dyDescent="0.35">
      <c r="A13" s="54"/>
      <c r="B13" s="4" t="s">
        <v>15</v>
      </c>
      <c r="C13" s="10">
        <f>((C12*C$11)/C$10)</f>
        <v>0.15178450000971419</v>
      </c>
      <c r="D13" s="10">
        <f t="shared" ref="D13:H13" si="2">((D12*D$11)/D$10)</f>
        <v>0.2197261333473958</v>
      </c>
      <c r="E13" s="10">
        <f t="shared" si="2"/>
        <v>0.29578517950610972</v>
      </c>
      <c r="F13" s="10">
        <f t="shared" si="2"/>
        <v>8.5926420862110081E-2</v>
      </c>
      <c r="G13" s="10">
        <f t="shared" si="2"/>
        <v>8.5766706325191663E-2</v>
      </c>
      <c r="H13" s="10">
        <f t="shared" si="2"/>
        <v>9.8595059835369911E-2</v>
      </c>
      <c r="I13" s="2"/>
      <c r="J13" s="2"/>
    </row>
    <row r="14" spans="1:18" ht="15" customHeight="1" x14ac:dyDescent="0.35">
      <c r="A14" s="54"/>
      <c r="B14" s="4" t="s">
        <v>66</v>
      </c>
      <c r="C14" s="10">
        <f>(((C12*C$11)/C$10))*6</f>
        <v>0.91070700005828509</v>
      </c>
      <c r="D14" s="10">
        <f t="shared" ref="D14:H14" si="3">(((D12*D$11)/D$10))*6</f>
        <v>1.3183568000843748</v>
      </c>
      <c r="E14" s="10">
        <f t="shared" si="3"/>
        <v>1.7747110770366583</v>
      </c>
      <c r="F14" s="10">
        <f t="shared" si="3"/>
        <v>0.51555852517266043</v>
      </c>
      <c r="G14" s="10">
        <f t="shared" si="3"/>
        <v>0.51460023795114995</v>
      </c>
      <c r="H14" s="10">
        <f t="shared" si="3"/>
        <v>0.59157035901221944</v>
      </c>
      <c r="I14" s="2"/>
      <c r="J14" s="2"/>
      <c r="K14" s="2"/>
      <c r="L14" s="1" t="s">
        <v>16</v>
      </c>
      <c r="M14" s="1" t="s">
        <v>10</v>
      </c>
      <c r="N14" s="1" t="s">
        <v>11</v>
      </c>
      <c r="O14" s="1" t="s">
        <v>12</v>
      </c>
      <c r="P14" s="1" t="s">
        <v>13</v>
      </c>
      <c r="Q14" s="1" t="s">
        <v>46</v>
      </c>
      <c r="R14" s="1" t="s">
        <v>9</v>
      </c>
    </row>
    <row r="15" spans="1:18" ht="15" customHeight="1" x14ac:dyDescent="0.35">
      <c r="A15" s="55"/>
      <c r="B15" s="4" t="s">
        <v>5</v>
      </c>
      <c r="C15" s="11">
        <f>6-C14</f>
        <v>5.0892929999417147</v>
      </c>
      <c r="D15" s="11">
        <f t="shared" ref="D15:H15" si="4">6-D14</f>
        <v>4.6816431999156247</v>
      </c>
      <c r="E15" s="11">
        <f t="shared" si="4"/>
        <v>4.2252889229633421</v>
      </c>
      <c r="F15" s="11">
        <f t="shared" si="4"/>
        <v>5.4844414748273396</v>
      </c>
      <c r="G15" s="11">
        <f t="shared" si="4"/>
        <v>5.4853997620488499</v>
      </c>
      <c r="H15" s="11">
        <f t="shared" si="4"/>
        <v>5.4084296409877801</v>
      </c>
      <c r="I15" s="2"/>
      <c r="J15" s="2"/>
      <c r="K15" s="53" t="s">
        <v>7</v>
      </c>
      <c r="L15" s="20" t="s">
        <v>47</v>
      </c>
      <c r="M15" s="21">
        <v>0.18</v>
      </c>
      <c r="N15" s="21">
        <v>0.18</v>
      </c>
      <c r="O15" s="21">
        <v>0.18</v>
      </c>
      <c r="P15" s="21">
        <v>0.18</v>
      </c>
      <c r="Q15" s="21">
        <v>0.18</v>
      </c>
      <c r="R15" s="21">
        <v>0.18</v>
      </c>
    </row>
    <row r="16" spans="1:18" ht="1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54"/>
      <c r="L16" s="20" t="s">
        <v>53</v>
      </c>
      <c r="M16" s="21">
        <v>0.18</v>
      </c>
      <c r="N16" s="21">
        <v>0.18</v>
      </c>
      <c r="O16" s="21">
        <v>0.18</v>
      </c>
      <c r="P16" s="21">
        <v>0.18</v>
      </c>
      <c r="Q16" s="21">
        <v>0.18</v>
      </c>
      <c r="R16" s="21">
        <v>0.18</v>
      </c>
    </row>
    <row r="17" spans="1:18" ht="15" customHeight="1" x14ac:dyDescent="0.35">
      <c r="A17" s="2"/>
      <c r="B17" s="45"/>
      <c r="C17" s="45"/>
      <c r="D17" s="45"/>
      <c r="E17" s="45"/>
      <c r="F17" s="45"/>
      <c r="G17" s="45"/>
      <c r="H17" s="45"/>
      <c r="I17" s="2"/>
      <c r="J17" s="2"/>
      <c r="K17" s="54"/>
      <c r="L17" s="20" t="s">
        <v>36</v>
      </c>
      <c r="M17" s="21">
        <v>0.18</v>
      </c>
      <c r="N17" s="21">
        <v>0.18</v>
      </c>
      <c r="O17" s="21">
        <v>0.18</v>
      </c>
      <c r="P17" s="21">
        <v>0.18</v>
      </c>
      <c r="Q17" s="21">
        <v>0.18</v>
      </c>
      <c r="R17" s="21">
        <v>0.18</v>
      </c>
    </row>
    <row r="18" spans="1:18" ht="15" customHeight="1" x14ac:dyDescent="0.35">
      <c r="A18" s="2"/>
      <c r="B18" s="46"/>
      <c r="C18" s="30"/>
      <c r="D18" s="30"/>
      <c r="E18" s="30"/>
      <c r="F18" s="30"/>
      <c r="G18" s="30"/>
      <c r="H18" s="30"/>
      <c r="I18" s="2"/>
      <c r="J18" s="2"/>
      <c r="K18" s="54"/>
      <c r="L18" s="20" t="s">
        <v>54</v>
      </c>
      <c r="M18" s="21">
        <v>0.18</v>
      </c>
      <c r="N18" s="21">
        <v>0.18</v>
      </c>
      <c r="O18" s="21">
        <v>0.18</v>
      </c>
      <c r="P18" s="21">
        <v>0.18</v>
      </c>
      <c r="Q18" s="21">
        <v>0.18</v>
      </c>
      <c r="R18" s="21">
        <v>0.18</v>
      </c>
    </row>
    <row r="19" spans="1:18" ht="15" customHeight="1" x14ac:dyDescent="0.35">
      <c r="A19" s="2"/>
      <c r="B19" s="46"/>
      <c r="C19" s="30"/>
      <c r="D19" s="30"/>
      <c r="E19" s="30"/>
      <c r="F19" s="30"/>
      <c r="G19" s="30"/>
      <c r="H19" s="30"/>
      <c r="I19" s="2"/>
      <c r="J19" s="2"/>
      <c r="K19" s="54"/>
      <c r="L19" s="20" t="s">
        <v>55</v>
      </c>
      <c r="M19" s="21">
        <v>0.18</v>
      </c>
      <c r="N19" s="21">
        <v>0.18</v>
      </c>
      <c r="O19" s="21">
        <v>0.18</v>
      </c>
      <c r="P19" s="21">
        <v>0.18</v>
      </c>
      <c r="Q19" s="21">
        <v>0.18</v>
      </c>
      <c r="R19" s="21">
        <v>0.18</v>
      </c>
    </row>
    <row r="20" spans="1:18" ht="15" customHeight="1" x14ac:dyDescent="0.35">
      <c r="A20" s="2"/>
      <c r="B20" s="46"/>
      <c r="C20" s="29"/>
      <c r="D20" s="29"/>
      <c r="E20" s="29"/>
      <c r="F20" s="29"/>
      <c r="G20" s="29"/>
      <c r="H20" s="29"/>
      <c r="I20" s="2"/>
      <c r="J20" s="2"/>
      <c r="K20" s="54"/>
      <c r="L20" s="20" t="s">
        <v>56</v>
      </c>
      <c r="M20" s="21">
        <v>0.18</v>
      </c>
      <c r="N20" s="21">
        <v>0.18</v>
      </c>
      <c r="O20" s="21">
        <v>0.18</v>
      </c>
      <c r="P20" s="21">
        <v>0.18</v>
      </c>
      <c r="Q20" s="21">
        <v>0.18</v>
      </c>
      <c r="R20" s="21">
        <v>0.18</v>
      </c>
    </row>
    <row r="21" spans="1:18" ht="15" customHeight="1" x14ac:dyDescent="0.35">
      <c r="A21" s="2"/>
      <c r="I21" s="2"/>
      <c r="J21" s="2"/>
      <c r="K21" s="54"/>
      <c r="L21" s="20" t="s">
        <v>57</v>
      </c>
      <c r="M21" s="21">
        <v>0.18</v>
      </c>
      <c r="N21" s="21">
        <v>0.18</v>
      </c>
      <c r="O21" s="21">
        <v>0.18</v>
      </c>
      <c r="P21" s="21">
        <v>0.18</v>
      </c>
      <c r="Q21" s="21">
        <v>0.18</v>
      </c>
      <c r="R21" s="21">
        <v>0.18</v>
      </c>
    </row>
    <row r="22" spans="1:18" ht="1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55"/>
      <c r="L22" s="20" t="s">
        <v>58</v>
      </c>
      <c r="M22" s="21">
        <v>0.18</v>
      </c>
      <c r="N22" s="21">
        <v>0.18</v>
      </c>
      <c r="O22" s="21">
        <v>0.18</v>
      </c>
      <c r="P22" s="21">
        <v>0.18</v>
      </c>
      <c r="Q22" s="21">
        <v>0.18</v>
      </c>
      <c r="R22" s="21">
        <v>0.18</v>
      </c>
    </row>
    <row r="23" spans="1:18" ht="1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8" ht="1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L24" s="1" t="s">
        <v>16</v>
      </c>
      <c r="M24" s="1" t="s">
        <v>10</v>
      </c>
      <c r="N24" s="1" t="s">
        <v>11</v>
      </c>
      <c r="O24" s="1" t="s">
        <v>12</v>
      </c>
      <c r="P24" s="1" t="s">
        <v>13</v>
      </c>
      <c r="Q24" s="1" t="s">
        <v>46</v>
      </c>
      <c r="R24" s="1" t="s">
        <v>9</v>
      </c>
    </row>
    <row r="25" spans="1:18" ht="1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L25" s="4" t="s">
        <v>42</v>
      </c>
      <c r="M25" s="21">
        <f>SUM(M15:M22)*3*10</f>
        <v>43.199999999999996</v>
      </c>
      <c r="N25" s="21">
        <f t="shared" ref="N25:R25" si="5">SUM(N15:N22)*3*10</f>
        <v>43.199999999999996</v>
      </c>
      <c r="O25" s="21">
        <f t="shared" si="5"/>
        <v>43.199999999999996</v>
      </c>
      <c r="P25" s="21">
        <f t="shared" si="5"/>
        <v>43.199999999999996</v>
      </c>
      <c r="Q25" s="21">
        <f t="shared" si="5"/>
        <v>43.199999999999996</v>
      </c>
      <c r="R25" s="21">
        <f t="shared" si="5"/>
        <v>43.199999999999996</v>
      </c>
    </row>
    <row r="26" spans="1:18" ht="15" customHeight="1" x14ac:dyDescent="0.35">
      <c r="L26" s="52" t="s">
        <v>8</v>
      </c>
      <c r="M26" s="19">
        <f>M25+1</f>
        <v>44.199999999999996</v>
      </c>
      <c r="N26" s="19">
        <f t="shared" ref="N26:R26" si="6">N25+1</f>
        <v>44.199999999999996</v>
      </c>
      <c r="O26" s="19">
        <f t="shared" si="6"/>
        <v>44.199999999999996</v>
      </c>
      <c r="P26" s="19">
        <f t="shared" si="6"/>
        <v>44.199999999999996</v>
      </c>
      <c r="Q26" s="19">
        <f t="shared" si="6"/>
        <v>44.199999999999996</v>
      </c>
      <c r="R26" s="19">
        <f t="shared" si="6"/>
        <v>44.199999999999996</v>
      </c>
    </row>
    <row r="27" spans="1:18" ht="15" customHeight="1" x14ac:dyDescent="0.35"/>
    <row r="28" spans="1:18" ht="15" customHeight="1" x14ac:dyDescent="0.35"/>
    <row r="29" spans="1:18" ht="15" customHeight="1" x14ac:dyDescent="0.35">
      <c r="L29" s="1" t="s">
        <v>0</v>
      </c>
      <c r="M29" s="1" t="s">
        <v>10</v>
      </c>
      <c r="N29" s="1" t="s">
        <v>11</v>
      </c>
      <c r="O29" s="1" t="s">
        <v>12</v>
      </c>
      <c r="P29" s="1" t="s">
        <v>13</v>
      </c>
      <c r="Q29" s="1" t="s">
        <v>46</v>
      </c>
      <c r="R29" s="1" t="s">
        <v>9</v>
      </c>
    </row>
    <row r="30" spans="1:18" ht="15" customHeight="1" x14ac:dyDescent="0.35">
      <c r="K30" s="53" t="s">
        <v>7</v>
      </c>
      <c r="L30" s="20" t="s">
        <v>47</v>
      </c>
      <c r="M30" s="21">
        <v>0.02</v>
      </c>
      <c r="N30" s="21">
        <v>0.02</v>
      </c>
      <c r="O30" s="21">
        <v>0.02</v>
      </c>
      <c r="P30" s="21">
        <v>0.02</v>
      </c>
      <c r="Q30" s="21">
        <v>0.02</v>
      </c>
      <c r="R30" s="21">
        <v>0.02</v>
      </c>
    </row>
    <row r="31" spans="1:18" ht="15" customHeight="1" x14ac:dyDescent="0.35">
      <c r="K31" s="54"/>
      <c r="L31" s="20" t="s">
        <v>53</v>
      </c>
      <c r="M31" s="21">
        <v>0.02</v>
      </c>
      <c r="N31" s="21">
        <v>0.02</v>
      </c>
      <c r="O31" s="21">
        <v>0.02</v>
      </c>
      <c r="P31" s="21">
        <v>0.02</v>
      </c>
      <c r="Q31" s="21">
        <v>0.02</v>
      </c>
      <c r="R31" s="21">
        <v>0.02</v>
      </c>
    </row>
    <row r="32" spans="1:18" ht="15" customHeight="1" x14ac:dyDescent="0.35">
      <c r="K32" s="54"/>
      <c r="L32" s="20" t="s">
        <v>36</v>
      </c>
      <c r="M32" s="21">
        <v>0.02</v>
      </c>
      <c r="N32" s="21">
        <v>0.02</v>
      </c>
      <c r="O32" s="21">
        <v>0.02</v>
      </c>
      <c r="P32" s="21">
        <v>0.02</v>
      </c>
      <c r="Q32" s="21">
        <v>0.02</v>
      </c>
      <c r="R32" s="21">
        <v>0.02</v>
      </c>
    </row>
    <row r="33" spans="11:18" ht="15" customHeight="1" x14ac:dyDescent="0.35">
      <c r="K33" s="54"/>
      <c r="L33" s="20" t="s">
        <v>54</v>
      </c>
      <c r="M33" s="21">
        <v>0.02</v>
      </c>
      <c r="N33" s="21">
        <v>0.02</v>
      </c>
      <c r="O33" s="21">
        <v>0.02</v>
      </c>
      <c r="P33" s="21">
        <v>0.02</v>
      </c>
      <c r="Q33" s="21">
        <v>0.02</v>
      </c>
      <c r="R33" s="21">
        <v>0.02</v>
      </c>
    </row>
    <row r="34" spans="11:18" ht="15" customHeight="1" x14ac:dyDescent="0.35">
      <c r="K34" s="54"/>
      <c r="L34" s="20" t="s">
        <v>55</v>
      </c>
      <c r="M34" s="21">
        <v>0.02</v>
      </c>
      <c r="N34" s="21">
        <v>0.02</v>
      </c>
      <c r="O34" s="21">
        <v>0.02</v>
      </c>
      <c r="P34" s="21">
        <v>0.02</v>
      </c>
      <c r="Q34" s="21">
        <v>0.02</v>
      </c>
      <c r="R34" s="21">
        <v>0.02</v>
      </c>
    </row>
    <row r="35" spans="11:18" ht="15" customHeight="1" x14ac:dyDescent="0.35">
      <c r="K35" s="54"/>
      <c r="L35" s="20" t="s">
        <v>56</v>
      </c>
      <c r="M35" s="21">
        <v>0.02</v>
      </c>
      <c r="N35" s="21">
        <v>0.02</v>
      </c>
      <c r="O35" s="21">
        <v>0.02</v>
      </c>
      <c r="P35" s="21">
        <v>0.02</v>
      </c>
      <c r="Q35" s="21">
        <v>0.02</v>
      </c>
      <c r="R35" s="21">
        <v>0.02</v>
      </c>
    </row>
    <row r="36" spans="11:18" ht="15" customHeight="1" x14ac:dyDescent="0.35">
      <c r="K36" s="54"/>
      <c r="L36" s="20" t="s">
        <v>57</v>
      </c>
      <c r="M36" s="21">
        <v>0.02</v>
      </c>
      <c r="N36" s="21">
        <v>0.02</v>
      </c>
      <c r="O36" s="21">
        <v>0.02</v>
      </c>
      <c r="P36" s="21">
        <v>0.02</v>
      </c>
      <c r="Q36" s="21">
        <v>0.02</v>
      </c>
      <c r="R36" s="21">
        <v>0.02</v>
      </c>
    </row>
    <row r="37" spans="11:18" ht="15" customHeight="1" x14ac:dyDescent="0.35">
      <c r="K37" s="55"/>
      <c r="L37" s="20" t="s">
        <v>58</v>
      </c>
      <c r="M37" s="21">
        <v>0.02</v>
      </c>
      <c r="N37" s="21">
        <v>0.02</v>
      </c>
      <c r="O37" s="21">
        <v>0.02</v>
      </c>
      <c r="P37" s="21">
        <v>0.02</v>
      </c>
      <c r="Q37" s="21">
        <v>0.02</v>
      </c>
      <c r="R37" s="21">
        <v>0.02</v>
      </c>
    </row>
    <row r="38" spans="11:18" ht="15" customHeight="1" x14ac:dyDescent="0.35"/>
    <row r="39" spans="11:18" ht="15" customHeight="1" x14ac:dyDescent="0.35">
      <c r="L39" s="1" t="s">
        <v>0</v>
      </c>
      <c r="M39" s="1" t="s">
        <v>10</v>
      </c>
      <c r="N39" s="1" t="s">
        <v>11</v>
      </c>
      <c r="O39" s="1" t="s">
        <v>12</v>
      </c>
      <c r="P39" s="1" t="s">
        <v>13</v>
      </c>
      <c r="Q39" s="1" t="s">
        <v>46</v>
      </c>
      <c r="R39" s="1" t="s">
        <v>9</v>
      </c>
    </row>
    <row r="40" spans="11:18" ht="15" customHeight="1" x14ac:dyDescent="0.35">
      <c r="L40" s="4" t="s">
        <v>42</v>
      </c>
      <c r="M40" s="21">
        <f>SUM(M30:M37)*3*10</f>
        <v>4.8</v>
      </c>
      <c r="N40" s="21">
        <f t="shared" ref="N40:R40" si="7">SUM(N30:N37)*3*10</f>
        <v>4.8</v>
      </c>
      <c r="O40" s="21">
        <f t="shared" si="7"/>
        <v>4.8</v>
      </c>
      <c r="P40" s="21">
        <f t="shared" si="7"/>
        <v>4.8</v>
      </c>
      <c r="Q40" s="21">
        <f t="shared" si="7"/>
        <v>4.8</v>
      </c>
      <c r="R40" s="21">
        <f t="shared" si="7"/>
        <v>4.8</v>
      </c>
    </row>
    <row r="41" spans="11:18" ht="15" customHeight="1" x14ac:dyDescent="0.35">
      <c r="L41" s="52" t="s">
        <v>8</v>
      </c>
      <c r="M41" s="19">
        <f>M40+1</f>
        <v>5.8</v>
      </c>
      <c r="N41" s="19">
        <f t="shared" ref="N41:R41" si="8">N40+1</f>
        <v>5.8</v>
      </c>
      <c r="O41" s="19">
        <f t="shared" si="8"/>
        <v>5.8</v>
      </c>
      <c r="P41" s="19">
        <f t="shared" si="8"/>
        <v>5.8</v>
      </c>
      <c r="Q41" s="19">
        <f t="shared" si="8"/>
        <v>5.8</v>
      </c>
      <c r="R41" s="19">
        <f t="shared" si="8"/>
        <v>5.8</v>
      </c>
    </row>
  </sheetData>
  <mergeCells count="6">
    <mergeCell ref="K30:K37"/>
    <mergeCell ref="A2:A7"/>
    <mergeCell ref="K2:K11"/>
    <mergeCell ref="L4:L11"/>
    <mergeCell ref="A10:A15"/>
    <mergeCell ref="K15:K22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7"/>
  <sheetViews>
    <sheetView workbookViewId="0"/>
  </sheetViews>
  <sheetFormatPr defaultColWidth="8.7265625" defaultRowHeight="14.5" x14ac:dyDescent="0.35"/>
  <cols>
    <col min="1" max="1" width="4.7265625" customWidth="1"/>
    <col min="2" max="2" width="15.7265625" customWidth="1"/>
    <col min="3" max="9" width="8.7265625" customWidth="1"/>
    <col min="10" max="11" width="4.7265625" customWidth="1"/>
    <col min="12" max="12" width="15.7265625" customWidth="1"/>
    <col min="13" max="19" width="8.7265625" customWidth="1"/>
  </cols>
  <sheetData>
    <row r="1" spans="1:21" ht="15" customHeight="1" x14ac:dyDescent="0.35">
      <c r="A1" s="2"/>
      <c r="B1" s="1" t="s">
        <v>0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46</v>
      </c>
      <c r="H1" s="1" t="s">
        <v>9</v>
      </c>
      <c r="I1" s="2"/>
      <c r="J1" s="2"/>
      <c r="K1" s="2"/>
      <c r="L1" s="1" t="s">
        <v>16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46</v>
      </c>
      <c r="R1" s="1" t="s">
        <v>9</v>
      </c>
      <c r="S1" s="2"/>
      <c r="T1" s="25"/>
      <c r="U1" s="25"/>
    </row>
    <row r="2" spans="1:21" ht="15" customHeight="1" x14ac:dyDescent="0.35">
      <c r="A2" s="60" t="s">
        <v>6</v>
      </c>
      <c r="B2" s="12" t="s">
        <v>2</v>
      </c>
      <c r="C2" s="13">
        <v>7.3597079979359998</v>
      </c>
      <c r="D2" s="13">
        <v>3.2022960051600005</v>
      </c>
      <c r="E2" s="13">
        <v>3.4195320046440001</v>
      </c>
      <c r="F2" s="13">
        <v>6.9355559994840004</v>
      </c>
      <c r="G2" s="13">
        <v>7.9794239958720006</v>
      </c>
      <c r="H2" s="13">
        <v>7.6037760030959998</v>
      </c>
      <c r="I2" s="2"/>
      <c r="J2" s="2"/>
      <c r="K2" s="53" t="s">
        <v>1</v>
      </c>
      <c r="L2" s="27" t="s">
        <v>2</v>
      </c>
      <c r="M2" s="16">
        <v>1000</v>
      </c>
      <c r="N2" s="16">
        <v>1000</v>
      </c>
      <c r="O2" s="16">
        <v>1000</v>
      </c>
      <c r="P2" s="16">
        <v>1000</v>
      </c>
      <c r="Q2" s="16">
        <v>1000</v>
      </c>
      <c r="R2" s="16">
        <v>1000</v>
      </c>
      <c r="S2" s="2"/>
      <c r="T2" s="30"/>
      <c r="U2" s="30"/>
    </row>
    <row r="3" spans="1:21" ht="15" customHeight="1" x14ac:dyDescent="0.35">
      <c r="A3" s="60"/>
      <c r="B3" s="12" t="s">
        <v>3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2"/>
      <c r="J3" s="2"/>
      <c r="K3" s="54"/>
      <c r="L3" s="27" t="s">
        <v>3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2"/>
      <c r="T3" s="30"/>
      <c r="U3" s="30"/>
    </row>
    <row r="4" spans="1:21" ht="15" customHeight="1" x14ac:dyDescent="0.35">
      <c r="A4" s="60"/>
      <c r="B4" s="12" t="s">
        <v>19</v>
      </c>
      <c r="C4" s="3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2"/>
      <c r="J4" s="2"/>
      <c r="K4" s="54"/>
      <c r="L4" s="57" t="s">
        <v>4</v>
      </c>
      <c r="M4" s="15">
        <v>1000</v>
      </c>
      <c r="N4" s="15">
        <v>1000</v>
      </c>
      <c r="O4" s="15">
        <v>1000</v>
      </c>
      <c r="P4" s="15">
        <v>1000</v>
      </c>
      <c r="Q4" s="15">
        <v>1000</v>
      </c>
      <c r="R4" s="15">
        <v>1000</v>
      </c>
      <c r="S4" s="2"/>
      <c r="T4" s="30"/>
      <c r="U4" s="30"/>
    </row>
    <row r="5" spans="1:21" ht="15" customHeight="1" x14ac:dyDescent="0.35">
      <c r="A5" s="60"/>
      <c r="B5" s="12" t="s">
        <v>20</v>
      </c>
      <c r="C5" s="14">
        <f t="shared" ref="C5:H5" si="0">((C4*C$3)/C$2)</f>
        <v>0.40762486784004714</v>
      </c>
      <c r="D5" s="14">
        <f t="shared" si="0"/>
        <v>0.93682782452526814</v>
      </c>
      <c r="E5" s="14">
        <f t="shared" si="0"/>
        <v>0.87731303462747479</v>
      </c>
      <c r="F5" s="14">
        <f t="shared" si="0"/>
        <v>0.43255364100919919</v>
      </c>
      <c r="G5" s="14">
        <f>((G4*G$3)/G$2)</f>
        <v>0.37596698728529671</v>
      </c>
      <c r="H5" s="14">
        <f t="shared" si="0"/>
        <v>0.39454081745418351</v>
      </c>
      <c r="I5" s="2"/>
      <c r="J5" s="2"/>
      <c r="K5" s="54"/>
      <c r="L5" s="58"/>
      <c r="M5" s="16">
        <v>800</v>
      </c>
      <c r="N5" s="16">
        <v>800</v>
      </c>
      <c r="O5" s="16">
        <v>800</v>
      </c>
      <c r="P5" s="16">
        <v>800</v>
      </c>
      <c r="Q5" s="16">
        <v>800</v>
      </c>
      <c r="R5" s="16">
        <v>800</v>
      </c>
      <c r="S5" s="2"/>
      <c r="T5" s="30"/>
      <c r="U5" s="30"/>
    </row>
    <row r="6" spans="1:21" ht="15" customHeight="1" x14ac:dyDescent="0.35">
      <c r="A6" s="60"/>
      <c r="B6" s="12" t="s">
        <v>37</v>
      </c>
      <c r="C6" s="14">
        <f>(((C4*C$3)/C$2))*10</f>
        <v>4.0762486784004714</v>
      </c>
      <c r="D6" s="14">
        <f t="shared" ref="D6:H6" si="1">(((D4*D$3)/D$2))*10</f>
        <v>9.3682782452526823</v>
      </c>
      <c r="E6" s="14">
        <f t="shared" si="1"/>
        <v>8.7731303462747476</v>
      </c>
      <c r="F6" s="14">
        <f t="shared" si="1"/>
        <v>4.325536410091992</v>
      </c>
      <c r="G6" s="14">
        <f t="shared" si="1"/>
        <v>3.7596698728529669</v>
      </c>
      <c r="H6" s="14">
        <f t="shared" si="1"/>
        <v>3.9454081745418352</v>
      </c>
      <c r="I6" s="2"/>
      <c r="J6" s="2"/>
      <c r="K6" s="54"/>
      <c r="L6" s="58"/>
      <c r="M6" s="16">
        <v>600</v>
      </c>
      <c r="N6" s="16">
        <v>600</v>
      </c>
      <c r="O6" s="16">
        <v>600</v>
      </c>
      <c r="P6" s="16">
        <v>600</v>
      </c>
      <c r="Q6" s="16">
        <v>600</v>
      </c>
      <c r="R6" s="16">
        <v>600</v>
      </c>
      <c r="S6" s="2"/>
      <c r="T6" s="30"/>
      <c r="U6" s="30"/>
    </row>
    <row r="7" spans="1:21" ht="15" customHeight="1" x14ac:dyDescent="0.35">
      <c r="A7" s="60"/>
      <c r="B7" s="12" t="s">
        <v>5</v>
      </c>
      <c r="C7" s="6">
        <v>10</v>
      </c>
      <c r="D7" s="6">
        <v>10</v>
      </c>
      <c r="E7" s="6">
        <v>10</v>
      </c>
      <c r="F7" s="6">
        <v>10</v>
      </c>
      <c r="G7" s="6">
        <v>10</v>
      </c>
      <c r="H7" s="6">
        <v>10</v>
      </c>
      <c r="I7" s="2"/>
      <c r="J7" s="2"/>
      <c r="K7" s="54"/>
      <c r="L7" s="58"/>
      <c r="M7" s="15">
        <v>400</v>
      </c>
      <c r="N7" s="15">
        <v>400</v>
      </c>
      <c r="O7" s="15">
        <v>400</v>
      </c>
      <c r="P7" s="15">
        <v>400</v>
      </c>
      <c r="Q7" s="15">
        <v>400</v>
      </c>
      <c r="R7" s="15">
        <v>400</v>
      </c>
      <c r="S7" s="2"/>
      <c r="T7" s="30"/>
      <c r="U7" s="30"/>
    </row>
    <row r="8" spans="1:21" ht="1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54"/>
      <c r="L8" s="58"/>
      <c r="M8" s="16">
        <v>200</v>
      </c>
      <c r="N8" s="16">
        <v>200</v>
      </c>
      <c r="O8" s="16">
        <v>200</v>
      </c>
      <c r="P8" s="16">
        <v>200</v>
      </c>
      <c r="Q8" s="16">
        <v>200</v>
      </c>
      <c r="R8" s="16">
        <v>200</v>
      </c>
      <c r="S8" s="2"/>
      <c r="T8" s="30"/>
      <c r="U8" s="30"/>
    </row>
    <row r="9" spans="1:21" ht="15" customHeight="1" x14ac:dyDescent="0.35">
      <c r="A9" s="2"/>
      <c r="B9" s="1" t="s">
        <v>0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46</v>
      </c>
      <c r="H9" s="1" t="s">
        <v>9</v>
      </c>
      <c r="I9" s="2"/>
      <c r="J9" s="2"/>
      <c r="K9" s="54"/>
      <c r="L9" s="58"/>
      <c r="M9" s="15">
        <v>100</v>
      </c>
      <c r="N9" s="15">
        <v>100</v>
      </c>
      <c r="O9" s="15">
        <v>100</v>
      </c>
      <c r="P9" s="15">
        <v>100</v>
      </c>
      <c r="Q9" s="15">
        <v>100</v>
      </c>
      <c r="R9" s="15">
        <v>100</v>
      </c>
      <c r="S9" s="2"/>
      <c r="T9" s="30"/>
      <c r="U9" s="30"/>
    </row>
    <row r="10" spans="1:21" ht="15" customHeight="1" x14ac:dyDescent="0.35">
      <c r="A10" s="53" t="s">
        <v>21</v>
      </c>
      <c r="B10" s="4" t="s">
        <v>2</v>
      </c>
      <c r="C10" s="9">
        <v>2.7763770885480001</v>
      </c>
      <c r="D10" s="9">
        <v>2.1189383956439998</v>
      </c>
      <c r="E10" s="9">
        <v>1.7277494333399999</v>
      </c>
      <c r="F10" s="9">
        <v>2.2560594368759999</v>
      </c>
      <c r="G10" s="9">
        <v>2.2453093446839998</v>
      </c>
      <c r="H10" s="9">
        <v>2.3526735812999999</v>
      </c>
      <c r="I10" s="2"/>
      <c r="J10" s="2"/>
      <c r="K10" s="54"/>
      <c r="L10" s="58"/>
      <c r="M10" s="16">
        <v>80</v>
      </c>
      <c r="N10" s="16">
        <v>80</v>
      </c>
      <c r="O10" s="16">
        <v>80</v>
      </c>
      <c r="P10" s="16">
        <v>80</v>
      </c>
      <c r="Q10" s="16">
        <v>80</v>
      </c>
      <c r="R10" s="16">
        <v>80</v>
      </c>
      <c r="S10" s="2"/>
      <c r="T10" s="30"/>
      <c r="U10" s="30"/>
    </row>
    <row r="11" spans="1:21" ht="15" customHeight="1" x14ac:dyDescent="0.35">
      <c r="A11" s="54"/>
      <c r="B11" s="4" t="s">
        <v>3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2"/>
      <c r="J11" s="2"/>
      <c r="K11" s="54"/>
      <c r="L11" s="58"/>
      <c r="M11" s="15">
        <v>60</v>
      </c>
      <c r="N11" s="15">
        <v>50</v>
      </c>
      <c r="O11" s="15">
        <v>50</v>
      </c>
      <c r="P11" s="15">
        <v>50</v>
      </c>
      <c r="Q11" s="15">
        <v>50</v>
      </c>
      <c r="R11" s="15">
        <v>50</v>
      </c>
      <c r="S11" s="2"/>
      <c r="T11" s="30"/>
      <c r="U11" s="30"/>
    </row>
    <row r="12" spans="1:21" ht="15" customHeight="1" x14ac:dyDescent="0.35">
      <c r="A12" s="54"/>
      <c r="B12" s="4" t="s">
        <v>14</v>
      </c>
      <c r="C12" s="6">
        <v>0.5</v>
      </c>
      <c r="D12" s="6">
        <v>0.5</v>
      </c>
      <c r="E12" s="6">
        <v>0.5</v>
      </c>
      <c r="F12" s="6">
        <v>0.5</v>
      </c>
      <c r="G12" s="6">
        <v>0.5</v>
      </c>
      <c r="H12" s="6">
        <v>0.5</v>
      </c>
      <c r="I12" s="2"/>
      <c r="J12" s="2"/>
      <c r="K12" s="54"/>
      <c r="L12" s="58"/>
      <c r="M12" s="16">
        <v>40</v>
      </c>
      <c r="N12" s="16">
        <v>40</v>
      </c>
      <c r="O12" s="16">
        <v>40</v>
      </c>
      <c r="P12" s="16">
        <v>40</v>
      </c>
      <c r="Q12" s="16">
        <v>40</v>
      </c>
      <c r="R12" s="16">
        <v>40</v>
      </c>
      <c r="S12" s="2"/>
    </row>
    <row r="13" spans="1:21" ht="15" customHeight="1" x14ac:dyDescent="0.35">
      <c r="A13" s="54"/>
      <c r="B13" s="4" t="s">
        <v>15</v>
      </c>
      <c r="C13" s="10">
        <f>((C12*C$11)/C$10)</f>
        <v>0.18009081045309008</v>
      </c>
      <c r="D13" s="10">
        <f t="shared" ref="D13:H13" si="2">((D12*D$11)/D$10)</f>
        <v>0.23596721878647972</v>
      </c>
      <c r="E13" s="10">
        <f t="shared" si="2"/>
        <v>0.28939381507040907</v>
      </c>
      <c r="F13" s="10">
        <f t="shared" si="2"/>
        <v>0.22162536670237629</v>
      </c>
      <c r="G13" s="10">
        <f t="shared" si="2"/>
        <v>0.22268646464408182</v>
      </c>
      <c r="H13" s="10">
        <f t="shared" si="2"/>
        <v>0.21252416993764114</v>
      </c>
      <c r="I13" s="2"/>
      <c r="J13" s="2"/>
      <c r="K13" s="55"/>
      <c r="L13" s="59"/>
      <c r="M13" s="16">
        <v>20</v>
      </c>
      <c r="N13" s="16">
        <v>20</v>
      </c>
      <c r="O13" s="16">
        <v>20</v>
      </c>
      <c r="P13" s="16">
        <v>20</v>
      </c>
      <c r="Q13" s="16">
        <v>20</v>
      </c>
      <c r="R13" s="16">
        <v>20</v>
      </c>
      <c r="S13" s="2"/>
      <c r="T13" s="25"/>
      <c r="U13" s="25"/>
    </row>
    <row r="14" spans="1:21" ht="15" customHeight="1" x14ac:dyDescent="0.35">
      <c r="A14" s="54"/>
      <c r="B14" s="4" t="s">
        <v>25</v>
      </c>
      <c r="C14" s="10">
        <f>(((C12*C$11)/C$10))*2</f>
        <v>0.36018162090618017</v>
      </c>
      <c r="D14" s="10">
        <f t="shared" ref="D14:H14" si="3">(((D12*D$11)/D$10))*2</f>
        <v>0.47193443757295944</v>
      </c>
      <c r="E14" s="10">
        <f t="shared" si="3"/>
        <v>0.57878763014081813</v>
      </c>
      <c r="F14" s="10">
        <f t="shared" si="3"/>
        <v>0.44325073340475257</v>
      </c>
      <c r="G14" s="10">
        <f t="shared" si="3"/>
        <v>0.44537292928816363</v>
      </c>
      <c r="H14" s="10">
        <f t="shared" si="3"/>
        <v>0.42504833987528229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9"/>
      <c r="U14" s="29"/>
    </row>
    <row r="15" spans="1:21" ht="15" customHeight="1" x14ac:dyDescent="0.35">
      <c r="A15" s="55"/>
      <c r="B15" s="4" t="s">
        <v>5</v>
      </c>
      <c r="C15" s="11">
        <f>2-C14</f>
        <v>1.6398183790938199</v>
      </c>
      <c r="D15" s="11">
        <f t="shared" ref="D15:H15" si="4">2-D14</f>
        <v>1.5280655624270405</v>
      </c>
      <c r="E15" s="11">
        <f t="shared" si="4"/>
        <v>1.4212123698591819</v>
      </c>
      <c r="F15" s="11">
        <f t="shared" si="4"/>
        <v>1.5567492665952474</v>
      </c>
      <c r="G15" s="11">
        <f t="shared" si="4"/>
        <v>1.5546270707118364</v>
      </c>
      <c r="H15" s="11">
        <f t="shared" si="4"/>
        <v>1.5749516601247178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30"/>
      <c r="U15" s="30"/>
    </row>
    <row r="16" spans="1:21" ht="1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1" t="s">
        <v>16</v>
      </c>
      <c r="M16" s="1" t="s">
        <v>10</v>
      </c>
      <c r="N16" s="1" t="s">
        <v>11</v>
      </c>
      <c r="O16" s="1" t="s">
        <v>12</v>
      </c>
      <c r="P16" s="1" t="s">
        <v>13</v>
      </c>
      <c r="Q16" s="1" t="s">
        <v>46</v>
      </c>
      <c r="R16" s="1" t="s">
        <v>9</v>
      </c>
      <c r="T16" s="1" t="s">
        <v>43</v>
      </c>
      <c r="U16" s="1" t="s">
        <v>18</v>
      </c>
    </row>
    <row r="17" spans="1:21" ht="15" customHeight="1" x14ac:dyDescent="0.35">
      <c r="A17" s="2"/>
      <c r="B17" s="1" t="s">
        <v>0</v>
      </c>
      <c r="C17" s="1" t="s">
        <v>10</v>
      </c>
      <c r="D17" s="1" t="s">
        <v>11</v>
      </c>
      <c r="E17" s="1" t="s">
        <v>12</v>
      </c>
      <c r="F17" s="1" t="s">
        <v>13</v>
      </c>
      <c r="G17" s="1" t="s">
        <v>46</v>
      </c>
      <c r="H17" s="1" t="s">
        <v>9</v>
      </c>
      <c r="I17" s="2"/>
      <c r="J17" s="2"/>
      <c r="K17" s="53" t="s">
        <v>7</v>
      </c>
      <c r="L17" s="20" t="s">
        <v>27</v>
      </c>
      <c r="M17" s="21">
        <v>0.18</v>
      </c>
      <c r="N17" s="21">
        <v>0.18</v>
      </c>
      <c r="O17" s="21">
        <v>0.18</v>
      </c>
      <c r="P17" s="21">
        <v>0.18</v>
      </c>
      <c r="Q17" s="21">
        <v>0.18</v>
      </c>
      <c r="R17" s="21">
        <v>0.18</v>
      </c>
      <c r="T17" s="17">
        <f>(SUM(M17:R17)*3)*1000/1000</f>
        <v>3.2399999999999993</v>
      </c>
      <c r="U17" s="17">
        <f t="shared" ref="U17:U26" si="5">(SUM(M17:R17)*3)-T17</f>
        <v>0</v>
      </c>
    </row>
    <row r="18" spans="1:21" ht="15" customHeight="1" x14ac:dyDescent="0.35">
      <c r="A18" s="2"/>
      <c r="B18" s="4" t="s">
        <v>23</v>
      </c>
      <c r="C18" s="17">
        <f>C13*3*10</f>
        <v>5.402724313592703</v>
      </c>
      <c r="D18" s="17">
        <f t="shared" ref="D18:H18" si="6">D13*3*10</f>
        <v>7.0790165635943918</v>
      </c>
      <c r="E18" s="17">
        <f t="shared" si="6"/>
        <v>8.6818144521122722</v>
      </c>
      <c r="F18" s="17">
        <f t="shared" si="6"/>
        <v>6.6487610010712883</v>
      </c>
      <c r="G18" s="17">
        <f t="shared" si="6"/>
        <v>6.6805939393224545</v>
      </c>
      <c r="H18" s="17">
        <f t="shared" si="6"/>
        <v>6.3757250981292346</v>
      </c>
      <c r="I18" s="2"/>
      <c r="J18" s="2"/>
      <c r="K18" s="54"/>
      <c r="L18" s="20" t="s">
        <v>28</v>
      </c>
      <c r="M18" s="21">
        <v>0.18</v>
      </c>
      <c r="N18" s="21">
        <v>0.18</v>
      </c>
      <c r="O18" s="21">
        <v>0.18</v>
      </c>
      <c r="P18" s="21">
        <v>0.18</v>
      </c>
      <c r="Q18" s="21">
        <v>0.18</v>
      </c>
      <c r="R18" s="21">
        <v>0.18</v>
      </c>
      <c r="T18" s="17">
        <f>(SUM(M18:R18)*3)*800/1000</f>
        <v>2.5919999999999996</v>
      </c>
      <c r="U18" s="17">
        <f t="shared" si="5"/>
        <v>0.64799999999999969</v>
      </c>
    </row>
    <row r="19" spans="1:21" ht="15" customHeight="1" x14ac:dyDescent="0.35">
      <c r="A19" s="2"/>
      <c r="B19" s="12" t="s">
        <v>8</v>
      </c>
      <c r="C19" s="18">
        <f>C18+5</f>
        <v>10.402724313592703</v>
      </c>
      <c r="D19" s="18">
        <f t="shared" ref="D19:H19" si="7">D18+5</f>
        <v>12.079016563594392</v>
      </c>
      <c r="E19" s="18">
        <f t="shared" si="7"/>
        <v>13.681814452112272</v>
      </c>
      <c r="F19" s="18">
        <f t="shared" si="7"/>
        <v>11.648761001071289</v>
      </c>
      <c r="G19" s="18">
        <f t="shared" si="7"/>
        <v>11.680593939322454</v>
      </c>
      <c r="H19" s="18">
        <f t="shared" si="7"/>
        <v>11.375725098129234</v>
      </c>
      <c r="I19" s="2"/>
      <c r="J19" s="2"/>
      <c r="K19" s="54"/>
      <c r="L19" s="20" t="s">
        <v>29</v>
      </c>
      <c r="M19" s="21">
        <v>0.18</v>
      </c>
      <c r="N19" s="21">
        <v>0.18</v>
      </c>
      <c r="O19" s="21">
        <v>0.18</v>
      </c>
      <c r="P19" s="21">
        <v>0.18</v>
      </c>
      <c r="Q19" s="21">
        <v>0.18</v>
      </c>
      <c r="R19" s="21">
        <v>0.18</v>
      </c>
      <c r="T19" s="17">
        <f>(SUM(M19:R19)*3)*600/1000</f>
        <v>1.9439999999999995</v>
      </c>
      <c r="U19" s="17">
        <f t="shared" si="5"/>
        <v>1.2959999999999998</v>
      </c>
    </row>
    <row r="20" spans="1:21" ht="15" x14ac:dyDescent="0.35">
      <c r="A20" s="2"/>
      <c r="B20" s="12" t="s">
        <v>24</v>
      </c>
      <c r="C20" s="8">
        <f>C19*0.02</f>
        <v>0.20805448627185408</v>
      </c>
      <c r="D20" s="8">
        <f t="shared" ref="D20:H20" si="8">D19*0.02</f>
        <v>0.24158033127188785</v>
      </c>
      <c r="E20" s="8">
        <f t="shared" si="8"/>
        <v>0.27363628904224546</v>
      </c>
      <c r="F20" s="8">
        <f t="shared" si="8"/>
        <v>0.23297522002142579</v>
      </c>
      <c r="G20" s="8">
        <f t="shared" si="8"/>
        <v>0.2336118787864491</v>
      </c>
      <c r="H20" s="8">
        <f t="shared" si="8"/>
        <v>0.22751450196258469</v>
      </c>
      <c r="I20" s="2"/>
      <c r="J20" s="2"/>
      <c r="K20" s="54"/>
      <c r="L20" s="20" t="s">
        <v>30</v>
      </c>
      <c r="M20" s="21">
        <v>0.18</v>
      </c>
      <c r="N20" s="21">
        <v>0.18</v>
      </c>
      <c r="O20" s="21">
        <v>0.18</v>
      </c>
      <c r="P20" s="21">
        <v>0.18</v>
      </c>
      <c r="Q20" s="21">
        <v>0.18</v>
      </c>
      <c r="R20" s="21">
        <v>0.18</v>
      </c>
      <c r="T20" s="17">
        <f>(SUM(M20:R20)*3)*400/1000</f>
        <v>1.2959999999999998</v>
      </c>
      <c r="U20" s="17">
        <f t="shared" si="5"/>
        <v>1.9439999999999995</v>
      </c>
    </row>
    <row r="21" spans="1:21" ht="15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54"/>
      <c r="L21" s="20" t="s">
        <v>31</v>
      </c>
      <c r="M21" s="21">
        <v>0.18</v>
      </c>
      <c r="N21" s="21">
        <v>0.18</v>
      </c>
      <c r="O21" s="21">
        <v>0.18</v>
      </c>
      <c r="P21" s="21">
        <v>0.18</v>
      </c>
      <c r="Q21" s="21">
        <v>0.18</v>
      </c>
      <c r="R21" s="21">
        <v>0.18</v>
      </c>
      <c r="T21" s="17">
        <f>(SUM(M21:R21)*3)*200/1000</f>
        <v>0.64799999999999991</v>
      </c>
      <c r="U21" s="17">
        <f t="shared" si="5"/>
        <v>2.5919999999999996</v>
      </c>
    </row>
    <row r="22" spans="1:21" ht="15" x14ac:dyDescent="0.35">
      <c r="A22" s="2"/>
      <c r="I22" s="2"/>
      <c r="J22" s="2"/>
      <c r="K22" s="54"/>
      <c r="L22" s="20" t="s">
        <v>32</v>
      </c>
      <c r="M22" s="21">
        <v>0.18</v>
      </c>
      <c r="N22" s="21">
        <v>0.18</v>
      </c>
      <c r="O22" s="21">
        <v>0.18</v>
      </c>
      <c r="P22" s="21">
        <v>0.18</v>
      </c>
      <c r="Q22" s="21">
        <v>0.18</v>
      </c>
      <c r="R22" s="21">
        <v>0.18</v>
      </c>
      <c r="T22" s="17">
        <f>(SUM(M22:R22)*3)*100/1000</f>
        <v>0.32399999999999995</v>
      </c>
      <c r="U22" s="17">
        <f t="shared" si="5"/>
        <v>2.9159999999999995</v>
      </c>
    </row>
    <row r="23" spans="1:21" ht="15" x14ac:dyDescent="0.35">
      <c r="A23" s="2"/>
      <c r="I23" s="2"/>
      <c r="J23" s="2"/>
      <c r="K23" s="54"/>
      <c r="L23" s="20" t="s">
        <v>33</v>
      </c>
      <c r="M23" s="21">
        <v>0.18</v>
      </c>
      <c r="N23" s="21">
        <v>0.18</v>
      </c>
      <c r="O23" s="21">
        <v>0.18</v>
      </c>
      <c r="P23" s="21">
        <v>0.18</v>
      </c>
      <c r="Q23" s="21">
        <v>0.18</v>
      </c>
      <c r="R23" s="21">
        <v>0.18</v>
      </c>
      <c r="T23" s="17">
        <f>(SUM(M23:R23)*3)*80/1000</f>
        <v>0.25919999999999993</v>
      </c>
      <c r="U23" s="17">
        <f t="shared" si="5"/>
        <v>2.9807999999999995</v>
      </c>
    </row>
    <row r="24" spans="1:21" ht="15" x14ac:dyDescent="0.35">
      <c r="A24" s="2"/>
      <c r="I24" s="2"/>
      <c r="J24" s="2"/>
      <c r="K24" s="54"/>
      <c r="L24" s="20" t="s">
        <v>34</v>
      </c>
      <c r="M24" s="21">
        <v>0.18</v>
      </c>
      <c r="N24" s="21">
        <v>0.18</v>
      </c>
      <c r="O24" s="21">
        <v>0.18</v>
      </c>
      <c r="P24" s="21">
        <v>0.18</v>
      </c>
      <c r="Q24" s="21">
        <v>0.18</v>
      </c>
      <c r="R24" s="21">
        <v>0.18</v>
      </c>
      <c r="T24" s="17">
        <f>(SUM(M24:R24)*3)*60/1000</f>
        <v>0.19439999999999996</v>
      </c>
      <c r="U24" s="17">
        <f t="shared" si="5"/>
        <v>3.0455999999999994</v>
      </c>
    </row>
    <row r="25" spans="1:21" ht="15" x14ac:dyDescent="0.35">
      <c r="A25" s="2"/>
      <c r="I25" s="2"/>
      <c r="J25" s="2"/>
      <c r="K25" s="54"/>
      <c r="L25" s="20" t="s">
        <v>35</v>
      </c>
      <c r="M25" s="21">
        <v>0.18</v>
      </c>
      <c r="N25" s="21">
        <v>0.18</v>
      </c>
      <c r="O25" s="21">
        <v>0.18</v>
      </c>
      <c r="P25" s="21">
        <v>0.18</v>
      </c>
      <c r="Q25" s="21">
        <v>0.18</v>
      </c>
      <c r="R25" s="21">
        <v>0.18</v>
      </c>
      <c r="T25" s="17">
        <f>(SUM(M25:R25)*3)*40/1000</f>
        <v>0.12959999999999997</v>
      </c>
      <c r="U25" s="17">
        <f t="shared" si="5"/>
        <v>3.1103999999999994</v>
      </c>
    </row>
    <row r="26" spans="1:21" ht="15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55"/>
      <c r="L26" s="20" t="s">
        <v>36</v>
      </c>
      <c r="M26" s="21">
        <v>0.18</v>
      </c>
      <c r="N26" s="21">
        <v>0.18</v>
      </c>
      <c r="O26" s="21">
        <v>0.18</v>
      </c>
      <c r="P26" s="21">
        <v>0.18</v>
      </c>
      <c r="Q26" s="21">
        <v>0.18</v>
      </c>
      <c r="R26" s="21">
        <v>0.18</v>
      </c>
      <c r="T26" s="17">
        <f>(SUM(M26:R26)*3)*20/1000</f>
        <v>6.4799999999999983E-2</v>
      </c>
      <c r="U26" s="17">
        <f t="shared" si="5"/>
        <v>3.1751999999999994</v>
      </c>
    </row>
    <row r="27" spans="1:2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21" ht="15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L28" s="1" t="s">
        <v>16</v>
      </c>
      <c r="M28" s="1" t="s">
        <v>10</v>
      </c>
      <c r="N28" s="1" t="s">
        <v>11</v>
      </c>
      <c r="O28" s="1" t="s">
        <v>12</v>
      </c>
      <c r="P28" s="1" t="s">
        <v>13</v>
      </c>
      <c r="Q28" s="1" t="s">
        <v>46</v>
      </c>
      <c r="R28" s="1" t="s">
        <v>9</v>
      </c>
      <c r="T28" s="1" t="s">
        <v>43</v>
      </c>
      <c r="U28" s="1" t="s">
        <v>18</v>
      </c>
    </row>
    <row r="29" spans="1:21" ht="15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L29" s="4" t="s">
        <v>26</v>
      </c>
      <c r="M29" s="21">
        <f>SUM(M17,M18,M19,M20,M21,M22,M23,M24,M25,M26)*3</f>
        <v>5.3999999999999986</v>
      </c>
      <c r="N29" s="21">
        <f t="shared" ref="N29:R29" si="9">SUM(N17,N18,N19,N20,N21,N22,N23,N24,N25,N26)*3</f>
        <v>5.3999999999999986</v>
      </c>
      <c r="O29" s="21">
        <f t="shared" si="9"/>
        <v>5.3999999999999986</v>
      </c>
      <c r="P29" s="21">
        <f t="shared" si="9"/>
        <v>5.3999999999999986</v>
      </c>
      <c r="Q29" s="21">
        <f t="shared" si="9"/>
        <v>5.3999999999999986</v>
      </c>
      <c r="R29" s="21">
        <f t="shared" si="9"/>
        <v>5.3999999999999986</v>
      </c>
      <c r="T29" s="31">
        <f>SUM(T17:T26)</f>
        <v>10.691999999999997</v>
      </c>
      <c r="U29" s="31">
        <f>SUM(U17:U26)</f>
        <v>21.707999999999995</v>
      </c>
    </row>
    <row r="30" spans="1:21" ht="15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L30" s="27" t="s">
        <v>8</v>
      </c>
      <c r="M30" s="19">
        <f>M29+10</f>
        <v>15.399999999999999</v>
      </c>
      <c r="N30" s="19">
        <f t="shared" ref="N30:R30" si="10">N29+10</f>
        <v>15.399999999999999</v>
      </c>
      <c r="O30" s="19">
        <f t="shared" si="10"/>
        <v>15.399999999999999</v>
      </c>
      <c r="P30" s="19">
        <f t="shared" si="10"/>
        <v>15.399999999999999</v>
      </c>
      <c r="Q30" s="19">
        <f t="shared" si="10"/>
        <v>15.399999999999999</v>
      </c>
      <c r="R30" s="19">
        <f t="shared" si="10"/>
        <v>15.399999999999999</v>
      </c>
      <c r="T30" s="28"/>
    </row>
    <row r="31" spans="1:2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2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8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1" t="s">
        <v>0</v>
      </c>
      <c r="M33" s="1" t="s">
        <v>10</v>
      </c>
      <c r="N33" s="1" t="s">
        <v>11</v>
      </c>
      <c r="O33" s="1" t="s">
        <v>12</v>
      </c>
      <c r="P33" s="1" t="s">
        <v>13</v>
      </c>
      <c r="Q33" s="1" t="s">
        <v>46</v>
      </c>
      <c r="R33" s="1" t="s">
        <v>9</v>
      </c>
    </row>
    <row r="34" spans="1:18" ht="15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53" t="s">
        <v>7</v>
      </c>
      <c r="L34" s="20" t="s">
        <v>27</v>
      </c>
      <c r="M34" s="21">
        <v>0.02</v>
      </c>
      <c r="N34" s="21">
        <v>0.02</v>
      </c>
      <c r="O34" s="21">
        <v>0.02</v>
      </c>
      <c r="P34" s="21">
        <v>0.02</v>
      </c>
      <c r="Q34" s="21">
        <v>0.02</v>
      </c>
      <c r="R34" s="21">
        <v>0.02</v>
      </c>
    </row>
    <row r="35" spans="1:18" ht="15" x14ac:dyDescent="0.35">
      <c r="K35" s="54"/>
      <c r="L35" s="20" t="s">
        <v>28</v>
      </c>
      <c r="M35" s="21">
        <v>0.02</v>
      </c>
      <c r="N35" s="21">
        <v>0.02</v>
      </c>
      <c r="O35" s="21">
        <v>0.02</v>
      </c>
      <c r="P35" s="21">
        <v>0.02</v>
      </c>
      <c r="Q35" s="21">
        <v>0.02</v>
      </c>
      <c r="R35" s="21">
        <v>0.02</v>
      </c>
    </row>
    <row r="36" spans="1:18" ht="15" x14ac:dyDescent="0.35">
      <c r="K36" s="54"/>
      <c r="L36" s="20" t="s">
        <v>29</v>
      </c>
      <c r="M36" s="21">
        <v>0.02</v>
      </c>
      <c r="N36" s="21">
        <v>0.02</v>
      </c>
      <c r="O36" s="21">
        <v>0.02</v>
      </c>
      <c r="P36" s="21">
        <v>0.02</v>
      </c>
      <c r="Q36" s="21">
        <v>0.02</v>
      </c>
      <c r="R36" s="21">
        <v>0.02</v>
      </c>
    </row>
    <row r="37" spans="1:18" ht="15" x14ac:dyDescent="0.35">
      <c r="K37" s="54"/>
      <c r="L37" s="20" t="s">
        <v>30</v>
      </c>
      <c r="M37" s="21">
        <v>0.02</v>
      </c>
      <c r="N37" s="21">
        <v>0.02</v>
      </c>
      <c r="O37" s="21">
        <v>0.02</v>
      </c>
      <c r="P37" s="21">
        <v>0.02</v>
      </c>
      <c r="Q37" s="21">
        <v>0.02</v>
      </c>
      <c r="R37" s="21">
        <v>0.02</v>
      </c>
    </row>
    <row r="38" spans="1:18" ht="15" x14ac:dyDescent="0.35">
      <c r="K38" s="54"/>
      <c r="L38" s="20" t="s">
        <v>31</v>
      </c>
      <c r="M38" s="21">
        <v>0.02</v>
      </c>
      <c r="N38" s="21">
        <v>0.02</v>
      </c>
      <c r="O38" s="21">
        <v>0.02</v>
      </c>
      <c r="P38" s="21">
        <v>0.02</v>
      </c>
      <c r="Q38" s="21">
        <v>0.02</v>
      </c>
      <c r="R38" s="21">
        <v>0.02</v>
      </c>
    </row>
    <row r="39" spans="1:18" ht="15" x14ac:dyDescent="0.35">
      <c r="K39" s="54"/>
      <c r="L39" s="20" t="s">
        <v>32</v>
      </c>
      <c r="M39" s="21">
        <v>0.02</v>
      </c>
      <c r="N39" s="21">
        <v>0.02</v>
      </c>
      <c r="O39" s="21">
        <v>0.02</v>
      </c>
      <c r="P39" s="21">
        <v>0.02</v>
      </c>
      <c r="Q39" s="21">
        <v>0.02</v>
      </c>
      <c r="R39" s="21">
        <v>0.02</v>
      </c>
    </row>
    <row r="40" spans="1:18" ht="15" x14ac:dyDescent="0.35">
      <c r="K40" s="54"/>
      <c r="L40" s="20" t="s">
        <v>33</v>
      </c>
      <c r="M40" s="21">
        <v>0.02</v>
      </c>
      <c r="N40" s="21">
        <v>0.02</v>
      </c>
      <c r="O40" s="21">
        <v>0.02</v>
      </c>
      <c r="P40" s="21">
        <v>0.02</v>
      </c>
      <c r="Q40" s="21">
        <v>0.02</v>
      </c>
      <c r="R40" s="21">
        <v>0.02</v>
      </c>
    </row>
    <row r="41" spans="1:18" ht="15" x14ac:dyDescent="0.35">
      <c r="K41" s="54"/>
      <c r="L41" s="20" t="s">
        <v>34</v>
      </c>
      <c r="M41" s="21">
        <v>0.02</v>
      </c>
      <c r="N41" s="21">
        <v>0.02</v>
      </c>
      <c r="O41" s="21">
        <v>0.02</v>
      </c>
      <c r="P41" s="21">
        <v>0.02</v>
      </c>
      <c r="Q41" s="21">
        <v>0.02</v>
      </c>
      <c r="R41" s="21">
        <v>0.02</v>
      </c>
    </row>
    <row r="42" spans="1:18" ht="15" x14ac:dyDescent="0.35">
      <c r="K42" s="54"/>
      <c r="L42" s="20" t="s">
        <v>35</v>
      </c>
      <c r="M42" s="21">
        <v>0.02</v>
      </c>
      <c r="N42" s="21">
        <v>0.02</v>
      </c>
      <c r="O42" s="21">
        <v>0.02</v>
      </c>
      <c r="P42" s="21">
        <v>0.02</v>
      </c>
      <c r="Q42" s="21">
        <v>0.02</v>
      </c>
      <c r="R42" s="21">
        <v>0.02</v>
      </c>
    </row>
    <row r="43" spans="1:18" ht="15" x14ac:dyDescent="0.35">
      <c r="K43" s="55"/>
      <c r="L43" s="20" t="s">
        <v>36</v>
      </c>
      <c r="M43" s="21">
        <v>0.02</v>
      </c>
      <c r="N43" s="21">
        <v>0.02</v>
      </c>
      <c r="O43" s="21">
        <v>0.02</v>
      </c>
      <c r="P43" s="21">
        <v>0.02</v>
      </c>
      <c r="Q43" s="21">
        <v>0.02</v>
      </c>
      <c r="R43" s="21">
        <v>0.02</v>
      </c>
    </row>
    <row r="45" spans="1:18" x14ac:dyDescent="0.35">
      <c r="L45" s="1" t="s">
        <v>0</v>
      </c>
      <c r="M45" s="1" t="s">
        <v>10</v>
      </c>
      <c r="N45" s="1" t="s">
        <v>11</v>
      </c>
      <c r="O45" s="1" t="s">
        <v>12</v>
      </c>
      <c r="P45" s="1" t="s">
        <v>13</v>
      </c>
      <c r="Q45" s="1" t="s">
        <v>46</v>
      </c>
      <c r="R45" s="1" t="s">
        <v>9</v>
      </c>
    </row>
    <row r="46" spans="1:18" ht="15" x14ac:dyDescent="0.35">
      <c r="L46" s="4" t="s">
        <v>26</v>
      </c>
      <c r="M46" s="21">
        <f>SUM(M34,M35,M36,M37,M38,M39,M40,M41,M42,M43)*3</f>
        <v>0.6</v>
      </c>
      <c r="N46" s="21">
        <f t="shared" ref="N46:R46" si="11">SUM(N34,N35,N36,N37,N38,N39,N40,N41,N42,N43)*3</f>
        <v>0.6</v>
      </c>
      <c r="O46" s="21">
        <f t="shared" si="11"/>
        <v>0.6</v>
      </c>
      <c r="P46" s="21">
        <f t="shared" si="11"/>
        <v>0.6</v>
      </c>
      <c r="Q46" s="21">
        <f t="shared" si="11"/>
        <v>0.6</v>
      </c>
      <c r="R46" s="21">
        <f t="shared" si="11"/>
        <v>0.6</v>
      </c>
    </row>
    <row r="47" spans="1:18" ht="15" x14ac:dyDescent="0.35">
      <c r="L47" s="27" t="s">
        <v>8</v>
      </c>
      <c r="M47" s="19">
        <f>M46+2</f>
        <v>2.6</v>
      </c>
      <c r="N47" s="19">
        <f t="shared" ref="N47:R47" si="12">N46+2</f>
        <v>2.6</v>
      </c>
      <c r="O47" s="19">
        <f t="shared" si="12"/>
        <v>2.6</v>
      </c>
      <c r="P47" s="19">
        <f t="shared" si="12"/>
        <v>2.6</v>
      </c>
      <c r="Q47" s="19">
        <f t="shared" si="12"/>
        <v>2.6</v>
      </c>
      <c r="R47" s="19">
        <f t="shared" si="12"/>
        <v>2.6</v>
      </c>
    </row>
  </sheetData>
  <mergeCells count="6">
    <mergeCell ref="L4:L13"/>
    <mergeCell ref="K17:K26"/>
    <mergeCell ref="K34:K43"/>
    <mergeCell ref="A2:A7"/>
    <mergeCell ref="A10:A15"/>
    <mergeCell ref="K2:K1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1"/>
  <sheetViews>
    <sheetView workbookViewId="0"/>
  </sheetViews>
  <sheetFormatPr defaultColWidth="8.7265625" defaultRowHeight="14.5" x14ac:dyDescent="0.35"/>
  <cols>
    <col min="1" max="1" width="4.7265625" customWidth="1"/>
    <col min="2" max="2" width="15.7265625" customWidth="1"/>
    <col min="3" max="9" width="8.7265625" customWidth="1"/>
    <col min="10" max="11" width="4.7265625" customWidth="1"/>
    <col min="12" max="12" width="15.7265625" customWidth="1"/>
    <col min="13" max="19" width="8.7265625" customWidth="1"/>
  </cols>
  <sheetData>
    <row r="1" spans="1:25" ht="15" customHeight="1" x14ac:dyDescent="0.35">
      <c r="A1" s="2"/>
      <c r="B1" s="1" t="s">
        <v>0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46</v>
      </c>
      <c r="H1" s="1" t="s">
        <v>9</v>
      </c>
      <c r="I1" s="2"/>
      <c r="J1" s="2"/>
      <c r="K1" s="2"/>
      <c r="L1" s="38" t="s">
        <v>16</v>
      </c>
      <c r="M1" s="38" t="s">
        <v>10</v>
      </c>
      <c r="N1" s="38" t="s">
        <v>11</v>
      </c>
      <c r="O1" s="38" t="s">
        <v>12</v>
      </c>
      <c r="P1" s="38" t="s">
        <v>13</v>
      </c>
      <c r="Q1" s="38" t="s">
        <v>46</v>
      </c>
      <c r="R1" s="38" t="s">
        <v>9</v>
      </c>
      <c r="S1" s="2"/>
      <c r="T1" s="25"/>
      <c r="U1" s="25"/>
      <c r="V1" s="25"/>
      <c r="W1" s="25"/>
      <c r="X1" s="25"/>
      <c r="Y1" s="25"/>
    </row>
    <row r="2" spans="1:25" ht="15" customHeight="1" x14ac:dyDescent="0.35">
      <c r="A2" s="60" t="s">
        <v>6</v>
      </c>
      <c r="B2" s="26" t="s">
        <v>2</v>
      </c>
      <c r="C2" s="13">
        <v>6.65</v>
      </c>
      <c r="D2" s="13">
        <v>10.79</v>
      </c>
      <c r="E2" s="13">
        <v>12.57</v>
      </c>
      <c r="F2" s="13">
        <v>6.25</v>
      </c>
      <c r="G2" s="13">
        <v>10.85</v>
      </c>
      <c r="H2" s="13">
        <v>10.56</v>
      </c>
      <c r="I2" s="2"/>
      <c r="J2" s="2"/>
      <c r="K2" s="60" t="s">
        <v>1</v>
      </c>
      <c r="L2" s="33" t="s">
        <v>2</v>
      </c>
      <c r="M2" s="16">
        <v>1000</v>
      </c>
      <c r="N2" s="16">
        <v>1000</v>
      </c>
      <c r="O2" s="16">
        <v>1000</v>
      </c>
      <c r="P2" s="16">
        <v>1000</v>
      </c>
      <c r="Q2" s="16">
        <v>1000</v>
      </c>
      <c r="R2" s="16">
        <v>1000</v>
      </c>
      <c r="S2" s="2"/>
      <c r="T2" s="30"/>
      <c r="U2" s="30"/>
      <c r="V2" s="30"/>
      <c r="W2" s="30"/>
      <c r="X2" s="30"/>
      <c r="Y2" s="30"/>
    </row>
    <row r="3" spans="1:25" ht="15" customHeight="1" x14ac:dyDescent="0.35">
      <c r="A3" s="60"/>
      <c r="B3" s="26" t="s">
        <v>3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2"/>
      <c r="J3" s="2"/>
      <c r="K3" s="60"/>
      <c r="L3" s="33" t="s">
        <v>3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2"/>
      <c r="T3" s="30"/>
      <c r="U3" s="30"/>
      <c r="V3" s="30"/>
      <c r="W3" s="30"/>
      <c r="X3" s="30"/>
      <c r="Y3" s="30"/>
    </row>
    <row r="4" spans="1:25" ht="15" customHeight="1" x14ac:dyDescent="0.35">
      <c r="A4" s="60"/>
      <c r="B4" s="26" t="s">
        <v>19</v>
      </c>
      <c r="C4" s="3">
        <v>0.5</v>
      </c>
      <c r="D4" s="3">
        <v>0.5</v>
      </c>
      <c r="E4" s="3">
        <v>0.5</v>
      </c>
      <c r="F4" s="3">
        <v>0.5</v>
      </c>
      <c r="G4" s="3">
        <v>0.5</v>
      </c>
      <c r="H4" s="3">
        <v>0.5</v>
      </c>
      <c r="I4" s="2"/>
      <c r="J4" s="2"/>
      <c r="K4" s="60"/>
      <c r="L4" s="56" t="s">
        <v>4</v>
      </c>
      <c r="M4" s="15">
        <v>1000</v>
      </c>
      <c r="N4" s="15">
        <v>1000</v>
      </c>
      <c r="O4" s="15">
        <v>1000</v>
      </c>
      <c r="P4" s="15">
        <v>1000</v>
      </c>
      <c r="Q4" s="15">
        <v>1000</v>
      </c>
      <c r="R4" s="15">
        <v>1000</v>
      </c>
      <c r="S4" s="2"/>
      <c r="T4" s="30"/>
      <c r="U4" s="30"/>
      <c r="V4" s="30"/>
      <c r="W4" s="30"/>
      <c r="X4" s="30"/>
      <c r="Y4" s="30"/>
    </row>
    <row r="5" spans="1:25" ht="15" customHeight="1" x14ac:dyDescent="0.35">
      <c r="A5" s="60"/>
      <c r="B5" s="26" t="s">
        <v>20</v>
      </c>
      <c r="C5" s="14">
        <f t="shared" ref="C5:H5" si="0">((C4*C$3)/C$2)</f>
        <v>7.5187969924812026E-2</v>
      </c>
      <c r="D5" s="14">
        <f t="shared" si="0"/>
        <v>4.6339202965708995E-2</v>
      </c>
      <c r="E5" s="14">
        <f t="shared" si="0"/>
        <v>3.9777247414478918E-2</v>
      </c>
      <c r="F5" s="14">
        <f t="shared" si="0"/>
        <v>0.08</v>
      </c>
      <c r="G5" s="14">
        <f>((G4*G$3)/G$2)</f>
        <v>4.6082949308755762E-2</v>
      </c>
      <c r="H5" s="14">
        <f t="shared" si="0"/>
        <v>4.7348484848484848E-2</v>
      </c>
      <c r="I5" s="2"/>
      <c r="J5" s="2"/>
      <c r="K5" s="60"/>
      <c r="L5" s="56"/>
      <c r="M5" s="16">
        <v>800</v>
      </c>
      <c r="N5" s="16">
        <v>800</v>
      </c>
      <c r="O5" s="16">
        <v>800</v>
      </c>
      <c r="P5" s="16">
        <v>800</v>
      </c>
      <c r="Q5" s="16">
        <v>800</v>
      </c>
      <c r="R5" s="16">
        <v>800</v>
      </c>
      <c r="S5" s="2"/>
      <c r="T5" s="30"/>
      <c r="U5" s="30"/>
      <c r="V5" s="30"/>
      <c r="W5" s="30"/>
      <c r="X5" s="30"/>
      <c r="Y5" s="30"/>
    </row>
    <row r="6" spans="1:25" ht="15" customHeight="1" x14ac:dyDescent="0.35">
      <c r="A6" s="60"/>
      <c r="B6" s="26" t="s">
        <v>44</v>
      </c>
      <c r="C6" s="14">
        <f>(((C4*C$3)/C$2))*7</f>
        <v>0.52631578947368418</v>
      </c>
      <c r="D6" s="14">
        <f t="shared" ref="D6:H6" si="1">(((D4*D$3)/D$2))*7</f>
        <v>0.32437442075996298</v>
      </c>
      <c r="E6" s="14">
        <f t="shared" si="1"/>
        <v>0.27844073190135243</v>
      </c>
      <c r="F6" s="14">
        <f t="shared" si="1"/>
        <v>0.56000000000000005</v>
      </c>
      <c r="G6" s="14">
        <f t="shared" si="1"/>
        <v>0.32258064516129031</v>
      </c>
      <c r="H6" s="14">
        <f t="shared" si="1"/>
        <v>0.33143939393939392</v>
      </c>
      <c r="I6" s="2"/>
      <c r="J6" s="2"/>
      <c r="K6" s="60"/>
      <c r="L6" s="56"/>
      <c r="M6" s="16">
        <v>600</v>
      </c>
      <c r="N6" s="16">
        <v>600</v>
      </c>
      <c r="O6" s="16">
        <v>600</v>
      </c>
      <c r="P6" s="16">
        <v>600</v>
      </c>
      <c r="Q6" s="16">
        <v>600</v>
      </c>
      <c r="R6" s="16">
        <v>600</v>
      </c>
      <c r="S6" s="2"/>
      <c r="T6" s="30"/>
      <c r="U6" s="30"/>
      <c r="V6" s="30"/>
      <c r="W6" s="30"/>
      <c r="X6" s="30"/>
      <c r="Y6" s="30"/>
    </row>
    <row r="7" spans="1:25" ht="15" customHeight="1" x14ac:dyDescent="0.35">
      <c r="A7" s="60"/>
      <c r="B7" s="26" t="s">
        <v>5</v>
      </c>
      <c r="C7" s="6">
        <v>7</v>
      </c>
      <c r="D7" s="6">
        <v>7</v>
      </c>
      <c r="E7" s="6">
        <v>7</v>
      </c>
      <c r="F7" s="6">
        <v>7</v>
      </c>
      <c r="G7" s="6">
        <v>7</v>
      </c>
      <c r="H7" s="6">
        <v>7</v>
      </c>
      <c r="I7" s="2"/>
      <c r="J7" s="2"/>
      <c r="K7" s="60"/>
      <c r="L7" s="56"/>
      <c r="M7" s="15">
        <v>400</v>
      </c>
      <c r="N7" s="15">
        <v>400</v>
      </c>
      <c r="O7" s="15">
        <v>400</v>
      </c>
      <c r="P7" s="15">
        <v>400</v>
      </c>
      <c r="Q7" s="15">
        <v>400</v>
      </c>
      <c r="R7" s="15">
        <v>400</v>
      </c>
      <c r="S7" s="2"/>
      <c r="T7" s="30"/>
      <c r="U7" s="30"/>
      <c r="V7" s="30"/>
      <c r="W7" s="30"/>
      <c r="X7" s="30"/>
      <c r="Y7" s="30"/>
    </row>
    <row r="8" spans="1:25" ht="1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60"/>
      <c r="L8" s="56"/>
      <c r="M8" s="16">
        <v>200</v>
      </c>
      <c r="N8" s="16">
        <v>200</v>
      </c>
      <c r="O8" s="16">
        <v>200</v>
      </c>
      <c r="P8" s="16">
        <v>200</v>
      </c>
      <c r="Q8" s="16">
        <v>200</v>
      </c>
      <c r="R8" s="16">
        <v>200</v>
      </c>
      <c r="S8" s="2"/>
      <c r="T8" s="30"/>
      <c r="U8" s="30"/>
      <c r="V8" s="30"/>
      <c r="W8" s="30"/>
      <c r="X8" s="30"/>
      <c r="Y8" s="30"/>
    </row>
    <row r="9" spans="1:25" ht="15" customHeight="1" x14ac:dyDescent="0.35">
      <c r="A9" s="2"/>
      <c r="B9" s="1" t="s">
        <v>0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46</v>
      </c>
      <c r="H9" s="1" t="s">
        <v>9</v>
      </c>
      <c r="I9" s="2"/>
      <c r="J9" s="2"/>
      <c r="K9" s="60"/>
      <c r="L9" s="56"/>
      <c r="M9" s="15">
        <v>100</v>
      </c>
      <c r="N9" s="15">
        <v>100</v>
      </c>
      <c r="O9" s="15">
        <v>100</v>
      </c>
      <c r="P9" s="15">
        <v>100</v>
      </c>
      <c r="Q9" s="15">
        <v>100</v>
      </c>
      <c r="R9" s="15">
        <v>100</v>
      </c>
      <c r="S9" s="2"/>
      <c r="T9" s="30"/>
      <c r="U9" s="30"/>
      <c r="V9" s="30"/>
      <c r="W9" s="30"/>
      <c r="X9" s="30"/>
      <c r="Y9" s="30"/>
    </row>
    <row r="10" spans="1:25" ht="15" customHeight="1" x14ac:dyDescent="0.35">
      <c r="A10" s="53" t="s">
        <v>21</v>
      </c>
      <c r="B10" s="4" t="s">
        <v>2</v>
      </c>
      <c r="C10" s="9">
        <v>6.65</v>
      </c>
      <c r="D10" s="9">
        <v>10.79</v>
      </c>
      <c r="E10" s="9">
        <v>12.57</v>
      </c>
      <c r="F10" s="9">
        <v>6.25</v>
      </c>
      <c r="G10" s="9">
        <v>10.85</v>
      </c>
      <c r="H10" s="9">
        <v>10.56</v>
      </c>
      <c r="I10" s="2"/>
      <c r="J10" s="2"/>
      <c r="K10" s="60"/>
      <c r="L10" s="56"/>
      <c r="M10" s="15">
        <v>60</v>
      </c>
      <c r="N10" s="15">
        <v>60</v>
      </c>
      <c r="O10" s="15">
        <v>60</v>
      </c>
      <c r="P10" s="15">
        <v>60</v>
      </c>
      <c r="Q10" s="15">
        <v>60</v>
      </c>
      <c r="R10" s="15">
        <v>60</v>
      </c>
      <c r="S10" s="2"/>
      <c r="T10" s="30"/>
      <c r="U10" s="30"/>
      <c r="V10" s="30"/>
      <c r="W10" s="30"/>
      <c r="X10" s="30"/>
      <c r="Y10" s="30"/>
    </row>
    <row r="11" spans="1:25" ht="15" customHeight="1" x14ac:dyDescent="0.35">
      <c r="A11" s="54"/>
      <c r="B11" s="4" t="s">
        <v>3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2"/>
      <c r="J11" s="2"/>
      <c r="K11" s="60"/>
      <c r="L11" s="56"/>
      <c r="M11" s="16">
        <v>20</v>
      </c>
      <c r="N11" s="16">
        <v>20</v>
      </c>
      <c r="O11" s="16">
        <v>20</v>
      </c>
      <c r="P11" s="16">
        <v>20</v>
      </c>
      <c r="Q11" s="16">
        <v>20</v>
      </c>
      <c r="R11" s="16">
        <v>20</v>
      </c>
      <c r="S11" s="2"/>
      <c r="T11" s="30"/>
      <c r="U11" s="30"/>
      <c r="V11" s="30"/>
      <c r="W11" s="30"/>
      <c r="X11" s="30"/>
      <c r="Y11" s="30"/>
    </row>
    <row r="12" spans="1:25" ht="15" customHeight="1" x14ac:dyDescent="0.35">
      <c r="A12" s="54"/>
      <c r="B12" s="4" t="s">
        <v>14</v>
      </c>
      <c r="C12" s="6">
        <v>0.1</v>
      </c>
      <c r="D12" s="6">
        <v>0.1</v>
      </c>
      <c r="E12" s="6">
        <v>0.1</v>
      </c>
      <c r="F12" s="6">
        <v>0.1</v>
      </c>
      <c r="G12" s="6">
        <v>0.1</v>
      </c>
      <c r="H12" s="6">
        <v>0.1</v>
      </c>
      <c r="I12" s="2"/>
      <c r="J12" s="2"/>
      <c r="K12" s="34"/>
      <c r="L12" s="35"/>
      <c r="M12" s="36"/>
      <c r="N12" s="36"/>
      <c r="O12" s="36"/>
      <c r="P12" s="36"/>
      <c r="Q12" s="36"/>
      <c r="R12" s="36"/>
      <c r="S12" s="2"/>
    </row>
    <row r="13" spans="1:25" ht="15" customHeight="1" x14ac:dyDescent="0.35">
      <c r="A13" s="54"/>
      <c r="B13" s="4" t="s">
        <v>15</v>
      </c>
      <c r="C13" s="10">
        <f>((C12*C$11)/C$10)</f>
        <v>1.5037593984962405E-2</v>
      </c>
      <c r="D13" s="10">
        <f t="shared" ref="D13:H13" si="2">((D12*D$11)/D$10)</f>
        <v>9.267840593141799E-3</v>
      </c>
      <c r="E13" s="10">
        <f t="shared" si="2"/>
        <v>7.955449482895784E-3</v>
      </c>
      <c r="F13" s="10">
        <f t="shared" si="2"/>
        <v>1.6E-2</v>
      </c>
      <c r="G13" s="10">
        <f t="shared" si="2"/>
        <v>9.2165898617511521E-3</v>
      </c>
      <c r="H13" s="10">
        <f t="shared" si="2"/>
        <v>9.46969696969697E-3</v>
      </c>
      <c r="I13" s="2"/>
      <c r="J13" s="2"/>
      <c r="K13" s="34"/>
      <c r="L13" s="35"/>
      <c r="M13" s="37"/>
      <c r="N13" s="37"/>
      <c r="O13" s="37"/>
      <c r="P13" s="37"/>
      <c r="Q13" s="37"/>
      <c r="R13" s="37"/>
      <c r="S13" s="2"/>
      <c r="T13" s="25"/>
      <c r="U13" s="25"/>
      <c r="V13" s="25"/>
      <c r="W13" s="25"/>
      <c r="X13" s="25"/>
      <c r="Y13" s="25"/>
    </row>
    <row r="14" spans="1:25" ht="15" customHeight="1" x14ac:dyDescent="0.35">
      <c r="A14" s="54"/>
      <c r="B14" s="4" t="s">
        <v>45</v>
      </c>
      <c r="C14" s="10">
        <f>(((C12*C$11)/C$10))*7</f>
        <v>0.10526315789473684</v>
      </c>
      <c r="D14" s="10">
        <f t="shared" ref="D14:H14" si="3">(((D12*D$11)/D$10))*7</f>
        <v>6.4874884151992593E-2</v>
      </c>
      <c r="E14" s="10">
        <f t="shared" si="3"/>
        <v>5.568814638027049E-2</v>
      </c>
      <c r="F14" s="10">
        <f t="shared" si="3"/>
        <v>0.112</v>
      </c>
      <c r="G14" s="10">
        <f t="shared" si="3"/>
        <v>6.4516129032258063E-2</v>
      </c>
      <c r="H14" s="10">
        <f t="shared" si="3"/>
        <v>6.6287878787878785E-2</v>
      </c>
      <c r="I14" s="2"/>
      <c r="J14" s="2"/>
      <c r="K14" s="2"/>
      <c r="L14" s="1" t="s">
        <v>16</v>
      </c>
      <c r="M14" s="1" t="s">
        <v>10</v>
      </c>
      <c r="N14" s="1" t="s">
        <v>11</v>
      </c>
      <c r="O14" s="1" t="s">
        <v>12</v>
      </c>
      <c r="P14" s="1" t="s">
        <v>13</v>
      </c>
      <c r="Q14" s="1" t="s">
        <v>46</v>
      </c>
      <c r="R14" s="1" t="s">
        <v>9</v>
      </c>
      <c r="T14" s="1" t="s">
        <v>43</v>
      </c>
      <c r="U14" s="1" t="s">
        <v>18</v>
      </c>
      <c r="V14" s="29"/>
      <c r="W14" s="29"/>
      <c r="X14" s="29"/>
      <c r="Y14" s="29"/>
    </row>
    <row r="15" spans="1:25" ht="15" customHeight="1" x14ac:dyDescent="0.35">
      <c r="A15" s="55"/>
      <c r="B15" s="4" t="s">
        <v>5</v>
      </c>
      <c r="C15" s="11">
        <f>7-C14</f>
        <v>6.8947368421052628</v>
      </c>
      <c r="D15" s="11">
        <f t="shared" ref="D15:H15" si="4">7-D14</f>
        <v>6.9351251158480078</v>
      </c>
      <c r="E15" s="11">
        <f t="shared" si="4"/>
        <v>6.9443118536197295</v>
      </c>
      <c r="F15" s="11">
        <f t="shared" si="4"/>
        <v>6.8879999999999999</v>
      </c>
      <c r="G15" s="11">
        <f t="shared" si="4"/>
        <v>6.935483870967742</v>
      </c>
      <c r="H15" s="11">
        <f t="shared" si="4"/>
        <v>6.9337121212121211</v>
      </c>
      <c r="I15" s="2"/>
      <c r="J15" s="2"/>
      <c r="K15" s="60" t="s">
        <v>7</v>
      </c>
      <c r="L15" s="39" t="s">
        <v>27</v>
      </c>
      <c r="M15" s="40">
        <v>0.18</v>
      </c>
      <c r="N15" s="40">
        <v>0.18</v>
      </c>
      <c r="O15" s="40">
        <v>0.18</v>
      </c>
      <c r="P15" s="40">
        <v>0.18</v>
      </c>
      <c r="Q15" s="40">
        <v>0.18</v>
      </c>
      <c r="R15" s="40">
        <v>0.18</v>
      </c>
      <c r="T15" s="17">
        <f>(SUM(M15:R15)*3*10)*1000/1000</f>
        <v>32.399999999999991</v>
      </c>
      <c r="U15" s="17">
        <f t="shared" ref="U15:U20" si="5">(SUM(M15:R15)*3*10)-T15</f>
        <v>0</v>
      </c>
      <c r="V15" s="30"/>
      <c r="W15" s="30"/>
      <c r="X15" s="30"/>
      <c r="Y15" s="30"/>
    </row>
    <row r="16" spans="1:25" ht="1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60"/>
      <c r="L16" s="20" t="s">
        <v>28</v>
      </c>
      <c r="M16" s="21">
        <v>0.18</v>
      </c>
      <c r="N16" s="21">
        <v>0.18</v>
      </c>
      <c r="O16" s="21">
        <v>0.18</v>
      </c>
      <c r="P16" s="21">
        <v>0.18</v>
      </c>
      <c r="Q16" s="21">
        <v>0.18</v>
      </c>
      <c r="R16" s="21">
        <v>0.18</v>
      </c>
      <c r="T16" s="17">
        <f>(SUM(M16:R16)*3*10)*800/1000</f>
        <v>25.919999999999991</v>
      </c>
      <c r="U16" s="17">
        <f t="shared" si="5"/>
        <v>6.48</v>
      </c>
      <c r="V16" s="22"/>
      <c r="W16" s="22"/>
      <c r="X16" s="22"/>
      <c r="Y16" s="22"/>
    </row>
    <row r="17" spans="1:25" ht="15" customHeight="1" x14ac:dyDescent="0.35">
      <c r="A17" s="2"/>
      <c r="B17" s="1" t="s">
        <v>0</v>
      </c>
      <c r="C17" s="1" t="s">
        <v>10</v>
      </c>
      <c r="D17" s="1" t="s">
        <v>11</v>
      </c>
      <c r="E17" s="1" t="s">
        <v>12</v>
      </c>
      <c r="F17" s="1" t="s">
        <v>13</v>
      </c>
      <c r="G17" s="1" t="s">
        <v>46</v>
      </c>
      <c r="H17" s="1" t="s">
        <v>9</v>
      </c>
      <c r="I17" s="2"/>
      <c r="J17" s="2"/>
      <c r="K17" s="60"/>
      <c r="L17" s="20" t="s">
        <v>29</v>
      </c>
      <c r="M17" s="21">
        <v>0.18</v>
      </c>
      <c r="N17" s="21">
        <v>0.18</v>
      </c>
      <c r="O17" s="21">
        <v>0.18</v>
      </c>
      <c r="P17" s="21">
        <v>0.18</v>
      </c>
      <c r="Q17" s="21">
        <v>0.18</v>
      </c>
      <c r="R17" s="21">
        <v>0.18</v>
      </c>
      <c r="T17" s="17">
        <f>(SUM(M17:R17)*3*10)*600/1000</f>
        <v>19.439999999999998</v>
      </c>
      <c r="U17" s="17">
        <f t="shared" si="5"/>
        <v>12.959999999999994</v>
      </c>
      <c r="V17" s="23"/>
      <c r="W17" s="23"/>
      <c r="X17" s="23"/>
      <c r="Y17" s="23"/>
    </row>
    <row r="18" spans="1:25" ht="15" customHeight="1" x14ac:dyDescent="0.35">
      <c r="A18" s="2"/>
      <c r="B18" s="4" t="s">
        <v>23</v>
      </c>
      <c r="C18" s="17">
        <f>3*10*10</f>
        <v>300</v>
      </c>
      <c r="D18" s="17">
        <f t="shared" ref="D18:H18" si="6">3*10*10</f>
        <v>300</v>
      </c>
      <c r="E18" s="17">
        <f t="shared" si="6"/>
        <v>300</v>
      </c>
      <c r="F18" s="17">
        <f t="shared" si="6"/>
        <v>300</v>
      </c>
      <c r="G18" s="17">
        <f t="shared" si="6"/>
        <v>300</v>
      </c>
      <c r="H18" s="17">
        <f t="shared" si="6"/>
        <v>300</v>
      </c>
      <c r="I18" s="2"/>
      <c r="J18" s="2"/>
      <c r="K18" s="60"/>
      <c r="L18" s="20" t="s">
        <v>30</v>
      </c>
      <c r="M18" s="21">
        <v>0.18</v>
      </c>
      <c r="N18" s="21">
        <v>0.18</v>
      </c>
      <c r="O18" s="21">
        <v>0.18</v>
      </c>
      <c r="P18" s="21">
        <v>0.18</v>
      </c>
      <c r="Q18" s="21">
        <v>0.18</v>
      </c>
      <c r="R18" s="21">
        <v>0.18</v>
      </c>
      <c r="T18" s="17">
        <f>(SUM(M18:R18)*3*10)*400/1000</f>
        <v>12.959999999999996</v>
      </c>
      <c r="U18" s="17">
        <f t="shared" si="5"/>
        <v>19.439999999999998</v>
      </c>
      <c r="V18" s="22"/>
      <c r="W18" s="22"/>
      <c r="X18" s="22"/>
      <c r="Y18" s="22"/>
    </row>
    <row r="19" spans="1:25" ht="15" customHeight="1" x14ac:dyDescent="0.35">
      <c r="A19" s="2"/>
      <c r="B19" s="26" t="s">
        <v>8</v>
      </c>
      <c r="C19" s="18">
        <f>C18+10</f>
        <v>310</v>
      </c>
      <c r="D19" s="18">
        <f t="shared" ref="D19:H19" si="7">D18+10</f>
        <v>310</v>
      </c>
      <c r="E19" s="18">
        <f t="shared" si="7"/>
        <v>310</v>
      </c>
      <c r="F19" s="18">
        <f t="shared" si="7"/>
        <v>310</v>
      </c>
      <c r="G19" s="18">
        <f t="shared" si="7"/>
        <v>310</v>
      </c>
      <c r="H19" s="18">
        <f t="shared" si="7"/>
        <v>310</v>
      </c>
      <c r="I19" s="2"/>
      <c r="J19" s="2"/>
      <c r="K19" s="60"/>
      <c r="L19" s="20" t="s">
        <v>31</v>
      </c>
      <c r="M19" s="21">
        <v>0.18</v>
      </c>
      <c r="N19" s="21">
        <v>0.18</v>
      </c>
      <c r="O19" s="21">
        <v>0.18</v>
      </c>
      <c r="P19" s="21">
        <v>0.18</v>
      </c>
      <c r="Q19" s="21">
        <v>0.18</v>
      </c>
      <c r="R19" s="21">
        <v>0.18</v>
      </c>
      <c r="T19" s="17">
        <f>(SUM(M19:R19)*3*10)*200/1000</f>
        <v>6.4799999999999978</v>
      </c>
      <c r="U19" s="17">
        <f t="shared" si="5"/>
        <v>25.919999999999995</v>
      </c>
      <c r="V19" s="23"/>
      <c r="W19" s="23"/>
      <c r="X19" s="23"/>
      <c r="Y19" s="23"/>
    </row>
    <row r="20" spans="1:25" ht="15" customHeight="1" x14ac:dyDescent="0.35">
      <c r="A20" s="2"/>
      <c r="B20" s="26" t="s">
        <v>24</v>
      </c>
      <c r="C20" s="8">
        <f>C19*0.02</f>
        <v>6.2</v>
      </c>
      <c r="D20" s="8">
        <f t="shared" ref="D20:H20" si="8">D19*0.02</f>
        <v>6.2</v>
      </c>
      <c r="E20" s="8">
        <f t="shared" si="8"/>
        <v>6.2</v>
      </c>
      <c r="F20" s="8">
        <f t="shared" si="8"/>
        <v>6.2</v>
      </c>
      <c r="G20" s="8">
        <f t="shared" si="8"/>
        <v>6.2</v>
      </c>
      <c r="H20" s="8">
        <f t="shared" si="8"/>
        <v>6.2</v>
      </c>
      <c r="I20" s="2"/>
      <c r="J20" s="2"/>
      <c r="K20" s="60"/>
      <c r="L20" s="20" t="s">
        <v>32</v>
      </c>
      <c r="M20" s="21">
        <v>0.18</v>
      </c>
      <c r="N20" s="21">
        <v>0.18</v>
      </c>
      <c r="O20" s="21">
        <v>0.18</v>
      </c>
      <c r="P20" s="21">
        <v>0.18</v>
      </c>
      <c r="Q20" s="21">
        <v>0.18</v>
      </c>
      <c r="R20" s="21">
        <v>0.18</v>
      </c>
      <c r="T20" s="17">
        <f>(SUM(M20:R20)*3*10)*100/1000</f>
        <v>3.2399999999999989</v>
      </c>
      <c r="U20" s="17">
        <f t="shared" si="5"/>
        <v>29.159999999999993</v>
      </c>
      <c r="V20" s="22"/>
      <c r="W20" s="22"/>
      <c r="X20" s="22"/>
      <c r="Y20" s="22"/>
    </row>
    <row r="21" spans="1:25" ht="15" customHeight="1" x14ac:dyDescent="0.35">
      <c r="A21" s="2"/>
      <c r="I21" s="2"/>
      <c r="J21" s="2"/>
      <c r="K21" s="60"/>
      <c r="L21" s="20" t="s">
        <v>34</v>
      </c>
      <c r="M21" s="21">
        <v>0.18</v>
      </c>
      <c r="N21" s="21">
        <v>0.18</v>
      </c>
      <c r="O21" s="21">
        <v>0.18</v>
      </c>
      <c r="P21" s="21">
        <v>0.18</v>
      </c>
      <c r="Q21" s="21">
        <v>0.18</v>
      </c>
      <c r="R21" s="21">
        <v>0.18</v>
      </c>
      <c r="T21" s="17">
        <f>(SUM(M21:R21)*3*10)*60/1000</f>
        <v>1.9439999999999995</v>
      </c>
      <c r="U21" s="17">
        <f>(SUM(M21:R21)*3*10)-T21</f>
        <v>30.455999999999992</v>
      </c>
    </row>
    <row r="22" spans="1:25" ht="1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60"/>
      <c r="L22" s="20" t="s">
        <v>36</v>
      </c>
      <c r="M22" s="21">
        <v>0.18</v>
      </c>
      <c r="N22" s="21">
        <v>0.18</v>
      </c>
      <c r="O22" s="21">
        <v>0.18</v>
      </c>
      <c r="P22" s="21">
        <v>0.18</v>
      </c>
      <c r="Q22" s="21">
        <v>0.18</v>
      </c>
      <c r="R22" s="21">
        <v>0.18</v>
      </c>
      <c r="T22" s="17">
        <f>(SUM(M22:R22)*3*10)*20/1000</f>
        <v>0.6479999999999998</v>
      </c>
      <c r="U22" s="17">
        <f>(SUM(M22:R22)*3*10)-T22</f>
        <v>31.751999999999992</v>
      </c>
    </row>
    <row r="23" spans="1:25" ht="1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25" ht="1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L24" s="1" t="s">
        <v>16</v>
      </c>
      <c r="M24" s="1" t="s">
        <v>10</v>
      </c>
      <c r="N24" s="1" t="s">
        <v>11</v>
      </c>
      <c r="O24" s="1" t="s">
        <v>12</v>
      </c>
      <c r="P24" s="1" t="s">
        <v>13</v>
      </c>
      <c r="Q24" s="1" t="s">
        <v>46</v>
      </c>
      <c r="R24" s="1" t="s">
        <v>9</v>
      </c>
      <c r="T24" s="1" t="s">
        <v>43</v>
      </c>
      <c r="U24" s="1" t="s">
        <v>18</v>
      </c>
    </row>
    <row r="25" spans="1:25" ht="15" customHeight="1" x14ac:dyDescent="0.35">
      <c r="L25" s="4" t="s">
        <v>42</v>
      </c>
      <c r="M25" s="21">
        <f>SUM(M15,M16,M17,M18,M19,M20,M21,M22)*3</f>
        <v>4.3199999999999994</v>
      </c>
      <c r="N25" s="21">
        <f t="shared" ref="N25:R25" si="9">SUM(N15,N16,N17,N18,N19,N20,N21,N22)*3</f>
        <v>4.3199999999999994</v>
      </c>
      <c r="O25" s="21">
        <f t="shared" si="9"/>
        <v>4.3199999999999994</v>
      </c>
      <c r="P25" s="21">
        <f t="shared" si="9"/>
        <v>4.3199999999999994</v>
      </c>
      <c r="Q25" s="21">
        <f t="shared" si="9"/>
        <v>4.3199999999999994</v>
      </c>
      <c r="R25" s="21">
        <f t="shared" si="9"/>
        <v>4.3199999999999994</v>
      </c>
      <c r="T25" s="17">
        <f>SUM(T15:T22)</f>
        <v>103.03199999999997</v>
      </c>
      <c r="U25" s="17">
        <f>SUM(U15:U22)</f>
        <v>156.16799999999995</v>
      </c>
    </row>
    <row r="26" spans="1:25" ht="15" customHeight="1" x14ac:dyDescent="0.35">
      <c r="L26" s="33" t="s">
        <v>8</v>
      </c>
      <c r="M26" s="19">
        <f>M25+10</f>
        <v>14.32</v>
      </c>
      <c r="N26" s="19">
        <f t="shared" ref="N26:R26" si="10">N25+10</f>
        <v>14.32</v>
      </c>
      <c r="O26" s="19">
        <f t="shared" si="10"/>
        <v>14.32</v>
      </c>
      <c r="P26" s="19">
        <f t="shared" si="10"/>
        <v>14.32</v>
      </c>
      <c r="Q26" s="19">
        <f t="shared" si="10"/>
        <v>14.32</v>
      </c>
      <c r="R26" s="19">
        <f t="shared" si="10"/>
        <v>14.32</v>
      </c>
      <c r="T26" s="28"/>
    </row>
    <row r="27" spans="1:25" ht="15" customHeight="1" x14ac:dyDescent="0.35"/>
    <row r="28" spans="1:25" ht="15" customHeight="1" x14ac:dyDescent="0.35"/>
    <row r="29" spans="1:25" ht="15" customHeight="1" x14ac:dyDescent="0.35">
      <c r="K29" s="2"/>
      <c r="L29" s="1" t="s">
        <v>0</v>
      </c>
      <c r="M29" s="1" t="s">
        <v>10</v>
      </c>
      <c r="N29" s="1" t="s">
        <v>11</v>
      </c>
      <c r="O29" s="1" t="s">
        <v>12</v>
      </c>
      <c r="P29" s="1" t="s">
        <v>13</v>
      </c>
      <c r="Q29" s="1" t="s">
        <v>46</v>
      </c>
      <c r="R29" s="1" t="s">
        <v>9</v>
      </c>
    </row>
    <row r="30" spans="1:25" ht="15" customHeight="1" x14ac:dyDescent="0.35">
      <c r="K30" s="53" t="s">
        <v>7</v>
      </c>
      <c r="L30" s="20" t="s">
        <v>27</v>
      </c>
      <c r="M30" s="21">
        <v>0.02</v>
      </c>
      <c r="N30" s="21">
        <v>0.02</v>
      </c>
      <c r="O30" s="21">
        <v>0.02</v>
      </c>
      <c r="P30" s="21">
        <v>0.02</v>
      </c>
      <c r="Q30" s="21">
        <v>0.02</v>
      </c>
      <c r="R30" s="21">
        <v>0.02</v>
      </c>
    </row>
    <row r="31" spans="1:25" ht="15" customHeight="1" x14ac:dyDescent="0.35">
      <c r="K31" s="54"/>
      <c r="L31" s="20" t="s">
        <v>28</v>
      </c>
      <c r="M31" s="21">
        <v>0.02</v>
      </c>
      <c r="N31" s="21">
        <v>0.02</v>
      </c>
      <c r="O31" s="21">
        <v>0.02</v>
      </c>
      <c r="P31" s="21">
        <v>0.02</v>
      </c>
      <c r="Q31" s="21">
        <v>0.02</v>
      </c>
      <c r="R31" s="21">
        <v>0.02</v>
      </c>
    </row>
    <row r="32" spans="1:25" ht="15" customHeight="1" x14ac:dyDescent="0.35">
      <c r="K32" s="54"/>
      <c r="L32" s="20" t="s">
        <v>29</v>
      </c>
      <c r="M32" s="21">
        <v>0.02</v>
      </c>
      <c r="N32" s="21">
        <v>0.02</v>
      </c>
      <c r="O32" s="21">
        <v>0.02</v>
      </c>
      <c r="P32" s="21">
        <v>0.02</v>
      </c>
      <c r="Q32" s="21">
        <v>0.02</v>
      </c>
      <c r="R32" s="21">
        <v>0.02</v>
      </c>
    </row>
    <row r="33" spans="11:18" ht="15" customHeight="1" x14ac:dyDescent="0.35">
      <c r="K33" s="54"/>
      <c r="L33" s="20" t="s">
        <v>30</v>
      </c>
      <c r="M33" s="21">
        <v>0.02</v>
      </c>
      <c r="N33" s="21">
        <v>0.02</v>
      </c>
      <c r="O33" s="21">
        <v>0.02</v>
      </c>
      <c r="P33" s="21">
        <v>0.02</v>
      </c>
      <c r="Q33" s="21">
        <v>0.02</v>
      </c>
      <c r="R33" s="21">
        <v>0.02</v>
      </c>
    </row>
    <row r="34" spans="11:18" ht="15" customHeight="1" x14ac:dyDescent="0.35">
      <c r="K34" s="54"/>
      <c r="L34" s="20" t="s">
        <v>31</v>
      </c>
      <c r="M34" s="21">
        <v>0.02</v>
      </c>
      <c r="N34" s="21">
        <v>0.02</v>
      </c>
      <c r="O34" s="21">
        <v>0.02</v>
      </c>
      <c r="P34" s="21">
        <v>0.02</v>
      </c>
      <c r="Q34" s="21">
        <v>0.02</v>
      </c>
      <c r="R34" s="21">
        <v>0.02</v>
      </c>
    </row>
    <row r="35" spans="11:18" ht="15" customHeight="1" x14ac:dyDescent="0.35">
      <c r="K35" s="54"/>
      <c r="L35" s="20" t="s">
        <v>32</v>
      </c>
      <c r="M35" s="21">
        <v>0.02</v>
      </c>
      <c r="N35" s="21">
        <v>0.02</v>
      </c>
      <c r="O35" s="21">
        <v>0.02</v>
      </c>
      <c r="P35" s="21">
        <v>0.02</v>
      </c>
      <c r="Q35" s="21">
        <v>0.02</v>
      </c>
      <c r="R35" s="21">
        <v>0.02</v>
      </c>
    </row>
    <row r="36" spans="11:18" ht="15" customHeight="1" x14ac:dyDescent="0.35">
      <c r="K36" s="54"/>
      <c r="L36" s="20" t="s">
        <v>34</v>
      </c>
      <c r="M36" s="21">
        <v>0.02</v>
      </c>
      <c r="N36" s="21">
        <v>0.02</v>
      </c>
      <c r="O36" s="21">
        <v>0.02</v>
      </c>
      <c r="P36" s="21">
        <v>0.02</v>
      </c>
      <c r="Q36" s="21">
        <v>0.02</v>
      </c>
      <c r="R36" s="21">
        <v>0.02</v>
      </c>
    </row>
    <row r="37" spans="11:18" ht="15" customHeight="1" x14ac:dyDescent="0.35">
      <c r="K37" s="55"/>
      <c r="L37" s="20" t="s">
        <v>36</v>
      </c>
      <c r="M37" s="21">
        <v>0.02</v>
      </c>
      <c r="N37" s="21">
        <v>0.02</v>
      </c>
      <c r="O37" s="21">
        <v>0.02</v>
      </c>
      <c r="P37" s="21">
        <v>0.02</v>
      </c>
      <c r="Q37" s="21">
        <v>0.02</v>
      </c>
      <c r="R37" s="21">
        <v>0.02</v>
      </c>
    </row>
    <row r="39" spans="11:18" x14ac:dyDescent="0.35">
      <c r="L39" s="1" t="s">
        <v>0</v>
      </c>
      <c r="M39" s="1" t="s">
        <v>10</v>
      </c>
      <c r="N39" s="1" t="s">
        <v>11</v>
      </c>
      <c r="O39" s="1" t="s">
        <v>12</v>
      </c>
      <c r="P39" s="1" t="s">
        <v>13</v>
      </c>
      <c r="Q39" s="1" t="s">
        <v>46</v>
      </c>
      <c r="R39" s="1" t="s">
        <v>9</v>
      </c>
    </row>
    <row r="40" spans="11:18" ht="15" x14ac:dyDescent="0.35">
      <c r="L40" s="4" t="s">
        <v>42</v>
      </c>
      <c r="M40" s="21">
        <f>SUM(M30,M31,M32,M33,M34,M35,M36,M37)*3*10</f>
        <v>4.8</v>
      </c>
      <c r="N40" s="21">
        <f t="shared" ref="N40:R40" si="11">SUM(N30,N31,N32,N33,N34,N35,N36,N37)*3*10</f>
        <v>4.8</v>
      </c>
      <c r="O40" s="21">
        <f t="shared" si="11"/>
        <v>4.8</v>
      </c>
      <c r="P40" s="21">
        <f t="shared" si="11"/>
        <v>4.8</v>
      </c>
      <c r="Q40" s="21">
        <f t="shared" si="11"/>
        <v>4.8</v>
      </c>
      <c r="R40" s="21">
        <f t="shared" si="11"/>
        <v>4.8</v>
      </c>
    </row>
    <row r="41" spans="11:18" ht="15" x14ac:dyDescent="0.35">
      <c r="L41" s="33" t="s">
        <v>8</v>
      </c>
      <c r="M41" s="19">
        <f>M40+2</f>
        <v>6.8</v>
      </c>
      <c r="N41" s="19">
        <f t="shared" ref="N41:R41" si="12">N40+2</f>
        <v>6.8</v>
      </c>
      <c r="O41" s="19">
        <f t="shared" si="12"/>
        <v>6.8</v>
      </c>
      <c r="P41" s="19">
        <f t="shared" si="12"/>
        <v>6.8</v>
      </c>
      <c r="Q41" s="19">
        <f t="shared" si="12"/>
        <v>6.8</v>
      </c>
      <c r="R41" s="19">
        <f t="shared" si="12"/>
        <v>6.8</v>
      </c>
    </row>
  </sheetData>
  <mergeCells count="6">
    <mergeCell ref="L4:L11"/>
    <mergeCell ref="A2:A7"/>
    <mergeCell ref="A10:A15"/>
    <mergeCell ref="K30:K37"/>
    <mergeCell ref="K15:K22"/>
    <mergeCell ref="K2:K1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7"/>
  <sheetViews>
    <sheetView workbookViewId="0"/>
  </sheetViews>
  <sheetFormatPr defaultColWidth="8.7265625" defaultRowHeight="14.5" x14ac:dyDescent="0.35"/>
  <cols>
    <col min="1" max="1" width="4.7265625" customWidth="1"/>
    <col min="2" max="2" width="15.7265625" customWidth="1"/>
    <col min="3" max="9" width="8.7265625" customWidth="1"/>
    <col min="10" max="11" width="4.7265625" customWidth="1"/>
    <col min="12" max="12" width="15.7265625" customWidth="1"/>
    <col min="13" max="19" width="8.7265625" customWidth="1"/>
  </cols>
  <sheetData>
    <row r="1" spans="1:21" ht="15" customHeight="1" x14ac:dyDescent="0.35">
      <c r="A1" s="2"/>
      <c r="B1" s="1" t="s">
        <v>0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46</v>
      </c>
      <c r="H1" s="1" t="s">
        <v>9</v>
      </c>
      <c r="I1" s="2"/>
      <c r="J1" s="2"/>
      <c r="K1" s="2"/>
      <c r="L1" s="1" t="s">
        <v>16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46</v>
      </c>
      <c r="R1" s="1" t="s">
        <v>9</v>
      </c>
      <c r="S1" s="2"/>
      <c r="T1" s="25"/>
      <c r="U1" s="25"/>
    </row>
    <row r="2" spans="1:21" ht="15" customHeight="1" x14ac:dyDescent="0.35">
      <c r="A2" s="60" t="s">
        <v>6</v>
      </c>
      <c r="B2" s="32" t="s">
        <v>2</v>
      </c>
      <c r="C2" s="13">
        <v>7.0885440000000006</v>
      </c>
      <c r="D2" s="13">
        <v>10.0566</v>
      </c>
      <c r="E2" s="13">
        <v>9.1977119999999992</v>
      </c>
      <c r="F2" s="13">
        <v>8.3496959999999998</v>
      </c>
      <c r="G2" s="13">
        <v>9.9804960000000005</v>
      </c>
      <c r="H2" s="13">
        <v>9.4912559999999999</v>
      </c>
      <c r="I2" s="2"/>
      <c r="J2" s="2"/>
      <c r="K2" s="53" t="s">
        <v>1</v>
      </c>
      <c r="L2" s="32" t="s">
        <v>2</v>
      </c>
      <c r="M2" s="16">
        <v>1000</v>
      </c>
      <c r="N2" s="16">
        <v>1000</v>
      </c>
      <c r="O2" s="16">
        <v>1000</v>
      </c>
      <c r="P2" s="16">
        <v>1000</v>
      </c>
      <c r="Q2" s="16">
        <v>1000</v>
      </c>
      <c r="R2" s="16">
        <v>1000</v>
      </c>
      <c r="S2" s="2"/>
      <c r="T2" s="30"/>
      <c r="U2" s="30"/>
    </row>
    <row r="3" spans="1:21" ht="15" customHeight="1" x14ac:dyDescent="0.35">
      <c r="A3" s="60"/>
      <c r="B3" s="32" t="s">
        <v>3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2"/>
      <c r="J3" s="2"/>
      <c r="K3" s="54"/>
      <c r="L3" s="32" t="s">
        <v>3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2"/>
      <c r="T3" s="30"/>
      <c r="U3" s="30"/>
    </row>
    <row r="4" spans="1:21" ht="15" customHeight="1" x14ac:dyDescent="0.35">
      <c r="A4" s="60"/>
      <c r="B4" s="32" t="s">
        <v>19</v>
      </c>
      <c r="C4" s="3">
        <v>0.5</v>
      </c>
      <c r="D4" s="3">
        <v>0.5</v>
      </c>
      <c r="E4" s="3">
        <v>0.5</v>
      </c>
      <c r="F4" s="3">
        <v>0.5</v>
      </c>
      <c r="G4" s="3">
        <v>0.5</v>
      </c>
      <c r="H4" s="3">
        <v>0.5</v>
      </c>
      <c r="I4" s="2"/>
      <c r="J4" s="2"/>
      <c r="K4" s="54"/>
      <c r="L4" s="57" t="s">
        <v>4</v>
      </c>
      <c r="M4" s="15">
        <v>1000</v>
      </c>
      <c r="N4" s="15">
        <v>1000</v>
      </c>
      <c r="O4" s="15">
        <v>1000</v>
      </c>
      <c r="P4" s="15">
        <v>1000</v>
      </c>
      <c r="Q4" s="15">
        <v>1000</v>
      </c>
      <c r="R4" s="15">
        <v>1000</v>
      </c>
      <c r="S4" s="2"/>
      <c r="T4" s="30"/>
      <c r="U4" s="30"/>
    </row>
    <row r="5" spans="1:21" ht="15" customHeight="1" x14ac:dyDescent="0.35">
      <c r="A5" s="60"/>
      <c r="B5" s="32" t="s">
        <v>20</v>
      </c>
      <c r="C5" s="14">
        <f t="shared" ref="C5:H5" si="0">((C4*C$3)/C$2)</f>
        <v>7.0536347097513954E-2</v>
      </c>
      <c r="D5" s="14">
        <f t="shared" si="0"/>
        <v>4.971859276495038E-2</v>
      </c>
      <c r="E5" s="14">
        <f t="shared" si="0"/>
        <v>5.4361345517232984E-2</v>
      </c>
      <c r="F5" s="14">
        <f t="shared" si="0"/>
        <v>5.9882419671326959E-2</v>
      </c>
      <c r="G5" s="14">
        <f>((G4*G$3)/G$2)</f>
        <v>5.0097710574704905E-2</v>
      </c>
      <c r="H5" s="14">
        <f t="shared" si="0"/>
        <v>5.2680066789895882E-2</v>
      </c>
      <c r="I5" s="2"/>
      <c r="J5" s="2"/>
      <c r="K5" s="54"/>
      <c r="L5" s="58"/>
      <c r="M5" s="16">
        <v>800</v>
      </c>
      <c r="N5" s="16">
        <v>800</v>
      </c>
      <c r="O5" s="16">
        <v>800</v>
      </c>
      <c r="P5" s="16">
        <v>800</v>
      </c>
      <c r="Q5" s="16">
        <v>800</v>
      </c>
      <c r="R5" s="16">
        <v>800</v>
      </c>
      <c r="S5" s="2"/>
      <c r="T5" s="30"/>
      <c r="U5" s="30"/>
    </row>
    <row r="6" spans="1:21" ht="15" customHeight="1" x14ac:dyDescent="0.35">
      <c r="A6" s="60"/>
      <c r="B6" s="32" t="s">
        <v>44</v>
      </c>
      <c r="C6" s="14">
        <f>(((C4*C$3)/C$2))*7</f>
        <v>0.4937544296825977</v>
      </c>
      <c r="D6" s="14">
        <f t="shared" ref="D6:H6" si="1">(((D4*D$3)/D$2))*7</f>
        <v>0.34803014935465265</v>
      </c>
      <c r="E6" s="14">
        <f t="shared" si="1"/>
        <v>0.38052941862063089</v>
      </c>
      <c r="F6" s="14">
        <f t="shared" si="1"/>
        <v>0.41917693769928871</v>
      </c>
      <c r="G6" s="14">
        <f t="shared" si="1"/>
        <v>0.35068397402293433</v>
      </c>
      <c r="H6" s="14">
        <f t="shared" si="1"/>
        <v>0.36876046752927116</v>
      </c>
      <c r="I6" s="2"/>
      <c r="J6" s="2"/>
      <c r="K6" s="54"/>
      <c r="L6" s="58"/>
      <c r="M6" s="16">
        <v>600</v>
      </c>
      <c r="N6" s="16">
        <v>600</v>
      </c>
      <c r="O6" s="16">
        <v>600</v>
      </c>
      <c r="P6" s="16">
        <v>600</v>
      </c>
      <c r="Q6" s="16">
        <v>600</v>
      </c>
      <c r="R6" s="16">
        <v>600</v>
      </c>
      <c r="S6" s="2"/>
      <c r="T6" s="30"/>
      <c r="U6" s="30"/>
    </row>
    <row r="7" spans="1:21" ht="15" customHeight="1" x14ac:dyDescent="0.35">
      <c r="A7" s="60"/>
      <c r="B7" s="32" t="s">
        <v>5</v>
      </c>
      <c r="C7" s="6">
        <v>7</v>
      </c>
      <c r="D7" s="6">
        <v>7</v>
      </c>
      <c r="E7" s="6">
        <v>7</v>
      </c>
      <c r="F7" s="6">
        <v>7</v>
      </c>
      <c r="G7" s="6">
        <v>7</v>
      </c>
      <c r="H7" s="6">
        <v>7</v>
      </c>
      <c r="I7" s="2"/>
      <c r="J7" s="2"/>
      <c r="K7" s="54"/>
      <c r="L7" s="58"/>
      <c r="M7" s="15">
        <v>400</v>
      </c>
      <c r="N7" s="15">
        <v>400</v>
      </c>
      <c r="O7" s="15">
        <v>400</v>
      </c>
      <c r="P7" s="15">
        <v>400</v>
      </c>
      <c r="Q7" s="15">
        <v>400</v>
      </c>
      <c r="R7" s="15">
        <v>400</v>
      </c>
      <c r="S7" s="2"/>
      <c r="T7" s="30"/>
      <c r="U7" s="30"/>
    </row>
    <row r="8" spans="1:21" ht="1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54"/>
      <c r="L8" s="58"/>
      <c r="M8" s="16">
        <v>200</v>
      </c>
      <c r="N8" s="16">
        <v>200</v>
      </c>
      <c r="O8" s="16">
        <v>200</v>
      </c>
      <c r="P8" s="16">
        <v>200</v>
      </c>
      <c r="Q8" s="16">
        <v>200</v>
      </c>
      <c r="R8" s="16">
        <v>200</v>
      </c>
      <c r="S8" s="2"/>
      <c r="T8" s="30"/>
      <c r="U8" s="30"/>
    </row>
    <row r="9" spans="1:21" ht="15" customHeight="1" x14ac:dyDescent="0.35">
      <c r="A9" s="2"/>
      <c r="B9" s="1" t="s">
        <v>0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46</v>
      </c>
      <c r="H9" s="1" t="s">
        <v>9</v>
      </c>
      <c r="I9" s="2"/>
      <c r="J9" s="2"/>
      <c r="K9" s="54"/>
      <c r="L9" s="58"/>
      <c r="M9" s="15">
        <v>100</v>
      </c>
      <c r="N9" s="15">
        <v>100</v>
      </c>
      <c r="O9" s="15">
        <v>100</v>
      </c>
      <c r="P9" s="15">
        <v>100</v>
      </c>
      <c r="Q9" s="15">
        <v>100</v>
      </c>
      <c r="R9" s="15">
        <v>100</v>
      </c>
      <c r="S9" s="2"/>
      <c r="T9" s="30"/>
      <c r="U9" s="30"/>
    </row>
    <row r="10" spans="1:21" ht="15" customHeight="1" x14ac:dyDescent="0.35">
      <c r="A10" s="53" t="s">
        <v>21</v>
      </c>
      <c r="B10" s="4" t="s">
        <v>2</v>
      </c>
      <c r="C10" s="9">
        <v>7.0885440000000006</v>
      </c>
      <c r="D10" s="9">
        <v>10.0566</v>
      </c>
      <c r="E10" s="9">
        <v>9.1977119999999992</v>
      </c>
      <c r="F10" s="9">
        <v>8.3496959999999998</v>
      </c>
      <c r="G10" s="9">
        <v>9.9804960000000005</v>
      </c>
      <c r="H10" s="9">
        <v>9.4912559999999999</v>
      </c>
      <c r="I10" s="2"/>
      <c r="J10" s="2"/>
      <c r="K10" s="54"/>
      <c r="L10" s="58"/>
      <c r="M10" s="16">
        <v>80</v>
      </c>
      <c r="N10" s="16">
        <v>80</v>
      </c>
      <c r="O10" s="16">
        <v>80</v>
      </c>
      <c r="P10" s="16">
        <v>80</v>
      </c>
      <c r="Q10" s="16">
        <v>80</v>
      </c>
      <c r="R10" s="16">
        <v>80</v>
      </c>
      <c r="S10" s="2"/>
      <c r="T10" s="30"/>
      <c r="U10" s="30"/>
    </row>
    <row r="11" spans="1:21" ht="15" customHeight="1" x14ac:dyDescent="0.35">
      <c r="A11" s="54"/>
      <c r="B11" s="4" t="s">
        <v>3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2"/>
      <c r="J11" s="2"/>
      <c r="K11" s="54"/>
      <c r="L11" s="58"/>
      <c r="M11" s="15">
        <v>60</v>
      </c>
      <c r="N11" s="15">
        <v>50</v>
      </c>
      <c r="O11" s="15">
        <v>50</v>
      </c>
      <c r="P11" s="15">
        <v>50</v>
      </c>
      <c r="Q11" s="15">
        <v>50</v>
      </c>
      <c r="R11" s="15">
        <v>50</v>
      </c>
      <c r="S11" s="2"/>
      <c r="T11" s="30"/>
      <c r="U11" s="30"/>
    </row>
    <row r="12" spans="1:21" ht="15" customHeight="1" x14ac:dyDescent="0.35">
      <c r="A12" s="54"/>
      <c r="B12" s="4" t="s">
        <v>14</v>
      </c>
      <c r="C12" s="6">
        <v>0.1</v>
      </c>
      <c r="D12" s="6">
        <v>0.1</v>
      </c>
      <c r="E12" s="6">
        <v>0.1</v>
      </c>
      <c r="F12" s="6">
        <v>0.1</v>
      </c>
      <c r="G12" s="6">
        <v>0.1</v>
      </c>
      <c r="H12" s="6">
        <v>0.1</v>
      </c>
      <c r="I12" s="2"/>
      <c r="J12" s="2"/>
      <c r="K12" s="54"/>
      <c r="L12" s="58"/>
      <c r="M12" s="16">
        <v>40</v>
      </c>
      <c r="N12" s="16">
        <v>40</v>
      </c>
      <c r="O12" s="16">
        <v>40</v>
      </c>
      <c r="P12" s="16">
        <v>40</v>
      </c>
      <c r="Q12" s="16">
        <v>40</v>
      </c>
      <c r="R12" s="16">
        <v>40</v>
      </c>
      <c r="S12" s="2"/>
    </row>
    <row r="13" spans="1:21" ht="15" customHeight="1" x14ac:dyDescent="0.35">
      <c r="A13" s="54"/>
      <c r="B13" s="4" t="s">
        <v>15</v>
      </c>
      <c r="C13" s="10">
        <f>((C12*C$11)/C$10)</f>
        <v>1.4107269419502792E-2</v>
      </c>
      <c r="D13" s="10">
        <f t="shared" ref="D13:H13" si="2">((D12*D$11)/D$10)</f>
        <v>9.943718552990078E-3</v>
      </c>
      <c r="E13" s="10">
        <f t="shared" si="2"/>
        <v>1.0872269103446597E-2</v>
      </c>
      <c r="F13" s="10">
        <f t="shared" si="2"/>
        <v>1.1976483934265392E-2</v>
      </c>
      <c r="G13" s="10">
        <f t="shared" si="2"/>
        <v>1.0019542114940981E-2</v>
      </c>
      <c r="H13" s="10">
        <f t="shared" si="2"/>
        <v>1.0536013357979176E-2</v>
      </c>
      <c r="I13" s="2"/>
      <c r="J13" s="2"/>
      <c r="K13" s="55"/>
      <c r="L13" s="59"/>
      <c r="M13" s="16">
        <v>20</v>
      </c>
      <c r="N13" s="16">
        <v>20</v>
      </c>
      <c r="O13" s="16">
        <v>20</v>
      </c>
      <c r="P13" s="16">
        <v>20</v>
      </c>
      <c r="Q13" s="16">
        <v>20</v>
      </c>
      <c r="R13" s="16">
        <v>20</v>
      </c>
      <c r="S13" s="2"/>
      <c r="T13" s="25"/>
      <c r="U13" s="25"/>
    </row>
    <row r="14" spans="1:21" ht="15" customHeight="1" x14ac:dyDescent="0.35">
      <c r="A14" s="54"/>
      <c r="B14" s="4" t="s">
        <v>45</v>
      </c>
      <c r="C14" s="10">
        <f>(((C12*C$11)/C$10))*7</f>
        <v>9.8750885936519539E-2</v>
      </c>
      <c r="D14" s="10">
        <f t="shared" ref="D14:H14" si="3">(((D12*D$11)/D$10))*7</f>
        <v>6.960602987093055E-2</v>
      </c>
      <c r="E14" s="10">
        <f t="shared" si="3"/>
        <v>7.6105883724126175E-2</v>
      </c>
      <c r="F14" s="10">
        <f t="shared" si="3"/>
        <v>8.3835387539857739E-2</v>
      </c>
      <c r="G14" s="10">
        <f t="shared" si="3"/>
        <v>7.0136794804586872E-2</v>
      </c>
      <c r="H14" s="10">
        <f t="shared" si="3"/>
        <v>7.3752093505854238E-2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9"/>
      <c r="U14" s="29"/>
    </row>
    <row r="15" spans="1:21" ht="15" customHeight="1" x14ac:dyDescent="0.35">
      <c r="A15" s="55"/>
      <c r="B15" s="4" t="s">
        <v>5</v>
      </c>
      <c r="C15" s="11">
        <f>7-C14</f>
        <v>6.9012491140634804</v>
      </c>
      <c r="D15" s="11">
        <f t="shared" ref="D15:H15" si="4">7-D14</f>
        <v>6.9303939701290691</v>
      </c>
      <c r="E15" s="11">
        <f t="shared" si="4"/>
        <v>6.923894116275874</v>
      </c>
      <c r="F15" s="11">
        <f t="shared" si="4"/>
        <v>6.9161646124601424</v>
      </c>
      <c r="G15" s="11">
        <f t="shared" si="4"/>
        <v>6.9298632051954128</v>
      </c>
      <c r="H15" s="11">
        <f t="shared" si="4"/>
        <v>6.9262479064941456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30"/>
      <c r="U15" s="30"/>
    </row>
    <row r="16" spans="1:21" ht="1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1" t="s">
        <v>16</v>
      </c>
      <c r="M16" s="1" t="s">
        <v>10</v>
      </c>
      <c r="N16" s="1" t="s">
        <v>11</v>
      </c>
      <c r="O16" s="1" t="s">
        <v>12</v>
      </c>
      <c r="P16" s="1" t="s">
        <v>13</v>
      </c>
      <c r="Q16" s="1" t="s">
        <v>46</v>
      </c>
      <c r="R16" s="1" t="s">
        <v>9</v>
      </c>
      <c r="T16" s="1" t="s">
        <v>43</v>
      </c>
      <c r="U16" s="1" t="s">
        <v>18</v>
      </c>
    </row>
    <row r="17" spans="1:21" ht="15" customHeight="1" x14ac:dyDescent="0.35">
      <c r="A17" s="2"/>
      <c r="B17" s="1" t="s">
        <v>0</v>
      </c>
      <c r="C17" s="1" t="s">
        <v>10</v>
      </c>
      <c r="D17" s="1" t="s">
        <v>11</v>
      </c>
      <c r="E17" s="1" t="s">
        <v>12</v>
      </c>
      <c r="F17" s="1" t="s">
        <v>13</v>
      </c>
      <c r="G17" s="1" t="s">
        <v>46</v>
      </c>
      <c r="H17" s="1" t="s">
        <v>9</v>
      </c>
      <c r="I17" s="2"/>
      <c r="J17" s="2"/>
      <c r="K17" s="53" t="s">
        <v>7</v>
      </c>
      <c r="L17" s="20" t="s">
        <v>27</v>
      </c>
      <c r="M17" s="21">
        <v>0.18</v>
      </c>
      <c r="N17" s="21">
        <v>0.18</v>
      </c>
      <c r="O17" s="21">
        <v>0.18</v>
      </c>
      <c r="P17" s="21">
        <v>0.18</v>
      </c>
      <c r="Q17" s="21">
        <v>0.18</v>
      </c>
      <c r="R17" s="21">
        <v>0.18</v>
      </c>
      <c r="T17" s="17">
        <f>(SUM(M17:R17)*3*8)*1000/1000</f>
        <v>25.919999999999995</v>
      </c>
      <c r="U17" s="17">
        <f t="shared" ref="U17:U26" si="5">(SUM(M17:R17)*3*8)-T17</f>
        <v>0</v>
      </c>
    </row>
    <row r="18" spans="1:21" ht="15" customHeight="1" x14ac:dyDescent="0.35">
      <c r="A18" s="2"/>
      <c r="B18" s="4" t="s">
        <v>23</v>
      </c>
      <c r="C18" s="17">
        <f>3*10*10</f>
        <v>300</v>
      </c>
      <c r="D18" s="17">
        <f t="shared" ref="D18:H18" si="6">3*10*10</f>
        <v>300</v>
      </c>
      <c r="E18" s="17">
        <f t="shared" si="6"/>
        <v>300</v>
      </c>
      <c r="F18" s="17">
        <f t="shared" si="6"/>
        <v>300</v>
      </c>
      <c r="G18" s="17">
        <f t="shared" si="6"/>
        <v>300</v>
      </c>
      <c r="H18" s="17">
        <f t="shared" si="6"/>
        <v>300</v>
      </c>
      <c r="I18" s="2"/>
      <c r="J18" s="2"/>
      <c r="K18" s="54"/>
      <c r="L18" s="20" t="s">
        <v>28</v>
      </c>
      <c r="M18" s="21">
        <v>0.18</v>
      </c>
      <c r="N18" s="21">
        <v>0.18</v>
      </c>
      <c r="O18" s="21">
        <v>0.18</v>
      </c>
      <c r="P18" s="21">
        <v>0.18</v>
      </c>
      <c r="Q18" s="21">
        <v>0.18</v>
      </c>
      <c r="R18" s="21">
        <v>0.18</v>
      </c>
      <c r="T18" s="17">
        <f>(SUM(M18:R18)*3*8)*800/1000</f>
        <v>20.735999999999997</v>
      </c>
      <c r="U18" s="17">
        <f t="shared" si="5"/>
        <v>5.1839999999999975</v>
      </c>
    </row>
    <row r="19" spans="1:21" ht="15" customHeight="1" x14ac:dyDescent="0.35">
      <c r="A19" s="2"/>
      <c r="B19" s="32" t="s">
        <v>8</v>
      </c>
      <c r="C19" s="18">
        <f>C18+10</f>
        <v>310</v>
      </c>
      <c r="D19" s="18">
        <f t="shared" ref="D19:H19" si="7">D18+10</f>
        <v>310</v>
      </c>
      <c r="E19" s="18">
        <f t="shared" si="7"/>
        <v>310</v>
      </c>
      <c r="F19" s="18">
        <f t="shared" si="7"/>
        <v>310</v>
      </c>
      <c r="G19" s="18">
        <f t="shared" si="7"/>
        <v>310</v>
      </c>
      <c r="H19" s="18">
        <f t="shared" si="7"/>
        <v>310</v>
      </c>
      <c r="I19" s="2"/>
      <c r="J19" s="2"/>
      <c r="K19" s="54"/>
      <c r="L19" s="20" t="s">
        <v>29</v>
      </c>
      <c r="M19" s="21">
        <v>0.18</v>
      </c>
      <c r="N19" s="21">
        <v>0.18</v>
      </c>
      <c r="O19" s="21">
        <v>0.18</v>
      </c>
      <c r="P19" s="21">
        <v>0.18</v>
      </c>
      <c r="Q19" s="21">
        <v>0.18</v>
      </c>
      <c r="R19" s="21">
        <v>0.18</v>
      </c>
      <c r="T19" s="17">
        <f>(SUM(M19:R19)*3*8)*600/1000</f>
        <v>15.551999999999996</v>
      </c>
      <c r="U19" s="17">
        <f t="shared" si="5"/>
        <v>10.367999999999999</v>
      </c>
    </row>
    <row r="20" spans="1:21" ht="15" customHeight="1" x14ac:dyDescent="0.35">
      <c r="A20" s="2"/>
      <c r="B20" s="32" t="s">
        <v>24</v>
      </c>
      <c r="C20" s="8">
        <f>C19*0.02</f>
        <v>6.2</v>
      </c>
      <c r="D20" s="8">
        <f t="shared" ref="D20:H20" si="8">D19*0.02</f>
        <v>6.2</v>
      </c>
      <c r="E20" s="8">
        <f t="shared" si="8"/>
        <v>6.2</v>
      </c>
      <c r="F20" s="8">
        <f t="shared" si="8"/>
        <v>6.2</v>
      </c>
      <c r="G20" s="8">
        <f t="shared" si="8"/>
        <v>6.2</v>
      </c>
      <c r="H20" s="8">
        <f t="shared" si="8"/>
        <v>6.2</v>
      </c>
      <c r="I20" s="2"/>
      <c r="J20" s="2"/>
      <c r="K20" s="54"/>
      <c r="L20" s="20" t="s">
        <v>30</v>
      </c>
      <c r="M20" s="21">
        <v>0.18</v>
      </c>
      <c r="N20" s="21">
        <v>0.18</v>
      </c>
      <c r="O20" s="21">
        <v>0.18</v>
      </c>
      <c r="P20" s="21">
        <v>0.18</v>
      </c>
      <c r="Q20" s="21">
        <v>0.18</v>
      </c>
      <c r="R20" s="21">
        <v>0.18</v>
      </c>
      <c r="T20" s="17">
        <f>(SUM(M20:R20)*3*8)*400/1000</f>
        <v>10.367999999999999</v>
      </c>
      <c r="U20" s="17">
        <f t="shared" si="5"/>
        <v>15.551999999999996</v>
      </c>
    </row>
    <row r="21" spans="1:21" ht="15" customHeight="1" x14ac:dyDescent="0.35">
      <c r="A21" s="2"/>
      <c r="I21" s="2"/>
      <c r="J21" s="2"/>
      <c r="K21" s="54"/>
      <c r="L21" s="20" t="s">
        <v>31</v>
      </c>
      <c r="M21" s="21">
        <v>0.18</v>
      </c>
      <c r="N21" s="21">
        <v>0.18</v>
      </c>
      <c r="O21" s="21">
        <v>0.18</v>
      </c>
      <c r="P21" s="21">
        <v>0.18</v>
      </c>
      <c r="Q21" s="21">
        <v>0.18</v>
      </c>
      <c r="R21" s="21">
        <v>0.18</v>
      </c>
      <c r="T21" s="17">
        <f>(SUM(M21:R21)*3*8)*200/1000</f>
        <v>5.1839999999999993</v>
      </c>
      <c r="U21" s="17">
        <f t="shared" si="5"/>
        <v>20.735999999999997</v>
      </c>
    </row>
    <row r="22" spans="1:21" ht="1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54"/>
      <c r="L22" s="20" t="s">
        <v>32</v>
      </c>
      <c r="M22" s="21">
        <v>0.18</v>
      </c>
      <c r="N22" s="21">
        <v>0.18</v>
      </c>
      <c r="O22" s="21">
        <v>0.18</v>
      </c>
      <c r="P22" s="21">
        <v>0.18</v>
      </c>
      <c r="Q22" s="21">
        <v>0.18</v>
      </c>
      <c r="R22" s="21">
        <v>0.18</v>
      </c>
      <c r="T22" s="17">
        <f>(SUM(M22:R22)*3*8)*100/1000</f>
        <v>2.5919999999999996</v>
      </c>
      <c r="U22" s="17">
        <f t="shared" si="5"/>
        <v>23.327999999999996</v>
      </c>
    </row>
    <row r="23" spans="1:21" ht="1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54"/>
      <c r="L23" s="20" t="s">
        <v>33</v>
      </c>
      <c r="M23" s="21">
        <v>0.18</v>
      </c>
      <c r="N23" s="21">
        <v>0.18</v>
      </c>
      <c r="O23" s="21">
        <v>0.18</v>
      </c>
      <c r="P23" s="21">
        <v>0.18</v>
      </c>
      <c r="Q23" s="21">
        <v>0.18</v>
      </c>
      <c r="R23" s="21">
        <v>0.18</v>
      </c>
      <c r="T23" s="17">
        <f>(SUM(M23:R23)*3*8)*80/1000</f>
        <v>2.0735999999999994</v>
      </c>
      <c r="U23" s="17">
        <f t="shared" si="5"/>
        <v>23.846399999999996</v>
      </c>
    </row>
    <row r="24" spans="1:21" ht="1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54"/>
      <c r="L24" s="20" t="s">
        <v>34</v>
      </c>
      <c r="M24" s="21">
        <v>0.18</v>
      </c>
      <c r="N24" s="21">
        <v>0.18</v>
      </c>
      <c r="O24" s="21">
        <v>0.18</v>
      </c>
      <c r="P24" s="21">
        <v>0.18</v>
      </c>
      <c r="Q24" s="21">
        <v>0.18</v>
      </c>
      <c r="R24" s="21">
        <v>0.18</v>
      </c>
      <c r="T24" s="17">
        <f>(SUM(M24:R24)*3*8)*60/1000</f>
        <v>1.5551999999999997</v>
      </c>
      <c r="U24" s="17">
        <f t="shared" si="5"/>
        <v>24.364799999999995</v>
      </c>
    </row>
    <row r="25" spans="1:21" ht="1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54"/>
      <c r="L25" s="20" t="s">
        <v>35</v>
      </c>
      <c r="M25" s="21">
        <v>0.18</v>
      </c>
      <c r="N25" s="21">
        <v>0.18</v>
      </c>
      <c r="O25" s="21">
        <v>0.18</v>
      </c>
      <c r="P25" s="21">
        <v>0.18</v>
      </c>
      <c r="Q25" s="21">
        <v>0.18</v>
      </c>
      <c r="R25" s="21">
        <v>0.18</v>
      </c>
      <c r="T25" s="17">
        <f>(SUM(M25:R25)*3*8)*40/1000</f>
        <v>1.0367999999999997</v>
      </c>
      <c r="U25" s="17">
        <f t="shared" si="5"/>
        <v>24.883199999999995</v>
      </c>
    </row>
    <row r="26" spans="1:21" ht="15" customHeight="1" x14ac:dyDescent="0.35">
      <c r="K26" s="55"/>
      <c r="L26" s="20" t="s">
        <v>36</v>
      </c>
      <c r="M26" s="21">
        <v>0.18</v>
      </c>
      <c r="N26" s="21">
        <v>0.18</v>
      </c>
      <c r="O26" s="21">
        <v>0.18</v>
      </c>
      <c r="P26" s="21">
        <v>0.18</v>
      </c>
      <c r="Q26" s="21">
        <v>0.18</v>
      </c>
      <c r="R26" s="21">
        <v>0.18</v>
      </c>
      <c r="T26" s="17">
        <f>(SUM(M26:R26)*3*8)*20/1000</f>
        <v>0.51839999999999986</v>
      </c>
      <c r="U26" s="17">
        <f t="shared" si="5"/>
        <v>25.401599999999995</v>
      </c>
    </row>
    <row r="27" spans="1:21" ht="15" customHeight="1" x14ac:dyDescent="0.35"/>
    <row r="28" spans="1:21" ht="15" customHeight="1" x14ac:dyDescent="0.35">
      <c r="L28" s="1" t="s">
        <v>16</v>
      </c>
      <c r="M28" s="1" t="s">
        <v>10</v>
      </c>
      <c r="N28" s="1" t="s">
        <v>11</v>
      </c>
      <c r="O28" s="1" t="s">
        <v>12</v>
      </c>
      <c r="P28" s="1" t="s">
        <v>13</v>
      </c>
      <c r="Q28" s="1" t="s">
        <v>46</v>
      </c>
      <c r="R28" s="1" t="s">
        <v>9</v>
      </c>
      <c r="T28" s="1" t="s">
        <v>43</v>
      </c>
      <c r="U28" s="1" t="s">
        <v>18</v>
      </c>
    </row>
    <row r="29" spans="1:21" ht="15" customHeight="1" x14ac:dyDescent="0.35">
      <c r="L29" s="4" t="s">
        <v>42</v>
      </c>
      <c r="M29" s="21">
        <f>SUM(M17,M18,M19,M20,M21,M22,M23,M24,M25,M26)*3*8</f>
        <v>43.199999999999989</v>
      </c>
      <c r="N29" s="21">
        <f t="shared" ref="N29:R29" si="9">SUM(N17,N18,N19,N20,N21,N22,N23,N24,N25,N26)*3*8</f>
        <v>43.199999999999989</v>
      </c>
      <c r="O29" s="21">
        <f t="shared" si="9"/>
        <v>43.199999999999989</v>
      </c>
      <c r="P29" s="21">
        <f t="shared" si="9"/>
        <v>43.199999999999989</v>
      </c>
      <c r="Q29" s="21">
        <f t="shared" si="9"/>
        <v>43.199999999999989</v>
      </c>
      <c r="R29" s="21">
        <f t="shared" si="9"/>
        <v>43.199999999999989</v>
      </c>
      <c r="T29" s="17">
        <f>SUM(T17:T26)</f>
        <v>85.535999999999973</v>
      </c>
      <c r="U29" s="17">
        <f>SUM(U17:U26)</f>
        <v>173.66399999999996</v>
      </c>
    </row>
    <row r="30" spans="1:21" ht="15" customHeight="1" x14ac:dyDescent="0.35">
      <c r="L30" s="32" t="s">
        <v>8</v>
      </c>
      <c r="M30" s="19">
        <f>M29+10</f>
        <v>53.199999999999989</v>
      </c>
      <c r="N30" s="19">
        <f t="shared" ref="N30:R30" si="10">N29+10</f>
        <v>53.199999999999989</v>
      </c>
      <c r="O30" s="19">
        <f t="shared" si="10"/>
        <v>53.199999999999989</v>
      </c>
      <c r="P30" s="19">
        <f t="shared" si="10"/>
        <v>53.199999999999989</v>
      </c>
      <c r="Q30" s="19">
        <f t="shared" si="10"/>
        <v>53.199999999999989</v>
      </c>
      <c r="R30" s="19">
        <f t="shared" si="10"/>
        <v>53.199999999999989</v>
      </c>
      <c r="T30" s="28"/>
    </row>
    <row r="31" spans="1:21" ht="15" customHeight="1" x14ac:dyDescent="0.35"/>
    <row r="32" spans="1:21" ht="15" customHeight="1" x14ac:dyDescent="0.35"/>
    <row r="33" spans="11:18" ht="15" customHeight="1" x14ac:dyDescent="0.35">
      <c r="K33" s="2"/>
      <c r="L33" s="1" t="s">
        <v>0</v>
      </c>
      <c r="M33" s="1" t="s">
        <v>10</v>
      </c>
      <c r="N33" s="1" t="s">
        <v>11</v>
      </c>
      <c r="O33" s="1" t="s">
        <v>12</v>
      </c>
      <c r="P33" s="1" t="s">
        <v>13</v>
      </c>
      <c r="Q33" s="1" t="s">
        <v>46</v>
      </c>
      <c r="R33" s="1" t="s">
        <v>9</v>
      </c>
    </row>
    <row r="34" spans="11:18" ht="15" customHeight="1" x14ac:dyDescent="0.35">
      <c r="K34" s="53" t="s">
        <v>7</v>
      </c>
      <c r="L34" s="20" t="s">
        <v>27</v>
      </c>
      <c r="M34" s="21">
        <v>0.02</v>
      </c>
      <c r="N34" s="21">
        <v>0.02</v>
      </c>
      <c r="O34" s="21">
        <v>0.02</v>
      </c>
      <c r="P34" s="21">
        <v>0.02</v>
      </c>
      <c r="Q34" s="21">
        <v>0.02</v>
      </c>
      <c r="R34" s="21">
        <v>0.02</v>
      </c>
    </row>
    <row r="35" spans="11:18" ht="15" customHeight="1" x14ac:dyDescent="0.35">
      <c r="K35" s="54"/>
      <c r="L35" s="20" t="s">
        <v>28</v>
      </c>
      <c r="M35" s="21">
        <v>0.02</v>
      </c>
      <c r="N35" s="21">
        <v>0.02</v>
      </c>
      <c r="O35" s="21">
        <v>0.02</v>
      </c>
      <c r="P35" s="21">
        <v>0.02</v>
      </c>
      <c r="Q35" s="21">
        <v>0.02</v>
      </c>
      <c r="R35" s="21">
        <v>0.02</v>
      </c>
    </row>
    <row r="36" spans="11:18" ht="15" customHeight="1" x14ac:dyDescent="0.35">
      <c r="K36" s="54"/>
      <c r="L36" s="20" t="s">
        <v>29</v>
      </c>
      <c r="M36" s="21">
        <v>0.02</v>
      </c>
      <c r="N36" s="21">
        <v>0.02</v>
      </c>
      <c r="O36" s="21">
        <v>0.02</v>
      </c>
      <c r="P36" s="21">
        <v>0.02</v>
      </c>
      <c r="Q36" s="21">
        <v>0.02</v>
      </c>
      <c r="R36" s="21">
        <v>0.02</v>
      </c>
    </row>
    <row r="37" spans="11:18" ht="15" customHeight="1" x14ac:dyDescent="0.35">
      <c r="K37" s="54"/>
      <c r="L37" s="20" t="s">
        <v>30</v>
      </c>
      <c r="M37" s="21">
        <v>0.02</v>
      </c>
      <c r="N37" s="21">
        <v>0.02</v>
      </c>
      <c r="O37" s="21">
        <v>0.02</v>
      </c>
      <c r="P37" s="21">
        <v>0.02</v>
      </c>
      <c r="Q37" s="21">
        <v>0.02</v>
      </c>
      <c r="R37" s="21">
        <v>0.02</v>
      </c>
    </row>
    <row r="38" spans="11:18" ht="15" customHeight="1" x14ac:dyDescent="0.35">
      <c r="K38" s="54"/>
      <c r="L38" s="20" t="s">
        <v>31</v>
      </c>
      <c r="M38" s="21">
        <v>0.02</v>
      </c>
      <c r="N38" s="21">
        <v>0.02</v>
      </c>
      <c r="O38" s="21">
        <v>0.02</v>
      </c>
      <c r="P38" s="21">
        <v>0.02</v>
      </c>
      <c r="Q38" s="21">
        <v>0.02</v>
      </c>
      <c r="R38" s="21">
        <v>0.02</v>
      </c>
    </row>
    <row r="39" spans="11:18" ht="15" customHeight="1" x14ac:dyDescent="0.35">
      <c r="K39" s="54"/>
      <c r="L39" s="20" t="s">
        <v>32</v>
      </c>
      <c r="M39" s="21">
        <v>0.02</v>
      </c>
      <c r="N39" s="21">
        <v>0.02</v>
      </c>
      <c r="O39" s="21">
        <v>0.02</v>
      </c>
      <c r="P39" s="21">
        <v>0.02</v>
      </c>
      <c r="Q39" s="21">
        <v>0.02</v>
      </c>
      <c r="R39" s="21">
        <v>0.02</v>
      </c>
    </row>
    <row r="40" spans="11:18" ht="15" customHeight="1" x14ac:dyDescent="0.35">
      <c r="K40" s="54"/>
      <c r="L40" s="20" t="s">
        <v>33</v>
      </c>
      <c r="M40" s="21">
        <v>0.02</v>
      </c>
      <c r="N40" s="21">
        <v>0.02</v>
      </c>
      <c r="O40" s="21">
        <v>0.02</v>
      </c>
      <c r="P40" s="21">
        <v>0.02</v>
      </c>
      <c r="Q40" s="21">
        <v>0.02</v>
      </c>
      <c r="R40" s="21">
        <v>0.02</v>
      </c>
    </row>
    <row r="41" spans="11:18" ht="15" customHeight="1" x14ac:dyDescent="0.35">
      <c r="K41" s="54"/>
      <c r="L41" s="20" t="s">
        <v>34</v>
      </c>
      <c r="M41" s="21">
        <v>0.02</v>
      </c>
      <c r="N41" s="21">
        <v>0.02</v>
      </c>
      <c r="O41" s="21">
        <v>0.02</v>
      </c>
      <c r="P41" s="21">
        <v>0.02</v>
      </c>
      <c r="Q41" s="21">
        <v>0.02</v>
      </c>
      <c r="R41" s="21">
        <v>0.02</v>
      </c>
    </row>
    <row r="42" spans="11:18" ht="15" customHeight="1" x14ac:dyDescent="0.35">
      <c r="K42" s="54"/>
      <c r="L42" s="20" t="s">
        <v>35</v>
      </c>
      <c r="M42" s="21">
        <v>0.02</v>
      </c>
      <c r="N42" s="21">
        <v>0.02</v>
      </c>
      <c r="O42" s="21">
        <v>0.02</v>
      </c>
      <c r="P42" s="21">
        <v>0.02</v>
      </c>
      <c r="Q42" s="21">
        <v>0.02</v>
      </c>
      <c r="R42" s="21">
        <v>0.02</v>
      </c>
    </row>
    <row r="43" spans="11:18" ht="15" customHeight="1" x14ac:dyDescent="0.35">
      <c r="K43" s="55"/>
      <c r="L43" s="20" t="s">
        <v>36</v>
      </c>
      <c r="M43" s="21">
        <v>0.02</v>
      </c>
      <c r="N43" s="21">
        <v>0.02</v>
      </c>
      <c r="O43" s="21">
        <v>0.02</v>
      </c>
      <c r="P43" s="21">
        <v>0.02</v>
      </c>
      <c r="Q43" s="21">
        <v>0.02</v>
      </c>
      <c r="R43" s="21">
        <v>0.02</v>
      </c>
    </row>
    <row r="44" spans="11:18" ht="15" customHeight="1" x14ac:dyDescent="0.35"/>
    <row r="45" spans="11:18" ht="15" customHeight="1" x14ac:dyDescent="0.35">
      <c r="L45" s="1" t="s">
        <v>0</v>
      </c>
      <c r="M45" s="1" t="s">
        <v>10</v>
      </c>
      <c r="N45" s="1" t="s">
        <v>11</v>
      </c>
      <c r="O45" s="1" t="s">
        <v>12</v>
      </c>
      <c r="P45" s="1" t="s">
        <v>13</v>
      </c>
      <c r="Q45" s="1" t="s">
        <v>46</v>
      </c>
      <c r="R45" s="1" t="s">
        <v>9</v>
      </c>
    </row>
    <row r="46" spans="11:18" ht="15" customHeight="1" x14ac:dyDescent="0.35">
      <c r="L46" s="4" t="s">
        <v>42</v>
      </c>
      <c r="M46" s="21">
        <f>SUM(M34,M35,M36,M37,M38,M39,M40,M41,M42,M43)*3*8</f>
        <v>4.8</v>
      </c>
      <c r="N46" s="21">
        <f t="shared" ref="N46:R46" si="11">SUM(N34,N35,N36,N37,N38,N39,N40,N41,N42,N43)*3*8</f>
        <v>4.8</v>
      </c>
      <c r="O46" s="21">
        <f t="shared" si="11"/>
        <v>4.8</v>
      </c>
      <c r="P46" s="21">
        <f t="shared" si="11"/>
        <v>4.8</v>
      </c>
      <c r="Q46" s="21">
        <f t="shared" si="11"/>
        <v>4.8</v>
      </c>
      <c r="R46" s="21">
        <f t="shared" si="11"/>
        <v>4.8</v>
      </c>
    </row>
    <row r="47" spans="11:18" ht="15" customHeight="1" x14ac:dyDescent="0.35">
      <c r="L47" s="32" t="s">
        <v>8</v>
      </c>
      <c r="M47" s="19">
        <f>M46+2</f>
        <v>6.8</v>
      </c>
      <c r="N47" s="19">
        <f t="shared" ref="N47:R47" si="12">N46+2</f>
        <v>6.8</v>
      </c>
      <c r="O47" s="19">
        <f t="shared" si="12"/>
        <v>6.8</v>
      </c>
      <c r="P47" s="19">
        <f t="shared" si="12"/>
        <v>6.8</v>
      </c>
      <c r="Q47" s="19">
        <f t="shared" si="12"/>
        <v>6.8</v>
      </c>
      <c r="R47" s="19">
        <f t="shared" si="12"/>
        <v>6.8</v>
      </c>
    </row>
  </sheetData>
  <mergeCells count="6">
    <mergeCell ref="K34:K43"/>
    <mergeCell ref="A2:A7"/>
    <mergeCell ref="K2:K13"/>
    <mergeCell ref="L4:L13"/>
    <mergeCell ref="A10:A15"/>
    <mergeCell ref="K17:K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2"/>
  <sheetViews>
    <sheetView workbookViewId="0"/>
  </sheetViews>
  <sheetFormatPr defaultColWidth="8.7265625" defaultRowHeight="14.5" x14ac:dyDescent="0.35"/>
  <cols>
    <col min="1" max="1" width="4.7265625" customWidth="1"/>
    <col min="2" max="2" width="15.7265625" customWidth="1"/>
    <col min="3" max="9" width="8.7265625" customWidth="1"/>
    <col min="10" max="11" width="4.7265625" customWidth="1"/>
    <col min="12" max="12" width="15.7265625" customWidth="1"/>
    <col min="13" max="21" width="8.7265625" customWidth="1"/>
  </cols>
  <sheetData>
    <row r="1" spans="1:21" ht="15" customHeight="1" x14ac:dyDescent="0.35">
      <c r="A1" s="2"/>
      <c r="B1" s="1" t="s">
        <v>0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46</v>
      </c>
      <c r="H1" s="1" t="s">
        <v>9</v>
      </c>
      <c r="I1" s="2"/>
      <c r="J1" s="2"/>
      <c r="K1" s="2"/>
      <c r="L1" s="1" t="s">
        <v>16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46</v>
      </c>
      <c r="R1" s="1" t="s">
        <v>9</v>
      </c>
      <c r="S1" s="2"/>
      <c r="T1" s="25"/>
      <c r="U1" s="25"/>
    </row>
    <row r="2" spans="1:21" ht="15" customHeight="1" x14ac:dyDescent="0.35">
      <c r="A2" s="60" t="s">
        <v>6</v>
      </c>
      <c r="B2" s="44" t="s">
        <v>2</v>
      </c>
      <c r="C2" s="13">
        <v>10.305035999999999</v>
      </c>
      <c r="D2" s="13">
        <v>14.466060000000001</v>
      </c>
      <c r="E2" s="13">
        <v>20.154959999999999</v>
      </c>
      <c r="F2" s="13">
        <v>14.292684000000001</v>
      </c>
      <c r="G2" s="13">
        <v>19.678176000000001</v>
      </c>
      <c r="H2" s="13">
        <v>16.319016000000001</v>
      </c>
      <c r="I2" s="2"/>
      <c r="J2" s="2"/>
      <c r="K2" s="53" t="s">
        <v>1</v>
      </c>
      <c r="L2" s="44" t="s">
        <v>2</v>
      </c>
      <c r="M2" s="16">
        <v>500</v>
      </c>
      <c r="N2" s="16">
        <v>500</v>
      </c>
      <c r="O2" s="16">
        <v>500</v>
      </c>
      <c r="P2" s="16">
        <v>500</v>
      </c>
      <c r="Q2" s="16">
        <v>500</v>
      </c>
      <c r="R2" s="16">
        <v>500</v>
      </c>
      <c r="S2" s="2"/>
      <c r="T2" s="30"/>
      <c r="U2" s="30"/>
    </row>
    <row r="3" spans="1:21" ht="15" customHeight="1" x14ac:dyDescent="0.35">
      <c r="A3" s="60"/>
      <c r="B3" s="44" t="s">
        <v>3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2"/>
      <c r="J3" s="2"/>
      <c r="K3" s="54"/>
      <c r="L3" s="44" t="s">
        <v>3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2"/>
      <c r="T3" s="30"/>
      <c r="U3" s="30"/>
    </row>
    <row r="4" spans="1:21" ht="15" customHeight="1" x14ac:dyDescent="0.35">
      <c r="A4" s="60"/>
      <c r="B4" s="44" t="s">
        <v>19</v>
      </c>
      <c r="C4" s="3">
        <v>0.5</v>
      </c>
      <c r="D4" s="3">
        <v>0.5</v>
      </c>
      <c r="E4" s="3">
        <v>0.5</v>
      </c>
      <c r="F4" s="3">
        <v>0.5</v>
      </c>
      <c r="G4" s="3">
        <v>0.5</v>
      </c>
      <c r="H4" s="3">
        <v>0.5</v>
      </c>
      <c r="I4" s="2"/>
      <c r="J4" s="2"/>
      <c r="K4" s="54"/>
      <c r="L4" s="57" t="s">
        <v>4</v>
      </c>
      <c r="M4" s="15">
        <v>500</v>
      </c>
      <c r="N4" s="15">
        <v>500</v>
      </c>
      <c r="O4" s="15">
        <v>500</v>
      </c>
      <c r="P4" s="15">
        <v>500</v>
      </c>
      <c r="Q4" s="15">
        <v>500</v>
      </c>
      <c r="R4" s="15">
        <v>500</v>
      </c>
      <c r="S4" s="2"/>
      <c r="T4" s="30"/>
      <c r="U4" s="30"/>
    </row>
    <row r="5" spans="1:21" ht="15" customHeight="1" x14ac:dyDescent="0.35">
      <c r="A5" s="60"/>
      <c r="B5" s="44" t="s">
        <v>20</v>
      </c>
      <c r="C5" s="14">
        <f t="shared" ref="C5:H5" si="0">((C4*C$3)/C$2)</f>
        <v>4.8519966354314534E-2</v>
      </c>
      <c r="D5" s="14">
        <f t="shared" si="0"/>
        <v>3.4563661425433045E-2</v>
      </c>
      <c r="E5" s="14">
        <f t="shared" si="0"/>
        <v>2.4807789248899526E-2</v>
      </c>
      <c r="F5" s="14">
        <f t="shared" si="0"/>
        <v>3.4982932526878785E-2</v>
      </c>
      <c r="G5" s="14">
        <f>((G4*G$3)/G$2)</f>
        <v>2.540885903246317E-2</v>
      </c>
      <c r="H5" s="14">
        <f t="shared" si="0"/>
        <v>3.0639102259597022E-2</v>
      </c>
      <c r="I5" s="2"/>
      <c r="J5" s="2"/>
      <c r="K5" s="54"/>
      <c r="L5" s="58"/>
      <c r="M5" s="16">
        <v>400</v>
      </c>
      <c r="N5" s="16">
        <v>400</v>
      </c>
      <c r="O5" s="16">
        <v>400</v>
      </c>
      <c r="P5" s="16">
        <v>400</v>
      </c>
      <c r="Q5" s="16">
        <v>400</v>
      </c>
      <c r="R5" s="16">
        <v>400</v>
      </c>
      <c r="S5" s="2"/>
      <c r="T5" s="30"/>
      <c r="U5" s="30"/>
    </row>
    <row r="6" spans="1:21" ht="15" customHeight="1" x14ac:dyDescent="0.35">
      <c r="A6" s="60"/>
      <c r="B6" s="44" t="s">
        <v>52</v>
      </c>
      <c r="C6" s="14">
        <f>(((C4*C$3)/C$2))*2</f>
        <v>9.7039932708629068E-2</v>
      </c>
      <c r="D6" s="14">
        <f t="shared" ref="D6:H6" si="1">(((D4*D$3)/D$2))*2</f>
        <v>6.9127322850866091E-2</v>
      </c>
      <c r="E6" s="14">
        <f t="shared" si="1"/>
        <v>4.9615578497799052E-2</v>
      </c>
      <c r="F6" s="14">
        <f t="shared" si="1"/>
        <v>6.996586505375757E-2</v>
      </c>
      <c r="G6" s="14">
        <f t="shared" si="1"/>
        <v>5.081771806492634E-2</v>
      </c>
      <c r="H6" s="14">
        <f t="shared" si="1"/>
        <v>6.1278204519194045E-2</v>
      </c>
      <c r="I6" s="2"/>
      <c r="J6" s="2"/>
      <c r="K6" s="54"/>
      <c r="L6" s="58"/>
      <c r="M6" s="16">
        <v>300</v>
      </c>
      <c r="N6" s="16">
        <v>300</v>
      </c>
      <c r="O6" s="16">
        <v>300</v>
      </c>
      <c r="P6" s="16">
        <v>300</v>
      </c>
      <c r="Q6" s="16">
        <v>300</v>
      </c>
      <c r="R6" s="16">
        <v>300</v>
      </c>
      <c r="S6" s="2"/>
      <c r="T6" s="30"/>
      <c r="U6" s="30"/>
    </row>
    <row r="7" spans="1:21" ht="15" customHeight="1" x14ac:dyDescent="0.35">
      <c r="A7" s="60"/>
      <c r="B7" s="44" t="s">
        <v>5</v>
      </c>
      <c r="C7" s="6">
        <v>2</v>
      </c>
      <c r="D7" s="6">
        <v>2</v>
      </c>
      <c r="E7" s="6">
        <v>2</v>
      </c>
      <c r="F7" s="6">
        <v>2</v>
      </c>
      <c r="G7" s="6">
        <v>2</v>
      </c>
      <c r="H7" s="6">
        <v>2</v>
      </c>
      <c r="I7" s="2"/>
      <c r="J7" s="2"/>
      <c r="K7" s="54"/>
      <c r="L7" s="58"/>
      <c r="M7" s="15">
        <v>200</v>
      </c>
      <c r="N7" s="15">
        <v>200</v>
      </c>
      <c r="O7" s="15">
        <v>200</v>
      </c>
      <c r="P7" s="15">
        <v>200</v>
      </c>
      <c r="Q7" s="15">
        <v>200</v>
      </c>
      <c r="R7" s="15">
        <v>200</v>
      </c>
      <c r="S7" s="2"/>
      <c r="T7" s="30"/>
      <c r="U7" s="30"/>
    </row>
    <row r="8" spans="1:21" ht="1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54"/>
      <c r="L8" s="58"/>
      <c r="M8" s="16">
        <v>100</v>
      </c>
      <c r="N8" s="16">
        <v>100</v>
      </c>
      <c r="O8" s="16">
        <v>100</v>
      </c>
      <c r="P8" s="16">
        <v>100</v>
      </c>
      <c r="Q8" s="16">
        <v>100</v>
      </c>
      <c r="R8" s="16">
        <v>100</v>
      </c>
      <c r="S8" s="2"/>
      <c r="T8" s="30"/>
      <c r="U8" s="30"/>
    </row>
    <row r="9" spans="1:21" ht="15" customHeight="1" x14ac:dyDescent="0.35">
      <c r="A9" s="2"/>
      <c r="B9" s="1" t="s">
        <v>0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46</v>
      </c>
      <c r="H9" s="1" t="s">
        <v>9</v>
      </c>
      <c r="I9" s="2"/>
      <c r="J9" s="2"/>
      <c r="K9" s="54"/>
      <c r="L9" s="58"/>
      <c r="M9" s="15">
        <v>75</v>
      </c>
      <c r="N9" s="15">
        <v>75</v>
      </c>
      <c r="O9" s="15">
        <v>75</v>
      </c>
      <c r="P9" s="15">
        <v>75</v>
      </c>
      <c r="Q9" s="15">
        <v>75</v>
      </c>
      <c r="R9" s="15">
        <v>75</v>
      </c>
      <c r="S9" s="2"/>
      <c r="T9" s="30"/>
      <c r="U9" s="30"/>
    </row>
    <row r="10" spans="1:21" ht="15" customHeight="1" x14ac:dyDescent="0.35">
      <c r="A10" s="53" t="s">
        <v>21</v>
      </c>
      <c r="B10" s="4" t="s">
        <v>2</v>
      </c>
      <c r="C10" s="9">
        <v>10.305035999999999</v>
      </c>
      <c r="D10" s="9">
        <v>14.466060000000001</v>
      </c>
      <c r="E10" s="9">
        <v>20.154959999999999</v>
      </c>
      <c r="F10" s="9">
        <v>14.292684000000001</v>
      </c>
      <c r="G10" s="9">
        <v>19.678176000000001</v>
      </c>
      <c r="H10" s="9">
        <v>16.319016000000001</v>
      </c>
      <c r="I10" s="2"/>
      <c r="J10" s="2"/>
      <c r="K10" s="54"/>
      <c r="L10" s="58"/>
      <c r="M10" s="16">
        <v>50</v>
      </c>
      <c r="N10" s="16">
        <v>50</v>
      </c>
      <c r="O10" s="16">
        <v>50</v>
      </c>
      <c r="P10" s="16">
        <v>50</v>
      </c>
      <c r="Q10" s="16">
        <v>50</v>
      </c>
      <c r="R10" s="16">
        <v>50</v>
      </c>
      <c r="S10" s="2"/>
      <c r="T10" s="30"/>
      <c r="U10" s="30"/>
    </row>
    <row r="11" spans="1:21" ht="15" customHeight="1" x14ac:dyDescent="0.35">
      <c r="A11" s="54"/>
      <c r="B11" s="4" t="s">
        <v>3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2"/>
      <c r="J11" s="2"/>
      <c r="K11" s="55"/>
      <c r="L11" s="59"/>
      <c r="M11" s="16">
        <v>25</v>
      </c>
      <c r="N11" s="16">
        <v>25</v>
      </c>
      <c r="O11" s="16">
        <v>25</v>
      </c>
      <c r="P11" s="16">
        <v>25</v>
      </c>
      <c r="Q11" s="16">
        <v>25</v>
      </c>
      <c r="R11" s="16">
        <v>25</v>
      </c>
      <c r="S11" s="2"/>
      <c r="T11" s="30"/>
      <c r="U11" s="30"/>
    </row>
    <row r="12" spans="1:21" ht="15" customHeight="1" x14ac:dyDescent="0.35">
      <c r="A12" s="54"/>
      <c r="B12" s="4" t="s">
        <v>14</v>
      </c>
      <c r="C12" s="6">
        <v>0.1</v>
      </c>
      <c r="D12" s="6">
        <v>0.1</v>
      </c>
      <c r="E12" s="6">
        <v>0.1</v>
      </c>
      <c r="F12" s="6">
        <v>0.1</v>
      </c>
      <c r="G12" s="6">
        <v>0.1</v>
      </c>
      <c r="H12" s="6">
        <v>0.1</v>
      </c>
      <c r="I12" s="2"/>
      <c r="J12" s="2"/>
    </row>
    <row r="13" spans="1:21" ht="15" customHeight="1" x14ac:dyDescent="0.35">
      <c r="A13" s="54"/>
      <c r="B13" s="4" t="s">
        <v>15</v>
      </c>
      <c r="C13" s="10">
        <f>((C12*C$11)/C$10)</f>
        <v>9.7039932708629078E-3</v>
      </c>
      <c r="D13" s="10">
        <f t="shared" ref="D13:H13" si="2">((D12*D$11)/D$10)</f>
        <v>6.9127322850866101E-3</v>
      </c>
      <c r="E13" s="10">
        <f t="shared" si="2"/>
        <v>4.9615578497799054E-3</v>
      </c>
      <c r="F13" s="10">
        <f t="shared" si="2"/>
        <v>6.9965865053757568E-3</v>
      </c>
      <c r="G13" s="10">
        <f t="shared" si="2"/>
        <v>5.0817718064926345E-3</v>
      </c>
      <c r="H13" s="10">
        <f t="shared" si="2"/>
        <v>6.1278204519194046E-3</v>
      </c>
      <c r="I13" s="2"/>
      <c r="J13" s="2"/>
    </row>
    <row r="14" spans="1:21" ht="15" customHeight="1" x14ac:dyDescent="0.35">
      <c r="A14" s="54"/>
      <c r="B14" s="4" t="s">
        <v>25</v>
      </c>
      <c r="C14" s="10">
        <f>(((C12*C$11)/C$10))*2</f>
        <v>1.9407986541725816E-2</v>
      </c>
      <c r="D14" s="10">
        <f t="shared" ref="D14:H14" si="3">(((D12*D$11)/D$10))*2</f>
        <v>1.382546457017322E-2</v>
      </c>
      <c r="E14" s="10">
        <f t="shared" si="3"/>
        <v>9.9231156995598108E-3</v>
      </c>
      <c r="F14" s="10">
        <f t="shared" si="3"/>
        <v>1.3993173010751514E-2</v>
      </c>
      <c r="G14" s="10">
        <f t="shared" si="3"/>
        <v>1.0163543612985269E-2</v>
      </c>
      <c r="H14" s="10">
        <f t="shared" si="3"/>
        <v>1.2255640903838809E-2</v>
      </c>
      <c r="I14" s="2"/>
      <c r="J14" s="2"/>
      <c r="K14" s="2"/>
      <c r="L14" s="1" t="s">
        <v>16</v>
      </c>
      <c r="M14" s="1" t="s">
        <v>10</v>
      </c>
      <c r="N14" s="1" t="s">
        <v>11</v>
      </c>
      <c r="O14" s="1" t="s">
        <v>12</v>
      </c>
      <c r="P14" s="1" t="s">
        <v>13</v>
      </c>
      <c r="Q14" s="1" t="s">
        <v>46</v>
      </c>
      <c r="R14" s="1" t="s">
        <v>9</v>
      </c>
      <c r="S14" s="2"/>
      <c r="T14" s="1" t="s">
        <v>43</v>
      </c>
      <c r="U14" s="1" t="s">
        <v>18</v>
      </c>
    </row>
    <row r="15" spans="1:21" ht="15" customHeight="1" x14ac:dyDescent="0.35">
      <c r="A15" s="55"/>
      <c r="B15" s="4" t="s">
        <v>5</v>
      </c>
      <c r="C15" s="11">
        <f>2-C14</f>
        <v>1.9805920134582742</v>
      </c>
      <c r="D15" s="11">
        <f t="shared" ref="D15:H15" si="4">2-D14</f>
        <v>1.9861745354298268</v>
      </c>
      <c r="E15" s="11">
        <f t="shared" si="4"/>
        <v>1.9900768843004402</v>
      </c>
      <c r="F15" s="11">
        <f t="shared" si="4"/>
        <v>1.9860068269892486</v>
      </c>
      <c r="G15" s="11">
        <f t="shared" si="4"/>
        <v>1.9898364563870148</v>
      </c>
      <c r="H15" s="11">
        <f t="shared" si="4"/>
        <v>1.9877443590961612</v>
      </c>
      <c r="I15" s="2"/>
      <c r="J15" s="2"/>
      <c r="K15" s="53" t="s">
        <v>7</v>
      </c>
      <c r="L15" s="20" t="s">
        <v>48</v>
      </c>
      <c r="M15" s="21">
        <v>0.18</v>
      </c>
      <c r="N15" s="21">
        <v>0.18</v>
      </c>
      <c r="O15" s="21">
        <v>0.18</v>
      </c>
      <c r="P15" s="21">
        <v>0.18</v>
      </c>
      <c r="Q15" s="21">
        <v>0.18</v>
      </c>
      <c r="R15" s="21">
        <v>0.18</v>
      </c>
      <c r="S15" s="2"/>
      <c r="T15" s="42">
        <f>(SUM(M15:R15)*3)*500/500</f>
        <v>3.2399999999999993</v>
      </c>
      <c r="U15" s="42">
        <f t="shared" ref="U15:U22" si="5">(SUM(M15:R15)*3)-T15</f>
        <v>0</v>
      </c>
    </row>
    <row r="16" spans="1:21" ht="1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54"/>
      <c r="L16" s="20" t="s">
        <v>30</v>
      </c>
      <c r="M16" s="21">
        <v>0.18</v>
      </c>
      <c r="N16" s="21">
        <v>0.18</v>
      </c>
      <c r="O16" s="21">
        <v>0.18</v>
      </c>
      <c r="P16" s="21">
        <v>0.18</v>
      </c>
      <c r="Q16" s="21">
        <v>0.18</v>
      </c>
      <c r="R16" s="21">
        <v>0.18</v>
      </c>
      <c r="S16" s="2"/>
      <c r="T16" s="17">
        <f>(SUM(M16:R16)*3)*400/500</f>
        <v>2.5919999999999996</v>
      </c>
      <c r="U16" s="17">
        <f t="shared" si="5"/>
        <v>0.64799999999999969</v>
      </c>
    </row>
    <row r="17" spans="1:21" ht="15" customHeight="1" x14ac:dyDescent="0.35">
      <c r="A17" s="2"/>
      <c r="B17" s="45"/>
      <c r="C17" s="45"/>
      <c r="D17" s="45"/>
      <c r="E17" s="45"/>
      <c r="F17" s="45"/>
      <c r="G17" s="45"/>
      <c r="H17" s="45"/>
      <c r="I17" s="2"/>
      <c r="J17" s="2"/>
      <c r="K17" s="54"/>
      <c r="L17" s="20" t="s">
        <v>49</v>
      </c>
      <c r="M17" s="21">
        <v>0.18</v>
      </c>
      <c r="N17" s="21">
        <v>0.18</v>
      </c>
      <c r="O17" s="21">
        <v>0.18</v>
      </c>
      <c r="P17" s="21">
        <v>0.18</v>
      </c>
      <c r="Q17" s="21">
        <v>0.18</v>
      </c>
      <c r="R17" s="21">
        <v>0.18</v>
      </c>
      <c r="T17" s="17">
        <f>(SUM(M17:R17)*3)*300/500</f>
        <v>1.9439999999999995</v>
      </c>
      <c r="U17" s="17">
        <f t="shared" si="5"/>
        <v>1.2959999999999998</v>
      </c>
    </row>
    <row r="18" spans="1:21" ht="15" customHeight="1" x14ac:dyDescent="0.35">
      <c r="A18" s="2"/>
      <c r="B18" s="46"/>
      <c r="C18" s="30"/>
      <c r="D18" s="30"/>
      <c r="E18" s="30"/>
      <c r="F18" s="30"/>
      <c r="G18" s="30"/>
      <c r="H18" s="30"/>
      <c r="I18" s="2"/>
      <c r="J18" s="2"/>
      <c r="K18" s="54"/>
      <c r="L18" s="20" t="s">
        <v>31</v>
      </c>
      <c r="M18" s="21">
        <v>0.18</v>
      </c>
      <c r="N18" s="21">
        <v>0.18</v>
      </c>
      <c r="O18" s="21">
        <v>0.18</v>
      </c>
      <c r="P18" s="21">
        <v>0.18</v>
      </c>
      <c r="Q18" s="21">
        <v>0.18</v>
      </c>
      <c r="R18" s="21">
        <v>0.18</v>
      </c>
      <c r="T18" s="17">
        <f>(SUM(M18:R18)*3)*200/500</f>
        <v>1.2959999999999998</v>
      </c>
      <c r="U18" s="17">
        <f t="shared" si="5"/>
        <v>1.9439999999999995</v>
      </c>
    </row>
    <row r="19" spans="1:21" ht="15" customHeight="1" x14ac:dyDescent="0.35">
      <c r="A19" s="2"/>
      <c r="B19" s="46"/>
      <c r="C19" s="30"/>
      <c r="D19" s="30"/>
      <c r="E19" s="30"/>
      <c r="F19" s="30"/>
      <c r="G19" s="30"/>
      <c r="H19" s="30"/>
      <c r="I19" s="2"/>
      <c r="J19" s="2"/>
      <c r="K19" s="54"/>
      <c r="L19" s="20" t="s">
        <v>32</v>
      </c>
      <c r="M19" s="21">
        <v>0.18</v>
      </c>
      <c r="N19" s="21">
        <v>0.18</v>
      </c>
      <c r="O19" s="21">
        <v>0.18</v>
      </c>
      <c r="P19" s="21">
        <v>0.18</v>
      </c>
      <c r="Q19" s="21">
        <v>0.18</v>
      </c>
      <c r="R19" s="21">
        <v>0.18</v>
      </c>
      <c r="T19" s="17">
        <f>(SUM(M19:R19)*3)*100/500</f>
        <v>0.64799999999999991</v>
      </c>
      <c r="U19" s="17">
        <f t="shared" si="5"/>
        <v>2.5919999999999996</v>
      </c>
    </row>
    <row r="20" spans="1:21" ht="15" customHeight="1" x14ac:dyDescent="0.35">
      <c r="A20" s="2"/>
      <c r="B20" s="46"/>
      <c r="C20" s="29"/>
      <c r="D20" s="29"/>
      <c r="E20" s="29"/>
      <c r="F20" s="29"/>
      <c r="G20" s="29"/>
      <c r="H20" s="29"/>
      <c r="I20" s="2"/>
      <c r="J20" s="2"/>
      <c r="K20" s="54"/>
      <c r="L20" s="20" t="s">
        <v>50</v>
      </c>
      <c r="M20" s="21">
        <v>0.18</v>
      </c>
      <c r="N20" s="21">
        <v>0.18</v>
      </c>
      <c r="O20" s="21">
        <v>0.18</v>
      </c>
      <c r="P20" s="21">
        <v>0.18</v>
      </c>
      <c r="Q20" s="21">
        <v>0.18</v>
      </c>
      <c r="R20" s="21">
        <v>0.18</v>
      </c>
      <c r="T20" s="17">
        <f>(SUM(M20:R20)*3)*75/500</f>
        <v>0.48599999999999988</v>
      </c>
      <c r="U20" s="17">
        <f t="shared" si="5"/>
        <v>2.7539999999999996</v>
      </c>
    </row>
    <row r="21" spans="1:21" ht="15" customHeight="1" x14ac:dyDescent="0.35">
      <c r="A21" s="2"/>
      <c r="I21" s="2"/>
      <c r="J21" s="2"/>
      <c r="K21" s="54"/>
      <c r="L21" s="20" t="s">
        <v>47</v>
      </c>
      <c r="M21" s="21">
        <v>0.18</v>
      </c>
      <c r="N21" s="21">
        <v>0.18</v>
      </c>
      <c r="O21" s="21">
        <v>0.18</v>
      </c>
      <c r="P21" s="21">
        <v>0.18</v>
      </c>
      <c r="Q21" s="21">
        <v>0.18</v>
      </c>
      <c r="R21" s="21">
        <v>0.18</v>
      </c>
      <c r="T21" s="17">
        <f>(SUM(M21:R21)*3)*50/500</f>
        <v>0.32399999999999995</v>
      </c>
      <c r="U21" s="17">
        <f t="shared" si="5"/>
        <v>2.9159999999999995</v>
      </c>
    </row>
    <row r="22" spans="1:21" ht="1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55"/>
      <c r="L22" s="20" t="s">
        <v>51</v>
      </c>
      <c r="M22" s="21">
        <v>0.18</v>
      </c>
      <c r="N22" s="21">
        <v>0.18</v>
      </c>
      <c r="O22" s="21">
        <v>0.18</v>
      </c>
      <c r="P22" s="21">
        <v>0.18</v>
      </c>
      <c r="Q22" s="21">
        <v>0.18</v>
      </c>
      <c r="R22" s="21">
        <v>0.18</v>
      </c>
      <c r="T22" s="17">
        <f>(SUM(M22:R22)*3)*25/500</f>
        <v>0.16199999999999998</v>
      </c>
      <c r="U22" s="17">
        <f t="shared" si="5"/>
        <v>3.0779999999999994</v>
      </c>
    </row>
    <row r="23" spans="1:21" ht="1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21" ht="1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L24" s="1" t="s">
        <v>16</v>
      </c>
      <c r="M24" s="1" t="s">
        <v>10</v>
      </c>
      <c r="N24" s="1" t="s">
        <v>11</v>
      </c>
      <c r="O24" s="1" t="s">
        <v>12</v>
      </c>
      <c r="P24" s="1" t="s">
        <v>13</v>
      </c>
      <c r="Q24" s="1" t="s">
        <v>46</v>
      </c>
      <c r="R24" s="1" t="s">
        <v>9</v>
      </c>
      <c r="T24" s="1" t="s">
        <v>43</v>
      </c>
      <c r="U24" s="1" t="s">
        <v>18</v>
      </c>
    </row>
    <row r="25" spans="1:21" ht="1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L25" s="4" t="s">
        <v>42</v>
      </c>
      <c r="M25" s="21">
        <f>SUM(M15,M16,M17,M18,M19,M20,M21,M22)*3</f>
        <v>4.3199999999999994</v>
      </c>
      <c r="N25" s="21">
        <f t="shared" ref="N25:R25" si="6">SUM(N15,N16,N17,N18,N19,N20,N21,N22)*3</f>
        <v>4.3199999999999994</v>
      </c>
      <c r="O25" s="21">
        <f t="shared" si="6"/>
        <v>4.3199999999999994</v>
      </c>
      <c r="P25" s="21">
        <f t="shared" si="6"/>
        <v>4.3199999999999994</v>
      </c>
      <c r="Q25" s="21">
        <f t="shared" si="6"/>
        <v>4.3199999999999994</v>
      </c>
      <c r="R25" s="21">
        <f t="shared" si="6"/>
        <v>4.3199999999999994</v>
      </c>
      <c r="T25" s="43">
        <f>SUM(T15:T22)</f>
        <v>10.691999999999998</v>
      </c>
      <c r="U25" s="43">
        <f>SUM(U15:U22)</f>
        <v>15.227999999999998</v>
      </c>
    </row>
    <row r="26" spans="1:21" ht="15" customHeight="1" x14ac:dyDescent="0.35">
      <c r="L26" s="44" t="s">
        <v>8</v>
      </c>
      <c r="M26" s="19">
        <f>M25+1</f>
        <v>5.3199999999999994</v>
      </c>
      <c r="N26" s="19">
        <f t="shared" ref="N26:R26" si="7">N25+1</f>
        <v>5.3199999999999994</v>
      </c>
      <c r="O26" s="19">
        <f t="shared" si="7"/>
        <v>5.3199999999999994</v>
      </c>
      <c r="P26" s="19">
        <f t="shared" si="7"/>
        <v>5.3199999999999994</v>
      </c>
      <c r="Q26" s="19">
        <f t="shared" si="7"/>
        <v>5.3199999999999994</v>
      </c>
      <c r="R26" s="19">
        <f t="shared" si="7"/>
        <v>5.3199999999999994</v>
      </c>
    </row>
    <row r="27" spans="1:21" ht="15" customHeight="1" x14ac:dyDescent="0.35"/>
    <row r="28" spans="1:21" ht="15" customHeight="1" x14ac:dyDescent="0.35">
      <c r="K28" s="2"/>
    </row>
    <row r="29" spans="1:21" ht="15" customHeight="1" x14ac:dyDescent="0.35">
      <c r="L29" s="1" t="s">
        <v>0</v>
      </c>
      <c r="M29" s="1" t="s">
        <v>10</v>
      </c>
      <c r="N29" s="1" t="s">
        <v>11</v>
      </c>
      <c r="O29" s="1" t="s">
        <v>12</v>
      </c>
      <c r="P29" s="1" t="s">
        <v>13</v>
      </c>
      <c r="Q29" s="1" t="s">
        <v>46</v>
      </c>
      <c r="R29" s="1" t="s">
        <v>9</v>
      </c>
    </row>
    <row r="30" spans="1:21" ht="15" customHeight="1" x14ac:dyDescent="0.35">
      <c r="K30" s="60" t="s">
        <v>7</v>
      </c>
      <c r="L30" s="20" t="s">
        <v>48</v>
      </c>
      <c r="M30" s="21">
        <v>0.02</v>
      </c>
      <c r="N30" s="21">
        <v>0.02</v>
      </c>
      <c r="O30" s="21">
        <v>0.02</v>
      </c>
      <c r="P30" s="21">
        <v>0.02</v>
      </c>
      <c r="Q30" s="21">
        <v>0.02</v>
      </c>
      <c r="R30" s="21">
        <v>0.02</v>
      </c>
    </row>
    <row r="31" spans="1:21" ht="15" customHeight="1" x14ac:dyDescent="0.35">
      <c r="K31" s="60"/>
      <c r="L31" s="20" t="s">
        <v>30</v>
      </c>
      <c r="M31" s="21">
        <v>0.02</v>
      </c>
      <c r="N31" s="21">
        <v>0.02</v>
      </c>
      <c r="O31" s="21">
        <v>0.02</v>
      </c>
      <c r="P31" s="21">
        <v>0.02</v>
      </c>
      <c r="Q31" s="21">
        <v>0.02</v>
      </c>
      <c r="R31" s="21">
        <v>0.02</v>
      </c>
    </row>
    <row r="32" spans="1:21" ht="15" customHeight="1" x14ac:dyDescent="0.35">
      <c r="K32" s="60"/>
      <c r="L32" s="20" t="s">
        <v>49</v>
      </c>
      <c r="M32" s="21">
        <v>0.02</v>
      </c>
      <c r="N32" s="21">
        <v>0.02</v>
      </c>
      <c r="O32" s="21">
        <v>0.02</v>
      </c>
      <c r="P32" s="21">
        <v>0.02</v>
      </c>
      <c r="Q32" s="21">
        <v>0.02</v>
      </c>
      <c r="R32" s="21">
        <v>0.02</v>
      </c>
      <c r="T32" s="28"/>
    </row>
    <row r="33" spans="11:18" ht="15" customHeight="1" x14ac:dyDescent="0.35">
      <c r="K33" s="60"/>
      <c r="L33" s="20" t="s">
        <v>31</v>
      </c>
      <c r="M33" s="21">
        <v>0.02</v>
      </c>
      <c r="N33" s="21">
        <v>0.02</v>
      </c>
      <c r="O33" s="21">
        <v>0.02</v>
      </c>
      <c r="P33" s="21">
        <v>0.02</v>
      </c>
      <c r="Q33" s="21">
        <v>0.02</v>
      </c>
      <c r="R33" s="21">
        <v>0.02</v>
      </c>
    </row>
    <row r="34" spans="11:18" ht="15" customHeight="1" x14ac:dyDescent="0.35">
      <c r="K34" s="60"/>
      <c r="L34" s="20" t="s">
        <v>32</v>
      </c>
      <c r="M34" s="21">
        <v>0.02</v>
      </c>
      <c r="N34" s="21">
        <v>0.02</v>
      </c>
      <c r="O34" s="21">
        <v>0.02</v>
      </c>
      <c r="P34" s="21">
        <v>0.02</v>
      </c>
      <c r="Q34" s="21">
        <v>0.02</v>
      </c>
      <c r="R34" s="21">
        <v>0.02</v>
      </c>
    </row>
    <row r="35" spans="11:18" ht="15" customHeight="1" x14ac:dyDescent="0.35">
      <c r="K35" s="60"/>
      <c r="L35" s="20" t="s">
        <v>50</v>
      </c>
      <c r="M35" s="21">
        <v>0.02</v>
      </c>
      <c r="N35" s="21">
        <v>0.02</v>
      </c>
      <c r="O35" s="21">
        <v>0.02</v>
      </c>
      <c r="P35" s="21">
        <v>0.02</v>
      </c>
      <c r="Q35" s="21">
        <v>0.02</v>
      </c>
      <c r="R35" s="21">
        <v>0.02</v>
      </c>
    </row>
    <row r="36" spans="11:18" ht="15" customHeight="1" x14ac:dyDescent="0.35">
      <c r="K36" s="60"/>
      <c r="L36" s="20" t="s">
        <v>47</v>
      </c>
      <c r="M36" s="21">
        <v>0.02</v>
      </c>
      <c r="N36" s="21">
        <v>0.02</v>
      </c>
      <c r="O36" s="21">
        <v>0.02</v>
      </c>
      <c r="P36" s="21">
        <v>0.02</v>
      </c>
      <c r="Q36" s="21">
        <v>0.02</v>
      </c>
      <c r="R36" s="21">
        <v>0.02</v>
      </c>
    </row>
    <row r="37" spans="11:18" ht="15" customHeight="1" x14ac:dyDescent="0.35">
      <c r="K37" s="60"/>
      <c r="L37" s="20" t="s">
        <v>51</v>
      </c>
      <c r="M37" s="21">
        <v>0.02</v>
      </c>
      <c r="N37" s="21">
        <v>0.02</v>
      </c>
      <c r="O37" s="21">
        <v>0.02</v>
      </c>
      <c r="P37" s="21">
        <v>0.02</v>
      </c>
      <c r="Q37" s="21">
        <v>0.02</v>
      </c>
      <c r="R37" s="21">
        <v>0.02</v>
      </c>
    </row>
    <row r="38" spans="11:18" ht="15" customHeight="1" x14ac:dyDescent="0.35">
      <c r="K38" s="41"/>
    </row>
    <row r="39" spans="11:18" ht="15" customHeight="1" x14ac:dyDescent="0.35">
      <c r="L39" s="1" t="s">
        <v>0</v>
      </c>
      <c r="M39" s="1" t="s">
        <v>10</v>
      </c>
      <c r="N39" s="1" t="s">
        <v>11</v>
      </c>
      <c r="O39" s="1" t="s">
        <v>12</v>
      </c>
      <c r="P39" s="1" t="s">
        <v>13</v>
      </c>
      <c r="Q39" s="1" t="s">
        <v>46</v>
      </c>
      <c r="R39" s="1" t="s">
        <v>9</v>
      </c>
    </row>
    <row r="40" spans="11:18" ht="15" customHeight="1" x14ac:dyDescent="0.35">
      <c r="L40" s="4" t="s">
        <v>42</v>
      </c>
      <c r="M40" s="21">
        <f>SUM(M30,M31,M32,M33,M34,M35,M36,M37)*3</f>
        <v>0.48</v>
      </c>
      <c r="N40" s="21">
        <f t="shared" ref="N40:R40" si="8">SUM(N30,N31,N32,N33,N34,N35,N36,N37)*3</f>
        <v>0.48</v>
      </c>
      <c r="O40" s="21">
        <f t="shared" si="8"/>
        <v>0.48</v>
      </c>
      <c r="P40" s="21">
        <f t="shared" si="8"/>
        <v>0.48</v>
      </c>
      <c r="Q40" s="21">
        <f t="shared" si="8"/>
        <v>0.48</v>
      </c>
      <c r="R40" s="21">
        <f t="shared" si="8"/>
        <v>0.48</v>
      </c>
    </row>
    <row r="41" spans="11:18" ht="15" customHeight="1" x14ac:dyDescent="0.35">
      <c r="L41" s="44" t="s">
        <v>8</v>
      </c>
      <c r="M41" s="19">
        <f>M40+1</f>
        <v>1.48</v>
      </c>
      <c r="N41" s="19">
        <f t="shared" ref="N41:R41" si="9">N40+1</f>
        <v>1.48</v>
      </c>
      <c r="O41" s="19">
        <f t="shared" si="9"/>
        <v>1.48</v>
      </c>
      <c r="P41" s="19">
        <f t="shared" si="9"/>
        <v>1.48</v>
      </c>
      <c r="Q41" s="19">
        <f t="shared" si="9"/>
        <v>1.48</v>
      </c>
      <c r="R41" s="19">
        <f t="shared" si="9"/>
        <v>1.48</v>
      </c>
    </row>
    <row r="42" spans="11:18" ht="15" customHeight="1" x14ac:dyDescent="0.35"/>
  </sheetData>
  <mergeCells count="6">
    <mergeCell ref="K30:K37"/>
    <mergeCell ref="A2:A7"/>
    <mergeCell ref="K2:K11"/>
    <mergeCell ref="L4:L11"/>
    <mergeCell ref="A10:A15"/>
    <mergeCell ref="K15:K2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1"/>
  <sheetViews>
    <sheetView zoomScaleNormal="100" workbookViewId="0"/>
  </sheetViews>
  <sheetFormatPr defaultColWidth="8.7265625" defaultRowHeight="14.5" x14ac:dyDescent="0.35"/>
  <cols>
    <col min="1" max="1" width="4.7265625" customWidth="1"/>
    <col min="2" max="2" width="15.7265625" customWidth="1"/>
    <col min="3" max="9" width="8.7265625" customWidth="1"/>
    <col min="10" max="11" width="4.7265625" customWidth="1"/>
    <col min="12" max="12" width="15.7265625" customWidth="1"/>
    <col min="13" max="21" width="8.7265625" customWidth="1"/>
  </cols>
  <sheetData>
    <row r="1" spans="1:21" ht="15" customHeight="1" x14ac:dyDescent="0.35">
      <c r="A1" s="2"/>
      <c r="B1" s="1" t="s">
        <v>0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46</v>
      </c>
      <c r="H1" s="1" t="s">
        <v>9</v>
      </c>
      <c r="I1" s="2"/>
      <c r="J1" s="2"/>
      <c r="K1" s="2"/>
      <c r="L1" s="1" t="s">
        <v>16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46</v>
      </c>
      <c r="R1" s="1" t="s">
        <v>9</v>
      </c>
      <c r="S1" s="2"/>
      <c r="T1" s="25"/>
      <c r="U1" s="25"/>
    </row>
    <row r="2" spans="1:21" ht="15" customHeight="1" x14ac:dyDescent="0.35">
      <c r="A2" s="60" t="s">
        <v>6</v>
      </c>
      <c r="B2" s="47" t="s">
        <v>2</v>
      </c>
      <c r="C2" s="13">
        <v>5.55</v>
      </c>
      <c r="D2" s="13">
        <v>9.8000000000000007</v>
      </c>
      <c r="E2" s="13">
        <v>9.64</v>
      </c>
      <c r="F2" s="13">
        <v>4.87</v>
      </c>
      <c r="G2" s="13">
        <v>10.79</v>
      </c>
      <c r="H2" s="13">
        <v>11.35</v>
      </c>
      <c r="I2" s="2"/>
      <c r="J2" s="2"/>
      <c r="K2" s="53" t="s">
        <v>1</v>
      </c>
      <c r="L2" s="47" t="s">
        <v>2</v>
      </c>
      <c r="M2" s="16">
        <v>500</v>
      </c>
      <c r="N2" s="16">
        <v>500</v>
      </c>
      <c r="O2" s="16">
        <v>500</v>
      </c>
      <c r="P2" s="16">
        <v>500</v>
      </c>
      <c r="Q2" s="16">
        <v>500</v>
      </c>
      <c r="R2" s="16">
        <v>500</v>
      </c>
      <c r="S2" s="2"/>
      <c r="T2" s="30"/>
      <c r="U2" s="30"/>
    </row>
    <row r="3" spans="1:21" ht="15" customHeight="1" x14ac:dyDescent="0.35">
      <c r="A3" s="60"/>
      <c r="B3" s="47" t="s">
        <v>3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2"/>
      <c r="J3" s="2"/>
      <c r="K3" s="54"/>
      <c r="L3" s="47" t="s">
        <v>3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2"/>
      <c r="T3" s="30"/>
      <c r="U3" s="30"/>
    </row>
    <row r="4" spans="1:21" ht="15" customHeight="1" x14ac:dyDescent="0.35">
      <c r="A4" s="60"/>
      <c r="B4" s="47" t="s">
        <v>19</v>
      </c>
      <c r="C4" s="3">
        <v>0.5</v>
      </c>
      <c r="D4" s="3">
        <v>0.5</v>
      </c>
      <c r="E4" s="3">
        <v>0.5</v>
      </c>
      <c r="F4" s="3">
        <v>0.5</v>
      </c>
      <c r="G4" s="3">
        <v>0.5</v>
      </c>
      <c r="H4" s="3">
        <v>0.5</v>
      </c>
      <c r="I4" s="2"/>
      <c r="J4" s="2"/>
      <c r="K4" s="54"/>
      <c r="L4" s="57" t="s">
        <v>4</v>
      </c>
      <c r="M4" s="15">
        <v>500</v>
      </c>
      <c r="N4" s="15">
        <v>500</v>
      </c>
      <c r="O4" s="15">
        <v>500</v>
      </c>
      <c r="P4" s="15">
        <v>500</v>
      </c>
      <c r="Q4" s="15">
        <v>500</v>
      </c>
      <c r="R4" s="15">
        <v>500</v>
      </c>
      <c r="S4" s="2"/>
      <c r="T4" s="30"/>
      <c r="U4" s="30"/>
    </row>
    <row r="5" spans="1:21" ht="15" customHeight="1" x14ac:dyDescent="0.35">
      <c r="A5" s="60"/>
      <c r="B5" s="47" t="s">
        <v>20</v>
      </c>
      <c r="C5" s="14">
        <f t="shared" ref="C5:H5" si="0">((C4*C$3)/C$2)</f>
        <v>9.00900900900901E-2</v>
      </c>
      <c r="D5" s="14">
        <f t="shared" si="0"/>
        <v>5.10204081632653E-2</v>
      </c>
      <c r="E5" s="14">
        <f t="shared" si="0"/>
        <v>5.1867219917012444E-2</v>
      </c>
      <c r="F5" s="14">
        <f t="shared" si="0"/>
        <v>0.10266940451745379</v>
      </c>
      <c r="G5" s="14">
        <f>((G4*G$3)/G$2)</f>
        <v>4.6339202965708995E-2</v>
      </c>
      <c r="H5" s="14">
        <f t="shared" si="0"/>
        <v>4.405286343612335E-2</v>
      </c>
      <c r="I5" s="2"/>
      <c r="J5" s="2"/>
      <c r="K5" s="54"/>
      <c r="L5" s="58"/>
      <c r="M5" s="16">
        <v>400</v>
      </c>
      <c r="N5" s="16">
        <v>400</v>
      </c>
      <c r="O5" s="16">
        <v>400</v>
      </c>
      <c r="P5" s="16">
        <v>400</v>
      </c>
      <c r="Q5" s="16">
        <v>400</v>
      </c>
      <c r="R5" s="16">
        <v>400</v>
      </c>
      <c r="S5" s="2"/>
      <c r="T5" s="30"/>
      <c r="U5" s="30"/>
    </row>
    <row r="6" spans="1:21" ht="15" customHeight="1" x14ac:dyDescent="0.35">
      <c r="A6" s="60"/>
      <c r="B6" s="47" t="s">
        <v>52</v>
      </c>
      <c r="C6" s="14">
        <f>(((C4*C$3)/C$2))*2</f>
        <v>0.1801801801801802</v>
      </c>
      <c r="D6" s="14">
        <f t="shared" ref="D6:H6" si="1">(((D4*D$3)/D$2))*2</f>
        <v>0.1020408163265306</v>
      </c>
      <c r="E6" s="14">
        <f t="shared" si="1"/>
        <v>0.10373443983402489</v>
      </c>
      <c r="F6" s="14">
        <f t="shared" si="1"/>
        <v>0.20533880903490759</v>
      </c>
      <c r="G6" s="14">
        <f t="shared" si="1"/>
        <v>9.267840593141799E-2</v>
      </c>
      <c r="H6" s="14">
        <f t="shared" si="1"/>
        <v>8.8105726872246701E-2</v>
      </c>
      <c r="I6" s="2"/>
      <c r="J6" s="2"/>
      <c r="K6" s="54"/>
      <c r="L6" s="58"/>
      <c r="M6" s="16">
        <v>300</v>
      </c>
      <c r="N6" s="16">
        <v>300</v>
      </c>
      <c r="O6" s="16">
        <v>300</v>
      </c>
      <c r="P6" s="16">
        <v>300</v>
      </c>
      <c r="Q6" s="16">
        <v>300</v>
      </c>
      <c r="R6" s="16">
        <v>300</v>
      </c>
      <c r="S6" s="2"/>
      <c r="T6" s="30"/>
      <c r="U6" s="30"/>
    </row>
    <row r="7" spans="1:21" ht="15" customHeight="1" x14ac:dyDescent="0.35">
      <c r="A7" s="60"/>
      <c r="B7" s="47" t="s">
        <v>5</v>
      </c>
      <c r="C7" s="6">
        <v>2</v>
      </c>
      <c r="D7" s="6">
        <v>2</v>
      </c>
      <c r="E7" s="6">
        <v>2</v>
      </c>
      <c r="F7" s="6">
        <v>2</v>
      </c>
      <c r="G7" s="6">
        <v>2</v>
      </c>
      <c r="H7" s="6">
        <v>2</v>
      </c>
      <c r="I7" s="2"/>
      <c r="J7" s="2"/>
      <c r="K7" s="54"/>
      <c r="L7" s="58"/>
      <c r="M7" s="15">
        <v>200</v>
      </c>
      <c r="N7" s="15">
        <v>200</v>
      </c>
      <c r="O7" s="15">
        <v>200</v>
      </c>
      <c r="P7" s="15">
        <v>200</v>
      </c>
      <c r="Q7" s="15">
        <v>200</v>
      </c>
      <c r="R7" s="15">
        <v>200</v>
      </c>
      <c r="S7" s="2"/>
      <c r="T7" s="30"/>
      <c r="U7" s="30"/>
    </row>
    <row r="8" spans="1:21" ht="1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54"/>
      <c r="L8" s="58"/>
      <c r="M8" s="16">
        <v>100</v>
      </c>
      <c r="N8" s="16">
        <v>100</v>
      </c>
      <c r="O8" s="16">
        <v>100</v>
      </c>
      <c r="P8" s="16">
        <v>100</v>
      </c>
      <c r="Q8" s="16">
        <v>100</v>
      </c>
      <c r="R8" s="16">
        <v>100</v>
      </c>
      <c r="S8" s="2"/>
      <c r="T8" s="30"/>
      <c r="U8" s="30"/>
    </row>
    <row r="9" spans="1:21" ht="15" customHeight="1" x14ac:dyDescent="0.35">
      <c r="A9" s="2"/>
      <c r="B9" s="1" t="s">
        <v>0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46</v>
      </c>
      <c r="H9" s="1" t="s">
        <v>9</v>
      </c>
      <c r="I9" s="2"/>
      <c r="J9" s="2"/>
      <c r="K9" s="54"/>
      <c r="L9" s="58"/>
      <c r="M9" s="15">
        <v>75</v>
      </c>
      <c r="N9" s="15">
        <v>75</v>
      </c>
      <c r="O9" s="15">
        <v>75</v>
      </c>
      <c r="P9" s="15">
        <v>75</v>
      </c>
      <c r="Q9" s="15">
        <v>75</v>
      </c>
      <c r="R9" s="15">
        <v>75</v>
      </c>
      <c r="S9" s="2"/>
      <c r="T9" s="30"/>
      <c r="U9" s="30"/>
    </row>
    <row r="10" spans="1:21" ht="15" customHeight="1" x14ac:dyDescent="0.35">
      <c r="A10" s="53" t="s">
        <v>21</v>
      </c>
      <c r="B10" s="4" t="s">
        <v>2</v>
      </c>
      <c r="C10" s="9">
        <v>5.55</v>
      </c>
      <c r="D10" s="9">
        <v>9.8000000000000007</v>
      </c>
      <c r="E10" s="9">
        <v>9.64</v>
      </c>
      <c r="F10" s="9">
        <v>4.87</v>
      </c>
      <c r="G10" s="9">
        <v>10.79</v>
      </c>
      <c r="H10" s="9">
        <v>11.35</v>
      </c>
      <c r="I10" s="2"/>
      <c r="J10" s="2"/>
      <c r="K10" s="54"/>
      <c r="L10" s="58"/>
      <c r="M10" s="16">
        <v>50</v>
      </c>
      <c r="N10" s="16">
        <v>50</v>
      </c>
      <c r="O10" s="16">
        <v>50</v>
      </c>
      <c r="P10" s="16">
        <v>50</v>
      </c>
      <c r="Q10" s="16">
        <v>50</v>
      </c>
      <c r="R10" s="16">
        <v>50</v>
      </c>
      <c r="S10" s="2"/>
      <c r="T10" s="30"/>
      <c r="U10" s="30"/>
    </row>
    <row r="11" spans="1:21" ht="15" customHeight="1" x14ac:dyDescent="0.35">
      <c r="A11" s="54"/>
      <c r="B11" s="4" t="s">
        <v>3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2"/>
      <c r="J11" s="2"/>
      <c r="K11" s="55"/>
      <c r="L11" s="59"/>
      <c r="M11" s="16">
        <v>25</v>
      </c>
      <c r="N11" s="16">
        <v>25</v>
      </c>
      <c r="O11" s="16">
        <v>25</v>
      </c>
      <c r="P11" s="16">
        <v>25</v>
      </c>
      <c r="Q11" s="16">
        <v>25</v>
      </c>
      <c r="R11" s="16">
        <v>25</v>
      </c>
      <c r="S11" s="2"/>
      <c r="T11" s="30"/>
      <c r="U11" s="30"/>
    </row>
    <row r="12" spans="1:21" ht="15" customHeight="1" x14ac:dyDescent="0.35">
      <c r="A12" s="54"/>
      <c r="B12" s="4" t="s">
        <v>14</v>
      </c>
      <c r="C12" s="6">
        <v>0.1</v>
      </c>
      <c r="D12" s="6">
        <v>0.1</v>
      </c>
      <c r="E12" s="6">
        <v>0.1</v>
      </c>
      <c r="F12" s="6">
        <v>0.1</v>
      </c>
      <c r="G12" s="6">
        <v>0.1</v>
      </c>
      <c r="H12" s="6">
        <v>0.1</v>
      </c>
      <c r="I12" s="2"/>
      <c r="J12" s="2"/>
    </row>
    <row r="13" spans="1:21" ht="15" customHeight="1" x14ac:dyDescent="0.35">
      <c r="A13" s="54"/>
      <c r="B13" s="4" t="s">
        <v>15</v>
      </c>
      <c r="C13" s="10">
        <f>((C12*C$11)/C$10)</f>
        <v>1.8018018018018018E-2</v>
      </c>
      <c r="D13" s="10">
        <f t="shared" ref="D13:H13" si="2">((D12*D$11)/D$10)</f>
        <v>1.020408163265306E-2</v>
      </c>
      <c r="E13" s="10">
        <f t="shared" si="2"/>
        <v>1.0373443983402489E-2</v>
      </c>
      <c r="F13" s="10">
        <f t="shared" si="2"/>
        <v>2.0533880903490759E-2</v>
      </c>
      <c r="G13" s="10">
        <f t="shared" si="2"/>
        <v>9.267840593141799E-3</v>
      </c>
      <c r="H13" s="10">
        <f t="shared" si="2"/>
        <v>8.8105726872246704E-3</v>
      </c>
      <c r="I13" s="2"/>
      <c r="J13" s="2"/>
    </row>
    <row r="14" spans="1:21" ht="15" customHeight="1" x14ac:dyDescent="0.35">
      <c r="A14" s="54"/>
      <c r="B14" s="4" t="s">
        <v>25</v>
      </c>
      <c r="C14" s="10">
        <f>(((C12*C$11)/C$10))*2</f>
        <v>3.6036036036036036E-2</v>
      </c>
      <c r="D14" s="10">
        <f t="shared" ref="D14:H14" si="3">(((D12*D$11)/D$10))*2</f>
        <v>2.0408163265306121E-2</v>
      </c>
      <c r="E14" s="10">
        <f t="shared" si="3"/>
        <v>2.0746887966804978E-2</v>
      </c>
      <c r="F14" s="10">
        <f t="shared" si="3"/>
        <v>4.1067761806981518E-2</v>
      </c>
      <c r="G14" s="10">
        <f t="shared" si="3"/>
        <v>1.8535681186283598E-2</v>
      </c>
      <c r="H14" s="10">
        <f t="shared" si="3"/>
        <v>1.7621145374449341E-2</v>
      </c>
      <c r="I14" s="2"/>
      <c r="J14" s="2"/>
      <c r="K14" s="2"/>
      <c r="L14" s="1" t="s">
        <v>16</v>
      </c>
      <c r="M14" s="1" t="s">
        <v>10</v>
      </c>
      <c r="N14" s="1" t="s">
        <v>11</v>
      </c>
      <c r="O14" s="1" t="s">
        <v>12</v>
      </c>
      <c r="P14" s="1" t="s">
        <v>13</v>
      </c>
      <c r="Q14" s="1" t="s">
        <v>46</v>
      </c>
      <c r="R14" s="1" t="s">
        <v>9</v>
      </c>
      <c r="S14" s="2"/>
      <c r="T14" s="1" t="s">
        <v>43</v>
      </c>
      <c r="U14" s="1" t="s">
        <v>18</v>
      </c>
    </row>
    <row r="15" spans="1:21" ht="15" customHeight="1" x14ac:dyDescent="0.35">
      <c r="A15" s="55"/>
      <c r="B15" s="4" t="s">
        <v>5</v>
      </c>
      <c r="C15" s="11">
        <f>2-C14</f>
        <v>1.9639639639639639</v>
      </c>
      <c r="D15" s="11">
        <f t="shared" ref="D15:H15" si="4">2-D14</f>
        <v>1.9795918367346939</v>
      </c>
      <c r="E15" s="11">
        <f t="shared" si="4"/>
        <v>1.9792531120331951</v>
      </c>
      <c r="F15" s="11">
        <f t="shared" si="4"/>
        <v>1.9589322381930185</v>
      </c>
      <c r="G15" s="11">
        <f t="shared" si="4"/>
        <v>1.9814643188137164</v>
      </c>
      <c r="H15" s="11">
        <f t="shared" si="4"/>
        <v>1.9823788546255507</v>
      </c>
      <c r="I15" s="2"/>
      <c r="J15" s="2"/>
      <c r="K15" s="53" t="s">
        <v>7</v>
      </c>
      <c r="L15" s="20" t="s">
        <v>48</v>
      </c>
      <c r="M15" s="21">
        <v>0.18</v>
      </c>
      <c r="N15" s="21">
        <v>0.18</v>
      </c>
      <c r="O15" s="21">
        <v>0.18</v>
      </c>
      <c r="P15" s="21">
        <v>0.18</v>
      </c>
      <c r="Q15" s="21">
        <v>0.18</v>
      </c>
      <c r="R15" s="21">
        <v>0.18</v>
      </c>
      <c r="S15" s="2"/>
      <c r="T15" s="42">
        <f>(SUM(M15:R15)*3)*500/500</f>
        <v>3.2399999999999993</v>
      </c>
      <c r="U15" s="42">
        <f t="shared" ref="U15:U22" si="5">(SUM(M15:R15)*3)-T15</f>
        <v>0</v>
      </c>
    </row>
    <row r="16" spans="1:21" ht="1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54"/>
      <c r="L16" s="20" t="s">
        <v>30</v>
      </c>
      <c r="M16" s="21">
        <v>0.18</v>
      </c>
      <c r="N16" s="21">
        <v>0.18</v>
      </c>
      <c r="O16" s="21">
        <v>0.18</v>
      </c>
      <c r="P16" s="21">
        <v>0.18</v>
      </c>
      <c r="Q16" s="21">
        <v>0.18</v>
      </c>
      <c r="R16" s="21">
        <v>0.18</v>
      </c>
      <c r="S16" s="2"/>
      <c r="T16" s="17">
        <f>(SUM(M16:R16)*3)*400/500</f>
        <v>2.5919999999999996</v>
      </c>
      <c r="U16" s="17">
        <f t="shared" si="5"/>
        <v>0.64799999999999969</v>
      </c>
    </row>
    <row r="17" spans="1:21" ht="15" customHeight="1" x14ac:dyDescent="0.35">
      <c r="A17" s="2"/>
      <c r="B17" s="45"/>
      <c r="C17" s="45"/>
      <c r="D17" s="45"/>
      <c r="E17" s="45"/>
      <c r="F17" s="45"/>
      <c r="G17" s="45"/>
      <c r="H17" s="45"/>
      <c r="I17" s="2"/>
      <c r="J17" s="2"/>
      <c r="K17" s="54"/>
      <c r="L17" s="20" t="s">
        <v>49</v>
      </c>
      <c r="M17" s="21">
        <v>0.18</v>
      </c>
      <c r="N17" s="21">
        <v>0.18</v>
      </c>
      <c r="O17" s="21">
        <v>0.18</v>
      </c>
      <c r="P17" s="21">
        <v>0.18</v>
      </c>
      <c r="Q17" s="21">
        <v>0.18</v>
      </c>
      <c r="R17" s="21">
        <v>0.18</v>
      </c>
      <c r="T17" s="17">
        <f>(SUM(M17:R17)*3)*300/500</f>
        <v>1.9439999999999995</v>
      </c>
      <c r="U17" s="17">
        <f t="shared" si="5"/>
        <v>1.2959999999999998</v>
      </c>
    </row>
    <row r="18" spans="1:21" ht="15" customHeight="1" x14ac:dyDescent="0.35">
      <c r="A18" s="2"/>
      <c r="B18" s="46"/>
      <c r="C18" s="30"/>
      <c r="D18" s="30"/>
      <c r="E18" s="30"/>
      <c r="F18" s="30"/>
      <c r="G18" s="30"/>
      <c r="H18" s="30"/>
      <c r="I18" s="2"/>
      <c r="J18" s="2"/>
      <c r="K18" s="54"/>
      <c r="L18" s="20" t="s">
        <v>31</v>
      </c>
      <c r="M18" s="21">
        <v>0.18</v>
      </c>
      <c r="N18" s="21">
        <v>0.18</v>
      </c>
      <c r="O18" s="21">
        <v>0.18</v>
      </c>
      <c r="P18" s="21">
        <v>0.18</v>
      </c>
      <c r="Q18" s="21">
        <v>0.18</v>
      </c>
      <c r="R18" s="21">
        <v>0.18</v>
      </c>
      <c r="T18" s="17">
        <f>(SUM(M18:R18)*3)*200/500</f>
        <v>1.2959999999999998</v>
      </c>
      <c r="U18" s="17">
        <f t="shared" si="5"/>
        <v>1.9439999999999995</v>
      </c>
    </row>
    <row r="19" spans="1:21" ht="15" customHeight="1" x14ac:dyDescent="0.35">
      <c r="A19" s="2"/>
      <c r="B19" s="46"/>
      <c r="C19" s="30"/>
      <c r="D19" s="30"/>
      <c r="E19" s="30"/>
      <c r="F19" s="30"/>
      <c r="G19" s="30"/>
      <c r="H19" s="30"/>
      <c r="I19" s="2"/>
      <c r="J19" s="2"/>
      <c r="K19" s="54"/>
      <c r="L19" s="20" t="s">
        <v>32</v>
      </c>
      <c r="M19" s="21">
        <v>0.18</v>
      </c>
      <c r="N19" s="21">
        <v>0.18</v>
      </c>
      <c r="O19" s="21">
        <v>0.18</v>
      </c>
      <c r="P19" s="21">
        <v>0.18</v>
      </c>
      <c r="Q19" s="21">
        <v>0.18</v>
      </c>
      <c r="R19" s="21">
        <v>0.18</v>
      </c>
      <c r="T19" s="17">
        <f>(SUM(M19:R19)*3)*100/500</f>
        <v>0.64799999999999991</v>
      </c>
      <c r="U19" s="17">
        <f t="shared" si="5"/>
        <v>2.5919999999999996</v>
      </c>
    </row>
    <row r="20" spans="1:21" ht="15" customHeight="1" x14ac:dyDescent="0.35">
      <c r="A20" s="2"/>
      <c r="B20" s="46"/>
      <c r="C20" s="29"/>
      <c r="D20" s="29"/>
      <c r="E20" s="29"/>
      <c r="F20" s="29"/>
      <c r="G20" s="29"/>
      <c r="H20" s="29"/>
      <c r="I20" s="2"/>
      <c r="J20" s="2"/>
      <c r="K20" s="54"/>
      <c r="L20" s="20" t="s">
        <v>50</v>
      </c>
      <c r="M20" s="21">
        <v>0.18</v>
      </c>
      <c r="N20" s="21">
        <v>0.18</v>
      </c>
      <c r="O20" s="21">
        <v>0.18</v>
      </c>
      <c r="P20" s="21">
        <v>0.18</v>
      </c>
      <c r="Q20" s="21">
        <v>0.18</v>
      </c>
      <c r="R20" s="21">
        <v>0.18</v>
      </c>
      <c r="T20" s="17">
        <f>(SUM(M20:R20)*3)*75/500</f>
        <v>0.48599999999999988</v>
      </c>
      <c r="U20" s="17">
        <f t="shared" si="5"/>
        <v>2.7539999999999996</v>
      </c>
    </row>
    <row r="21" spans="1:21" ht="15" customHeight="1" x14ac:dyDescent="0.35">
      <c r="A21" s="2"/>
      <c r="I21" s="2"/>
      <c r="J21" s="2"/>
      <c r="K21" s="54"/>
      <c r="L21" s="20" t="s">
        <v>47</v>
      </c>
      <c r="M21" s="21">
        <v>0.18</v>
      </c>
      <c r="N21" s="21">
        <v>0.18</v>
      </c>
      <c r="O21" s="21">
        <v>0.18</v>
      </c>
      <c r="P21" s="21">
        <v>0.18</v>
      </c>
      <c r="Q21" s="21">
        <v>0.18</v>
      </c>
      <c r="R21" s="21">
        <v>0.18</v>
      </c>
      <c r="T21" s="17">
        <f>(SUM(M21:R21)*3)*50/500</f>
        <v>0.32399999999999995</v>
      </c>
      <c r="U21" s="17">
        <f t="shared" si="5"/>
        <v>2.9159999999999995</v>
      </c>
    </row>
    <row r="22" spans="1:21" ht="1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55"/>
      <c r="L22" s="20" t="s">
        <v>51</v>
      </c>
      <c r="M22" s="21">
        <v>0.18</v>
      </c>
      <c r="N22" s="21">
        <v>0.18</v>
      </c>
      <c r="O22" s="21">
        <v>0.18</v>
      </c>
      <c r="P22" s="21">
        <v>0.18</v>
      </c>
      <c r="Q22" s="21">
        <v>0.18</v>
      </c>
      <c r="R22" s="21">
        <v>0.18</v>
      </c>
      <c r="T22" s="17">
        <f>(SUM(M22:R22)*3)*25/500</f>
        <v>0.16199999999999998</v>
      </c>
      <c r="U22" s="17">
        <f t="shared" si="5"/>
        <v>3.0779999999999994</v>
      </c>
    </row>
    <row r="23" spans="1:21" ht="1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21" ht="15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L24" s="1" t="s">
        <v>16</v>
      </c>
      <c r="M24" s="1" t="s">
        <v>10</v>
      </c>
      <c r="N24" s="1" t="s">
        <v>11</v>
      </c>
      <c r="O24" s="1" t="s">
        <v>12</v>
      </c>
      <c r="P24" s="1" t="s">
        <v>13</v>
      </c>
      <c r="Q24" s="1" t="s">
        <v>46</v>
      </c>
      <c r="R24" s="1" t="s">
        <v>9</v>
      </c>
      <c r="T24" s="1" t="s">
        <v>43</v>
      </c>
      <c r="U24" s="1" t="s">
        <v>18</v>
      </c>
    </row>
    <row r="25" spans="1:21" ht="15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L25" s="4" t="s">
        <v>42</v>
      </c>
      <c r="M25" s="21">
        <f>SUM(M15,M16,M17,M18,M19,M20,M21,M22)*3</f>
        <v>4.3199999999999994</v>
      </c>
      <c r="N25" s="21">
        <f t="shared" ref="N25:R25" si="6">SUM(N15,N16,N17,N18,N19,N20,N21,N22)*3</f>
        <v>4.3199999999999994</v>
      </c>
      <c r="O25" s="21">
        <f t="shared" si="6"/>
        <v>4.3199999999999994</v>
      </c>
      <c r="P25" s="21">
        <f t="shared" si="6"/>
        <v>4.3199999999999994</v>
      </c>
      <c r="Q25" s="21">
        <f t="shared" si="6"/>
        <v>4.3199999999999994</v>
      </c>
      <c r="R25" s="21">
        <f t="shared" si="6"/>
        <v>4.3199999999999994</v>
      </c>
      <c r="T25" s="43">
        <f>SUM(T15:T22)</f>
        <v>10.691999999999998</v>
      </c>
      <c r="U25" s="43">
        <f>SUM(U15:U22)</f>
        <v>15.227999999999998</v>
      </c>
    </row>
    <row r="26" spans="1:21" ht="15" x14ac:dyDescent="0.35">
      <c r="L26" s="47" t="s">
        <v>8</v>
      </c>
      <c r="M26" s="19">
        <f>M25+1</f>
        <v>5.3199999999999994</v>
      </c>
      <c r="N26" s="19">
        <f t="shared" ref="N26:R26" si="7">N25+1</f>
        <v>5.3199999999999994</v>
      </c>
      <c r="O26" s="19">
        <f t="shared" si="7"/>
        <v>5.3199999999999994</v>
      </c>
      <c r="P26" s="19">
        <f t="shared" si="7"/>
        <v>5.3199999999999994</v>
      </c>
      <c r="Q26" s="19">
        <f t="shared" si="7"/>
        <v>5.3199999999999994</v>
      </c>
      <c r="R26" s="19">
        <f t="shared" si="7"/>
        <v>5.3199999999999994</v>
      </c>
    </row>
    <row r="28" spans="1:21" x14ac:dyDescent="0.35">
      <c r="K28" s="2"/>
    </row>
    <row r="29" spans="1:21" x14ac:dyDescent="0.35">
      <c r="L29" s="1" t="s">
        <v>0</v>
      </c>
      <c r="M29" s="1" t="s">
        <v>10</v>
      </c>
      <c r="N29" s="1" t="s">
        <v>11</v>
      </c>
      <c r="O29" s="1" t="s">
        <v>12</v>
      </c>
      <c r="P29" s="1" t="s">
        <v>13</v>
      </c>
      <c r="Q29" s="1" t="s">
        <v>46</v>
      </c>
      <c r="R29" s="1" t="s">
        <v>9</v>
      </c>
    </row>
    <row r="30" spans="1:21" ht="15" x14ac:dyDescent="0.35">
      <c r="K30" s="60" t="s">
        <v>7</v>
      </c>
      <c r="L30" s="20" t="s">
        <v>48</v>
      </c>
      <c r="M30" s="21">
        <v>0.02</v>
      </c>
      <c r="N30" s="21">
        <v>0.02</v>
      </c>
      <c r="O30" s="21">
        <v>0.02</v>
      </c>
      <c r="P30" s="21">
        <v>0.02</v>
      </c>
      <c r="Q30" s="21">
        <v>0.02</v>
      </c>
      <c r="R30" s="21">
        <v>0.02</v>
      </c>
    </row>
    <row r="31" spans="1:21" ht="15" x14ac:dyDescent="0.35">
      <c r="K31" s="60"/>
      <c r="L31" s="20" t="s">
        <v>30</v>
      </c>
      <c r="M31" s="21">
        <v>0.02</v>
      </c>
      <c r="N31" s="21">
        <v>0.02</v>
      </c>
      <c r="O31" s="21">
        <v>0.02</v>
      </c>
      <c r="P31" s="21">
        <v>0.02</v>
      </c>
      <c r="Q31" s="21">
        <v>0.02</v>
      </c>
      <c r="R31" s="21">
        <v>0.02</v>
      </c>
    </row>
    <row r="32" spans="1:21" ht="15" x14ac:dyDescent="0.35">
      <c r="K32" s="60"/>
      <c r="L32" s="20" t="s">
        <v>49</v>
      </c>
      <c r="M32" s="21">
        <v>0.02</v>
      </c>
      <c r="N32" s="21">
        <v>0.02</v>
      </c>
      <c r="O32" s="21">
        <v>0.02</v>
      </c>
      <c r="P32" s="21">
        <v>0.02</v>
      </c>
      <c r="Q32" s="21">
        <v>0.02</v>
      </c>
      <c r="R32" s="21">
        <v>0.02</v>
      </c>
      <c r="T32" s="28"/>
    </row>
    <row r="33" spans="11:18" ht="15" x14ac:dyDescent="0.35">
      <c r="K33" s="60"/>
      <c r="L33" s="20" t="s">
        <v>31</v>
      </c>
      <c r="M33" s="21">
        <v>0.02</v>
      </c>
      <c r="N33" s="21">
        <v>0.02</v>
      </c>
      <c r="O33" s="21">
        <v>0.02</v>
      </c>
      <c r="P33" s="21">
        <v>0.02</v>
      </c>
      <c r="Q33" s="21">
        <v>0.02</v>
      </c>
      <c r="R33" s="21">
        <v>0.02</v>
      </c>
    </row>
    <row r="34" spans="11:18" ht="15" x14ac:dyDescent="0.35">
      <c r="K34" s="60"/>
      <c r="L34" s="20" t="s">
        <v>32</v>
      </c>
      <c r="M34" s="21">
        <v>0.02</v>
      </c>
      <c r="N34" s="21">
        <v>0.02</v>
      </c>
      <c r="O34" s="21">
        <v>0.02</v>
      </c>
      <c r="P34" s="21">
        <v>0.02</v>
      </c>
      <c r="Q34" s="21">
        <v>0.02</v>
      </c>
      <c r="R34" s="21">
        <v>0.02</v>
      </c>
    </row>
    <row r="35" spans="11:18" ht="15" x14ac:dyDescent="0.35">
      <c r="K35" s="60"/>
      <c r="L35" s="20" t="s">
        <v>50</v>
      </c>
      <c r="M35" s="21">
        <v>0.02</v>
      </c>
      <c r="N35" s="21">
        <v>0.02</v>
      </c>
      <c r="O35" s="21">
        <v>0.02</v>
      </c>
      <c r="P35" s="21">
        <v>0.02</v>
      </c>
      <c r="Q35" s="21">
        <v>0.02</v>
      </c>
      <c r="R35" s="21">
        <v>0.02</v>
      </c>
    </row>
    <row r="36" spans="11:18" ht="15" x14ac:dyDescent="0.35">
      <c r="K36" s="60"/>
      <c r="L36" s="20" t="s">
        <v>47</v>
      </c>
      <c r="M36" s="21">
        <v>0.02</v>
      </c>
      <c r="N36" s="21">
        <v>0.02</v>
      </c>
      <c r="O36" s="21">
        <v>0.02</v>
      </c>
      <c r="P36" s="21">
        <v>0.02</v>
      </c>
      <c r="Q36" s="21">
        <v>0.02</v>
      </c>
      <c r="R36" s="21">
        <v>0.02</v>
      </c>
    </row>
    <row r="37" spans="11:18" ht="15" x14ac:dyDescent="0.35">
      <c r="K37" s="60"/>
      <c r="L37" s="20" t="s">
        <v>51</v>
      </c>
      <c r="M37" s="21">
        <v>0.02</v>
      </c>
      <c r="N37" s="21">
        <v>0.02</v>
      </c>
      <c r="O37" s="21">
        <v>0.02</v>
      </c>
      <c r="P37" s="21">
        <v>0.02</v>
      </c>
      <c r="Q37" s="21">
        <v>0.02</v>
      </c>
      <c r="R37" s="21">
        <v>0.02</v>
      </c>
    </row>
    <row r="38" spans="11:18" x14ac:dyDescent="0.35">
      <c r="K38" s="41"/>
    </row>
    <row r="39" spans="11:18" x14ac:dyDescent="0.35">
      <c r="L39" s="1" t="s">
        <v>0</v>
      </c>
      <c r="M39" s="1" t="s">
        <v>10</v>
      </c>
      <c r="N39" s="1" t="s">
        <v>11</v>
      </c>
      <c r="O39" s="1" t="s">
        <v>12</v>
      </c>
      <c r="P39" s="1" t="s">
        <v>13</v>
      </c>
      <c r="Q39" s="1" t="s">
        <v>46</v>
      </c>
      <c r="R39" s="1" t="s">
        <v>9</v>
      </c>
    </row>
    <row r="40" spans="11:18" ht="15" x14ac:dyDescent="0.35">
      <c r="L40" s="4" t="s">
        <v>42</v>
      </c>
      <c r="M40" s="21">
        <f>SUM(M30,M31,M32,M33,M34,M35,M36,M37)*3</f>
        <v>0.48</v>
      </c>
      <c r="N40" s="21">
        <f t="shared" ref="N40:R40" si="8">SUM(N30,N31,N32,N33,N34,N35,N36,N37)*3</f>
        <v>0.48</v>
      </c>
      <c r="O40" s="21">
        <f t="shared" si="8"/>
        <v>0.48</v>
      </c>
      <c r="P40" s="21">
        <f t="shared" si="8"/>
        <v>0.48</v>
      </c>
      <c r="Q40" s="21">
        <f t="shared" si="8"/>
        <v>0.48</v>
      </c>
      <c r="R40" s="21">
        <f t="shared" si="8"/>
        <v>0.48</v>
      </c>
    </row>
    <row r="41" spans="11:18" ht="15" x14ac:dyDescent="0.35">
      <c r="L41" s="47" t="s">
        <v>8</v>
      </c>
      <c r="M41" s="19">
        <f>M40+1</f>
        <v>1.48</v>
      </c>
      <c r="N41" s="19">
        <f t="shared" ref="N41:R41" si="9">N40+1</f>
        <v>1.48</v>
      </c>
      <c r="O41" s="19">
        <f t="shared" si="9"/>
        <v>1.48</v>
      </c>
      <c r="P41" s="19">
        <f t="shared" si="9"/>
        <v>1.48</v>
      </c>
      <c r="Q41" s="19">
        <f t="shared" si="9"/>
        <v>1.48</v>
      </c>
      <c r="R41" s="19">
        <f t="shared" si="9"/>
        <v>1.48</v>
      </c>
    </row>
  </sheetData>
  <mergeCells count="6">
    <mergeCell ref="K30:K37"/>
    <mergeCell ref="A2:A7"/>
    <mergeCell ref="K2:K11"/>
    <mergeCell ref="L4:L11"/>
    <mergeCell ref="A10:A15"/>
    <mergeCell ref="K15:K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3"/>
  <sheetViews>
    <sheetView workbookViewId="0"/>
  </sheetViews>
  <sheetFormatPr defaultColWidth="11.453125" defaultRowHeight="14.5" x14ac:dyDescent="0.35"/>
  <cols>
    <col min="1" max="1" width="4.7265625" customWidth="1"/>
    <col min="2" max="2" width="15.7265625" customWidth="1"/>
    <col min="3" max="9" width="8.7265625" customWidth="1"/>
    <col min="10" max="11" width="4.7265625" customWidth="1"/>
    <col min="12" max="12" width="15.7265625" customWidth="1"/>
    <col min="13" max="21" width="8.7265625" customWidth="1"/>
  </cols>
  <sheetData>
    <row r="1" spans="1:21" ht="15" customHeight="1" x14ac:dyDescent="0.35">
      <c r="A1" s="2"/>
      <c r="B1" s="1" t="s">
        <v>0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46</v>
      </c>
      <c r="H1" s="1" t="s">
        <v>9</v>
      </c>
      <c r="I1" s="2"/>
      <c r="J1" s="2"/>
      <c r="K1" s="2"/>
      <c r="L1" s="1" t="s">
        <v>16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46</v>
      </c>
      <c r="R1" s="1" t="s">
        <v>9</v>
      </c>
      <c r="S1" s="2"/>
      <c r="T1" s="25"/>
      <c r="U1" s="25"/>
    </row>
    <row r="2" spans="1:21" ht="15" customHeight="1" x14ac:dyDescent="0.35">
      <c r="A2" s="60" t="s">
        <v>6</v>
      </c>
      <c r="B2" s="48" t="s">
        <v>2</v>
      </c>
      <c r="C2" s="13">
        <v>9.0480599999999995</v>
      </c>
      <c r="D2" s="13">
        <v>12.580596000000002</v>
      </c>
      <c r="E2" s="13">
        <v>12.071304000000001</v>
      </c>
      <c r="F2" s="13">
        <v>9.7198920000000015</v>
      </c>
      <c r="G2" s="13">
        <v>14.184324000000002</v>
      </c>
      <c r="H2" s="13">
        <v>14.563584000000001</v>
      </c>
      <c r="I2" s="2"/>
      <c r="J2" s="2"/>
      <c r="K2" s="53" t="s">
        <v>1</v>
      </c>
      <c r="L2" s="49" t="s">
        <v>2</v>
      </c>
      <c r="M2" s="16">
        <v>1000</v>
      </c>
      <c r="N2" s="16">
        <v>1000</v>
      </c>
      <c r="O2" s="16">
        <v>1000</v>
      </c>
      <c r="P2" s="16">
        <v>1000</v>
      </c>
      <c r="Q2" s="16">
        <v>1000</v>
      </c>
      <c r="R2" s="16">
        <v>1000</v>
      </c>
      <c r="S2" s="2"/>
      <c r="T2" s="30"/>
      <c r="U2" s="30"/>
    </row>
    <row r="3" spans="1:21" ht="15" customHeight="1" x14ac:dyDescent="0.35">
      <c r="A3" s="60"/>
      <c r="B3" s="48" t="s">
        <v>3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2"/>
      <c r="J3" s="2"/>
      <c r="K3" s="54"/>
      <c r="L3" s="49" t="s">
        <v>3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2"/>
      <c r="T3" s="30"/>
      <c r="U3" s="30"/>
    </row>
    <row r="4" spans="1:21" ht="15" customHeight="1" x14ac:dyDescent="0.35">
      <c r="A4" s="60"/>
      <c r="B4" s="48" t="s">
        <v>19</v>
      </c>
      <c r="C4" s="3">
        <v>0.5</v>
      </c>
      <c r="D4" s="3">
        <v>0.5</v>
      </c>
      <c r="E4" s="3">
        <v>0.5</v>
      </c>
      <c r="F4" s="3">
        <v>0.5</v>
      </c>
      <c r="G4" s="3">
        <v>0.5</v>
      </c>
      <c r="H4" s="3">
        <v>0.5</v>
      </c>
      <c r="I4" s="2"/>
      <c r="J4" s="2"/>
      <c r="K4" s="54"/>
      <c r="L4" s="57" t="s">
        <v>4</v>
      </c>
      <c r="M4" s="15">
        <v>300</v>
      </c>
      <c r="N4" s="15">
        <v>500</v>
      </c>
      <c r="O4" s="15">
        <v>500</v>
      </c>
      <c r="P4" s="15">
        <v>500</v>
      </c>
      <c r="Q4" s="15">
        <v>500</v>
      </c>
      <c r="R4" s="15">
        <v>500</v>
      </c>
      <c r="S4" s="2"/>
      <c r="T4" s="30"/>
      <c r="U4" s="30"/>
    </row>
    <row r="5" spans="1:21" ht="15" customHeight="1" x14ac:dyDescent="0.35">
      <c r="A5" s="60"/>
      <c r="B5" s="48" t="s">
        <v>20</v>
      </c>
      <c r="C5" s="14">
        <f t="shared" ref="C5:H5" si="0">((C4*C$3)/C$2)</f>
        <v>5.5260464674195355E-2</v>
      </c>
      <c r="D5" s="14">
        <f t="shared" si="0"/>
        <v>3.9743745049916547E-2</v>
      </c>
      <c r="E5" s="14">
        <f t="shared" si="0"/>
        <v>4.1420545783620387E-2</v>
      </c>
      <c r="F5" s="14">
        <f t="shared" si="0"/>
        <v>5.1440900783671251E-2</v>
      </c>
      <c r="G5" s="14">
        <f>((G4*G$3)/G$2)</f>
        <v>3.5250181820437827E-2</v>
      </c>
      <c r="H5" s="14">
        <f t="shared" si="0"/>
        <v>3.4332208335530592E-2</v>
      </c>
      <c r="I5" s="2"/>
      <c r="J5" s="2"/>
      <c r="K5" s="54"/>
      <c r="L5" s="58"/>
      <c r="M5" s="16">
        <v>200</v>
      </c>
      <c r="N5" s="16">
        <v>400</v>
      </c>
      <c r="O5" s="16">
        <v>400</v>
      </c>
      <c r="P5" s="16">
        <v>400</v>
      </c>
      <c r="Q5" s="16">
        <v>400</v>
      </c>
      <c r="R5" s="16">
        <v>400</v>
      </c>
      <c r="S5" s="2"/>
      <c r="T5" s="30"/>
      <c r="U5" s="30"/>
    </row>
    <row r="6" spans="1:21" ht="15" customHeight="1" x14ac:dyDescent="0.35">
      <c r="A6" s="60"/>
      <c r="B6" s="48" t="s">
        <v>60</v>
      </c>
      <c r="C6" s="14">
        <f>(((C4*C$3)/C$2))*8</f>
        <v>0.44208371739356284</v>
      </c>
      <c r="D6" s="14">
        <f t="shared" ref="D6:H6" si="1">(((D4*D$3)/D$2))*8</f>
        <v>0.31794996039933238</v>
      </c>
      <c r="E6" s="14">
        <f t="shared" si="1"/>
        <v>0.3313643662689631</v>
      </c>
      <c r="F6" s="14">
        <f t="shared" si="1"/>
        <v>0.41152720626937001</v>
      </c>
      <c r="G6" s="14">
        <f t="shared" si="1"/>
        <v>0.28200145456350262</v>
      </c>
      <c r="H6" s="14">
        <f t="shared" si="1"/>
        <v>0.27465766668424474</v>
      </c>
      <c r="I6" s="2"/>
      <c r="J6" s="2"/>
      <c r="K6" s="54"/>
      <c r="L6" s="58"/>
      <c r="M6" s="16">
        <v>100</v>
      </c>
      <c r="N6" s="16">
        <v>300</v>
      </c>
      <c r="O6" s="16">
        <v>300</v>
      </c>
      <c r="P6" s="16">
        <v>300</v>
      </c>
      <c r="Q6" s="16">
        <v>300</v>
      </c>
      <c r="R6" s="16">
        <v>300</v>
      </c>
      <c r="S6" s="2"/>
      <c r="T6" s="30"/>
      <c r="U6" s="30"/>
    </row>
    <row r="7" spans="1:21" ht="15" customHeight="1" x14ac:dyDescent="0.35">
      <c r="A7" s="60"/>
      <c r="B7" s="48" t="s">
        <v>5</v>
      </c>
      <c r="C7" s="6">
        <v>8</v>
      </c>
      <c r="D7" s="6">
        <v>8</v>
      </c>
      <c r="E7" s="6">
        <v>8</v>
      </c>
      <c r="F7" s="6">
        <v>8</v>
      </c>
      <c r="G7" s="6">
        <v>8</v>
      </c>
      <c r="H7" s="6">
        <v>8</v>
      </c>
      <c r="I7" s="2"/>
      <c r="J7" s="2"/>
      <c r="K7" s="54"/>
      <c r="L7" s="58"/>
      <c r="M7" s="15">
        <v>50</v>
      </c>
      <c r="N7" s="15">
        <v>50</v>
      </c>
      <c r="O7" s="15">
        <v>50</v>
      </c>
      <c r="P7" s="15">
        <v>50</v>
      </c>
      <c r="Q7" s="15">
        <v>50</v>
      </c>
      <c r="R7" s="15">
        <v>50</v>
      </c>
      <c r="S7" s="2"/>
      <c r="T7" s="30"/>
      <c r="U7" s="30"/>
    </row>
    <row r="8" spans="1:21" ht="1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54"/>
      <c r="L8" s="58"/>
      <c r="M8" s="16">
        <v>30</v>
      </c>
      <c r="N8" s="16">
        <v>30</v>
      </c>
      <c r="O8" s="16">
        <v>30</v>
      </c>
      <c r="P8" s="16">
        <v>30</v>
      </c>
      <c r="Q8" s="16">
        <v>30</v>
      </c>
      <c r="R8" s="16">
        <v>30</v>
      </c>
      <c r="S8" s="2"/>
      <c r="T8" s="30"/>
      <c r="U8" s="30"/>
    </row>
    <row r="9" spans="1:21" ht="15" customHeight="1" x14ac:dyDescent="0.35">
      <c r="A9" s="2"/>
      <c r="B9" s="1" t="s">
        <v>0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46</v>
      </c>
      <c r="H9" s="1" t="s">
        <v>9</v>
      </c>
      <c r="I9" s="2"/>
      <c r="J9" s="2"/>
      <c r="K9" s="54"/>
      <c r="L9" s="58"/>
      <c r="M9" s="15">
        <v>20</v>
      </c>
      <c r="N9" s="15">
        <v>20</v>
      </c>
      <c r="O9" s="15">
        <v>20</v>
      </c>
      <c r="P9" s="15">
        <v>20</v>
      </c>
      <c r="Q9" s="15">
        <v>20</v>
      </c>
      <c r="R9" s="15">
        <v>20</v>
      </c>
      <c r="S9" s="2"/>
      <c r="T9" s="30"/>
      <c r="U9" s="30"/>
    </row>
    <row r="10" spans="1:21" ht="15" customHeight="1" x14ac:dyDescent="0.35">
      <c r="A10" s="53" t="s">
        <v>21</v>
      </c>
      <c r="B10" s="4" t="s">
        <v>2</v>
      </c>
      <c r="C10" s="9">
        <v>9.0480599999999995</v>
      </c>
      <c r="D10" s="9">
        <v>12.580596000000002</v>
      </c>
      <c r="E10" s="9">
        <v>12.071304000000001</v>
      </c>
      <c r="F10" s="9">
        <v>9.7198920000000015</v>
      </c>
      <c r="G10" s="9">
        <v>14.184324000000002</v>
      </c>
      <c r="H10" s="9">
        <v>14.563584000000001</v>
      </c>
      <c r="I10" s="2"/>
      <c r="J10" s="2"/>
      <c r="K10" s="54"/>
      <c r="L10" s="58"/>
      <c r="M10" s="16">
        <v>10</v>
      </c>
      <c r="N10" s="16">
        <v>10</v>
      </c>
      <c r="O10" s="16">
        <v>10</v>
      </c>
      <c r="P10" s="16">
        <v>10</v>
      </c>
      <c r="Q10" s="16">
        <v>10</v>
      </c>
      <c r="R10" s="16">
        <v>10</v>
      </c>
      <c r="S10" s="2"/>
      <c r="T10" s="30"/>
      <c r="U10" s="30"/>
    </row>
    <row r="11" spans="1:21" ht="15" customHeight="1" x14ac:dyDescent="0.35">
      <c r="A11" s="54"/>
      <c r="B11" s="4" t="s">
        <v>3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2"/>
      <c r="J11" s="2"/>
      <c r="K11" s="54"/>
      <c r="L11" s="58"/>
      <c r="M11" s="16">
        <v>8</v>
      </c>
      <c r="N11" s="16">
        <v>8</v>
      </c>
      <c r="O11" s="16">
        <v>8</v>
      </c>
      <c r="P11" s="16">
        <v>8</v>
      </c>
      <c r="Q11" s="16">
        <v>8</v>
      </c>
      <c r="R11" s="16">
        <v>8</v>
      </c>
      <c r="S11" s="2"/>
      <c r="T11" s="30"/>
      <c r="U11" s="30"/>
    </row>
    <row r="12" spans="1:21" ht="15" customHeight="1" x14ac:dyDescent="0.35">
      <c r="A12" s="54"/>
      <c r="B12" s="4" t="s">
        <v>14</v>
      </c>
      <c r="C12" s="6">
        <v>0.1</v>
      </c>
      <c r="D12" s="6">
        <v>0.1</v>
      </c>
      <c r="E12" s="6">
        <v>0.1</v>
      </c>
      <c r="F12" s="6">
        <v>0.1</v>
      </c>
      <c r="G12" s="6">
        <v>0.1</v>
      </c>
      <c r="H12" s="6">
        <v>0.1</v>
      </c>
      <c r="I12" s="2"/>
      <c r="J12" s="2"/>
      <c r="K12" s="54"/>
      <c r="L12" s="58"/>
      <c r="M12" s="16">
        <v>6</v>
      </c>
      <c r="N12" s="16">
        <v>6</v>
      </c>
      <c r="O12" s="16">
        <v>6</v>
      </c>
      <c r="P12" s="16">
        <v>6</v>
      </c>
      <c r="Q12" s="16">
        <v>6</v>
      </c>
      <c r="R12" s="16">
        <v>6</v>
      </c>
    </row>
    <row r="13" spans="1:21" ht="15" customHeight="1" x14ac:dyDescent="0.35">
      <c r="A13" s="54"/>
      <c r="B13" s="4" t="s">
        <v>15</v>
      </c>
      <c r="C13" s="10">
        <f>((C12*C$11)/C$10)</f>
        <v>1.1052092934839072E-2</v>
      </c>
      <c r="D13" s="10">
        <f t="shared" ref="D13:H13" si="2">((D12*D$11)/D$10)</f>
        <v>7.9487490099833108E-3</v>
      </c>
      <c r="E13" s="10">
        <f t="shared" si="2"/>
        <v>8.2841091567240777E-3</v>
      </c>
      <c r="F13" s="10">
        <f t="shared" si="2"/>
        <v>1.0288180156734252E-2</v>
      </c>
      <c r="G13" s="10">
        <f t="shared" si="2"/>
        <v>7.0500363640875656E-3</v>
      </c>
      <c r="H13" s="10">
        <f t="shared" si="2"/>
        <v>6.8664416671061186E-3</v>
      </c>
      <c r="I13" s="2"/>
      <c r="J13" s="2"/>
      <c r="K13" s="54"/>
      <c r="L13" s="58"/>
      <c r="M13" s="16">
        <v>4</v>
      </c>
      <c r="N13" s="16">
        <v>4</v>
      </c>
      <c r="O13" s="16">
        <v>4</v>
      </c>
      <c r="P13" s="16">
        <v>4</v>
      </c>
      <c r="Q13" s="16">
        <v>4</v>
      </c>
      <c r="R13" s="16">
        <v>4</v>
      </c>
    </row>
    <row r="14" spans="1:21" ht="15" customHeight="1" x14ac:dyDescent="0.35">
      <c r="A14" s="54"/>
      <c r="B14" s="4" t="s">
        <v>61</v>
      </c>
      <c r="C14" s="10">
        <f>(((C12*C$11)/C$10))*8</f>
        <v>8.8416743478712576E-2</v>
      </c>
      <c r="D14" s="10">
        <f t="shared" ref="D14:H14" si="3">(((D12*D$11)/D$10))*8</f>
        <v>6.3589992079866486E-2</v>
      </c>
      <c r="E14" s="10">
        <f t="shared" si="3"/>
        <v>6.6272873253792622E-2</v>
      </c>
      <c r="F14" s="10">
        <f t="shared" si="3"/>
        <v>8.2305441253874012E-2</v>
      </c>
      <c r="G14" s="10">
        <f t="shared" si="3"/>
        <v>5.6400290912700525E-2</v>
      </c>
      <c r="H14" s="10">
        <f t="shared" si="3"/>
        <v>5.4931533336848949E-2</v>
      </c>
      <c r="I14" s="2"/>
      <c r="J14" s="2"/>
      <c r="K14" s="54"/>
      <c r="L14" s="58"/>
      <c r="M14" s="16">
        <v>2</v>
      </c>
      <c r="N14" s="16">
        <v>2</v>
      </c>
      <c r="O14" s="16">
        <v>2</v>
      </c>
      <c r="P14" s="16">
        <v>2</v>
      </c>
      <c r="Q14" s="16">
        <v>2</v>
      </c>
      <c r="R14" s="16">
        <v>2</v>
      </c>
    </row>
    <row r="15" spans="1:21" ht="15" customHeight="1" x14ac:dyDescent="0.35">
      <c r="A15" s="55"/>
      <c r="B15" s="4" t="s">
        <v>5</v>
      </c>
      <c r="C15" s="11">
        <f>8-C14</f>
        <v>7.9115832565212871</v>
      </c>
      <c r="D15" s="11">
        <f t="shared" ref="D15:H15" si="4">8-D14</f>
        <v>7.9364100079201334</v>
      </c>
      <c r="E15" s="11">
        <f t="shared" si="4"/>
        <v>7.9337271267462075</v>
      </c>
      <c r="F15" s="11">
        <f t="shared" si="4"/>
        <v>7.9176945587461258</v>
      </c>
      <c r="G15" s="11">
        <f t="shared" si="4"/>
        <v>7.9435997090872998</v>
      </c>
      <c r="H15" s="11">
        <f t="shared" si="4"/>
        <v>7.9450684666631508</v>
      </c>
      <c r="I15" s="2"/>
      <c r="J15" s="2"/>
      <c r="K15" s="55"/>
      <c r="L15" s="59"/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</row>
    <row r="16" spans="1:21" ht="1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M16" s="36"/>
      <c r="N16" s="36"/>
      <c r="O16" s="36"/>
      <c r="P16" s="36"/>
      <c r="Q16" s="36"/>
      <c r="R16" s="36"/>
    </row>
    <row r="17" spans="1:21" ht="15" customHeight="1" x14ac:dyDescent="0.35">
      <c r="A17" s="2"/>
      <c r="B17" s="45"/>
      <c r="C17" s="45"/>
      <c r="D17" s="45"/>
      <c r="E17" s="45"/>
      <c r="F17" s="45"/>
      <c r="G17" s="45"/>
      <c r="H17" s="45"/>
      <c r="I17" s="2"/>
      <c r="J17" s="2"/>
    </row>
    <row r="18" spans="1:21" ht="15" customHeight="1" x14ac:dyDescent="0.35">
      <c r="A18" s="2"/>
      <c r="B18" s="46"/>
      <c r="C18" s="30"/>
      <c r="D18" s="30"/>
      <c r="E18" s="30"/>
      <c r="F18" s="30"/>
      <c r="G18" s="30"/>
      <c r="H18" s="30"/>
      <c r="I18" s="2"/>
      <c r="J18" s="2"/>
      <c r="K18" s="2"/>
      <c r="L18" s="1" t="s">
        <v>16</v>
      </c>
      <c r="M18" s="1" t="s">
        <v>10</v>
      </c>
      <c r="N18" s="1" t="s">
        <v>11</v>
      </c>
      <c r="O18" s="1" t="s">
        <v>12</v>
      </c>
      <c r="P18" s="1" t="s">
        <v>13</v>
      </c>
      <c r="Q18" s="1" t="s">
        <v>46</v>
      </c>
      <c r="R18" s="1" t="s">
        <v>9</v>
      </c>
      <c r="S18" s="2"/>
      <c r="T18" s="1" t="s">
        <v>43</v>
      </c>
      <c r="U18" s="1" t="s">
        <v>18</v>
      </c>
    </row>
    <row r="19" spans="1:21" ht="15" customHeight="1" x14ac:dyDescent="0.35">
      <c r="A19" s="2"/>
      <c r="B19" s="46"/>
      <c r="C19" s="30"/>
      <c r="D19" s="30"/>
      <c r="E19" s="30"/>
      <c r="F19" s="30"/>
      <c r="G19" s="30"/>
      <c r="H19" s="30"/>
      <c r="I19" s="2"/>
      <c r="J19" s="2"/>
      <c r="K19" s="60" t="s">
        <v>7</v>
      </c>
      <c r="L19" s="20" t="s">
        <v>49</v>
      </c>
      <c r="M19" s="21">
        <v>0.18</v>
      </c>
      <c r="N19" s="21">
        <v>0.18</v>
      </c>
      <c r="O19" s="21">
        <v>0.18</v>
      </c>
      <c r="P19" s="21">
        <v>0.18</v>
      </c>
      <c r="Q19" s="21">
        <v>0.18</v>
      </c>
      <c r="R19" s="21">
        <v>0.18</v>
      </c>
      <c r="S19" s="2"/>
      <c r="T19" s="42">
        <f>(SUM(M19:R19)*3*8)*300/1000</f>
        <v>7.775999999999998</v>
      </c>
      <c r="U19" s="42">
        <f t="shared" ref="U19:U30" si="5">(SUM(M19:R19)*3*8)-T19</f>
        <v>18.143999999999998</v>
      </c>
    </row>
    <row r="20" spans="1:21" ht="15" customHeight="1" x14ac:dyDescent="0.35">
      <c r="A20" s="2"/>
      <c r="B20" s="46"/>
      <c r="C20" s="29"/>
      <c r="D20" s="29"/>
      <c r="E20" s="29"/>
      <c r="F20" s="29"/>
      <c r="G20" s="29"/>
      <c r="H20" s="29"/>
      <c r="I20" s="2"/>
      <c r="J20" s="2"/>
      <c r="K20" s="60"/>
      <c r="L20" s="20" t="s">
        <v>31</v>
      </c>
      <c r="M20" s="21">
        <v>0.18</v>
      </c>
      <c r="N20" s="21">
        <v>0.18</v>
      </c>
      <c r="O20" s="21">
        <v>0.18</v>
      </c>
      <c r="P20" s="21">
        <v>0.18</v>
      </c>
      <c r="Q20" s="21">
        <v>0.18</v>
      </c>
      <c r="R20" s="21">
        <v>0.18</v>
      </c>
      <c r="S20" s="2"/>
      <c r="T20" s="17">
        <f>(SUM(M20:R20)*3*8)*200/1000</f>
        <v>5.1839999999999993</v>
      </c>
      <c r="U20" s="17">
        <f t="shared" si="5"/>
        <v>20.735999999999997</v>
      </c>
    </row>
    <row r="21" spans="1:21" ht="15" customHeight="1" x14ac:dyDescent="0.35">
      <c r="A21" s="2"/>
      <c r="I21" s="2"/>
      <c r="J21" s="2"/>
      <c r="K21" s="60"/>
      <c r="L21" s="20" t="s">
        <v>32</v>
      </c>
      <c r="M21" s="21">
        <v>0.18</v>
      </c>
      <c r="N21" s="21">
        <v>0.18</v>
      </c>
      <c r="O21" s="21">
        <v>0.18</v>
      </c>
      <c r="P21" s="21">
        <v>0.18</v>
      </c>
      <c r="Q21" s="21">
        <v>0.18</v>
      </c>
      <c r="R21" s="21">
        <v>0.18</v>
      </c>
      <c r="T21" s="17">
        <f>(SUM(M21:R21)*3*8)*100/1000</f>
        <v>2.5919999999999996</v>
      </c>
      <c r="U21" s="17">
        <f t="shared" si="5"/>
        <v>23.327999999999996</v>
      </c>
    </row>
    <row r="22" spans="1:21" ht="1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60"/>
      <c r="L22" s="20" t="s">
        <v>47</v>
      </c>
      <c r="M22" s="21">
        <v>0.18</v>
      </c>
      <c r="N22" s="21">
        <v>0.18</v>
      </c>
      <c r="O22" s="21">
        <v>0.18</v>
      </c>
      <c r="P22" s="21">
        <v>0.18</v>
      </c>
      <c r="Q22" s="21">
        <v>0.18</v>
      </c>
      <c r="R22" s="21">
        <v>0.18</v>
      </c>
      <c r="T22" s="17">
        <f>(SUM(M22:R22)*3*8)*50/1000</f>
        <v>1.2959999999999998</v>
      </c>
      <c r="U22" s="17">
        <f t="shared" si="5"/>
        <v>24.623999999999995</v>
      </c>
    </row>
    <row r="23" spans="1:21" ht="1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60"/>
      <c r="L23" s="20" t="s">
        <v>53</v>
      </c>
      <c r="M23" s="21">
        <v>0.18</v>
      </c>
      <c r="N23" s="21">
        <v>0.18</v>
      </c>
      <c r="O23" s="21">
        <v>0.18</v>
      </c>
      <c r="P23" s="21">
        <v>0.18</v>
      </c>
      <c r="Q23" s="21">
        <v>0.18</v>
      </c>
      <c r="R23" s="21">
        <v>0.18</v>
      </c>
      <c r="T23" s="17">
        <f>(SUM(M23:R23)*3*8)*30/1000</f>
        <v>0.77759999999999985</v>
      </c>
      <c r="U23" s="17">
        <f t="shared" si="5"/>
        <v>25.142399999999995</v>
      </c>
    </row>
    <row r="24" spans="1:21" ht="1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60"/>
      <c r="L24" s="20" t="s">
        <v>36</v>
      </c>
      <c r="M24" s="21">
        <v>0.18</v>
      </c>
      <c r="N24" s="21">
        <v>0.18</v>
      </c>
      <c r="O24" s="21">
        <v>0.18</v>
      </c>
      <c r="P24" s="21">
        <v>0.18</v>
      </c>
      <c r="Q24" s="21">
        <v>0.18</v>
      </c>
      <c r="R24" s="21">
        <v>0.18</v>
      </c>
      <c r="T24" s="17">
        <f>(SUM(M24:R24)*3*8)*20/1000</f>
        <v>0.51839999999999986</v>
      </c>
      <c r="U24" s="17">
        <f t="shared" si="5"/>
        <v>25.401599999999995</v>
      </c>
    </row>
    <row r="25" spans="1:21" ht="1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60"/>
      <c r="L25" s="20" t="s">
        <v>54</v>
      </c>
      <c r="M25" s="21">
        <v>0.18</v>
      </c>
      <c r="N25" s="21">
        <v>0.18</v>
      </c>
      <c r="O25" s="21">
        <v>0.18</v>
      </c>
      <c r="P25" s="21">
        <v>0.18</v>
      </c>
      <c r="Q25" s="21">
        <v>0.18</v>
      </c>
      <c r="R25" s="21">
        <v>0.18</v>
      </c>
      <c r="T25" s="17">
        <f>(SUM(M25:R25)*3*8)*10/1000</f>
        <v>0.25919999999999993</v>
      </c>
      <c r="U25" s="17">
        <f t="shared" si="5"/>
        <v>25.660799999999995</v>
      </c>
    </row>
    <row r="26" spans="1:21" ht="15" customHeight="1" x14ac:dyDescent="0.35">
      <c r="K26" s="60"/>
      <c r="L26" s="20" t="s">
        <v>55</v>
      </c>
      <c r="M26" s="21">
        <v>0.18</v>
      </c>
      <c r="N26" s="21">
        <v>0.18</v>
      </c>
      <c r="O26" s="21">
        <v>0.18</v>
      </c>
      <c r="P26" s="21">
        <v>0.18</v>
      </c>
      <c r="Q26" s="21">
        <v>0.18</v>
      </c>
      <c r="R26" s="21">
        <v>0.18</v>
      </c>
      <c r="T26" s="17">
        <f>(SUM(M26:R26)*3*8)*8/1000</f>
        <v>0.20735999999999996</v>
      </c>
      <c r="U26" s="17">
        <f t="shared" si="5"/>
        <v>25.712639999999993</v>
      </c>
    </row>
    <row r="27" spans="1:21" ht="15" customHeight="1" x14ac:dyDescent="0.35">
      <c r="K27" s="60"/>
      <c r="L27" s="20" t="s">
        <v>56</v>
      </c>
      <c r="M27" s="21">
        <v>0.18</v>
      </c>
      <c r="N27" s="21">
        <v>0.18</v>
      </c>
      <c r="O27" s="21">
        <v>0.18</v>
      </c>
      <c r="P27" s="21">
        <v>0.18</v>
      </c>
      <c r="Q27" s="21">
        <v>0.18</v>
      </c>
      <c r="R27" s="21">
        <v>0.18</v>
      </c>
      <c r="T27" s="17">
        <f>(SUM(M27:R27)*3*8)*6/1000</f>
        <v>0.15551999999999999</v>
      </c>
      <c r="U27" s="17">
        <f t="shared" si="5"/>
        <v>25.764479999999995</v>
      </c>
    </row>
    <row r="28" spans="1:21" ht="15" customHeight="1" x14ac:dyDescent="0.35">
      <c r="K28" s="60"/>
      <c r="L28" s="20" t="s">
        <v>57</v>
      </c>
      <c r="M28" s="21">
        <v>0.18</v>
      </c>
      <c r="N28" s="21">
        <v>0.18</v>
      </c>
      <c r="O28" s="21">
        <v>0.18</v>
      </c>
      <c r="P28" s="21">
        <v>0.18</v>
      </c>
      <c r="Q28" s="21">
        <v>0.18</v>
      </c>
      <c r="R28" s="21">
        <v>0.18</v>
      </c>
      <c r="T28" s="17">
        <f>(SUM(M28:R28)*3*8)*4/1000</f>
        <v>0.10367999999999998</v>
      </c>
      <c r="U28" s="17">
        <f t="shared" si="5"/>
        <v>25.816319999999994</v>
      </c>
    </row>
    <row r="29" spans="1:21" ht="15" customHeight="1" x14ac:dyDescent="0.35">
      <c r="K29" s="60"/>
      <c r="L29" s="20" t="s">
        <v>58</v>
      </c>
      <c r="M29" s="21">
        <v>0.18</v>
      </c>
      <c r="N29" s="21">
        <v>0.18</v>
      </c>
      <c r="O29" s="21">
        <v>0.18</v>
      </c>
      <c r="P29" s="21">
        <v>0.18</v>
      </c>
      <c r="Q29" s="21">
        <v>0.18</v>
      </c>
      <c r="R29" s="21">
        <v>0.18</v>
      </c>
      <c r="T29" s="17">
        <f>(SUM(M29:R29)*3*8)*2/1000</f>
        <v>5.183999999999999E-2</v>
      </c>
      <c r="U29" s="17">
        <f t="shared" si="5"/>
        <v>25.868159999999996</v>
      </c>
    </row>
    <row r="30" spans="1:21" ht="15" customHeight="1" x14ac:dyDescent="0.35">
      <c r="K30" s="60"/>
      <c r="L30" s="20" t="s">
        <v>59</v>
      </c>
      <c r="M30" s="21">
        <v>0.18</v>
      </c>
      <c r="N30" s="21">
        <v>0.18</v>
      </c>
      <c r="O30" s="21">
        <v>0.18</v>
      </c>
      <c r="P30" s="21">
        <v>0.18</v>
      </c>
      <c r="Q30" s="21">
        <v>0.18</v>
      </c>
      <c r="R30" s="21">
        <v>0.18</v>
      </c>
      <c r="T30" s="17">
        <f>(SUM(M30:R30)*3*8)*1/1000</f>
        <v>2.5919999999999995E-2</v>
      </c>
      <c r="U30" s="17">
        <f t="shared" si="5"/>
        <v>25.894079999999995</v>
      </c>
    </row>
    <row r="31" spans="1:21" ht="15" customHeight="1" x14ac:dyDescent="0.35"/>
    <row r="32" spans="1:21" ht="15" customHeight="1" x14ac:dyDescent="0.35">
      <c r="L32" s="1" t="s">
        <v>16</v>
      </c>
      <c r="M32" s="1" t="s">
        <v>10</v>
      </c>
      <c r="N32" s="1" t="s">
        <v>11</v>
      </c>
      <c r="O32" s="1" t="s">
        <v>12</v>
      </c>
      <c r="P32" s="1" t="s">
        <v>13</v>
      </c>
      <c r="Q32" s="1" t="s">
        <v>46</v>
      </c>
      <c r="R32" s="1" t="s">
        <v>9</v>
      </c>
      <c r="T32" s="1" t="s">
        <v>43</v>
      </c>
      <c r="U32" s="1" t="s">
        <v>18</v>
      </c>
    </row>
    <row r="33" spans="11:21" ht="15" customHeight="1" x14ac:dyDescent="0.35">
      <c r="L33" s="4" t="s">
        <v>42</v>
      </c>
      <c r="M33" s="21">
        <f>SUM(M19:M30)*3*8</f>
        <v>51.839999999999989</v>
      </c>
      <c r="N33" s="21">
        <f t="shared" ref="N33:R33" si="6">SUM(N19:N30)*3*8</f>
        <v>51.839999999999989</v>
      </c>
      <c r="O33" s="21">
        <f t="shared" si="6"/>
        <v>51.839999999999989</v>
      </c>
      <c r="P33" s="21">
        <f t="shared" si="6"/>
        <v>51.839999999999989</v>
      </c>
      <c r="Q33" s="21">
        <f t="shared" si="6"/>
        <v>51.839999999999989</v>
      </c>
      <c r="R33" s="21">
        <f t="shared" si="6"/>
        <v>51.839999999999989</v>
      </c>
      <c r="T33" s="43">
        <f>SUM(T19:T30)</f>
        <v>18.947519999999994</v>
      </c>
      <c r="U33" s="43">
        <f>SUM(U19:U30)</f>
        <v>292.09247999999991</v>
      </c>
    </row>
    <row r="34" spans="11:21" ht="15" customHeight="1" x14ac:dyDescent="0.35">
      <c r="L34" s="49" t="s">
        <v>8</v>
      </c>
      <c r="M34" s="19">
        <f>M33+1</f>
        <v>52.839999999999989</v>
      </c>
      <c r="N34" s="19">
        <f t="shared" ref="N34:R34" si="7">N33+1</f>
        <v>52.839999999999989</v>
      </c>
      <c r="O34" s="19">
        <f t="shared" si="7"/>
        <v>52.839999999999989</v>
      </c>
      <c r="P34" s="19">
        <f t="shared" si="7"/>
        <v>52.839999999999989</v>
      </c>
      <c r="Q34" s="19">
        <f t="shared" si="7"/>
        <v>52.839999999999989</v>
      </c>
      <c r="R34" s="19">
        <f t="shared" si="7"/>
        <v>52.839999999999989</v>
      </c>
    </row>
    <row r="35" spans="11:21" ht="15" customHeight="1" x14ac:dyDescent="0.35"/>
    <row r="36" spans="11:21" ht="15" customHeight="1" x14ac:dyDescent="0.35"/>
    <row r="37" spans="11:21" ht="15" customHeight="1" x14ac:dyDescent="0.35">
      <c r="L37" s="1" t="s">
        <v>0</v>
      </c>
      <c r="M37" s="1" t="s">
        <v>10</v>
      </c>
      <c r="N37" s="1" t="s">
        <v>11</v>
      </c>
      <c r="O37" s="1" t="s">
        <v>12</v>
      </c>
      <c r="P37" s="1" t="s">
        <v>13</v>
      </c>
      <c r="Q37" s="1" t="s">
        <v>46</v>
      </c>
      <c r="R37" s="1" t="s">
        <v>9</v>
      </c>
    </row>
    <row r="38" spans="11:21" ht="15" customHeight="1" x14ac:dyDescent="0.35">
      <c r="K38" s="60" t="s">
        <v>7</v>
      </c>
      <c r="L38" s="20" t="s">
        <v>49</v>
      </c>
      <c r="M38" s="21">
        <v>0.02</v>
      </c>
      <c r="N38" s="21">
        <v>0.02</v>
      </c>
      <c r="O38" s="21">
        <v>0.02</v>
      </c>
      <c r="P38" s="21">
        <v>0.02</v>
      </c>
      <c r="Q38" s="21">
        <v>0.02</v>
      </c>
      <c r="R38" s="21">
        <v>0.02</v>
      </c>
    </row>
    <row r="39" spans="11:21" ht="15" customHeight="1" x14ac:dyDescent="0.35">
      <c r="K39" s="60"/>
      <c r="L39" s="20" t="s">
        <v>31</v>
      </c>
      <c r="M39" s="21">
        <v>0.02</v>
      </c>
      <c r="N39" s="21">
        <v>0.02</v>
      </c>
      <c r="O39" s="21">
        <v>0.02</v>
      </c>
      <c r="P39" s="21">
        <v>0.02</v>
      </c>
      <c r="Q39" s="21">
        <v>0.02</v>
      </c>
      <c r="R39" s="21">
        <v>0.02</v>
      </c>
    </row>
    <row r="40" spans="11:21" ht="15" customHeight="1" x14ac:dyDescent="0.35">
      <c r="K40" s="60"/>
      <c r="L40" s="20" t="s">
        <v>32</v>
      </c>
      <c r="M40" s="21">
        <v>0.02</v>
      </c>
      <c r="N40" s="21">
        <v>0.02</v>
      </c>
      <c r="O40" s="21">
        <v>0.02</v>
      </c>
      <c r="P40" s="21">
        <v>0.02</v>
      </c>
      <c r="Q40" s="21">
        <v>0.02</v>
      </c>
      <c r="R40" s="21">
        <v>0.02</v>
      </c>
    </row>
    <row r="41" spans="11:21" ht="15" customHeight="1" x14ac:dyDescent="0.35">
      <c r="K41" s="60"/>
      <c r="L41" s="20" t="s">
        <v>47</v>
      </c>
      <c r="M41" s="21">
        <v>0.02</v>
      </c>
      <c r="N41" s="21">
        <v>0.02</v>
      </c>
      <c r="O41" s="21">
        <v>0.02</v>
      </c>
      <c r="P41" s="21">
        <v>0.02</v>
      </c>
      <c r="Q41" s="21">
        <v>0.02</v>
      </c>
      <c r="R41" s="21">
        <v>0.02</v>
      </c>
      <c r="T41" s="28"/>
    </row>
    <row r="42" spans="11:21" ht="15" customHeight="1" x14ac:dyDescent="0.35">
      <c r="K42" s="60"/>
      <c r="L42" s="20" t="s">
        <v>53</v>
      </c>
      <c r="M42" s="21">
        <v>0.02</v>
      </c>
      <c r="N42" s="21">
        <v>0.02</v>
      </c>
      <c r="O42" s="21">
        <v>0.02</v>
      </c>
      <c r="P42" s="21">
        <v>0.02</v>
      </c>
      <c r="Q42" s="21">
        <v>0.02</v>
      </c>
      <c r="R42" s="21">
        <v>0.02</v>
      </c>
    </row>
    <row r="43" spans="11:21" ht="15" x14ac:dyDescent="0.35">
      <c r="K43" s="60"/>
      <c r="L43" s="20" t="s">
        <v>36</v>
      </c>
      <c r="M43" s="21">
        <v>0.02</v>
      </c>
      <c r="N43" s="21">
        <v>0.02</v>
      </c>
      <c r="O43" s="21">
        <v>0.02</v>
      </c>
      <c r="P43" s="21">
        <v>0.02</v>
      </c>
      <c r="Q43" s="21">
        <v>0.02</v>
      </c>
      <c r="R43" s="21">
        <v>0.02</v>
      </c>
    </row>
    <row r="44" spans="11:21" ht="15" x14ac:dyDescent="0.35">
      <c r="K44" s="60"/>
      <c r="L44" s="20" t="s">
        <v>54</v>
      </c>
      <c r="M44" s="21">
        <v>0.02</v>
      </c>
      <c r="N44" s="21">
        <v>0.02</v>
      </c>
      <c r="O44" s="21">
        <v>0.02</v>
      </c>
      <c r="P44" s="21">
        <v>0.02</v>
      </c>
      <c r="Q44" s="21">
        <v>0.02</v>
      </c>
      <c r="R44" s="21">
        <v>0.02</v>
      </c>
    </row>
    <row r="45" spans="11:21" ht="15" x14ac:dyDescent="0.35">
      <c r="K45" s="60"/>
      <c r="L45" s="20" t="s">
        <v>55</v>
      </c>
      <c r="M45" s="21">
        <v>0.02</v>
      </c>
      <c r="N45" s="21">
        <v>0.02</v>
      </c>
      <c r="O45" s="21">
        <v>0.02</v>
      </c>
      <c r="P45" s="21">
        <v>0.02</v>
      </c>
      <c r="Q45" s="21">
        <v>0.02</v>
      </c>
      <c r="R45" s="21">
        <v>0.02</v>
      </c>
    </row>
    <row r="46" spans="11:21" ht="15" x14ac:dyDescent="0.35">
      <c r="K46" s="60"/>
      <c r="L46" s="20" t="s">
        <v>56</v>
      </c>
      <c r="M46" s="21">
        <v>0.02</v>
      </c>
      <c r="N46" s="21">
        <v>0.02</v>
      </c>
      <c r="O46" s="21">
        <v>0.02</v>
      </c>
      <c r="P46" s="21">
        <v>0.02</v>
      </c>
      <c r="Q46" s="21">
        <v>0.02</v>
      </c>
      <c r="R46" s="21">
        <v>0.02</v>
      </c>
    </row>
    <row r="47" spans="11:21" ht="15" x14ac:dyDescent="0.35">
      <c r="K47" s="60"/>
      <c r="L47" s="20" t="s">
        <v>57</v>
      </c>
      <c r="M47" s="21">
        <v>0.02</v>
      </c>
      <c r="N47" s="21">
        <v>0.02</v>
      </c>
      <c r="O47" s="21">
        <v>0.02</v>
      </c>
      <c r="P47" s="21">
        <v>0.02</v>
      </c>
      <c r="Q47" s="21">
        <v>0.02</v>
      </c>
      <c r="R47" s="21">
        <v>0.02</v>
      </c>
    </row>
    <row r="48" spans="11:21" ht="15" x14ac:dyDescent="0.35">
      <c r="K48" s="60"/>
      <c r="L48" s="20" t="s">
        <v>58</v>
      </c>
      <c r="M48" s="21">
        <v>0.02</v>
      </c>
      <c r="N48" s="21">
        <v>0.02</v>
      </c>
      <c r="O48" s="21">
        <v>0.02</v>
      </c>
      <c r="P48" s="21">
        <v>0.02</v>
      </c>
      <c r="Q48" s="21">
        <v>0.02</v>
      </c>
      <c r="R48" s="21">
        <v>0.02</v>
      </c>
    </row>
    <row r="49" spans="11:18" ht="15" x14ac:dyDescent="0.35">
      <c r="K49" s="60"/>
      <c r="L49" s="20" t="s">
        <v>59</v>
      </c>
      <c r="M49" s="21">
        <v>0.02</v>
      </c>
      <c r="N49" s="21">
        <v>0.02</v>
      </c>
      <c r="O49" s="21">
        <v>0.02</v>
      </c>
      <c r="P49" s="21">
        <v>0.02</v>
      </c>
      <c r="Q49" s="21">
        <v>0.02</v>
      </c>
      <c r="R49" s="21">
        <v>0.02</v>
      </c>
    </row>
    <row r="51" spans="11:18" x14ac:dyDescent="0.35">
      <c r="L51" s="1" t="s">
        <v>0</v>
      </c>
      <c r="M51" s="1" t="s">
        <v>10</v>
      </c>
      <c r="N51" s="1" t="s">
        <v>11</v>
      </c>
      <c r="O51" s="1" t="s">
        <v>12</v>
      </c>
      <c r="P51" s="1" t="s">
        <v>13</v>
      </c>
      <c r="Q51" s="1" t="s">
        <v>46</v>
      </c>
      <c r="R51" s="1" t="s">
        <v>9</v>
      </c>
    </row>
    <row r="52" spans="11:18" ht="15" x14ac:dyDescent="0.35">
      <c r="L52" s="4" t="s">
        <v>42</v>
      </c>
      <c r="M52" s="21">
        <f>SUM(M38:M49)*3*8</f>
        <v>5.7599999999999989</v>
      </c>
      <c r="N52" s="21">
        <f t="shared" ref="N52:R52" si="8">SUM(N38:N49)*3*8</f>
        <v>5.7599999999999989</v>
      </c>
      <c r="O52" s="21">
        <f t="shared" si="8"/>
        <v>5.7599999999999989</v>
      </c>
      <c r="P52" s="21">
        <f t="shared" si="8"/>
        <v>5.7599999999999989</v>
      </c>
      <c r="Q52" s="21">
        <f t="shared" si="8"/>
        <v>5.7599999999999989</v>
      </c>
      <c r="R52" s="21">
        <f t="shared" si="8"/>
        <v>5.7599999999999989</v>
      </c>
    </row>
    <row r="53" spans="11:18" ht="15" x14ac:dyDescent="0.35">
      <c r="L53" s="49" t="s">
        <v>8</v>
      </c>
      <c r="M53" s="19">
        <f>M52+1</f>
        <v>6.7599999999999989</v>
      </c>
      <c r="N53" s="19">
        <f t="shared" ref="N53:R53" si="9">N52+1</f>
        <v>6.7599999999999989</v>
      </c>
      <c r="O53" s="19">
        <f t="shared" si="9"/>
        <v>6.7599999999999989</v>
      </c>
      <c r="P53" s="19">
        <f t="shared" si="9"/>
        <v>6.7599999999999989</v>
      </c>
      <c r="Q53" s="19">
        <f t="shared" si="9"/>
        <v>6.7599999999999989</v>
      </c>
      <c r="R53" s="19">
        <f t="shared" si="9"/>
        <v>6.7599999999999989</v>
      </c>
    </row>
  </sheetData>
  <mergeCells count="6">
    <mergeCell ref="K38:K49"/>
    <mergeCell ref="K19:K30"/>
    <mergeCell ref="A2:A7"/>
    <mergeCell ref="A10:A15"/>
    <mergeCell ref="L4:L15"/>
    <mergeCell ref="K2:K1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1"/>
  <sheetViews>
    <sheetView workbookViewId="0"/>
  </sheetViews>
  <sheetFormatPr defaultRowHeight="14.5" x14ac:dyDescent="0.35"/>
  <cols>
    <col min="1" max="1" width="4.7265625" customWidth="1"/>
    <col min="2" max="2" width="15.7265625" customWidth="1"/>
    <col min="3" max="9" width="8.7265625" customWidth="1"/>
    <col min="10" max="11" width="4.7265625" customWidth="1"/>
    <col min="12" max="12" width="15.7265625" customWidth="1"/>
    <col min="13" max="21" width="8.7265625" customWidth="1"/>
  </cols>
  <sheetData>
    <row r="1" spans="1:21" ht="15" customHeight="1" x14ac:dyDescent="0.35">
      <c r="A1" s="2"/>
      <c r="B1" s="1" t="s">
        <v>0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46</v>
      </c>
      <c r="H1" s="1" t="s">
        <v>9</v>
      </c>
      <c r="I1" s="2"/>
      <c r="J1" s="2"/>
      <c r="K1" s="2"/>
      <c r="L1" s="1" t="s">
        <v>16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46</v>
      </c>
      <c r="R1" s="1" t="s">
        <v>9</v>
      </c>
      <c r="S1" s="2"/>
      <c r="T1" s="25"/>
      <c r="U1" s="25"/>
    </row>
    <row r="2" spans="1:21" ht="15" customHeight="1" x14ac:dyDescent="0.35">
      <c r="A2" s="60" t="s">
        <v>6</v>
      </c>
      <c r="B2" s="51" t="s">
        <v>2</v>
      </c>
      <c r="C2" s="13">
        <v>1.7012520000000002</v>
      </c>
      <c r="D2" s="13">
        <v>1.73376</v>
      </c>
      <c r="E2" s="13">
        <v>2.1563639999999999</v>
      </c>
      <c r="F2" s="13">
        <v>2.7740160000000005</v>
      </c>
      <c r="G2" s="13">
        <v>3.0449160000000002</v>
      </c>
      <c r="H2" s="13">
        <v>2.9907360000000005</v>
      </c>
      <c r="I2" s="2"/>
      <c r="J2" s="2"/>
      <c r="K2" s="53" t="s">
        <v>1</v>
      </c>
      <c r="L2" s="51" t="s">
        <v>2</v>
      </c>
      <c r="M2" s="16">
        <v>50</v>
      </c>
      <c r="N2" s="16">
        <v>50</v>
      </c>
      <c r="O2" s="16">
        <v>50</v>
      </c>
      <c r="P2" s="16">
        <v>50</v>
      </c>
      <c r="Q2" s="16">
        <v>50</v>
      </c>
      <c r="R2" s="16">
        <v>50</v>
      </c>
      <c r="S2" s="2"/>
      <c r="T2" s="30"/>
      <c r="U2" s="30"/>
    </row>
    <row r="3" spans="1:21" ht="15" customHeight="1" x14ac:dyDescent="0.35">
      <c r="A3" s="60"/>
      <c r="B3" s="51" t="s">
        <v>3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2"/>
      <c r="J3" s="2"/>
      <c r="K3" s="54"/>
      <c r="L3" s="51" t="s">
        <v>3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2"/>
      <c r="T3" s="30"/>
      <c r="U3" s="30"/>
    </row>
    <row r="4" spans="1:21" ht="15" customHeight="1" x14ac:dyDescent="0.35">
      <c r="A4" s="60"/>
      <c r="B4" s="51" t="s">
        <v>19</v>
      </c>
      <c r="C4" s="3">
        <v>0.5</v>
      </c>
      <c r="D4" s="3">
        <v>0.5</v>
      </c>
      <c r="E4" s="3">
        <v>0.5</v>
      </c>
      <c r="F4" s="3">
        <v>0.5</v>
      </c>
      <c r="G4" s="3">
        <v>0.5</v>
      </c>
      <c r="H4" s="3">
        <v>0.5</v>
      </c>
      <c r="I4" s="2"/>
      <c r="J4" s="2"/>
      <c r="K4" s="54"/>
      <c r="L4" s="57" t="s">
        <v>4</v>
      </c>
      <c r="M4" s="16">
        <v>30</v>
      </c>
      <c r="N4" s="16">
        <v>30</v>
      </c>
      <c r="O4" s="16">
        <v>30</v>
      </c>
      <c r="P4" s="16">
        <v>30</v>
      </c>
      <c r="Q4" s="16">
        <v>30</v>
      </c>
      <c r="R4" s="16">
        <v>30</v>
      </c>
      <c r="S4" s="2"/>
      <c r="T4" s="30"/>
      <c r="U4" s="30"/>
    </row>
    <row r="5" spans="1:21" ht="15" customHeight="1" x14ac:dyDescent="0.35">
      <c r="A5" s="60"/>
      <c r="B5" s="51" t="s">
        <v>20</v>
      </c>
      <c r="C5" s="14">
        <f t="shared" ref="C5:H5" si="0">((C4*C$3)/C$2)</f>
        <v>0.29390119747103893</v>
      </c>
      <c r="D5" s="14">
        <f t="shared" si="0"/>
        <v>0.28839055001845698</v>
      </c>
      <c r="E5" s="14">
        <f t="shared" si="0"/>
        <v>0.23187179900981467</v>
      </c>
      <c r="F5" s="14">
        <f t="shared" si="0"/>
        <v>0.18024409376153558</v>
      </c>
      <c r="G5" s="14">
        <f>((G4*G$3)/G$2)</f>
        <v>0.16420814235926376</v>
      </c>
      <c r="H5" s="14">
        <f t="shared" si="0"/>
        <v>0.16718292754693156</v>
      </c>
      <c r="I5" s="2"/>
      <c r="J5" s="2"/>
      <c r="K5" s="54"/>
      <c r="L5" s="58"/>
      <c r="M5" s="15">
        <v>20</v>
      </c>
      <c r="N5" s="15">
        <v>20</v>
      </c>
      <c r="O5" s="15">
        <v>20</v>
      </c>
      <c r="P5" s="15">
        <v>20</v>
      </c>
      <c r="Q5" s="15">
        <v>20</v>
      </c>
      <c r="R5" s="15">
        <v>20</v>
      </c>
      <c r="S5" s="2"/>
      <c r="T5" s="30"/>
      <c r="U5" s="30"/>
    </row>
    <row r="6" spans="1:21" ht="15" customHeight="1" x14ac:dyDescent="0.35">
      <c r="A6" s="60"/>
      <c r="B6" s="51" t="s">
        <v>63</v>
      </c>
      <c r="C6" s="14">
        <f>(((C4*C$3)/C$2))*5</f>
        <v>1.4695059873551948</v>
      </c>
      <c r="D6" s="14">
        <f t="shared" ref="D6:H6" si="1">(((D4*D$3)/D$2))*5</f>
        <v>1.4419527500922849</v>
      </c>
      <c r="E6" s="14">
        <f t="shared" si="1"/>
        <v>1.1593589950490732</v>
      </c>
      <c r="F6" s="14">
        <f t="shared" si="1"/>
        <v>0.90122046880767792</v>
      </c>
      <c r="G6" s="14">
        <f t="shared" si="1"/>
        <v>0.82104071179631877</v>
      </c>
      <c r="H6" s="14">
        <f t="shared" si="1"/>
        <v>0.83591463773465779</v>
      </c>
      <c r="I6" s="2"/>
      <c r="J6" s="2"/>
      <c r="K6" s="54"/>
      <c r="L6" s="58"/>
      <c r="M6" s="16">
        <v>10</v>
      </c>
      <c r="N6" s="16">
        <v>10</v>
      </c>
      <c r="O6" s="16">
        <v>10</v>
      </c>
      <c r="P6" s="16">
        <v>10</v>
      </c>
      <c r="Q6" s="16">
        <v>10</v>
      </c>
      <c r="R6" s="16">
        <v>10</v>
      </c>
      <c r="S6" s="2"/>
      <c r="T6" s="30"/>
      <c r="U6" s="30"/>
    </row>
    <row r="7" spans="1:21" ht="15" customHeight="1" x14ac:dyDescent="0.35">
      <c r="A7" s="60"/>
      <c r="B7" s="51" t="s">
        <v>5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2"/>
      <c r="J7" s="2"/>
      <c r="K7" s="54"/>
      <c r="L7" s="58"/>
      <c r="M7" s="16">
        <v>8</v>
      </c>
      <c r="N7" s="16">
        <v>8</v>
      </c>
      <c r="O7" s="16">
        <v>8</v>
      </c>
      <c r="P7" s="16">
        <v>8</v>
      </c>
      <c r="Q7" s="16">
        <v>8</v>
      </c>
      <c r="R7" s="16">
        <v>8</v>
      </c>
      <c r="S7" s="2"/>
      <c r="T7" s="30"/>
      <c r="U7" s="30"/>
    </row>
    <row r="8" spans="1:21" ht="1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54"/>
      <c r="L8" s="58"/>
      <c r="M8" s="16">
        <v>6</v>
      </c>
      <c r="N8" s="16">
        <v>6</v>
      </c>
      <c r="O8" s="16">
        <v>6</v>
      </c>
      <c r="P8" s="16">
        <v>6</v>
      </c>
      <c r="Q8" s="16">
        <v>6</v>
      </c>
      <c r="R8" s="16">
        <v>6</v>
      </c>
      <c r="S8" s="2"/>
      <c r="T8" s="30"/>
      <c r="U8" s="30"/>
    </row>
    <row r="9" spans="1:21" ht="15" customHeight="1" x14ac:dyDescent="0.35">
      <c r="A9" s="2"/>
      <c r="B9" s="1" t="s">
        <v>0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46</v>
      </c>
      <c r="H9" s="1" t="s">
        <v>9</v>
      </c>
      <c r="I9" s="2"/>
      <c r="J9" s="2"/>
      <c r="K9" s="54"/>
      <c r="L9" s="58"/>
      <c r="M9" s="16">
        <v>4</v>
      </c>
      <c r="N9" s="16">
        <v>4</v>
      </c>
      <c r="O9" s="16">
        <v>4</v>
      </c>
      <c r="P9" s="16">
        <v>4</v>
      </c>
      <c r="Q9" s="16">
        <v>4</v>
      </c>
      <c r="R9" s="16">
        <v>4</v>
      </c>
      <c r="S9" s="2"/>
      <c r="T9" s="30"/>
      <c r="U9" s="30"/>
    </row>
    <row r="10" spans="1:21" ht="15" customHeight="1" x14ac:dyDescent="0.35">
      <c r="A10" s="53" t="s">
        <v>21</v>
      </c>
      <c r="B10" s="4" t="s">
        <v>2</v>
      </c>
      <c r="C10" s="9">
        <v>1.343664</v>
      </c>
      <c r="D10" s="9">
        <v>1.3870080000000002</v>
      </c>
      <c r="E10" s="9">
        <v>0.79102800000000006</v>
      </c>
      <c r="F10" s="9">
        <v>1.527876</v>
      </c>
      <c r="G10" s="9">
        <v>0.74768400000000013</v>
      </c>
      <c r="H10" s="9">
        <v>1.4953680000000003</v>
      </c>
      <c r="I10" s="2"/>
      <c r="J10" s="2"/>
      <c r="K10" s="54"/>
      <c r="L10" s="58"/>
      <c r="M10" s="16">
        <v>2</v>
      </c>
      <c r="N10" s="16">
        <v>2</v>
      </c>
      <c r="O10" s="16">
        <v>2</v>
      </c>
      <c r="P10" s="16">
        <v>2</v>
      </c>
      <c r="Q10" s="16">
        <v>2</v>
      </c>
      <c r="R10" s="16">
        <v>2</v>
      </c>
      <c r="S10" s="2"/>
      <c r="T10" s="30"/>
      <c r="U10" s="30"/>
    </row>
    <row r="11" spans="1:21" ht="15" customHeight="1" x14ac:dyDescent="0.35">
      <c r="A11" s="54"/>
      <c r="B11" s="4" t="s">
        <v>3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2"/>
      <c r="J11" s="2"/>
      <c r="K11" s="55"/>
      <c r="L11" s="59"/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S11" s="2"/>
      <c r="T11" s="30"/>
      <c r="U11" s="30"/>
    </row>
    <row r="12" spans="1:21" ht="15" customHeight="1" x14ac:dyDescent="0.35">
      <c r="A12" s="54"/>
      <c r="B12" s="4" t="s">
        <v>14</v>
      </c>
      <c r="C12" s="6">
        <v>0.1</v>
      </c>
      <c r="D12" s="6">
        <v>0.1</v>
      </c>
      <c r="E12" s="6">
        <v>0.1</v>
      </c>
      <c r="F12" s="6">
        <v>0.1</v>
      </c>
      <c r="G12" s="6">
        <v>0.1</v>
      </c>
      <c r="H12" s="6">
        <v>0.1</v>
      </c>
      <c r="I12" s="2"/>
      <c r="J12" s="2"/>
    </row>
    <row r="13" spans="1:21" ht="15" customHeight="1" x14ac:dyDescent="0.35">
      <c r="A13" s="54"/>
      <c r="B13" s="4" t="s">
        <v>15</v>
      </c>
      <c r="C13" s="10">
        <f>((C12*C$11)/C$10)</f>
        <v>7.4423367746698582E-2</v>
      </c>
      <c r="D13" s="10">
        <f t="shared" ref="D13:H13" si="2">((D12*D$11)/D$10)</f>
        <v>7.2097637504614245E-2</v>
      </c>
      <c r="E13" s="10">
        <f t="shared" si="2"/>
        <v>0.12641777535055648</v>
      </c>
      <c r="F13" s="10">
        <f t="shared" si="2"/>
        <v>6.5450337592841301E-2</v>
      </c>
      <c r="G13" s="10">
        <f t="shared" si="2"/>
        <v>0.13374634203754526</v>
      </c>
      <c r="H13" s="10">
        <f t="shared" si="2"/>
        <v>6.6873171018772631E-2</v>
      </c>
      <c r="I13" s="2"/>
      <c r="J13" s="2"/>
    </row>
    <row r="14" spans="1:21" ht="15" customHeight="1" x14ac:dyDescent="0.35">
      <c r="A14" s="54"/>
      <c r="B14" s="4" t="s">
        <v>64</v>
      </c>
      <c r="C14" s="10">
        <f>(((C12*C$11)/C$10))*5</f>
        <v>0.37211683873349288</v>
      </c>
      <c r="D14" s="10">
        <f t="shared" ref="D14:H14" si="3">(((D12*D$11)/D$10))*5</f>
        <v>0.36048818752307121</v>
      </c>
      <c r="E14" s="10">
        <f t="shared" si="3"/>
        <v>0.63208887675278236</v>
      </c>
      <c r="F14" s="10">
        <f t="shared" si="3"/>
        <v>0.32725168796420651</v>
      </c>
      <c r="G14" s="10">
        <f t="shared" si="3"/>
        <v>0.66873171018772637</v>
      </c>
      <c r="H14" s="10">
        <f t="shared" si="3"/>
        <v>0.33436585509386318</v>
      </c>
      <c r="I14" s="2"/>
      <c r="J14" s="2"/>
      <c r="K14" s="2"/>
      <c r="L14" s="1" t="s">
        <v>16</v>
      </c>
      <c r="M14" s="1" t="s">
        <v>10</v>
      </c>
      <c r="N14" s="1" t="s">
        <v>11</v>
      </c>
      <c r="O14" s="1" t="s">
        <v>12</v>
      </c>
      <c r="P14" s="1" t="s">
        <v>13</v>
      </c>
      <c r="Q14" s="1" t="s">
        <v>46</v>
      </c>
      <c r="R14" s="1" t="s">
        <v>9</v>
      </c>
      <c r="S14" s="2"/>
      <c r="T14" s="1" t="s">
        <v>62</v>
      </c>
      <c r="U14" s="1" t="s">
        <v>18</v>
      </c>
    </row>
    <row r="15" spans="1:21" ht="15" customHeight="1" x14ac:dyDescent="0.35">
      <c r="A15" s="55"/>
      <c r="B15" s="4" t="s">
        <v>5</v>
      </c>
      <c r="C15" s="11">
        <f>5-C14</f>
        <v>4.6278831612665075</v>
      </c>
      <c r="D15" s="11">
        <f t="shared" ref="D15:H15" si="4">5-D14</f>
        <v>4.639511812476929</v>
      </c>
      <c r="E15" s="11">
        <f t="shared" si="4"/>
        <v>4.3679111232472181</v>
      </c>
      <c r="F15" s="11">
        <f t="shared" si="4"/>
        <v>4.6727483120357931</v>
      </c>
      <c r="G15" s="11">
        <f t="shared" si="4"/>
        <v>4.3312682898122734</v>
      </c>
      <c r="H15" s="11">
        <f t="shared" si="4"/>
        <v>4.6656341449061367</v>
      </c>
      <c r="I15" s="2"/>
      <c r="J15" s="2"/>
      <c r="K15" s="53" t="s">
        <v>7</v>
      </c>
      <c r="L15" s="20" t="s">
        <v>53</v>
      </c>
      <c r="M15" s="21">
        <v>0.18</v>
      </c>
      <c r="N15" s="21">
        <v>0.18</v>
      </c>
      <c r="O15" s="21">
        <v>0.18</v>
      </c>
      <c r="P15" s="21">
        <v>0.18</v>
      </c>
      <c r="Q15" s="21">
        <v>0.18</v>
      </c>
      <c r="R15" s="21">
        <v>0.18</v>
      </c>
      <c r="T15" s="17">
        <f>(SUM(M15:R15)*3*10)*30/50</f>
        <v>19.439999999999994</v>
      </c>
      <c r="U15" s="17">
        <f t="shared" ref="U15:U22" si="5">(SUM(M15:R15)*3*10)-T15</f>
        <v>12.959999999999997</v>
      </c>
    </row>
    <row r="16" spans="1:21" ht="1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54"/>
      <c r="L16" s="20" t="s">
        <v>36</v>
      </c>
      <c r="M16" s="21">
        <v>0.18</v>
      </c>
      <c r="N16" s="21">
        <v>0.18</v>
      </c>
      <c r="O16" s="21">
        <v>0.18</v>
      </c>
      <c r="P16" s="21">
        <v>0.18</v>
      </c>
      <c r="Q16" s="21">
        <v>0.18</v>
      </c>
      <c r="R16" s="21">
        <v>0.18</v>
      </c>
      <c r="T16" s="17">
        <f>(SUM(M16:R16)*3*10)*20/50</f>
        <v>12.959999999999996</v>
      </c>
      <c r="U16" s="17">
        <f t="shared" si="5"/>
        <v>19.439999999999998</v>
      </c>
    </row>
    <row r="17" spans="1:21" ht="15" customHeight="1" x14ac:dyDescent="0.35">
      <c r="A17" s="2"/>
      <c r="B17" s="45"/>
      <c r="C17" s="45"/>
      <c r="D17" s="45"/>
      <c r="E17" s="45"/>
      <c r="F17" s="45"/>
      <c r="G17" s="45"/>
      <c r="H17" s="45"/>
      <c r="I17" s="2"/>
      <c r="J17" s="2"/>
      <c r="K17" s="54"/>
      <c r="L17" s="20" t="s">
        <v>54</v>
      </c>
      <c r="M17" s="21">
        <v>0.18</v>
      </c>
      <c r="N17" s="21">
        <v>0.18</v>
      </c>
      <c r="O17" s="21">
        <v>0.18</v>
      </c>
      <c r="P17" s="21">
        <v>0.18</v>
      </c>
      <c r="Q17" s="21">
        <v>0.18</v>
      </c>
      <c r="R17" s="21">
        <v>0.18</v>
      </c>
      <c r="T17" s="17">
        <f>(SUM(M17:R17)*3*10)*10/50</f>
        <v>6.4799999999999978</v>
      </c>
      <c r="U17" s="17">
        <f t="shared" si="5"/>
        <v>25.919999999999995</v>
      </c>
    </row>
    <row r="18" spans="1:21" ht="15" customHeight="1" x14ac:dyDescent="0.35">
      <c r="A18" s="2"/>
      <c r="B18" s="46"/>
      <c r="C18" s="30"/>
      <c r="D18" s="30"/>
      <c r="E18" s="30"/>
      <c r="F18" s="30"/>
      <c r="G18" s="30"/>
      <c r="H18" s="30"/>
      <c r="I18" s="2"/>
      <c r="J18" s="2"/>
      <c r="K18" s="54"/>
      <c r="L18" s="20" t="s">
        <v>55</v>
      </c>
      <c r="M18" s="21">
        <v>0.18</v>
      </c>
      <c r="N18" s="21">
        <v>0.18</v>
      </c>
      <c r="O18" s="21">
        <v>0.18</v>
      </c>
      <c r="P18" s="21">
        <v>0.18</v>
      </c>
      <c r="Q18" s="21">
        <v>0.18</v>
      </c>
      <c r="R18" s="21">
        <v>0.18</v>
      </c>
      <c r="T18" s="17">
        <f>(SUM(M18:R18)*3*10)*8/50</f>
        <v>5.1839999999999984</v>
      </c>
      <c r="U18" s="17">
        <f t="shared" si="5"/>
        <v>27.215999999999994</v>
      </c>
    </row>
    <row r="19" spans="1:21" ht="15" customHeight="1" x14ac:dyDescent="0.35">
      <c r="A19" s="2"/>
      <c r="B19" s="46"/>
      <c r="C19" s="30"/>
      <c r="D19" s="30"/>
      <c r="E19" s="30"/>
      <c r="F19" s="30"/>
      <c r="G19" s="30"/>
      <c r="H19" s="30"/>
      <c r="I19" s="2"/>
      <c r="J19" s="2"/>
      <c r="K19" s="54"/>
      <c r="L19" s="20" t="s">
        <v>56</v>
      </c>
      <c r="M19" s="21">
        <v>0.18</v>
      </c>
      <c r="N19" s="21">
        <v>0.18</v>
      </c>
      <c r="O19" s="21">
        <v>0.18</v>
      </c>
      <c r="P19" s="21">
        <v>0.18</v>
      </c>
      <c r="Q19" s="21">
        <v>0.18</v>
      </c>
      <c r="R19" s="21">
        <v>0.18</v>
      </c>
      <c r="T19" s="17">
        <f>(SUM(M19:R19)*3*10)*6/50</f>
        <v>3.887999999999999</v>
      </c>
      <c r="U19" s="17">
        <f t="shared" si="5"/>
        <v>28.511999999999993</v>
      </c>
    </row>
    <row r="20" spans="1:21" ht="15" customHeight="1" x14ac:dyDescent="0.35">
      <c r="A20" s="2"/>
      <c r="B20" s="46"/>
      <c r="C20" s="29"/>
      <c r="D20" s="29"/>
      <c r="E20" s="29"/>
      <c r="F20" s="29"/>
      <c r="G20" s="29"/>
      <c r="H20" s="29"/>
      <c r="I20" s="2"/>
      <c r="J20" s="2"/>
      <c r="K20" s="54"/>
      <c r="L20" s="20" t="s">
        <v>57</v>
      </c>
      <c r="M20" s="21">
        <v>0.18</v>
      </c>
      <c r="N20" s="21">
        <v>0.18</v>
      </c>
      <c r="O20" s="21">
        <v>0.18</v>
      </c>
      <c r="P20" s="21">
        <v>0.18</v>
      </c>
      <c r="Q20" s="21">
        <v>0.18</v>
      </c>
      <c r="R20" s="21">
        <v>0.18</v>
      </c>
      <c r="T20" s="17">
        <f>(SUM(M20:R20)*3*10)*4/50</f>
        <v>2.5919999999999992</v>
      </c>
      <c r="U20" s="17">
        <f t="shared" si="5"/>
        <v>29.807999999999993</v>
      </c>
    </row>
    <row r="21" spans="1:21" ht="15" customHeight="1" x14ac:dyDescent="0.35">
      <c r="A21" s="2"/>
      <c r="I21" s="2"/>
      <c r="J21" s="2"/>
      <c r="K21" s="54"/>
      <c r="L21" s="20" t="s">
        <v>58</v>
      </c>
      <c r="M21" s="21">
        <v>0.18</v>
      </c>
      <c r="N21" s="21">
        <v>0.18</v>
      </c>
      <c r="O21" s="21">
        <v>0.18</v>
      </c>
      <c r="P21" s="21">
        <v>0.18</v>
      </c>
      <c r="Q21" s="21">
        <v>0.18</v>
      </c>
      <c r="R21" s="21">
        <v>0.18</v>
      </c>
      <c r="T21" s="17">
        <f>(SUM(M21:R21)*3*10)*2/50</f>
        <v>1.2959999999999996</v>
      </c>
      <c r="U21" s="17">
        <f t="shared" si="5"/>
        <v>31.103999999999992</v>
      </c>
    </row>
    <row r="22" spans="1:21" ht="1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55"/>
      <c r="L22" s="20" t="s">
        <v>59</v>
      </c>
      <c r="M22" s="21">
        <v>0.18</v>
      </c>
      <c r="N22" s="21">
        <v>0.18</v>
      </c>
      <c r="O22" s="21">
        <v>0.18</v>
      </c>
      <c r="P22" s="21">
        <v>0.18</v>
      </c>
      <c r="Q22" s="21">
        <v>0.18</v>
      </c>
      <c r="R22" s="21">
        <v>0.18</v>
      </c>
      <c r="T22" s="17">
        <f>(SUM(M22:R22)*3*10)*1/50</f>
        <v>0.6479999999999998</v>
      </c>
      <c r="U22" s="17">
        <f t="shared" si="5"/>
        <v>31.751999999999992</v>
      </c>
    </row>
    <row r="23" spans="1:21" ht="1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21" ht="1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L24" s="1" t="s">
        <v>16</v>
      </c>
      <c r="M24" s="1" t="s">
        <v>10</v>
      </c>
      <c r="N24" s="1" t="s">
        <v>11</v>
      </c>
      <c r="O24" s="1" t="s">
        <v>12</v>
      </c>
      <c r="P24" s="1" t="s">
        <v>13</v>
      </c>
      <c r="Q24" s="1" t="s">
        <v>46</v>
      </c>
      <c r="R24" s="1" t="s">
        <v>9</v>
      </c>
      <c r="T24" s="1" t="s">
        <v>62</v>
      </c>
      <c r="U24" s="1" t="s">
        <v>18</v>
      </c>
    </row>
    <row r="25" spans="1:21" ht="1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L25" s="4" t="s">
        <v>42</v>
      </c>
      <c r="M25" s="21">
        <f t="shared" ref="M25:R25" si="6">SUM(M15:M22)*3*8</f>
        <v>34.559999999999995</v>
      </c>
      <c r="N25" s="21">
        <f t="shared" si="6"/>
        <v>34.559999999999995</v>
      </c>
      <c r="O25" s="21">
        <f t="shared" si="6"/>
        <v>34.559999999999995</v>
      </c>
      <c r="P25" s="21">
        <f t="shared" si="6"/>
        <v>34.559999999999995</v>
      </c>
      <c r="Q25" s="21">
        <f t="shared" si="6"/>
        <v>34.559999999999995</v>
      </c>
      <c r="R25" s="21">
        <f t="shared" si="6"/>
        <v>34.559999999999995</v>
      </c>
      <c r="T25" s="43">
        <f>SUM(T15:T22)</f>
        <v>52.487999999999985</v>
      </c>
      <c r="U25" s="43">
        <f>SUM(U15:U22)</f>
        <v>206.71199999999993</v>
      </c>
    </row>
    <row r="26" spans="1:21" ht="15" customHeight="1" x14ac:dyDescent="0.35">
      <c r="L26" s="51" t="s">
        <v>8</v>
      </c>
      <c r="M26" s="19">
        <f>M25+1</f>
        <v>35.559999999999995</v>
      </c>
      <c r="N26" s="19">
        <f t="shared" ref="N26:R26" si="7">N25+1</f>
        <v>35.559999999999995</v>
      </c>
      <c r="O26" s="19">
        <f t="shared" si="7"/>
        <v>35.559999999999995</v>
      </c>
      <c r="P26" s="19">
        <f t="shared" si="7"/>
        <v>35.559999999999995</v>
      </c>
      <c r="Q26" s="19">
        <f t="shared" si="7"/>
        <v>35.559999999999995</v>
      </c>
      <c r="R26" s="19">
        <f t="shared" si="7"/>
        <v>35.559999999999995</v>
      </c>
    </row>
    <row r="27" spans="1:21" ht="15" customHeight="1" x14ac:dyDescent="0.35"/>
    <row r="28" spans="1:21" ht="15" customHeight="1" x14ac:dyDescent="0.35"/>
    <row r="29" spans="1:21" ht="15" customHeight="1" x14ac:dyDescent="0.35">
      <c r="L29" s="1" t="s">
        <v>0</v>
      </c>
      <c r="M29" s="1" t="s">
        <v>10</v>
      </c>
      <c r="N29" s="1" t="s">
        <v>11</v>
      </c>
      <c r="O29" s="1" t="s">
        <v>12</v>
      </c>
      <c r="P29" s="1" t="s">
        <v>13</v>
      </c>
      <c r="Q29" s="1" t="s">
        <v>46</v>
      </c>
      <c r="R29" s="1" t="s">
        <v>9</v>
      </c>
    </row>
    <row r="30" spans="1:21" ht="15" customHeight="1" x14ac:dyDescent="0.35">
      <c r="K30" s="53" t="s">
        <v>7</v>
      </c>
      <c r="L30" s="20" t="s">
        <v>53</v>
      </c>
      <c r="M30" s="21">
        <v>0.02</v>
      </c>
      <c r="N30" s="21">
        <v>0.02</v>
      </c>
      <c r="O30" s="21">
        <v>0.02</v>
      </c>
      <c r="P30" s="21">
        <v>0.02</v>
      </c>
      <c r="Q30" s="21">
        <v>0.02</v>
      </c>
      <c r="R30" s="21">
        <v>0.02</v>
      </c>
    </row>
    <row r="31" spans="1:21" ht="15" customHeight="1" x14ac:dyDescent="0.35">
      <c r="K31" s="54"/>
      <c r="L31" s="20" t="s">
        <v>36</v>
      </c>
      <c r="M31" s="21">
        <v>0.02</v>
      </c>
      <c r="N31" s="21">
        <v>0.02</v>
      </c>
      <c r="O31" s="21">
        <v>0.02</v>
      </c>
      <c r="P31" s="21">
        <v>0.02</v>
      </c>
      <c r="Q31" s="21">
        <v>0.02</v>
      </c>
      <c r="R31" s="21">
        <v>0.02</v>
      </c>
    </row>
    <row r="32" spans="1:21" ht="15" customHeight="1" x14ac:dyDescent="0.35">
      <c r="K32" s="54"/>
      <c r="L32" s="20" t="s">
        <v>54</v>
      </c>
      <c r="M32" s="21">
        <v>0.02</v>
      </c>
      <c r="N32" s="21">
        <v>0.02</v>
      </c>
      <c r="O32" s="21">
        <v>0.02</v>
      </c>
      <c r="P32" s="21">
        <v>0.02</v>
      </c>
      <c r="Q32" s="21">
        <v>0.02</v>
      </c>
      <c r="R32" s="21">
        <v>0.02</v>
      </c>
    </row>
    <row r="33" spans="11:20" ht="15" customHeight="1" x14ac:dyDescent="0.35">
      <c r="K33" s="54"/>
      <c r="L33" s="20" t="s">
        <v>55</v>
      </c>
      <c r="M33" s="21">
        <v>0.02</v>
      </c>
      <c r="N33" s="21">
        <v>0.02</v>
      </c>
      <c r="O33" s="21">
        <v>0.02</v>
      </c>
      <c r="P33" s="21">
        <v>0.02</v>
      </c>
      <c r="Q33" s="21">
        <v>0.02</v>
      </c>
      <c r="R33" s="21">
        <v>0.02</v>
      </c>
    </row>
    <row r="34" spans="11:20" ht="15" customHeight="1" x14ac:dyDescent="0.35">
      <c r="K34" s="54"/>
      <c r="L34" s="20" t="s">
        <v>56</v>
      </c>
      <c r="M34" s="21">
        <v>0.02</v>
      </c>
      <c r="N34" s="21">
        <v>0.02</v>
      </c>
      <c r="O34" s="21">
        <v>0.02</v>
      </c>
      <c r="P34" s="21">
        <v>0.02</v>
      </c>
      <c r="Q34" s="21">
        <v>0.02</v>
      </c>
      <c r="R34" s="21">
        <v>0.02</v>
      </c>
    </row>
    <row r="35" spans="11:20" ht="15" customHeight="1" x14ac:dyDescent="0.35">
      <c r="K35" s="54"/>
      <c r="L35" s="20" t="s">
        <v>57</v>
      </c>
      <c r="M35" s="21">
        <v>0.02</v>
      </c>
      <c r="N35" s="21">
        <v>0.02</v>
      </c>
      <c r="O35" s="21">
        <v>0.02</v>
      </c>
      <c r="P35" s="21">
        <v>0.02</v>
      </c>
      <c r="Q35" s="21">
        <v>0.02</v>
      </c>
      <c r="R35" s="21">
        <v>0.02</v>
      </c>
    </row>
    <row r="36" spans="11:20" ht="15" customHeight="1" x14ac:dyDescent="0.35">
      <c r="K36" s="54"/>
      <c r="L36" s="20" t="s">
        <v>58</v>
      </c>
      <c r="M36" s="21">
        <v>0.02</v>
      </c>
      <c r="N36" s="21">
        <v>0.02</v>
      </c>
      <c r="O36" s="21">
        <v>0.02</v>
      </c>
      <c r="P36" s="21">
        <v>0.02</v>
      </c>
      <c r="Q36" s="21">
        <v>0.02</v>
      </c>
      <c r="R36" s="21">
        <v>0.02</v>
      </c>
    </row>
    <row r="37" spans="11:20" ht="15" customHeight="1" x14ac:dyDescent="0.35">
      <c r="K37" s="55"/>
      <c r="L37" s="20" t="s">
        <v>59</v>
      </c>
      <c r="M37" s="21">
        <v>0.02</v>
      </c>
      <c r="N37" s="21">
        <v>0.02</v>
      </c>
      <c r="O37" s="21">
        <v>0.02</v>
      </c>
      <c r="P37" s="21">
        <v>0.02</v>
      </c>
      <c r="Q37" s="21">
        <v>0.02</v>
      </c>
      <c r="R37" s="21">
        <v>0.02</v>
      </c>
      <c r="T37" s="28"/>
    </row>
    <row r="38" spans="11:20" ht="15" customHeight="1" x14ac:dyDescent="0.35"/>
    <row r="39" spans="11:20" ht="15" customHeight="1" x14ac:dyDescent="0.35">
      <c r="L39" s="1" t="s">
        <v>0</v>
      </c>
      <c r="M39" s="1" t="s">
        <v>10</v>
      </c>
      <c r="N39" s="1" t="s">
        <v>11</v>
      </c>
      <c r="O39" s="1" t="s">
        <v>12</v>
      </c>
      <c r="P39" s="1" t="s">
        <v>13</v>
      </c>
      <c r="Q39" s="1" t="s">
        <v>46</v>
      </c>
      <c r="R39" s="1" t="s">
        <v>9</v>
      </c>
    </row>
    <row r="40" spans="11:20" ht="15" customHeight="1" x14ac:dyDescent="0.35">
      <c r="L40" s="4" t="s">
        <v>42</v>
      </c>
      <c r="M40" s="21">
        <f t="shared" ref="M40:R40" si="8">SUM(M30:M37)*3*8</f>
        <v>3.84</v>
      </c>
      <c r="N40" s="21">
        <f t="shared" si="8"/>
        <v>3.84</v>
      </c>
      <c r="O40" s="21">
        <f t="shared" si="8"/>
        <v>3.84</v>
      </c>
      <c r="P40" s="21">
        <f t="shared" si="8"/>
        <v>3.84</v>
      </c>
      <c r="Q40" s="21">
        <f t="shared" si="8"/>
        <v>3.84</v>
      </c>
      <c r="R40" s="21">
        <f t="shared" si="8"/>
        <v>3.84</v>
      </c>
    </row>
    <row r="41" spans="11:20" ht="15" customHeight="1" x14ac:dyDescent="0.35">
      <c r="L41" s="51" t="s">
        <v>8</v>
      </c>
      <c r="M41" s="19">
        <f>M40+1</f>
        <v>4.84</v>
      </c>
      <c r="N41" s="19">
        <f t="shared" ref="N41:R41" si="9">N40+1</f>
        <v>4.84</v>
      </c>
      <c r="O41" s="19">
        <f t="shared" si="9"/>
        <v>4.84</v>
      </c>
      <c r="P41" s="19">
        <f t="shared" si="9"/>
        <v>4.84</v>
      </c>
      <c r="Q41" s="19">
        <f t="shared" si="9"/>
        <v>4.84</v>
      </c>
      <c r="R41" s="19">
        <f t="shared" si="9"/>
        <v>4.84</v>
      </c>
    </row>
  </sheetData>
  <mergeCells count="6">
    <mergeCell ref="K30:K37"/>
    <mergeCell ref="A2:A7"/>
    <mergeCell ref="K2:K11"/>
    <mergeCell ref="L4:L11"/>
    <mergeCell ref="A10:A15"/>
    <mergeCell ref="K15:K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3"/>
  <sheetViews>
    <sheetView zoomScaleNormal="100" workbookViewId="0"/>
  </sheetViews>
  <sheetFormatPr defaultColWidth="11.453125" defaultRowHeight="14.5" x14ac:dyDescent="0.35"/>
  <cols>
    <col min="1" max="1" width="4.7265625" customWidth="1"/>
    <col min="2" max="2" width="15.7265625" customWidth="1"/>
    <col min="3" max="9" width="8.7265625" customWidth="1"/>
    <col min="10" max="11" width="4.7265625" customWidth="1"/>
    <col min="12" max="12" width="15.7265625" customWidth="1"/>
    <col min="13" max="21" width="8.7265625" customWidth="1"/>
  </cols>
  <sheetData>
    <row r="1" spans="1:21" ht="15" customHeight="1" x14ac:dyDescent="0.35">
      <c r="A1" s="2"/>
      <c r="B1" s="1" t="s">
        <v>0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46</v>
      </c>
      <c r="H1" s="1" t="s">
        <v>9</v>
      </c>
      <c r="I1" s="2"/>
      <c r="J1" s="2"/>
      <c r="K1" s="2"/>
      <c r="L1" s="1" t="s">
        <v>16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46</v>
      </c>
      <c r="R1" s="1" t="s">
        <v>9</v>
      </c>
      <c r="S1" s="2"/>
      <c r="T1" s="25"/>
      <c r="U1" s="25"/>
    </row>
    <row r="2" spans="1:21" ht="15" customHeight="1" x14ac:dyDescent="0.35">
      <c r="A2" s="60" t="s">
        <v>6</v>
      </c>
      <c r="B2" s="50" t="s">
        <v>2</v>
      </c>
      <c r="C2" s="13">
        <v>7.8344280000000008</v>
      </c>
      <c r="D2" s="13">
        <v>6.3173880000000002</v>
      </c>
      <c r="E2" s="13">
        <v>10.370052000000001</v>
      </c>
      <c r="F2" s="13">
        <v>3.8142720000000003</v>
      </c>
      <c r="G2" s="13">
        <v>11.832912</v>
      </c>
      <c r="H2" s="13">
        <v>10.792656000000001</v>
      </c>
      <c r="I2" s="2"/>
      <c r="J2" s="2"/>
      <c r="K2" s="53" t="s">
        <v>1</v>
      </c>
      <c r="L2" s="50" t="s">
        <v>2</v>
      </c>
      <c r="M2" s="16">
        <v>50</v>
      </c>
      <c r="N2" s="16">
        <v>50</v>
      </c>
      <c r="O2" s="16">
        <v>50</v>
      </c>
      <c r="P2" s="16">
        <v>50</v>
      </c>
      <c r="Q2" s="16">
        <v>50</v>
      </c>
      <c r="R2" s="16">
        <v>50</v>
      </c>
      <c r="S2" s="2"/>
      <c r="T2" s="30"/>
      <c r="U2" s="30"/>
    </row>
    <row r="3" spans="1:21" ht="15" customHeight="1" x14ac:dyDescent="0.35">
      <c r="A3" s="60"/>
      <c r="B3" s="50" t="s">
        <v>3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2"/>
      <c r="J3" s="2"/>
      <c r="K3" s="54"/>
      <c r="L3" s="50" t="s">
        <v>3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2"/>
      <c r="T3" s="30"/>
      <c r="U3" s="30"/>
    </row>
    <row r="4" spans="1:21" ht="15" customHeight="1" x14ac:dyDescent="0.35">
      <c r="A4" s="60"/>
      <c r="B4" s="50" t="s">
        <v>19</v>
      </c>
      <c r="C4" s="3">
        <v>2</v>
      </c>
      <c r="D4" s="3">
        <v>2</v>
      </c>
      <c r="E4" s="3">
        <v>2</v>
      </c>
      <c r="F4" s="3">
        <v>2</v>
      </c>
      <c r="G4" s="3">
        <v>2</v>
      </c>
      <c r="H4" s="3">
        <v>2</v>
      </c>
      <c r="I4" s="2"/>
      <c r="J4" s="2"/>
      <c r="K4" s="54"/>
      <c r="L4" s="57" t="s">
        <v>4</v>
      </c>
      <c r="M4" s="16">
        <v>50</v>
      </c>
      <c r="N4" s="16">
        <v>50</v>
      </c>
      <c r="O4" s="16">
        <v>50</v>
      </c>
      <c r="P4" s="16">
        <v>50</v>
      </c>
      <c r="Q4" s="16">
        <v>50</v>
      </c>
      <c r="R4" s="16">
        <v>50</v>
      </c>
      <c r="S4" s="2"/>
      <c r="T4" s="30"/>
      <c r="U4" s="30"/>
    </row>
    <row r="5" spans="1:21" ht="15" customHeight="1" x14ac:dyDescent="0.35">
      <c r="A5" s="60"/>
      <c r="B5" s="50" t="s">
        <v>20</v>
      </c>
      <c r="C5" s="14">
        <f t="shared" ref="C5:H5" si="0">((C4*C$3)/C$2)</f>
        <v>0.25528347442850963</v>
      </c>
      <c r="D5" s="14">
        <f t="shared" si="0"/>
        <v>0.31658653861374353</v>
      </c>
      <c r="E5" s="14">
        <f t="shared" si="0"/>
        <v>0.19286306375320006</v>
      </c>
      <c r="F5" s="14">
        <f t="shared" si="0"/>
        <v>0.52434645457901263</v>
      </c>
      <c r="G5" s="14">
        <f>((G4*G$3)/G$2)</f>
        <v>0.16902010257491984</v>
      </c>
      <c r="H5" s="14">
        <f t="shared" si="0"/>
        <v>0.18531119679900848</v>
      </c>
      <c r="I5" s="2"/>
      <c r="J5" s="2"/>
      <c r="K5" s="54"/>
      <c r="L5" s="58"/>
      <c r="M5" s="16">
        <v>30</v>
      </c>
      <c r="N5" s="16">
        <v>30</v>
      </c>
      <c r="O5" s="16">
        <v>30</v>
      </c>
      <c r="P5" s="16">
        <v>30</v>
      </c>
      <c r="Q5" s="16">
        <v>30</v>
      </c>
      <c r="R5" s="16">
        <v>30</v>
      </c>
      <c r="S5" s="2"/>
      <c r="T5" s="30"/>
      <c r="U5" s="30"/>
    </row>
    <row r="6" spans="1:21" ht="15" customHeight="1" x14ac:dyDescent="0.35">
      <c r="A6" s="60"/>
      <c r="B6" s="50" t="s">
        <v>65</v>
      </c>
      <c r="C6" s="14">
        <f>(((C4*C$3)/C$2))*6</f>
        <v>1.5317008465710578</v>
      </c>
      <c r="D6" s="14">
        <f t="shared" ref="D6:H6" si="1">(((D4*D$3)/D$2))*6</f>
        <v>1.8995192316824612</v>
      </c>
      <c r="E6" s="14">
        <f t="shared" si="1"/>
        <v>1.1571783825192004</v>
      </c>
      <c r="F6" s="14">
        <f t="shared" si="1"/>
        <v>3.1460787274740758</v>
      </c>
      <c r="G6" s="14">
        <f t="shared" si="1"/>
        <v>1.014120615449519</v>
      </c>
      <c r="H6" s="14">
        <f t="shared" si="1"/>
        <v>1.111867180794051</v>
      </c>
      <c r="I6" s="2"/>
      <c r="J6" s="2"/>
      <c r="K6" s="54"/>
      <c r="L6" s="58"/>
      <c r="M6" s="15">
        <v>20</v>
      </c>
      <c r="N6" s="15">
        <v>20</v>
      </c>
      <c r="O6" s="15">
        <v>20</v>
      </c>
      <c r="P6" s="15">
        <v>20</v>
      </c>
      <c r="Q6" s="15">
        <v>20</v>
      </c>
      <c r="R6" s="15">
        <v>20</v>
      </c>
      <c r="S6" s="2"/>
      <c r="T6" s="30"/>
      <c r="U6" s="30"/>
    </row>
    <row r="7" spans="1:21" ht="15" customHeight="1" x14ac:dyDescent="0.35">
      <c r="A7" s="60"/>
      <c r="B7" s="50" t="s">
        <v>5</v>
      </c>
      <c r="C7" s="6">
        <v>6</v>
      </c>
      <c r="D7" s="6">
        <v>6</v>
      </c>
      <c r="E7" s="6">
        <v>6</v>
      </c>
      <c r="F7" s="6">
        <v>6</v>
      </c>
      <c r="G7" s="6">
        <v>6</v>
      </c>
      <c r="H7" s="6">
        <v>6</v>
      </c>
      <c r="I7" s="2"/>
      <c r="J7" s="2"/>
      <c r="K7" s="54"/>
      <c r="L7" s="58"/>
      <c r="M7" s="16">
        <v>10</v>
      </c>
      <c r="N7" s="16">
        <v>10</v>
      </c>
      <c r="O7" s="16">
        <v>10</v>
      </c>
      <c r="P7" s="16">
        <v>10</v>
      </c>
      <c r="Q7" s="16">
        <v>10</v>
      </c>
      <c r="R7" s="16">
        <v>10</v>
      </c>
      <c r="S7" s="2"/>
      <c r="T7" s="30"/>
      <c r="U7" s="30"/>
    </row>
    <row r="8" spans="1:21" ht="1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54"/>
      <c r="L8" s="58"/>
      <c r="M8" s="16">
        <v>8</v>
      </c>
      <c r="N8" s="16">
        <v>8</v>
      </c>
      <c r="O8" s="16">
        <v>8</v>
      </c>
      <c r="P8" s="16">
        <v>8</v>
      </c>
      <c r="Q8" s="16">
        <v>8</v>
      </c>
      <c r="R8" s="16">
        <v>8</v>
      </c>
      <c r="S8" s="2"/>
      <c r="T8" s="30"/>
      <c r="U8" s="30"/>
    </row>
    <row r="9" spans="1:21" ht="15" customHeight="1" x14ac:dyDescent="0.35">
      <c r="A9" s="2"/>
      <c r="B9" s="1" t="s">
        <v>0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46</v>
      </c>
      <c r="H9" s="1" t="s">
        <v>9</v>
      </c>
      <c r="I9" s="2"/>
      <c r="J9" s="2"/>
      <c r="K9" s="54"/>
      <c r="L9" s="58"/>
      <c r="M9" s="16">
        <v>6</v>
      </c>
      <c r="N9" s="16">
        <v>6</v>
      </c>
      <c r="O9" s="16">
        <v>6</v>
      </c>
      <c r="P9" s="16">
        <v>6</v>
      </c>
      <c r="Q9" s="16">
        <v>6</v>
      </c>
      <c r="R9" s="16">
        <v>6</v>
      </c>
      <c r="S9" s="2"/>
      <c r="T9" s="30"/>
      <c r="U9" s="30"/>
    </row>
    <row r="10" spans="1:21" ht="15" customHeight="1" x14ac:dyDescent="0.35">
      <c r="A10" s="53" t="s">
        <v>21</v>
      </c>
      <c r="B10" s="4" t="s">
        <v>2</v>
      </c>
      <c r="C10" s="9">
        <v>1.73376</v>
      </c>
      <c r="D10" s="9">
        <v>2.1455280000000001</v>
      </c>
      <c r="E10" s="9">
        <v>2.2972320000000002</v>
      </c>
      <c r="F10" s="9">
        <v>2.2213799999999999</v>
      </c>
      <c r="G10" s="9">
        <v>2.0696759999999998</v>
      </c>
      <c r="H10" s="9">
        <v>1.560384</v>
      </c>
      <c r="I10" s="2"/>
      <c r="J10" s="2"/>
      <c r="K10" s="54"/>
      <c r="L10" s="58"/>
      <c r="M10" s="16">
        <v>4</v>
      </c>
      <c r="N10" s="16">
        <v>4</v>
      </c>
      <c r="O10" s="16">
        <v>4</v>
      </c>
      <c r="P10" s="16">
        <v>4</v>
      </c>
      <c r="Q10" s="16">
        <v>4</v>
      </c>
      <c r="R10" s="16">
        <v>4</v>
      </c>
      <c r="S10" s="2"/>
      <c r="T10" s="30"/>
      <c r="U10" s="30"/>
    </row>
    <row r="11" spans="1:21" ht="15" customHeight="1" x14ac:dyDescent="0.35">
      <c r="A11" s="54"/>
      <c r="B11" s="4" t="s">
        <v>3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2"/>
      <c r="J11" s="2"/>
      <c r="K11" s="55"/>
      <c r="L11" s="59"/>
      <c r="M11" s="16">
        <v>2</v>
      </c>
      <c r="N11" s="16">
        <v>2</v>
      </c>
      <c r="O11" s="16">
        <v>2</v>
      </c>
      <c r="P11" s="16">
        <v>2</v>
      </c>
      <c r="Q11" s="16">
        <v>2</v>
      </c>
      <c r="R11" s="16">
        <v>2</v>
      </c>
      <c r="S11" s="2"/>
      <c r="T11" s="30"/>
      <c r="U11" s="30"/>
    </row>
    <row r="12" spans="1:21" ht="15" customHeight="1" x14ac:dyDescent="0.35">
      <c r="A12" s="54"/>
      <c r="B12" s="4" t="s">
        <v>14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2"/>
      <c r="J12" s="2"/>
    </row>
    <row r="13" spans="1:21" ht="15" customHeight="1" x14ac:dyDescent="0.35">
      <c r="A13" s="54"/>
      <c r="B13" s="4" t="s">
        <v>15</v>
      </c>
      <c r="C13" s="10">
        <f>((C12*C$11)/C$10)</f>
        <v>0.57678110003691396</v>
      </c>
      <c r="D13" s="10">
        <f t="shared" ref="D13:H13" si="2">((D12*D$11)/D$10)</f>
        <v>0.46608573740356685</v>
      </c>
      <c r="E13" s="10">
        <f t="shared" si="2"/>
        <v>0.43530649059389731</v>
      </c>
      <c r="F13" s="10">
        <f t="shared" si="2"/>
        <v>0.45017061466295727</v>
      </c>
      <c r="G13" s="10">
        <f t="shared" si="2"/>
        <v>0.4831674136434882</v>
      </c>
      <c r="H13" s="10">
        <f t="shared" si="2"/>
        <v>0.64086788892990443</v>
      </c>
      <c r="I13" s="2"/>
      <c r="J13" s="2"/>
    </row>
    <row r="14" spans="1:21" ht="15" customHeight="1" x14ac:dyDescent="0.35">
      <c r="A14" s="54"/>
      <c r="B14" s="4" t="s">
        <v>66</v>
      </c>
      <c r="C14" s="10">
        <f>(((C12*C$11)/C$10))*6</f>
        <v>3.460686600221484</v>
      </c>
      <c r="D14" s="10">
        <f t="shared" ref="D14:H14" si="3">(((D12*D$11)/D$10))*6</f>
        <v>2.7965144244214013</v>
      </c>
      <c r="E14" s="10">
        <f t="shared" si="3"/>
        <v>2.611838943563384</v>
      </c>
      <c r="F14" s="10">
        <f t="shared" si="3"/>
        <v>2.7010236879777434</v>
      </c>
      <c r="G14" s="10">
        <f t="shared" si="3"/>
        <v>2.8990044818609291</v>
      </c>
      <c r="H14" s="10">
        <f t="shared" si="3"/>
        <v>3.8452073335794266</v>
      </c>
      <c r="I14" s="2"/>
      <c r="J14" s="2"/>
      <c r="K14" s="2"/>
      <c r="L14" s="1" t="s">
        <v>16</v>
      </c>
      <c r="M14" s="1" t="s">
        <v>10</v>
      </c>
      <c r="N14" s="1" t="s">
        <v>11</v>
      </c>
      <c r="O14" s="1" t="s">
        <v>12</v>
      </c>
      <c r="P14" s="1" t="s">
        <v>13</v>
      </c>
      <c r="Q14" s="1" t="s">
        <v>46</v>
      </c>
      <c r="R14" s="1" t="s">
        <v>9</v>
      </c>
      <c r="S14" s="2"/>
      <c r="T14" s="1" t="s">
        <v>62</v>
      </c>
      <c r="U14" s="1" t="s">
        <v>18</v>
      </c>
    </row>
    <row r="15" spans="1:21" ht="15" customHeight="1" x14ac:dyDescent="0.35">
      <c r="A15" s="55"/>
      <c r="B15" s="4" t="s">
        <v>5</v>
      </c>
      <c r="C15" s="11">
        <f>6-C14</f>
        <v>2.539313399778516</v>
      </c>
      <c r="D15" s="11">
        <f t="shared" ref="D15:H15" si="4">6-D14</f>
        <v>3.2034855755785987</v>
      </c>
      <c r="E15" s="11">
        <f t="shared" si="4"/>
        <v>3.388161056436616</v>
      </c>
      <c r="F15" s="11">
        <f t="shared" si="4"/>
        <v>3.2989763120222566</v>
      </c>
      <c r="G15" s="11">
        <f t="shared" si="4"/>
        <v>3.1009955181390709</v>
      </c>
      <c r="H15" s="11">
        <f t="shared" si="4"/>
        <v>2.1547926664205734</v>
      </c>
      <c r="I15" s="2"/>
      <c r="J15" s="2"/>
      <c r="K15" s="53" t="s">
        <v>7</v>
      </c>
      <c r="L15" s="20" t="s">
        <v>47</v>
      </c>
      <c r="M15" s="21">
        <v>0.18</v>
      </c>
      <c r="N15" s="21">
        <v>0.18</v>
      </c>
      <c r="O15" s="21">
        <v>0.18</v>
      </c>
      <c r="P15" s="21">
        <v>0.18</v>
      </c>
      <c r="Q15" s="21">
        <v>0.18</v>
      </c>
      <c r="R15" s="21">
        <v>0.18</v>
      </c>
      <c r="T15" s="17">
        <f>(SUM(M15:R15)*3*10)*50/50</f>
        <v>32.399999999999991</v>
      </c>
      <c r="U15" s="17">
        <f>(SUM(M15:R15)*3*10)-T15</f>
        <v>0</v>
      </c>
    </row>
    <row r="16" spans="1:21" ht="1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54"/>
      <c r="L16" s="20" t="s">
        <v>53</v>
      </c>
      <c r="M16" s="21">
        <v>0.18</v>
      </c>
      <c r="N16" s="21">
        <v>0.18</v>
      </c>
      <c r="O16" s="21">
        <v>0.18</v>
      </c>
      <c r="P16" s="21">
        <v>0.18</v>
      </c>
      <c r="Q16" s="21">
        <v>0.18</v>
      </c>
      <c r="R16" s="21">
        <v>0.18</v>
      </c>
      <c r="T16" s="17">
        <f>(SUM(M16:R16)*3*10)*30/50</f>
        <v>19.439999999999994</v>
      </c>
      <c r="U16" s="17">
        <f t="shared" ref="U16:U22" si="5">(SUM(M16:R16)*3*10)-T16</f>
        <v>12.959999999999997</v>
      </c>
    </row>
    <row r="17" spans="1:21" ht="15" customHeight="1" x14ac:dyDescent="0.35">
      <c r="A17" s="2"/>
      <c r="B17" s="45"/>
      <c r="C17" s="45"/>
      <c r="D17" s="45"/>
      <c r="E17" s="45"/>
      <c r="F17" s="45"/>
      <c r="G17" s="45"/>
      <c r="H17" s="45"/>
      <c r="I17" s="2"/>
      <c r="J17" s="2"/>
      <c r="K17" s="54"/>
      <c r="L17" s="20" t="s">
        <v>36</v>
      </c>
      <c r="M17" s="21">
        <v>0.18</v>
      </c>
      <c r="N17" s="21">
        <v>0.18</v>
      </c>
      <c r="O17" s="21">
        <v>0.18</v>
      </c>
      <c r="P17" s="21">
        <v>0.18</v>
      </c>
      <c r="Q17" s="21">
        <v>0.18</v>
      </c>
      <c r="R17" s="21">
        <v>0.18</v>
      </c>
      <c r="T17" s="17">
        <f>(SUM(M17:R17)*3*10)*20/50</f>
        <v>12.959999999999996</v>
      </c>
      <c r="U17" s="17">
        <f t="shared" si="5"/>
        <v>19.439999999999998</v>
      </c>
    </row>
    <row r="18" spans="1:21" ht="15" customHeight="1" x14ac:dyDescent="0.35">
      <c r="A18" s="2"/>
      <c r="B18" s="46"/>
      <c r="C18" s="30"/>
      <c r="D18" s="30"/>
      <c r="E18" s="30"/>
      <c r="F18" s="30"/>
      <c r="G18" s="30"/>
      <c r="H18" s="30"/>
      <c r="I18" s="2"/>
      <c r="J18" s="2"/>
      <c r="K18" s="54"/>
      <c r="L18" s="20" t="s">
        <v>54</v>
      </c>
      <c r="M18" s="21">
        <v>0.18</v>
      </c>
      <c r="N18" s="21">
        <v>0.18</v>
      </c>
      <c r="O18" s="21">
        <v>0.18</v>
      </c>
      <c r="P18" s="21">
        <v>0.18</v>
      </c>
      <c r="Q18" s="21">
        <v>0.18</v>
      </c>
      <c r="R18" s="21">
        <v>0.18</v>
      </c>
      <c r="T18" s="17">
        <f>(SUM(M18:R18)*3*10)*10/50</f>
        <v>6.4799999999999978</v>
      </c>
      <c r="U18" s="17">
        <f t="shared" si="5"/>
        <v>25.919999999999995</v>
      </c>
    </row>
    <row r="19" spans="1:21" ht="15" customHeight="1" x14ac:dyDescent="0.35">
      <c r="A19" s="2"/>
      <c r="B19" s="46"/>
      <c r="C19" s="30"/>
      <c r="D19" s="30"/>
      <c r="E19" s="30"/>
      <c r="F19" s="30"/>
      <c r="G19" s="30"/>
      <c r="H19" s="30"/>
      <c r="I19" s="2"/>
      <c r="J19" s="2"/>
      <c r="K19" s="54"/>
      <c r="L19" s="20" t="s">
        <v>55</v>
      </c>
      <c r="M19" s="21">
        <v>0.18</v>
      </c>
      <c r="N19" s="21">
        <v>0.18</v>
      </c>
      <c r="O19" s="21">
        <v>0.18</v>
      </c>
      <c r="P19" s="21">
        <v>0.18</v>
      </c>
      <c r="Q19" s="21">
        <v>0.18</v>
      </c>
      <c r="R19" s="21">
        <v>0.18</v>
      </c>
      <c r="T19" s="17">
        <f>(SUM(M19:R19)*3*10)*8/50</f>
        <v>5.1839999999999984</v>
      </c>
      <c r="U19" s="17">
        <f t="shared" si="5"/>
        <v>27.215999999999994</v>
      </c>
    </row>
    <row r="20" spans="1:21" ht="15" customHeight="1" x14ac:dyDescent="0.35">
      <c r="A20" s="2"/>
      <c r="B20" s="46"/>
      <c r="C20" s="29"/>
      <c r="D20" s="29"/>
      <c r="E20" s="29"/>
      <c r="F20" s="29"/>
      <c r="G20" s="29"/>
      <c r="H20" s="29"/>
      <c r="I20" s="2"/>
      <c r="J20" s="2"/>
      <c r="K20" s="54"/>
      <c r="L20" s="20" t="s">
        <v>56</v>
      </c>
      <c r="M20" s="21">
        <v>0.18</v>
      </c>
      <c r="N20" s="21">
        <v>0.18</v>
      </c>
      <c r="O20" s="21">
        <v>0.18</v>
      </c>
      <c r="P20" s="21">
        <v>0.18</v>
      </c>
      <c r="Q20" s="21">
        <v>0.18</v>
      </c>
      <c r="R20" s="21">
        <v>0.18</v>
      </c>
      <c r="T20" s="17">
        <f>(SUM(M20:R20)*3*10)*6/50</f>
        <v>3.887999999999999</v>
      </c>
      <c r="U20" s="17">
        <f t="shared" si="5"/>
        <v>28.511999999999993</v>
      </c>
    </row>
    <row r="21" spans="1:21" ht="15" customHeight="1" x14ac:dyDescent="0.35">
      <c r="A21" s="2"/>
      <c r="I21" s="2"/>
      <c r="J21" s="2"/>
      <c r="K21" s="54"/>
      <c r="L21" s="20" t="s">
        <v>57</v>
      </c>
      <c r="M21" s="21">
        <v>0.18</v>
      </c>
      <c r="N21" s="21">
        <v>0.18</v>
      </c>
      <c r="O21" s="21">
        <v>0.18</v>
      </c>
      <c r="P21" s="21">
        <v>0.18</v>
      </c>
      <c r="Q21" s="21">
        <v>0.18</v>
      </c>
      <c r="R21" s="21">
        <v>0.18</v>
      </c>
      <c r="T21" s="17">
        <f>(SUM(M21:R21)*3*10)*4/50</f>
        <v>2.5919999999999992</v>
      </c>
      <c r="U21" s="17">
        <f t="shared" si="5"/>
        <v>29.807999999999993</v>
      </c>
    </row>
    <row r="22" spans="1:21" ht="1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55"/>
      <c r="L22" s="20" t="s">
        <v>58</v>
      </c>
      <c r="M22" s="21">
        <v>0.18</v>
      </c>
      <c r="N22" s="21">
        <v>0.18</v>
      </c>
      <c r="O22" s="21">
        <v>0.18</v>
      </c>
      <c r="P22" s="21">
        <v>0.18</v>
      </c>
      <c r="Q22" s="21">
        <v>0.18</v>
      </c>
      <c r="R22" s="21">
        <v>0.18</v>
      </c>
      <c r="T22" s="17">
        <f>(SUM(M22:R22)*3*10)*2/50</f>
        <v>1.2959999999999996</v>
      </c>
      <c r="U22" s="17">
        <f t="shared" si="5"/>
        <v>31.103999999999992</v>
      </c>
    </row>
    <row r="23" spans="1:21" ht="1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21" ht="1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L24" s="1" t="s">
        <v>16</v>
      </c>
      <c r="M24" s="1" t="s">
        <v>10</v>
      </c>
      <c r="N24" s="1" t="s">
        <v>11</v>
      </c>
      <c r="O24" s="1" t="s">
        <v>12</v>
      </c>
      <c r="P24" s="1" t="s">
        <v>13</v>
      </c>
      <c r="Q24" s="1" t="s">
        <v>46</v>
      </c>
      <c r="R24" s="1" t="s">
        <v>9</v>
      </c>
      <c r="T24" s="1" t="s">
        <v>62</v>
      </c>
      <c r="U24" s="1" t="s">
        <v>18</v>
      </c>
    </row>
    <row r="25" spans="1:21" ht="1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L25" s="4" t="s">
        <v>42</v>
      </c>
      <c r="M25" s="21">
        <f>SUM(M15:M22)*3*10</f>
        <v>43.199999999999996</v>
      </c>
      <c r="N25" s="21">
        <f t="shared" ref="N25:R25" si="6">SUM(N15:N22)*3*10</f>
        <v>43.199999999999996</v>
      </c>
      <c r="O25" s="21">
        <f t="shared" si="6"/>
        <v>43.199999999999996</v>
      </c>
      <c r="P25" s="21">
        <f t="shared" si="6"/>
        <v>43.199999999999996</v>
      </c>
      <c r="Q25" s="21">
        <f t="shared" si="6"/>
        <v>43.199999999999996</v>
      </c>
      <c r="R25" s="21">
        <f t="shared" si="6"/>
        <v>43.199999999999996</v>
      </c>
      <c r="T25" s="43">
        <f>SUM(T15:T22)</f>
        <v>84.24</v>
      </c>
      <c r="U25" s="43">
        <f>SUM(U15:U22)</f>
        <v>174.95999999999995</v>
      </c>
    </row>
    <row r="26" spans="1:21" ht="15" customHeight="1" x14ac:dyDescent="0.35">
      <c r="L26" s="50" t="s">
        <v>8</v>
      </c>
      <c r="M26" s="19">
        <f>M25+1</f>
        <v>44.199999999999996</v>
      </c>
      <c r="N26" s="19">
        <f t="shared" ref="N26:R26" si="7">N25+1</f>
        <v>44.199999999999996</v>
      </c>
      <c r="O26" s="19">
        <f t="shared" si="7"/>
        <v>44.199999999999996</v>
      </c>
      <c r="P26" s="19">
        <f t="shared" si="7"/>
        <v>44.199999999999996</v>
      </c>
      <c r="Q26" s="19">
        <f t="shared" si="7"/>
        <v>44.199999999999996</v>
      </c>
      <c r="R26" s="19">
        <f t="shared" si="7"/>
        <v>44.199999999999996</v>
      </c>
    </row>
    <row r="27" spans="1:21" ht="15" customHeight="1" x14ac:dyDescent="0.35"/>
    <row r="28" spans="1:21" ht="15" customHeight="1" x14ac:dyDescent="0.35"/>
    <row r="29" spans="1:21" ht="15" customHeight="1" x14ac:dyDescent="0.35">
      <c r="L29" s="1" t="s">
        <v>0</v>
      </c>
      <c r="M29" s="1" t="s">
        <v>10</v>
      </c>
      <c r="N29" s="1" t="s">
        <v>11</v>
      </c>
      <c r="O29" s="1" t="s">
        <v>12</v>
      </c>
      <c r="P29" s="1" t="s">
        <v>13</v>
      </c>
      <c r="Q29" s="1" t="s">
        <v>46</v>
      </c>
      <c r="R29" s="1" t="s">
        <v>9</v>
      </c>
    </row>
    <row r="30" spans="1:21" ht="15" customHeight="1" x14ac:dyDescent="0.35">
      <c r="K30" s="53" t="s">
        <v>7</v>
      </c>
      <c r="L30" s="20" t="s">
        <v>47</v>
      </c>
      <c r="M30" s="21">
        <v>0.02</v>
      </c>
      <c r="N30" s="21">
        <v>0.02</v>
      </c>
      <c r="O30" s="21">
        <v>0.02</v>
      </c>
      <c r="P30" s="21">
        <v>0.02</v>
      </c>
      <c r="Q30" s="21">
        <v>0.02</v>
      </c>
      <c r="R30" s="21">
        <v>0.02</v>
      </c>
    </row>
    <row r="31" spans="1:21" ht="15" customHeight="1" x14ac:dyDescent="0.35">
      <c r="K31" s="54"/>
      <c r="L31" s="20" t="s">
        <v>53</v>
      </c>
      <c r="M31" s="21">
        <v>0.02</v>
      </c>
      <c r="N31" s="21">
        <v>0.02</v>
      </c>
      <c r="O31" s="21">
        <v>0.02</v>
      </c>
      <c r="P31" s="21">
        <v>0.02</v>
      </c>
      <c r="Q31" s="21">
        <v>0.02</v>
      </c>
      <c r="R31" s="21">
        <v>0.02</v>
      </c>
    </row>
    <row r="32" spans="1:21" ht="15" customHeight="1" x14ac:dyDescent="0.35">
      <c r="K32" s="54"/>
      <c r="L32" s="20" t="s">
        <v>36</v>
      </c>
      <c r="M32" s="21">
        <v>0.02</v>
      </c>
      <c r="N32" s="21">
        <v>0.02</v>
      </c>
      <c r="O32" s="21">
        <v>0.02</v>
      </c>
      <c r="P32" s="21">
        <v>0.02</v>
      </c>
      <c r="Q32" s="21">
        <v>0.02</v>
      </c>
      <c r="R32" s="21">
        <v>0.02</v>
      </c>
    </row>
    <row r="33" spans="11:20" ht="15" customHeight="1" x14ac:dyDescent="0.35">
      <c r="K33" s="54"/>
      <c r="L33" s="20" t="s">
        <v>54</v>
      </c>
      <c r="M33" s="21">
        <v>0.02</v>
      </c>
      <c r="N33" s="21">
        <v>0.02</v>
      </c>
      <c r="O33" s="21">
        <v>0.02</v>
      </c>
      <c r="P33" s="21">
        <v>0.02</v>
      </c>
      <c r="Q33" s="21">
        <v>0.02</v>
      </c>
      <c r="R33" s="21">
        <v>0.02</v>
      </c>
    </row>
    <row r="34" spans="11:20" ht="15" customHeight="1" x14ac:dyDescent="0.35">
      <c r="K34" s="54"/>
      <c r="L34" s="20" t="s">
        <v>55</v>
      </c>
      <c r="M34" s="21">
        <v>0.02</v>
      </c>
      <c r="N34" s="21">
        <v>0.02</v>
      </c>
      <c r="O34" s="21">
        <v>0.02</v>
      </c>
      <c r="P34" s="21">
        <v>0.02</v>
      </c>
      <c r="Q34" s="21">
        <v>0.02</v>
      </c>
      <c r="R34" s="21">
        <v>0.02</v>
      </c>
    </row>
    <row r="35" spans="11:20" ht="15" customHeight="1" x14ac:dyDescent="0.35">
      <c r="K35" s="54"/>
      <c r="L35" s="20" t="s">
        <v>56</v>
      </c>
      <c r="M35" s="21">
        <v>0.02</v>
      </c>
      <c r="N35" s="21">
        <v>0.02</v>
      </c>
      <c r="O35" s="21">
        <v>0.02</v>
      </c>
      <c r="P35" s="21">
        <v>0.02</v>
      </c>
      <c r="Q35" s="21">
        <v>0.02</v>
      </c>
      <c r="R35" s="21">
        <v>0.02</v>
      </c>
    </row>
    <row r="36" spans="11:20" ht="15" customHeight="1" x14ac:dyDescent="0.35">
      <c r="K36" s="54"/>
      <c r="L36" s="20" t="s">
        <v>57</v>
      </c>
      <c r="M36" s="21">
        <v>0.02</v>
      </c>
      <c r="N36" s="21">
        <v>0.02</v>
      </c>
      <c r="O36" s="21">
        <v>0.02</v>
      </c>
      <c r="P36" s="21">
        <v>0.02</v>
      </c>
      <c r="Q36" s="21">
        <v>0.02</v>
      </c>
      <c r="R36" s="21">
        <v>0.02</v>
      </c>
    </row>
    <row r="37" spans="11:20" ht="15" customHeight="1" x14ac:dyDescent="0.35">
      <c r="K37" s="55"/>
      <c r="L37" s="20" t="s">
        <v>58</v>
      </c>
      <c r="M37" s="21">
        <v>0.02</v>
      </c>
      <c r="N37" s="21">
        <v>0.02</v>
      </c>
      <c r="O37" s="21">
        <v>0.02</v>
      </c>
      <c r="P37" s="21">
        <v>0.02</v>
      </c>
      <c r="Q37" s="21">
        <v>0.02</v>
      </c>
      <c r="R37" s="21">
        <v>0.02</v>
      </c>
      <c r="T37" s="28"/>
    </row>
    <row r="38" spans="11:20" ht="15" customHeight="1" x14ac:dyDescent="0.35"/>
    <row r="39" spans="11:20" ht="15" customHeight="1" x14ac:dyDescent="0.35">
      <c r="L39" s="1" t="s">
        <v>0</v>
      </c>
      <c r="M39" s="1" t="s">
        <v>10</v>
      </c>
      <c r="N39" s="1" t="s">
        <v>11</v>
      </c>
      <c r="O39" s="1" t="s">
        <v>12</v>
      </c>
      <c r="P39" s="1" t="s">
        <v>13</v>
      </c>
      <c r="Q39" s="1" t="s">
        <v>46</v>
      </c>
      <c r="R39" s="1" t="s">
        <v>9</v>
      </c>
    </row>
    <row r="40" spans="11:20" ht="15" customHeight="1" x14ac:dyDescent="0.35">
      <c r="L40" s="4" t="s">
        <v>42</v>
      </c>
      <c r="M40" s="21">
        <f>SUM(M30:M37)*3*10</f>
        <v>4.8</v>
      </c>
      <c r="N40" s="21">
        <f t="shared" ref="N40:R40" si="8">SUM(N30:N37)*3*10</f>
        <v>4.8</v>
      </c>
      <c r="O40" s="21">
        <f t="shared" si="8"/>
        <v>4.8</v>
      </c>
      <c r="P40" s="21">
        <f t="shared" si="8"/>
        <v>4.8</v>
      </c>
      <c r="Q40" s="21">
        <f t="shared" si="8"/>
        <v>4.8</v>
      </c>
      <c r="R40" s="21">
        <f t="shared" si="8"/>
        <v>4.8</v>
      </c>
    </row>
    <row r="41" spans="11:20" ht="15" customHeight="1" x14ac:dyDescent="0.35">
      <c r="L41" s="50" t="s">
        <v>8</v>
      </c>
      <c r="M41" s="19">
        <f>M40+1</f>
        <v>5.8</v>
      </c>
      <c r="N41" s="19">
        <f t="shared" ref="N41:R41" si="9">N40+1</f>
        <v>5.8</v>
      </c>
      <c r="O41" s="19">
        <f t="shared" si="9"/>
        <v>5.8</v>
      </c>
      <c r="P41" s="19">
        <f t="shared" si="9"/>
        <v>5.8</v>
      </c>
      <c r="Q41" s="19">
        <f t="shared" si="9"/>
        <v>5.8</v>
      </c>
      <c r="R41" s="19">
        <f t="shared" si="9"/>
        <v>5.8</v>
      </c>
    </row>
    <row r="42" spans="11:20" ht="15" customHeight="1" x14ac:dyDescent="0.35"/>
    <row r="43" spans="11:20" ht="15" customHeight="1" x14ac:dyDescent="0.35"/>
    <row r="44" spans="11:20" ht="15" customHeight="1" x14ac:dyDescent="0.35"/>
    <row r="45" spans="11:20" ht="15" customHeight="1" x14ac:dyDescent="0.35"/>
    <row r="46" spans="11:20" ht="15" customHeight="1" x14ac:dyDescent="0.35"/>
    <row r="47" spans="11:20" ht="15" customHeight="1" x14ac:dyDescent="0.35"/>
    <row r="48" spans="11:20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</sheetData>
  <mergeCells count="6">
    <mergeCell ref="L4:L11"/>
    <mergeCell ref="K2:K11"/>
    <mergeCell ref="K15:K22"/>
    <mergeCell ref="K30:K37"/>
    <mergeCell ref="A2:A7"/>
    <mergeCell ref="A10:A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 24.10.20</vt:lpstr>
      <vt:lpstr>AG 03.11.20</vt:lpstr>
      <vt:lpstr>AG 10.12.20</vt:lpstr>
      <vt:lpstr>AG 18.12.20</vt:lpstr>
      <vt:lpstr>AG 25.01.21</vt:lpstr>
      <vt:lpstr>AG 06.02.21</vt:lpstr>
      <vt:lpstr>AG 12.02.21</vt:lpstr>
      <vt:lpstr>AG 14.04.21</vt:lpstr>
      <vt:lpstr>AG 06.08.21</vt:lpstr>
      <vt:lpstr>AG 11.10.21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TOM_Admin</dc:creator>
  <cp:lastModifiedBy>Tom Réveillon</cp:lastModifiedBy>
  <cp:lastPrinted>2020-08-12T10:21:32Z</cp:lastPrinted>
  <dcterms:created xsi:type="dcterms:W3CDTF">2019-10-15T13:17:44Z</dcterms:created>
  <dcterms:modified xsi:type="dcterms:W3CDTF">2021-10-11T08:57:04Z</dcterms:modified>
</cp:coreProperties>
</file>