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0" windowWidth="25600" windowHeight="15520" tabRatio="500"/>
  </bookViews>
  <sheets>
    <sheet name="Orbital Elements" sheetId="1" r:id="rId1"/>
    <sheet name="Physical Parameters" sheetId="2" r:id="rId2"/>
    <sheet name="Change Log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Z19" i="2"/>
  <c r="AB19" i="2"/>
  <c r="AA19" i="2"/>
  <c r="Y19" i="2"/>
  <c r="U19" i="2"/>
  <c r="X19" i="2"/>
  <c r="S19" i="2"/>
  <c r="R19" i="2"/>
  <c r="O19" i="2"/>
  <c r="N19" i="2"/>
  <c r="K19" i="2"/>
  <c r="L19" i="2"/>
  <c r="I19" i="2"/>
  <c r="J19" i="2"/>
  <c r="F19" i="2"/>
  <c r="H19" i="2"/>
  <c r="G19" i="2"/>
  <c r="D19" i="2"/>
  <c r="Z18" i="2"/>
  <c r="AB18" i="2"/>
  <c r="AA18" i="2"/>
  <c r="Y18" i="2"/>
  <c r="U18" i="2"/>
  <c r="W18" i="2"/>
  <c r="X18" i="2"/>
  <c r="S18" i="2"/>
  <c r="Q18" i="2"/>
  <c r="R18" i="2"/>
  <c r="O18" i="2"/>
  <c r="N18" i="2"/>
  <c r="K18" i="2"/>
  <c r="L18" i="2"/>
  <c r="I18" i="2"/>
  <c r="J18" i="2"/>
  <c r="F18" i="2"/>
  <c r="H18" i="2"/>
  <c r="G18" i="2"/>
  <c r="D18" i="2"/>
  <c r="Z17" i="2"/>
  <c r="AB17" i="2"/>
  <c r="AA17" i="2"/>
  <c r="Y17" i="2"/>
  <c r="U17" i="2"/>
  <c r="X17" i="2"/>
  <c r="W17" i="2"/>
  <c r="S17" i="2"/>
  <c r="Q17" i="2"/>
  <c r="R17" i="2"/>
  <c r="O17" i="2"/>
  <c r="N17" i="2"/>
  <c r="K17" i="2"/>
  <c r="L17" i="2"/>
  <c r="I17" i="2"/>
  <c r="J17" i="2"/>
  <c r="F17" i="2"/>
  <c r="H17" i="2"/>
  <c r="G17" i="2"/>
  <c r="D17" i="2"/>
  <c r="Z16" i="2"/>
  <c r="AB16" i="2"/>
  <c r="AA16" i="2"/>
  <c r="Y16" i="2"/>
  <c r="U16" i="2"/>
  <c r="W16" i="2"/>
  <c r="X16" i="2"/>
  <c r="S16" i="2"/>
  <c r="Q16" i="2"/>
  <c r="R16" i="2"/>
  <c r="O16" i="2"/>
  <c r="N16" i="2"/>
  <c r="K16" i="2"/>
  <c r="L16" i="2"/>
  <c r="I16" i="2"/>
  <c r="J16" i="2"/>
  <c r="F16" i="2"/>
  <c r="H16" i="2"/>
  <c r="G16" i="2"/>
  <c r="D16" i="2"/>
  <c r="Z15" i="2"/>
  <c r="AB15" i="2"/>
  <c r="AA15" i="2"/>
  <c r="Y15" i="2"/>
  <c r="U15" i="2"/>
  <c r="W15" i="2"/>
  <c r="X15" i="2"/>
  <c r="S15" i="2"/>
  <c r="Q15" i="2"/>
  <c r="R15" i="2"/>
  <c r="O15" i="2"/>
  <c r="N15" i="2"/>
  <c r="K15" i="2"/>
  <c r="L15" i="2"/>
  <c r="I15" i="2"/>
  <c r="J15" i="2"/>
  <c r="F15" i="2"/>
  <c r="H15" i="2"/>
  <c r="G15" i="2"/>
  <c r="D15" i="2"/>
  <c r="Z14" i="2"/>
  <c r="AB14" i="2"/>
  <c r="AA14" i="2"/>
  <c r="Y14" i="2"/>
  <c r="U14" i="2"/>
  <c r="X14" i="2"/>
  <c r="S14" i="2"/>
  <c r="R14" i="2"/>
  <c r="O14" i="2"/>
  <c r="N14" i="2"/>
  <c r="K14" i="2"/>
  <c r="L14" i="2"/>
  <c r="I14" i="2"/>
  <c r="J14" i="2"/>
  <c r="F14" i="2"/>
  <c r="H14" i="2"/>
  <c r="G14" i="2"/>
  <c r="D14" i="2"/>
  <c r="Z13" i="2"/>
  <c r="AB13" i="2"/>
  <c r="AA13" i="2"/>
  <c r="Y13" i="2"/>
  <c r="U13" i="2"/>
  <c r="X13" i="2"/>
  <c r="S13" i="2"/>
  <c r="R13" i="2"/>
  <c r="O13" i="2"/>
  <c r="N13" i="2"/>
  <c r="K13" i="2"/>
  <c r="L13" i="2"/>
  <c r="I13" i="2"/>
  <c r="J13" i="2"/>
  <c r="F13" i="2"/>
  <c r="H13" i="2"/>
  <c r="G13" i="2"/>
  <c r="D13" i="2"/>
  <c r="Z12" i="2"/>
  <c r="AB12" i="2"/>
  <c r="AA12" i="2"/>
  <c r="Y12" i="2"/>
  <c r="U12" i="2"/>
  <c r="X12" i="2"/>
  <c r="S12" i="2"/>
  <c r="R12" i="2"/>
  <c r="O12" i="2"/>
  <c r="N12" i="2"/>
  <c r="K12" i="2"/>
  <c r="L12" i="2"/>
  <c r="I12" i="2"/>
  <c r="J12" i="2"/>
  <c r="F12" i="2"/>
  <c r="H12" i="2"/>
  <c r="G12" i="2"/>
  <c r="D12" i="2"/>
  <c r="Z11" i="2"/>
  <c r="AB11" i="2"/>
  <c r="AA11" i="2"/>
  <c r="Y11" i="2"/>
  <c r="U11" i="2"/>
  <c r="X11" i="2"/>
  <c r="S11" i="2"/>
  <c r="R11" i="2"/>
  <c r="O11" i="2"/>
  <c r="N11" i="2"/>
  <c r="K11" i="2"/>
  <c r="L11" i="2"/>
  <c r="I11" i="2"/>
  <c r="J11" i="2"/>
  <c r="F11" i="2"/>
  <c r="H11" i="2"/>
  <c r="G11" i="2"/>
  <c r="D11" i="2"/>
  <c r="Z10" i="2"/>
  <c r="AB10" i="2"/>
  <c r="AA10" i="2"/>
  <c r="Y10" i="2"/>
  <c r="U10" i="2"/>
  <c r="X10" i="2"/>
  <c r="S10" i="2"/>
  <c r="R10" i="2"/>
  <c r="O10" i="2"/>
  <c r="N10" i="2"/>
  <c r="K10" i="2"/>
  <c r="L10" i="2"/>
  <c r="I10" i="2"/>
  <c r="J10" i="2"/>
  <c r="F10" i="2"/>
  <c r="H10" i="2"/>
  <c r="G10" i="2"/>
  <c r="D10" i="2"/>
  <c r="Z9" i="2"/>
  <c r="AB9" i="2"/>
  <c r="AA9" i="2"/>
  <c r="Y9" i="2"/>
  <c r="U9" i="2"/>
  <c r="X9" i="2"/>
  <c r="S9" i="2"/>
  <c r="R9" i="2"/>
  <c r="O9" i="2"/>
  <c r="N9" i="2"/>
  <c r="K9" i="2"/>
  <c r="L9" i="2"/>
  <c r="I9" i="2"/>
  <c r="J9" i="2"/>
  <c r="F9" i="2"/>
  <c r="H9" i="2"/>
  <c r="G9" i="2"/>
  <c r="D9" i="2"/>
  <c r="Z8" i="2"/>
  <c r="AB8" i="2"/>
  <c r="AA8" i="2"/>
  <c r="Y8" i="2"/>
  <c r="U8" i="2"/>
  <c r="W8" i="2"/>
  <c r="X8" i="2"/>
  <c r="S8" i="2"/>
  <c r="Q8" i="2"/>
  <c r="R8" i="2"/>
  <c r="O8" i="2"/>
  <c r="N8" i="2"/>
  <c r="K8" i="2"/>
  <c r="L8" i="2"/>
  <c r="I8" i="2"/>
  <c r="J8" i="2"/>
  <c r="F8" i="2"/>
  <c r="H8" i="2"/>
  <c r="G8" i="2"/>
  <c r="D8" i="2"/>
  <c r="Z7" i="2"/>
  <c r="AB7" i="2"/>
  <c r="AA7" i="2"/>
  <c r="Y7" i="2"/>
  <c r="U7" i="2"/>
  <c r="X7" i="2"/>
  <c r="S7" i="2"/>
  <c r="R7" i="2"/>
  <c r="O7" i="2"/>
  <c r="N7" i="2"/>
  <c r="K7" i="2"/>
  <c r="L7" i="2"/>
  <c r="I7" i="2"/>
  <c r="J7" i="2"/>
  <c r="F7" i="2"/>
  <c r="H7" i="2"/>
  <c r="G7" i="2"/>
  <c r="D7" i="2"/>
  <c r="Z6" i="2"/>
  <c r="AB6" i="2"/>
  <c r="AA6" i="2"/>
  <c r="Y6" i="2"/>
  <c r="U6" i="2"/>
  <c r="X6" i="2"/>
  <c r="S6" i="2"/>
  <c r="R6" i="2"/>
  <c r="O6" i="2"/>
  <c r="N6" i="2"/>
  <c r="K6" i="2"/>
  <c r="L6" i="2"/>
  <c r="I6" i="2"/>
  <c r="J6" i="2"/>
  <c r="F6" i="2"/>
  <c r="H6" i="2"/>
  <c r="G6" i="2"/>
  <c r="D6" i="2"/>
  <c r="Z5" i="2"/>
  <c r="AB5" i="2"/>
  <c r="AA5" i="2"/>
  <c r="Y5" i="2"/>
  <c r="U5" i="2"/>
  <c r="X5" i="2"/>
  <c r="S5" i="2"/>
  <c r="R5" i="2"/>
  <c r="O5" i="2"/>
  <c r="N5" i="2"/>
  <c r="K5" i="2"/>
  <c r="L5" i="2"/>
  <c r="I5" i="2"/>
  <c r="J5" i="2"/>
  <c r="F5" i="2"/>
  <c r="H5" i="2"/>
  <c r="G5" i="2"/>
  <c r="D5" i="2"/>
  <c r="Z4" i="2"/>
  <c r="AB4" i="2"/>
  <c r="AA4" i="2"/>
  <c r="Y4" i="2"/>
  <c r="U4" i="2"/>
  <c r="W4" i="2"/>
  <c r="X4" i="2"/>
  <c r="S4" i="2"/>
  <c r="Q4" i="2"/>
  <c r="R4" i="2"/>
  <c r="O4" i="2"/>
  <c r="N4" i="2"/>
  <c r="K4" i="2"/>
  <c r="L4" i="2"/>
  <c r="I4" i="2"/>
  <c r="J4" i="2"/>
  <c r="F4" i="2"/>
  <c r="H4" i="2"/>
  <c r="G4" i="2"/>
  <c r="D4" i="2"/>
  <c r="Z3" i="2"/>
  <c r="AB3" i="2"/>
  <c r="AA3" i="2"/>
  <c r="S3" i="2"/>
  <c r="Q3" i="2"/>
  <c r="R3" i="2"/>
  <c r="K3" i="2"/>
  <c r="L3" i="2"/>
  <c r="I3" i="2"/>
  <c r="J3" i="2"/>
  <c r="F3" i="2"/>
  <c r="H3" i="2"/>
  <c r="G3" i="2"/>
  <c r="D3" i="2"/>
  <c r="Y1" i="2"/>
  <c r="U1" i="2"/>
  <c r="P1" i="2"/>
  <c r="M1" i="2"/>
  <c r="E1" i="2"/>
  <c r="D20" i="1"/>
  <c r="Z18" i="1"/>
  <c r="AA18" i="1"/>
  <c r="X18" i="1"/>
  <c r="Y18" i="1"/>
  <c r="T18" i="1"/>
  <c r="Q18" i="1"/>
  <c r="R18" i="1"/>
  <c r="S18" i="1"/>
  <c r="O18" i="1"/>
  <c r="N18" i="1"/>
  <c r="L18" i="1"/>
  <c r="K18" i="1"/>
  <c r="U17" i="1"/>
  <c r="V17" i="1"/>
  <c r="W17" i="1"/>
  <c r="T17" i="1"/>
  <c r="R17" i="1"/>
  <c r="S17" i="1"/>
  <c r="O17" i="1"/>
  <c r="N17" i="1"/>
  <c r="L17" i="1"/>
  <c r="K17" i="1"/>
  <c r="U16" i="1"/>
  <c r="V16" i="1"/>
  <c r="W16" i="1"/>
  <c r="T16" i="1"/>
  <c r="R16" i="1"/>
  <c r="S16" i="1"/>
  <c r="O16" i="1"/>
  <c r="N16" i="1"/>
  <c r="L16" i="1"/>
  <c r="K16" i="1"/>
  <c r="H16" i="1"/>
  <c r="U15" i="1"/>
  <c r="V15" i="1"/>
  <c r="W15" i="1"/>
  <c r="T15" i="1"/>
  <c r="R15" i="1"/>
  <c r="S15" i="1"/>
  <c r="L15" i="1"/>
  <c r="H15" i="1"/>
  <c r="U14" i="1"/>
  <c r="V14" i="1"/>
  <c r="W14" i="1"/>
  <c r="T14" i="1"/>
  <c r="R14" i="1"/>
  <c r="S14" i="1"/>
  <c r="L14" i="1"/>
  <c r="H14" i="1"/>
  <c r="U13" i="1"/>
  <c r="V13" i="1"/>
  <c r="W13" i="1"/>
  <c r="T13" i="1"/>
  <c r="R13" i="1"/>
  <c r="S13" i="1"/>
  <c r="L13" i="1"/>
  <c r="H13" i="1"/>
  <c r="Z12" i="1"/>
  <c r="AA12" i="1"/>
  <c r="X12" i="1"/>
  <c r="Y12" i="1"/>
  <c r="T12" i="1"/>
  <c r="Q12" i="1"/>
  <c r="R12" i="1"/>
  <c r="S12" i="1"/>
  <c r="O12" i="1"/>
  <c r="L12" i="1"/>
  <c r="H12" i="1"/>
  <c r="Z11" i="1"/>
  <c r="AA11" i="1"/>
  <c r="X11" i="1"/>
  <c r="Y11" i="1"/>
  <c r="T11" i="1"/>
  <c r="Q11" i="1"/>
  <c r="R11" i="1"/>
  <c r="S11" i="1"/>
  <c r="O11" i="1"/>
  <c r="N11" i="1"/>
  <c r="L11" i="1"/>
  <c r="K11" i="1"/>
  <c r="U10" i="1"/>
  <c r="V10" i="1"/>
  <c r="W10" i="1"/>
  <c r="T10" i="1"/>
  <c r="R10" i="1"/>
  <c r="S10" i="1"/>
  <c r="O10" i="1"/>
  <c r="L10" i="1"/>
  <c r="H10" i="1"/>
  <c r="Z9" i="1"/>
  <c r="AA9" i="1"/>
  <c r="X9" i="1"/>
  <c r="Y9" i="1"/>
  <c r="T9" i="1"/>
  <c r="R9" i="1"/>
  <c r="S9" i="1"/>
  <c r="O9" i="1"/>
  <c r="L9" i="1"/>
  <c r="H9" i="1"/>
  <c r="Z8" i="1"/>
  <c r="AA8" i="1"/>
  <c r="U8" i="1"/>
  <c r="V8" i="1"/>
  <c r="W8" i="1"/>
  <c r="T8" i="1"/>
  <c r="R8" i="1"/>
  <c r="S8" i="1"/>
  <c r="L8" i="1"/>
  <c r="Z7" i="1"/>
  <c r="AA7" i="1"/>
  <c r="U7" i="1"/>
  <c r="V7" i="1"/>
  <c r="W7" i="1"/>
  <c r="T7" i="1"/>
  <c r="R7" i="1"/>
  <c r="S7" i="1"/>
  <c r="L7" i="1"/>
  <c r="T6" i="1"/>
  <c r="R6" i="1"/>
  <c r="S6" i="1"/>
  <c r="L6" i="1"/>
  <c r="U5" i="1"/>
  <c r="V5" i="1"/>
  <c r="W5" i="1"/>
  <c r="T5" i="1"/>
  <c r="R5" i="1"/>
  <c r="S5" i="1"/>
  <c r="O5" i="1"/>
  <c r="L5" i="1"/>
  <c r="H5" i="1"/>
  <c r="Z4" i="1"/>
  <c r="AA4" i="1"/>
  <c r="X4" i="1"/>
  <c r="Y4" i="1"/>
  <c r="T4" i="1"/>
  <c r="R4" i="1"/>
  <c r="S4" i="1"/>
  <c r="O4" i="1"/>
  <c r="L4" i="1"/>
  <c r="H4" i="1"/>
  <c r="Z3" i="1"/>
  <c r="AA3" i="1"/>
  <c r="X3" i="1"/>
  <c r="Y3" i="1"/>
  <c r="T3" i="1"/>
  <c r="R3" i="1"/>
  <c r="S3" i="1"/>
  <c r="O3" i="1"/>
  <c r="L3" i="1"/>
  <c r="H3" i="1"/>
  <c r="T1" i="1"/>
  <c r="P1" i="1"/>
  <c r="H1" i="1"/>
  <c r="G1" i="1"/>
  <c r="F1" i="1"/>
  <c r="E1" i="1"/>
  <c r="D1" i="1"/>
  <c r="C1" i="1"/>
</calcChain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color rgb="FF000000"/>
            <rFont val="Arial"/>
          </rPr>
          <t>Not to be confused with Longitude of Periapsis.</t>
        </r>
      </text>
    </comment>
    <comment ref="U1" authorId="0">
      <text>
        <r>
          <rPr>
            <sz val="10"/>
            <color rgb="FF000000"/>
            <rFont val="Arial"/>
          </rPr>
          <t>Provided for moons only, it is the period of a full set of phases when seen from the parent body.</t>
        </r>
      </text>
    </comment>
    <comment ref="X1" authorId="0">
      <text>
        <r>
          <rPr>
            <sz val="10"/>
            <color rgb="FF000000"/>
            <rFont val="Arial"/>
          </rPr>
          <t>Calculation assumes circular orbit for target.</t>
        </r>
      </text>
    </comment>
    <comment ref="Z1" authorId="0">
      <text>
        <r>
          <rPr>
            <sz val="10"/>
            <color rgb="FF000000"/>
            <rFont val="Arial"/>
          </rPr>
          <t>Calculation assumes circular orbit for target.</t>
        </r>
      </text>
    </comment>
    <comment ref="Z7" authorId="0">
      <text>
        <r>
          <rPr>
            <sz val="10"/>
            <color rgb="FF000000"/>
            <rFont val="Arial"/>
          </rPr>
          <t xml:space="preserve">Assumes 100 km altitude LKO parking orbit as starting point.
</t>
        </r>
      </text>
    </comment>
    <comment ref="Z8" authorId="0">
      <text>
        <r>
          <rPr>
            <sz val="10"/>
            <color rgb="FF000000"/>
            <rFont val="Arial"/>
          </rPr>
          <t>Assumes 100 km altitude LKO parking orbit as starting point.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2" authorId="0">
      <text>
        <r>
          <rPr>
            <sz val="10"/>
            <color rgb="FF000000"/>
            <rFont val="Arial"/>
          </rPr>
          <t>Calculated at surface, regardless of whether body has atmosphere</t>
        </r>
      </text>
    </comment>
    <comment ref="L2" authorId="0">
      <text>
        <r>
          <rPr>
            <sz val="10"/>
            <color rgb="FF000000"/>
            <rFont val="Arial"/>
          </rPr>
          <t>Calculated at surface, regardless of whether body has atmosphere.</t>
        </r>
      </text>
    </comment>
    <comment ref="S2" authorId="0">
      <text>
        <r>
          <rPr>
            <sz val="10"/>
            <color rgb="FF000000"/>
            <rFont val="Arial"/>
          </rPr>
          <t>Assumes point on equator at altitude 0m.</t>
        </r>
      </text>
    </comment>
    <comment ref="AD2" authorId="0">
      <text>
        <r>
          <rPr>
            <sz val="10"/>
            <color rgb="FF000000"/>
            <rFont val="Arial"/>
          </rPr>
          <t>Calculation here is the same one used by Innsewerants' Mapsat.</t>
        </r>
      </text>
    </comment>
    <comment ref="AF2" authorId="0">
      <text>
        <r>
          <rPr>
            <sz val="10"/>
            <color rgb="FF000000"/>
            <rFont val="Arial"/>
          </rPr>
          <t xml:space="preserve">Value is not actually used by game, Column will probably be removed.
</t>
        </r>
      </text>
    </comment>
    <comment ref="Z10" authorId="0">
      <text>
        <r>
          <rPr>
            <sz val="10"/>
            <color rgb="FF000000"/>
            <rFont val="Arial"/>
          </rPr>
          <t>Ike orbits Duna at a semi-major axis equal to the synchronous orbit distance.</t>
        </r>
      </text>
    </comment>
  </commentList>
</comments>
</file>

<file path=xl/sharedStrings.xml><?xml version="1.0" encoding="utf-8"?>
<sst xmlns="http://schemas.openxmlformats.org/spreadsheetml/2006/main" count="192" uniqueCount="109">
  <si>
    <t>Celestial Body (Reference Code)</t>
  </si>
  <si>
    <t>Radius</t>
  </si>
  <si>
    <t>Celestial Body (Reference code)</t>
  </si>
  <si>
    <t>Mass (G=6.67e-11)</t>
  </si>
  <si>
    <t>Spherical Density</t>
  </si>
  <si>
    <t>Surface Gravity</t>
  </si>
  <si>
    <t>Parent Body Reference Code</t>
  </si>
  <si>
    <t>Periapsis</t>
  </si>
  <si>
    <t>Apoapsis</t>
  </si>
  <si>
    <t>Date</t>
  </si>
  <si>
    <t>Changes</t>
  </si>
  <si>
    <t>December 20,2012</t>
  </si>
  <si>
    <t>Initial 0.18.1 Update</t>
  </si>
  <si>
    <t>December 20, 2012 10:50 EST</t>
  </si>
  <si>
    <t>Updated for 0.18.2.   Eeloo added.  Bop and Pol in higher orbits, Bop now tide-locked to Jool.</t>
  </si>
  <si>
    <t>Fixed calculation for typical Hohmann Transfer Time; Original version was producing twice the correct answer. Also added Hohmann transfer times for the Mun and Minmus.</t>
  </si>
  <si>
    <t>Atmosphere and Oceans</t>
  </si>
  <si>
    <t>Changed note on Duna's Synchronous Orbit radiius; Previous note implied Ike's orbit was circular.</t>
  </si>
  <si>
    <t>Added Equatorial Velocity  column to Physical Parameters sheet.</t>
  </si>
  <si>
    <t>Fixed Gravitational Parameters of Pol (Increased mass since 0.18.1) and Moho (Decreased mass since 0.18.1).  Added some atmospheric information</t>
  </si>
  <si>
    <t>Synodic Period from Parent Body's Surface</t>
  </si>
  <si>
    <t>Fixed mistake of leaving Bop's synchronous orbit listing bolded; Now that Bop is tide-locked, its syncrhonous orbit would be too high to fit in its SOI.</t>
  </si>
  <si>
    <t>Separated out days in Bop's Sidereal roation period and mean solar day.</t>
  </si>
  <si>
    <t>Added link to output of  v0.18.2 game info rip.</t>
  </si>
  <si>
    <t>Typical Launch Window Interval for Hohmann Transfer from Kerbin</t>
  </si>
  <si>
    <t>Added explicit "Inside SOI?" column to synchronous radius information on Physical Parameters page. Converted "Typical Hohmann Transfer Windiow Interval" to just decimal days; resolution of hours/minutes/seconds was  meaninglessly precise for that column.</t>
  </si>
  <si>
    <t>Moved "Tide Locked?" column to Physical Parameters sheet, added Mean Motion column to Orbital Elements sheet.</t>
  </si>
  <si>
    <t>meters</t>
  </si>
  <si>
    <t>Corrected Moho's SOI radius down to 9646663m.</t>
  </si>
  <si>
    <t>Typical Hohmann Transfer flight time from Kerbin</t>
  </si>
  <si>
    <t>kilometers</t>
  </si>
  <si>
    <t>m³/s²</t>
  </si>
  <si>
    <t>kilograms</t>
  </si>
  <si>
    <t>SMA</t>
  </si>
  <si>
    <t>ECC</t>
  </si>
  <si>
    <t>INC</t>
  </si>
  <si>
    <t>LPE</t>
  </si>
  <si>
    <t>Earth Masses</t>
  </si>
  <si>
    <t>LAN</t>
  </si>
  <si>
    <t>MNA</t>
  </si>
  <si>
    <t>REF</t>
  </si>
  <si>
    <t>g/cm³</t>
  </si>
  <si>
    <t>m/s²</t>
  </si>
  <si>
    <t>gees</t>
  </si>
  <si>
    <t>Orbital Velocity (m/s)</t>
  </si>
  <si>
    <t>radius (meters)</t>
  </si>
  <si>
    <t>altitude (meters)</t>
  </si>
  <si>
    <t>velocity (m/s)</t>
  </si>
  <si>
    <t>Altitude (meters)</t>
  </si>
  <si>
    <t>Escape Velocity (m/s)</t>
  </si>
  <si>
    <t>seconds</t>
  </si>
  <si>
    <t>Multiples of body radius</t>
  </si>
  <si>
    <t>years</t>
  </si>
  <si>
    <t>days, h:m:s</t>
  </si>
  <si>
    <t>radians/s</t>
  </si>
  <si>
    <t>Fraction of semi-major axis</t>
  </si>
  <si>
    <t>Period (seconds)</t>
  </si>
  <si>
    <t>Period (days, h:m:s)</t>
  </si>
  <si>
    <t>Seconds</t>
  </si>
  <si>
    <t>days</t>
  </si>
  <si>
    <t>Moho (4)</t>
  </si>
  <si>
    <t>Equatorial Velocity (m/s)</t>
  </si>
  <si>
    <t>Tide-Locked?</t>
  </si>
  <si>
    <t>years, days, h:m:s</t>
  </si>
  <si>
    <t>Inside SOI?</t>
  </si>
  <si>
    <t>Radius (meters)</t>
  </si>
  <si>
    <t>Velocity (m/s)</t>
  </si>
  <si>
    <t>Has Atmosphere?</t>
  </si>
  <si>
    <t>0-Altitude Pressure (kPa)</t>
  </si>
  <si>
    <t>Scale Height (km)</t>
  </si>
  <si>
    <t>Atmospheric Cutoff Altitude (km)</t>
  </si>
  <si>
    <t>Has Oceans?</t>
  </si>
  <si>
    <t>The Sun (0)</t>
  </si>
  <si>
    <t>Eve (5)</t>
  </si>
  <si>
    <t>infinite</t>
  </si>
  <si>
    <t>n/a</t>
  </si>
  <si>
    <t>Gilly (13)</t>
  </si>
  <si>
    <t>No</t>
  </si>
  <si>
    <t>Yes</t>
  </si>
  <si>
    <t>"</t>
  </si>
  <si>
    <t>Kerbin (1)</t>
  </si>
  <si>
    <t>Circular</t>
  </si>
  <si>
    <t>-</t>
  </si>
  <si>
    <t>Mun (2)</t>
  </si>
  <si>
    <t>Minmus (3)</t>
  </si>
  <si>
    <t>Duna (6)</t>
  </si>
  <si>
    <t>Ike (7)</t>
  </si>
  <si>
    <t>Dres (15)</t>
  </si>
  <si>
    <t>Oxygen</t>
  </si>
  <si>
    <t>Kerbin</t>
  </si>
  <si>
    <t>Jool (8)</t>
  </si>
  <si>
    <t>Laythe(9)</t>
  </si>
  <si>
    <t>Ike</t>
  </si>
  <si>
    <t>Vall (10)</t>
  </si>
  <si>
    <t>Duna</t>
  </si>
  <si>
    <t>Tylo (12)</t>
  </si>
  <si>
    <t>Bop (11)</t>
  </si>
  <si>
    <t>Pol (14)</t>
  </si>
  <si>
    <t>Jool</t>
  </si>
  <si>
    <t xml:space="preserve"> Eeloo (16)</t>
  </si>
  <si>
    <t>Based on information provided by KSP Forum users Nadrek and Innsewerants, and extracted from the game.</t>
  </si>
  <si>
    <t>Nadrek's v0.17 info</t>
  </si>
  <si>
    <t>http://pastebin.com/DfH5rSmU</t>
  </si>
  <si>
    <t>Extracted v0.18.2 info using Mapsat-Based code</t>
  </si>
  <si>
    <t>http://pastebin.com/LYLKEJuw</t>
  </si>
  <si>
    <t>Black text is from the source, Blue text is calculated by the spreadsheet.</t>
  </si>
  <si>
    <t>Years are assumed to be exactly 365 days long.</t>
  </si>
  <si>
    <t>Eeloo (16)</t>
  </si>
  <si>
    <t>Extracted v0.18.2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</si>
</sst>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#,##0.0000"/>
  </numFmts>
  <fonts count="17" x14ac:knownFonts="1">
    <font>
      <sz val="10"/>
      <color rgb="FF000000"/>
      <name val="Arial"/>
    </font>
    <font>
      <b/>
      <sz val="10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b/>
      <sz val="10"/>
      <color rgb="FF1C4587"/>
      <name val="Arial"/>
    </font>
    <font>
      <b/>
      <u/>
      <sz val="10"/>
      <color rgb="FF0000FF"/>
      <name val="Arial"/>
    </font>
    <font>
      <sz val="10"/>
      <name val="Arial"/>
    </font>
    <font>
      <b/>
      <u/>
      <sz val="10"/>
      <color rgb="FF0000FF"/>
      <name val="Arial"/>
    </font>
    <font>
      <sz val="10"/>
      <color rgb="FF1C4587"/>
      <name val="Arial"/>
    </font>
    <font>
      <sz val="10"/>
      <color rgb="FF000000"/>
      <name val="Arial"/>
    </font>
    <font>
      <sz val="10"/>
      <color rgb="FF0B5394"/>
      <name val="Arial"/>
    </font>
    <font>
      <sz val="10"/>
      <color rgb="FF073763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1155CC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1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14" fontId="7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3" fontId="7" fillId="0" borderId="0" xfId="0" applyNumberFormat="1" applyFont="1" applyAlignment="1">
      <alignment horizontal="center" wrapText="1"/>
    </xf>
    <xf numFmtId="11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6" fontId="9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3" fontId="9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wrapText="1"/>
    </xf>
    <xf numFmtId="165" fontId="11" fillId="0" borderId="0" xfId="0" applyNumberFormat="1" applyFont="1" applyAlignment="1">
      <alignment horizontal="center" wrapText="1"/>
    </xf>
    <xf numFmtId="3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3" fontId="7" fillId="0" borderId="0" xfId="0" applyNumberFormat="1" applyFont="1" applyAlignment="1">
      <alignment wrapText="1"/>
    </xf>
    <xf numFmtId="164" fontId="7" fillId="0" borderId="0" xfId="0" applyNumberFormat="1" applyFont="1" applyAlignment="1">
      <alignment wrapText="1"/>
    </xf>
    <xf numFmtId="11" fontId="7" fillId="0" borderId="0" xfId="0" applyNumberFormat="1" applyFont="1" applyAlignment="1">
      <alignment wrapText="1"/>
    </xf>
    <xf numFmtId="165" fontId="9" fillId="0" borderId="0" xfId="0" applyNumberFormat="1" applyFont="1" applyAlignment="1">
      <alignment wrapText="1"/>
    </xf>
    <xf numFmtId="3" fontId="10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46" fontId="9" fillId="0" borderId="0" xfId="0" applyNumberFormat="1" applyFont="1" applyAlignment="1">
      <alignment wrapText="1"/>
    </xf>
    <xf numFmtId="166" fontId="9" fillId="0" borderId="0" xfId="0" applyNumberFormat="1" applyFont="1" applyAlignment="1">
      <alignment wrapText="1"/>
    </xf>
    <xf numFmtId="11" fontId="11" fillId="0" borderId="0" xfId="0" applyNumberFormat="1" applyFont="1" applyAlignment="1">
      <alignment wrapText="1"/>
    </xf>
    <xf numFmtId="3" fontId="9" fillId="0" borderId="0" xfId="0" applyNumberFormat="1" applyFont="1" applyAlignment="1">
      <alignment wrapText="1"/>
    </xf>
    <xf numFmtId="4" fontId="9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3" fontId="7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 wrapText="1"/>
    </xf>
    <xf numFmtId="0" fontId="11" fillId="0" borderId="0" xfId="0" applyFont="1" applyAlignment="1">
      <alignment wrapText="1"/>
    </xf>
    <xf numFmtId="46" fontId="11" fillId="0" borderId="0" xfId="0" applyNumberFormat="1" applyFont="1" applyAlignment="1">
      <alignment wrapText="1"/>
    </xf>
    <xf numFmtId="165" fontId="11" fillId="0" borderId="0" xfId="0" applyNumberFormat="1" applyFont="1" applyAlignment="1">
      <alignment wrapText="1"/>
    </xf>
    <xf numFmtId="0" fontId="9" fillId="0" borderId="0" xfId="0" applyFont="1" applyAlignment="1">
      <alignment horizontal="right" wrapText="1"/>
    </xf>
    <xf numFmtId="3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0" fontId="7" fillId="0" borderId="0" xfId="0" applyFont="1" applyAlignment="1">
      <alignment horizontal="right" wrapText="1"/>
    </xf>
    <xf numFmtId="4" fontId="7" fillId="0" borderId="0" xfId="0" applyNumberFormat="1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65" fontId="9" fillId="0" borderId="0" xfId="0" applyNumberFormat="1" applyFont="1" applyAlignment="1">
      <alignment horizontal="right" wrapText="1"/>
    </xf>
    <xf numFmtId="11" fontId="9" fillId="0" borderId="0" xfId="0" applyNumberFormat="1" applyFont="1" applyAlignment="1">
      <alignment wrapText="1"/>
    </xf>
    <xf numFmtId="10" fontId="9" fillId="0" borderId="0" xfId="0" applyNumberFormat="1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4" fontId="7" fillId="0" borderId="0" xfId="0" applyNumberFormat="1" applyFont="1" applyAlignment="1">
      <alignment horizontal="right" wrapText="1"/>
    </xf>
    <xf numFmtId="165" fontId="7" fillId="0" borderId="0" xfId="0" applyNumberFormat="1" applyFont="1" applyAlignment="1">
      <alignment wrapText="1"/>
    </xf>
    <xf numFmtId="19" fontId="7" fillId="0" borderId="0" xfId="0" applyNumberFormat="1" applyFont="1" applyAlignment="1">
      <alignment wrapText="1"/>
    </xf>
    <xf numFmtId="3" fontId="12" fillId="0" borderId="0" xfId="0" applyNumberFormat="1" applyFont="1" applyAlignment="1">
      <alignment wrapText="1"/>
    </xf>
    <xf numFmtId="4" fontId="7" fillId="0" borderId="0" xfId="0" applyNumberFormat="1" applyFont="1" applyAlignment="1">
      <alignment wrapText="1"/>
    </xf>
    <xf numFmtId="0" fontId="12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166" fontId="7" fillId="0" borderId="0" xfId="0" applyNumberFormat="1" applyFont="1" applyAlignment="1">
      <alignment wrapText="1"/>
    </xf>
    <xf numFmtId="11" fontId="7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166" fontId="15" fillId="0" borderId="0" xfId="0" applyNumberFormat="1" applyFont="1" applyAlignment="1">
      <alignment wrapText="1"/>
    </xf>
    <xf numFmtId="3" fontId="12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3" fontId="9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164" fontId="13" fillId="0" borderId="0" xfId="0" applyNumberFormat="1" applyFont="1" applyAlignment="1">
      <alignment wrapText="1"/>
    </xf>
    <xf numFmtId="3" fontId="7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7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4" fontId="14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5" fontId="16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685800</xdr:colOff>
      <xdr:row>77</xdr:row>
      <xdr:rowOff>88900</xdr:rowOff>
    </xdr:to>
    <xdr:sp macro="" textlink="">
      <xdr:nvSpPr>
        <xdr:cNvPr id="1030" name="Rectangle 6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838200</xdr:colOff>
      <xdr:row>83</xdr:row>
      <xdr:rowOff>50800</xdr:rowOff>
    </xdr:to>
    <xdr:sp macro="" textlink="">
      <xdr:nvSpPr>
        <xdr:cNvPr id="2054" name="Rectangle 6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pastebin.com/LYLKEJuw" TargetMode="External"/><Relationship Id="rId12" Type="http://schemas.openxmlformats.org/officeDocument/2006/relationships/drawing" Target="../drawings/drawing1.xm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en.wikipedia.org/wiki/Semimajor_axis" TargetMode="External"/><Relationship Id="rId2" Type="http://schemas.openxmlformats.org/officeDocument/2006/relationships/hyperlink" Target="http://en.wikipedia.org/wiki/Orbital_eccentricity" TargetMode="External"/><Relationship Id="rId3" Type="http://schemas.openxmlformats.org/officeDocument/2006/relationships/hyperlink" Target="http://en.wikipedia.org/wiki/Orbital_inclination" TargetMode="External"/><Relationship Id="rId4" Type="http://schemas.openxmlformats.org/officeDocument/2006/relationships/hyperlink" Target="http://en.wikipedia.org/wiki/Argument_of_periapsis" TargetMode="External"/><Relationship Id="rId5" Type="http://schemas.openxmlformats.org/officeDocument/2006/relationships/hyperlink" Target="http://en.wikipedia.org/wiki/Longitude_of_the_ascending_node" TargetMode="External"/><Relationship Id="rId6" Type="http://schemas.openxmlformats.org/officeDocument/2006/relationships/hyperlink" Target="http://en.wikipedia.org/wiki/Mean_anomaly" TargetMode="External"/><Relationship Id="rId7" Type="http://schemas.openxmlformats.org/officeDocument/2006/relationships/hyperlink" Target="http://en.wikipedia.org/wiki/Sidereal_period" TargetMode="External"/><Relationship Id="rId8" Type="http://schemas.openxmlformats.org/officeDocument/2006/relationships/hyperlink" Target="http://en.wikipedia.org/wiki/Mean_motion" TargetMode="External"/><Relationship Id="rId9" Type="http://schemas.openxmlformats.org/officeDocument/2006/relationships/hyperlink" Target="http://kerbalspaceprogram.com/forum/showthread.php/19573-Get-Celestial-Body-Orbital-%28etc-%29-Elements-from-KSP-itself?p=270550&amp;viewfull=1" TargetMode="External"/><Relationship Id="rId10" Type="http://schemas.openxmlformats.org/officeDocument/2006/relationships/hyperlink" Target="http://pastebin.com/DfH5rSm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Sidereal_rotation" TargetMode="External"/><Relationship Id="rId4" Type="http://schemas.openxmlformats.org/officeDocument/2006/relationships/hyperlink" Target="http://en.wikipedia.org/wiki/Synodic_day" TargetMode="External"/><Relationship Id="rId5" Type="http://schemas.openxmlformats.org/officeDocument/2006/relationships/hyperlink" Target="http://en.wikipedia.org/wiki/Synchronous_orbit" TargetMode="External"/><Relationship Id="rId6" Type="http://schemas.openxmlformats.org/officeDocument/2006/relationships/hyperlink" Target="http://kerbalspaceprogram.com/forum/showthread.php/19573-Get-Celestial-Body-Orbital-%28etc-%29-Elements-from-KSP-itself?p=270550&amp;viewfull=1" TargetMode="External"/><Relationship Id="rId7" Type="http://schemas.openxmlformats.org/officeDocument/2006/relationships/hyperlink" Target="http://pastebin.com/DfH5rSmU" TargetMode="External"/><Relationship Id="rId8" Type="http://schemas.openxmlformats.org/officeDocument/2006/relationships/hyperlink" Target="http://pastebin.com/LYLKEJuw" TargetMode="External"/><Relationship Id="rId9" Type="http://schemas.openxmlformats.org/officeDocument/2006/relationships/drawing" Target="../drawings/drawing2.xml"/><Relationship Id="rId10" Type="http://schemas.openxmlformats.org/officeDocument/2006/relationships/vmlDrawing" Target="../drawings/vmlDrawing2.vml"/><Relationship Id="rId11" Type="http://schemas.openxmlformats.org/officeDocument/2006/relationships/comments" Target="../comments2.xml"/><Relationship Id="rId1" Type="http://schemas.openxmlformats.org/officeDocument/2006/relationships/hyperlink" Target="http://en.wikipedia.org/wiki/Gravitational_parameter" TargetMode="External"/><Relationship Id="rId2" Type="http://schemas.openxmlformats.org/officeDocument/2006/relationships/hyperlink" Target="http://en.wikipedia.org/wiki/Sphere_of_influence_(astrodynamic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2.75" customHeight="1" x14ac:dyDescent="0"/>
  <cols>
    <col min="1" max="1" width="5" customWidth="1"/>
    <col min="2" max="2" width="11.5" customWidth="1"/>
    <col min="3" max="3" width="17.33203125" customWidth="1"/>
    <col min="4" max="4" width="14.33203125" customWidth="1"/>
    <col min="5" max="5" width="13.5" customWidth="1"/>
    <col min="6" max="6" width="14" customWidth="1"/>
    <col min="7" max="7" width="14.1640625" customWidth="1"/>
    <col min="8" max="8" width="15" customWidth="1"/>
    <col min="9" max="9" width="11.6640625" customWidth="1"/>
    <col min="10" max="10" width="15.1640625" customWidth="1"/>
    <col min="11" max="11" width="16.5" customWidth="1"/>
    <col min="12" max="12" width="9.5" customWidth="1"/>
    <col min="13" max="13" width="15" customWidth="1"/>
    <col min="14" max="14" width="15.5" customWidth="1"/>
    <col min="15" max="15" width="10.6640625" customWidth="1"/>
    <col min="16" max="16" width="11.83203125" customWidth="1"/>
    <col min="17" max="17" width="6.5" customWidth="1"/>
    <col min="18" max="18" width="5.83203125" customWidth="1"/>
    <col min="19" max="19" width="9.5" customWidth="1"/>
    <col min="20" max="20" width="9.83203125" customWidth="1"/>
    <col min="21" max="21" width="11" customWidth="1"/>
    <col min="22" max="22" width="7.5" customWidth="1"/>
    <col min="23" max="23" width="9.5" customWidth="1"/>
    <col min="24" max="24" width="12.5" customWidth="1"/>
    <col min="25" max="25" width="8.5" customWidth="1"/>
    <col min="26" max="26" width="13.5" customWidth="1"/>
    <col min="27" max="27" width="6.5" customWidth="1"/>
  </cols>
  <sheetData>
    <row r="1" spans="1:27" ht="36">
      <c r="A1" s="76" t="s">
        <v>2</v>
      </c>
      <c r="B1" s="72"/>
      <c r="C1" s="2" t="str">
        <f>HYPERLINK("http://en.wikipedia.org/wiki/Semimajor_axis","Semimajor Axis (m)")</f>
        <v>Semimajor Axis (m)</v>
      </c>
      <c r="D1" s="4" t="str">
        <f>HYPERLINK("http://en.wikipedia.org/wiki/Orbital_eccentricity","Orbital Eccentricity (°)")</f>
        <v>Orbital Eccentricity (°)</v>
      </c>
      <c r="E1" s="4" t="str">
        <f>HYPERLINK("http://en.wikipedia.org/wiki/Orbital_inclination","Orbital Inclination (°)")</f>
        <v>Orbital Inclination (°)</v>
      </c>
      <c r="F1" s="6" t="str">
        <f>HYPERLINK("http://en.wikipedia.org/wiki/Argument_of_periapsis","Argument of Periapsis (°)")</f>
        <v>Argument of Periapsis (°)</v>
      </c>
      <c r="G1" s="6" t="str">
        <f>HYPERLINK("http://en.wikipedia.org/wiki/Longitude_of_the_ascending_node","Longitude of the Ascending Node (°)")</f>
        <v>Longitude of the Ascending Node (°)</v>
      </c>
      <c r="H1" s="4" t="str">
        <f>HYPERLINK("http://en.wikipedia.org/wiki/Mean_anomaly","Mean Anomaly at Epoch UT=0.0 (radians)")</f>
        <v>Mean Anomaly at Epoch UT=0.0 (radians)</v>
      </c>
      <c r="I1" s="1" t="s">
        <v>6</v>
      </c>
      <c r="J1" s="77" t="s">
        <v>7</v>
      </c>
      <c r="K1" s="72"/>
      <c r="L1" s="72"/>
      <c r="M1" s="77" t="s">
        <v>8</v>
      </c>
      <c r="N1" s="72"/>
      <c r="O1" s="72"/>
      <c r="P1" s="83" t="str">
        <f>HYPERLINK("http://en.wikipedia.org/wiki/Sidereal_period","Sidereal Orbital Period")</f>
        <v>Sidereal Orbital Period</v>
      </c>
      <c r="Q1" s="72"/>
      <c r="R1" s="72"/>
      <c r="S1" s="72"/>
      <c r="T1" s="8" t="str">
        <f>HYPERLINK("http://en.wikipedia.org/wiki/Mean_motion","Mean Motion")</f>
        <v>Mean Motion</v>
      </c>
      <c r="U1" s="74" t="s">
        <v>20</v>
      </c>
      <c r="V1" s="72"/>
      <c r="W1" s="72"/>
      <c r="X1" s="78" t="s">
        <v>24</v>
      </c>
      <c r="Y1" s="72"/>
      <c r="Z1" s="78" t="s">
        <v>29</v>
      </c>
      <c r="AA1" s="72"/>
    </row>
    <row r="2" spans="1:27" ht="33.75" customHeight="1">
      <c r="A2" s="13"/>
      <c r="B2" s="13"/>
      <c r="C2" s="11" t="s">
        <v>33</v>
      </c>
      <c r="D2" s="14" t="s">
        <v>34</v>
      </c>
      <c r="E2" s="14" t="s">
        <v>35</v>
      </c>
      <c r="F2" s="16" t="s">
        <v>36</v>
      </c>
      <c r="G2" s="16" t="s">
        <v>38</v>
      </c>
      <c r="H2" s="14" t="s">
        <v>39</v>
      </c>
      <c r="I2" s="19" t="s">
        <v>40</v>
      </c>
      <c r="J2" s="11" t="s">
        <v>45</v>
      </c>
      <c r="K2" s="11" t="s">
        <v>46</v>
      </c>
      <c r="L2" s="20" t="s">
        <v>47</v>
      </c>
      <c r="M2" s="11" t="s">
        <v>45</v>
      </c>
      <c r="N2" s="11" t="s">
        <v>48</v>
      </c>
      <c r="O2" s="20" t="s">
        <v>47</v>
      </c>
      <c r="P2" s="21" t="s">
        <v>50</v>
      </c>
      <c r="Q2" s="15" t="s">
        <v>52</v>
      </c>
      <c r="R2" s="75" t="s">
        <v>53</v>
      </c>
      <c r="S2" s="72"/>
      <c r="T2" s="15" t="s">
        <v>54</v>
      </c>
      <c r="U2" s="22" t="s">
        <v>50</v>
      </c>
      <c r="V2" s="75" t="s">
        <v>53</v>
      </c>
      <c r="W2" s="72"/>
      <c r="X2" s="22" t="s">
        <v>58</v>
      </c>
      <c r="Y2" s="20" t="s">
        <v>59</v>
      </c>
      <c r="Z2" s="22" t="s">
        <v>50</v>
      </c>
      <c r="AA2" s="23" t="s">
        <v>59</v>
      </c>
    </row>
    <row r="3" spans="1:27" ht="12">
      <c r="A3" s="81" t="s">
        <v>60</v>
      </c>
      <c r="B3" s="72"/>
      <c r="C3" s="25">
        <v>5263138304</v>
      </c>
      <c r="D3" s="27">
        <v>0.2</v>
      </c>
      <c r="E3" s="27">
        <v>7</v>
      </c>
      <c r="F3" s="28">
        <v>15</v>
      </c>
      <c r="G3" s="28">
        <v>70</v>
      </c>
      <c r="H3" s="30">
        <f t="shared" ref="H3:H4" si="0">179.908753681645*PI()/180</f>
        <v>3.1400001049041752</v>
      </c>
      <c r="I3" s="7">
        <v>0</v>
      </c>
      <c r="J3" s="25">
        <v>4210510627.5146298</v>
      </c>
      <c r="K3" s="25">
        <v>3948910627.5146298</v>
      </c>
      <c r="L3" s="32">
        <f>SQRT('Physical Parameters'!E3*(2/J3-1/C3))</f>
        <v>18278.842749528765</v>
      </c>
      <c r="M3" s="25">
        <v>6315765980.4853697</v>
      </c>
      <c r="N3" s="25">
        <v>6054165980.4853697</v>
      </c>
      <c r="O3" s="32">
        <f>SQRT('Physical Parameters'!E3*(2/M3-1/C3))</f>
        <v>12185.895090692538</v>
      </c>
      <c r="P3" s="33">
        <v>2215754.21968432</v>
      </c>
      <c r="Q3" s="34"/>
      <c r="R3" s="35">
        <f t="shared" ref="R3:R18" si="1">FLOOR((P3/86400-Q3*365),1)</f>
        <v>25</v>
      </c>
      <c r="S3" s="36">
        <f>P3/86400-R3-Q3*365</f>
        <v>0.6453034685685175</v>
      </c>
      <c r="T3" s="38">
        <f t="shared" ref="T3:T18" si="2">2*PI()/P3</f>
        <v>2.8356869418823701E-6</v>
      </c>
      <c r="U3" s="39"/>
      <c r="V3" s="34"/>
      <c r="W3" s="34"/>
      <c r="X3" s="39">
        <f>(P6*P3)/ABS(P6-P3)</f>
        <v>2918346.3430602681</v>
      </c>
      <c r="Y3" s="32">
        <f t="shared" ref="Y3:Y4" si="3">X3/86400</f>
        <v>33.77715674838273</v>
      </c>
      <c r="Z3" s="39" t="e">
        <f ca="1">2*PI()*SQRT(POW((C3+C6)/2,3)/'Physical Parameters'!E3)/2</f>
        <v>#NAME?</v>
      </c>
      <c r="AA3" s="32" t="e">
        <f t="shared" ref="AA3:AA4" ca="1" si="4">Z3/86400</f>
        <v>#NAME?</v>
      </c>
    </row>
    <row r="4" spans="1:27" ht="12">
      <c r="A4" s="81" t="s">
        <v>73</v>
      </c>
      <c r="B4" s="72"/>
      <c r="C4" s="25">
        <v>9832684544</v>
      </c>
      <c r="D4" s="27">
        <v>0.01</v>
      </c>
      <c r="E4" s="27">
        <v>2.1</v>
      </c>
      <c r="F4" s="28">
        <v>0</v>
      </c>
      <c r="G4" s="28">
        <v>15</v>
      </c>
      <c r="H4" s="30">
        <f t="shared" si="0"/>
        <v>3.1400001049041752</v>
      </c>
      <c r="I4" s="7">
        <v>0</v>
      </c>
      <c r="J4" s="25">
        <v>9734357700.7577801</v>
      </c>
      <c r="K4" s="25">
        <v>9472757700.7577801</v>
      </c>
      <c r="L4" s="32">
        <f>SQRT('Physical Parameters'!E3*(2/J4-1/C4))</f>
        <v>11028.907478942849</v>
      </c>
      <c r="M4" s="25">
        <v>9931011387.2422199</v>
      </c>
      <c r="N4" s="25">
        <v>9669411387.2422199</v>
      </c>
      <c r="O4" s="32">
        <f>SQRT('Physical Parameters'!E3*(2/M4-1/C4))</f>
        <v>10810.513276272199</v>
      </c>
      <c r="P4" s="33">
        <v>5657995.1464830302</v>
      </c>
      <c r="Q4" s="34"/>
      <c r="R4" s="35">
        <f t="shared" si="1"/>
        <v>65</v>
      </c>
      <c r="S4" s="36">
        <f t="shared" ref="S4:S10" si="5">P4/86400-R4</f>
        <v>0.48605493614618922</v>
      </c>
      <c r="T4" s="38">
        <f t="shared" si="2"/>
        <v>1.1104967651103714E-6</v>
      </c>
      <c r="U4" s="39"/>
      <c r="V4" s="34"/>
      <c r="W4" s="34"/>
      <c r="X4" s="39">
        <f>(P6*P4)/ABS(P6-P4)</f>
        <v>14687034.477539301</v>
      </c>
      <c r="Y4" s="32">
        <f t="shared" si="3"/>
        <v>169.98882497151968</v>
      </c>
      <c r="Z4" s="39" t="e">
        <f ca="1">2*PI()*SQRT(POW((C4+C6)/2,3)/'Physical Parameters'!E3)/2</f>
        <v>#NAME?</v>
      </c>
      <c r="AA4" s="32" t="e">
        <f t="shared" ca="1" si="4"/>
        <v>#NAME?</v>
      </c>
    </row>
    <row r="5" spans="1:27" ht="12">
      <c r="B5" s="7" t="s">
        <v>76</v>
      </c>
      <c r="C5" s="25">
        <v>31500000</v>
      </c>
      <c r="D5" s="27">
        <v>0.55000000000000004</v>
      </c>
      <c r="E5" s="27">
        <v>12</v>
      </c>
      <c r="F5" s="28">
        <v>10</v>
      </c>
      <c r="G5" s="28">
        <v>80</v>
      </c>
      <c r="H5" s="30">
        <f>51.5662001957363*PI()/180</f>
        <v>0.89999997615814287</v>
      </c>
      <c r="I5" s="7">
        <v>5</v>
      </c>
      <c r="J5" s="25">
        <v>14174999.624490701</v>
      </c>
      <c r="K5" s="25">
        <v>13474999.624490701</v>
      </c>
      <c r="L5" s="32">
        <f>SQRT('Physical Parameters'!E5*(2/J5-1/C5))</f>
        <v>945.28188038536052</v>
      </c>
      <c r="M5" s="25">
        <v>48825000.375509299</v>
      </c>
      <c r="N5" s="25">
        <v>48125000.375509299</v>
      </c>
      <c r="O5" s="32">
        <f>SQRT('Physical Parameters'!E5*(2/M5-1/C5))</f>
        <v>274.43666556982754</v>
      </c>
      <c r="P5" s="33">
        <v>388587.37684792897</v>
      </c>
      <c r="Q5" s="34"/>
      <c r="R5" s="35">
        <f t="shared" si="1"/>
        <v>4</v>
      </c>
      <c r="S5" s="36">
        <f t="shared" si="5"/>
        <v>0.49753908388806689</v>
      </c>
      <c r="T5" s="38">
        <f t="shared" si="2"/>
        <v>1.6169298545275362E-5</v>
      </c>
      <c r="U5" s="39">
        <f>(P5*P4)/ABS(P5-P4)</f>
        <v>417243.37692362838</v>
      </c>
      <c r="V5" s="35">
        <f>FLOOR(U5/86400,1)</f>
        <v>4</v>
      </c>
      <c r="W5" s="36">
        <f>U5/86400-V5</f>
        <v>0.82920575143088371</v>
      </c>
      <c r="X5" s="39"/>
      <c r="Y5" s="32"/>
      <c r="Z5" s="73" t="s">
        <v>79</v>
      </c>
      <c r="AA5" s="72"/>
    </row>
    <row r="6" spans="1:27" ht="12">
      <c r="A6" s="81" t="s">
        <v>80</v>
      </c>
      <c r="B6" s="72"/>
      <c r="C6" s="25">
        <v>13599840256</v>
      </c>
      <c r="D6" s="27">
        <v>0</v>
      </c>
      <c r="E6" s="27">
        <v>0</v>
      </c>
      <c r="F6" s="28">
        <v>0</v>
      </c>
      <c r="G6" s="28">
        <v>0</v>
      </c>
      <c r="H6" s="27">
        <v>3.14</v>
      </c>
      <c r="I6" s="7">
        <v>0</v>
      </c>
      <c r="J6" s="25">
        <v>13599840256</v>
      </c>
      <c r="K6" s="25">
        <v>13338240256</v>
      </c>
      <c r="L6" s="32">
        <f>SQRT('Physical Parameters'!E3*(2/J6-1/C6))</f>
        <v>9284.5007035655326</v>
      </c>
      <c r="M6" s="82" t="s">
        <v>81</v>
      </c>
      <c r="N6" s="72"/>
      <c r="O6" s="72"/>
      <c r="P6" s="33">
        <v>9203545</v>
      </c>
      <c r="Q6" s="34"/>
      <c r="R6" s="35">
        <f t="shared" si="1"/>
        <v>106</v>
      </c>
      <c r="S6" s="36">
        <f t="shared" si="5"/>
        <v>0.52251157407407334</v>
      </c>
      <c r="T6" s="38">
        <f t="shared" si="2"/>
        <v>6.8269186570822285E-7</v>
      </c>
      <c r="U6" s="39"/>
      <c r="V6" s="34"/>
      <c r="W6" s="34"/>
      <c r="X6" s="43" t="s">
        <v>82</v>
      </c>
      <c r="Y6" s="53" t="s">
        <v>82</v>
      </c>
      <c r="Z6" s="39"/>
      <c r="AA6" s="32"/>
    </row>
    <row r="7" spans="1:27" ht="12">
      <c r="B7" s="7" t="s">
        <v>83</v>
      </c>
      <c r="C7" s="25">
        <v>12000000</v>
      </c>
      <c r="D7" s="27">
        <v>0</v>
      </c>
      <c r="E7" s="27">
        <v>0</v>
      </c>
      <c r="F7" s="28">
        <v>0</v>
      </c>
      <c r="G7" s="28">
        <v>0</v>
      </c>
      <c r="H7" s="27">
        <v>0.9</v>
      </c>
      <c r="I7" s="7">
        <v>1</v>
      </c>
      <c r="J7" s="25">
        <v>12000000</v>
      </c>
      <c r="K7" s="25">
        <v>11400000</v>
      </c>
      <c r="L7" s="32">
        <f>SQRT('Physical Parameters'!E7*(2/J7-1/C7))</f>
        <v>542.49423960075376</v>
      </c>
      <c r="M7" s="82" t="s">
        <v>81</v>
      </c>
      <c r="N7" s="72"/>
      <c r="O7" s="72"/>
      <c r="P7" s="33">
        <v>138984.37657447599</v>
      </c>
      <c r="Q7" s="34"/>
      <c r="R7" s="35">
        <f t="shared" si="1"/>
        <v>1</v>
      </c>
      <c r="S7" s="36">
        <f t="shared" si="5"/>
        <v>0.60861546961199053</v>
      </c>
      <c r="T7" s="38">
        <f t="shared" si="2"/>
        <v>4.5207853300062739E-5</v>
      </c>
      <c r="U7" s="39">
        <f>P6*P7/ABS(P6-P7)</f>
        <v>141115.38520625408</v>
      </c>
      <c r="V7" s="35">
        <f t="shared" ref="V7:V8" si="6">FLOOR(U7/86400,1)</f>
        <v>1</v>
      </c>
      <c r="W7" s="36">
        <f t="shared" ref="W7:W8" si="7">U7/86400-V7</f>
        <v>0.6332799213686815</v>
      </c>
      <c r="X7" s="39"/>
      <c r="Y7" s="32"/>
      <c r="Z7" s="39" t="e">
        <f ca="1">2*PI()*SQRT(POW((700000+C7)/2,3)/'Physical Parameters'!E7)/2</f>
        <v>#NAME?</v>
      </c>
      <c r="AA7" s="32" t="e">
        <f t="shared" ref="AA7:AA9" ca="1" si="8">Z7/86400</f>
        <v>#NAME?</v>
      </c>
    </row>
    <row r="8" spans="1:27" ht="12">
      <c r="B8" s="7" t="s">
        <v>84</v>
      </c>
      <c r="C8" s="25">
        <v>47000000</v>
      </c>
      <c r="D8" s="27">
        <v>0</v>
      </c>
      <c r="E8" s="27">
        <v>6</v>
      </c>
      <c r="F8" s="28">
        <v>38</v>
      </c>
      <c r="G8" s="28">
        <v>78</v>
      </c>
      <c r="H8" s="27">
        <v>1.7</v>
      </c>
      <c r="I8" s="7">
        <v>1</v>
      </c>
      <c r="J8" s="25">
        <v>47000000</v>
      </c>
      <c r="K8" s="25">
        <v>46400000</v>
      </c>
      <c r="L8" s="32">
        <f>SQRT('Physical Parameters'!E7*(2/J8-1/C8))</f>
        <v>274.11753962837713</v>
      </c>
      <c r="M8" s="82" t="s">
        <v>81</v>
      </c>
      <c r="N8" s="72"/>
      <c r="O8" s="72"/>
      <c r="P8" s="33">
        <v>1077310.5210188101</v>
      </c>
      <c r="Q8" s="34"/>
      <c r="R8" s="35">
        <f t="shared" si="1"/>
        <v>12</v>
      </c>
      <c r="S8" s="36">
        <f t="shared" si="5"/>
        <v>0.4688717710510435</v>
      </c>
      <c r="T8" s="38">
        <f t="shared" si="2"/>
        <v>5.832288077199499E-6</v>
      </c>
      <c r="U8" s="39">
        <f>P6*P8/ABS(P6-P8)</f>
        <v>1220131.6470519993</v>
      </c>
      <c r="V8" s="35">
        <f t="shared" si="6"/>
        <v>14</v>
      </c>
      <c r="W8" s="36">
        <f t="shared" si="7"/>
        <v>0.12189406310184481</v>
      </c>
      <c r="X8" s="39"/>
      <c r="Y8" s="32"/>
      <c r="Z8" s="39" t="e">
        <f ca="1">2*PI()*SQRT(POW((700000+C8)/2,3)/'Physical Parameters'!E7)/2</f>
        <v>#NAME?</v>
      </c>
      <c r="AA8" s="32" t="e">
        <f t="shared" ca="1" si="8"/>
        <v>#NAME?</v>
      </c>
    </row>
    <row r="9" spans="1:27" ht="12">
      <c r="A9" s="81" t="s">
        <v>85</v>
      </c>
      <c r="B9" s="72"/>
      <c r="C9" s="25">
        <v>20726155264</v>
      </c>
      <c r="D9" s="27">
        <v>5.0999999999999997E-2</v>
      </c>
      <c r="E9" s="27">
        <v>0.06</v>
      </c>
      <c r="F9" s="28">
        <v>0</v>
      </c>
      <c r="G9" s="28">
        <v>135.5</v>
      </c>
      <c r="H9" s="30">
        <f>RADIANS(179.908753681645)</f>
        <v>3.1400001049041757</v>
      </c>
      <c r="I9" s="7">
        <v>0</v>
      </c>
      <c r="J9" s="25">
        <v>19669121365.301998</v>
      </c>
      <c r="K9" s="25">
        <v>19407521365.301998</v>
      </c>
      <c r="L9" s="32">
        <f>SQRT('Physical Parameters'!E3*(2/J9-1/C9))</f>
        <v>7914.6977562693446</v>
      </c>
      <c r="M9" s="25">
        <v>21783189162.698002</v>
      </c>
      <c r="N9" s="25">
        <v>21521589162.698002</v>
      </c>
      <c r="O9" s="32">
        <f>SQRT('Physical Parameters'!E3*(2/M9-1/C9))</f>
        <v>7146.5729639040455</v>
      </c>
      <c r="P9" s="33">
        <v>17315400.142569799</v>
      </c>
      <c r="Q9" s="34"/>
      <c r="R9" s="35">
        <f t="shared" si="1"/>
        <v>200</v>
      </c>
      <c r="S9" s="36">
        <f t="shared" si="5"/>
        <v>0.40972387233563268</v>
      </c>
      <c r="T9" s="38">
        <f t="shared" si="2"/>
        <v>3.6286688470643055E-7</v>
      </c>
      <c r="U9" s="39"/>
      <c r="V9" s="34"/>
      <c r="W9" s="34"/>
      <c r="X9" s="39">
        <f>(P6*P9)/ABS(P6-P9)</f>
        <v>19645698.992926303</v>
      </c>
      <c r="Y9" s="32">
        <f>X9/86400</f>
        <v>227.38077538109147</v>
      </c>
      <c r="Z9" s="39" t="e">
        <f ca="1">2*PI()*SQRT(POW((C9+C6)/2,3)/'Physical Parameters'!E3)/2</f>
        <v>#NAME?</v>
      </c>
      <c r="AA9" s="32" t="e">
        <f t="shared" ca="1" si="8"/>
        <v>#NAME?</v>
      </c>
    </row>
    <row r="10" spans="1:27" ht="12">
      <c r="B10" s="7" t="s">
        <v>86</v>
      </c>
      <c r="C10" s="25">
        <v>3200000</v>
      </c>
      <c r="D10" s="27">
        <v>0.03</v>
      </c>
      <c r="E10" s="27">
        <v>0.2</v>
      </c>
      <c r="F10" s="28">
        <v>0</v>
      </c>
      <c r="G10" s="28">
        <v>0</v>
      </c>
      <c r="H10" s="30">
        <f>RADIANS(97.4028279043156)</f>
        <v>1.7000000476837156</v>
      </c>
      <c r="I10" s="7">
        <v>6</v>
      </c>
      <c r="J10" s="25">
        <v>3104000.00214577</v>
      </c>
      <c r="K10" s="25">
        <v>2784000.00214577</v>
      </c>
      <c r="L10" s="32">
        <f>SQRT('Physical Parameters'!E10*(2/J10-1/C10))</f>
        <v>316.22985853187743</v>
      </c>
      <c r="M10" s="25">
        <v>3295999.99785423</v>
      </c>
      <c r="N10" s="25">
        <v>2975999.99785423</v>
      </c>
      <c r="O10" s="32">
        <f>SQRT('Physical Parameters'!E10*(2/M10-1/C10))</f>
        <v>297.80870212394814</v>
      </c>
      <c r="P10" s="33">
        <v>65517.8621348081</v>
      </c>
      <c r="Q10" s="34"/>
      <c r="R10" s="35">
        <f t="shared" si="1"/>
        <v>0</v>
      </c>
      <c r="S10" s="36">
        <f t="shared" si="5"/>
        <v>0.75830858952324187</v>
      </c>
      <c r="T10" s="38">
        <f t="shared" si="2"/>
        <v>9.5900340799451661E-5</v>
      </c>
      <c r="U10" s="39">
        <f>P9*P10/ABS(P9-P10)</f>
        <v>65766.70964512325</v>
      </c>
      <c r="V10" s="35">
        <f>FLOOR(U10/86400,1)</f>
        <v>0</v>
      </c>
      <c r="W10" s="36">
        <f>U10/86400-V10</f>
        <v>0.76118876904077837</v>
      </c>
      <c r="X10" s="39"/>
      <c r="Y10" s="32"/>
      <c r="Z10" s="73" t="s">
        <v>79</v>
      </c>
      <c r="AA10" s="72"/>
    </row>
    <row r="11" spans="1:27" ht="12">
      <c r="A11" s="81" t="s">
        <v>87</v>
      </c>
      <c r="B11" s="72"/>
      <c r="C11" s="25">
        <v>40839348203</v>
      </c>
      <c r="D11" s="27">
        <v>0.14499999999999999</v>
      </c>
      <c r="E11" s="27">
        <v>5</v>
      </c>
      <c r="F11" s="28">
        <v>90</v>
      </c>
      <c r="G11" s="28">
        <v>280</v>
      </c>
      <c r="H11" s="27">
        <v>3.14</v>
      </c>
      <c r="I11" s="7">
        <v>0</v>
      </c>
      <c r="J11" s="25">
        <v>34917642884</v>
      </c>
      <c r="K11" s="29">
        <f>J11-'Physical Parameters'!C3</f>
        <v>34656042884</v>
      </c>
      <c r="L11" s="32">
        <f>SQRT('Physical Parameters'!E3*(2/J11-1/C11))</f>
        <v>6200.2005902608689</v>
      </c>
      <c r="M11" s="25">
        <v>46761053522</v>
      </c>
      <c r="N11" s="29">
        <f>M11-'Physical Parameters'!C3</f>
        <v>46499453522</v>
      </c>
      <c r="O11" s="32">
        <f>SQRT('Physical Parameters'!E3*(2/M11-1/C11))</f>
        <v>4629.8441483581728</v>
      </c>
      <c r="P11" s="33">
        <v>47893063.100000001</v>
      </c>
      <c r="Q11" s="35">
        <f t="shared" ref="Q11:Q12" si="9">FLOOR(P11/365/86400,1)</f>
        <v>1</v>
      </c>
      <c r="R11" s="35">
        <f t="shared" si="1"/>
        <v>189</v>
      </c>
      <c r="S11" s="36">
        <f t="shared" ref="S11:S12" si="10">P11/86400-R11-Q11*365</f>
        <v>0.31785995370375986</v>
      </c>
      <c r="T11" s="38">
        <f t="shared" si="2"/>
        <v>1.3119197020370965E-7</v>
      </c>
      <c r="U11" s="39"/>
      <c r="V11" s="34"/>
      <c r="W11" s="34"/>
      <c r="X11" s="39">
        <f>(P6*P11)/ABS(P6-P11)</f>
        <v>11392903.894264052</v>
      </c>
      <c r="Y11" s="32">
        <f t="shared" ref="Y11:Y12" si="11">X11/86400</f>
        <v>131.86231359101913</v>
      </c>
      <c r="Z11" s="39" t="e">
        <f ca="1">2*PI()*SQRT(POW((C11+C6)/2,3)/'Physical Parameters'!E3)/2</f>
        <v>#NAME?</v>
      </c>
      <c r="AA11" s="32" t="e">
        <f t="shared" ref="AA11:AA12" ca="1" si="12">Z11/86400</f>
        <v>#NAME?</v>
      </c>
    </row>
    <row r="12" spans="1:27" ht="12">
      <c r="A12" s="81" t="s">
        <v>90</v>
      </c>
      <c r="B12" s="72"/>
      <c r="C12" s="25">
        <v>68773560320</v>
      </c>
      <c r="D12" s="27">
        <v>0.05</v>
      </c>
      <c r="E12" s="27">
        <v>1.304</v>
      </c>
      <c r="F12" s="28">
        <v>0</v>
      </c>
      <c r="G12" s="28">
        <v>52</v>
      </c>
      <c r="H12" s="30">
        <f>RADIANS(5.7295780366856)</f>
        <v>0.10000000149011619</v>
      </c>
      <c r="I12" s="7">
        <v>0</v>
      </c>
      <c r="J12" s="25">
        <v>65334882252.759697</v>
      </c>
      <c r="K12" s="25">
        <v>65073282252.759697</v>
      </c>
      <c r="L12" s="32">
        <f>SQRT('Physical Parameters'!E3*(2/J12-1/C12))</f>
        <v>4340.5778549716615</v>
      </c>
      <c r="M12" s="25">
        <v>72212238387.240295</v>
      </c>
      <c r="N12" s="25">
        <v>71950638387.240295</v>
      </c>
      <c r="O12" s="32">
        <f>SQRT('Physical Parameters'!E3*(2/M12-1/C12))</f>
        <v>3927.1894819648674</v>
      </c>
      <c r="P12" s="33">
        <v>104661432.107989</v>
      </c>
      <c r="Q12" s="35">
        <f t="shared" si="9"/>
        <v>3</v>
      </c>
      <c r="R12" s="35">
        <f t="shared" si="1"/>
        <v>116</v>
      </c>
      <c r="S12" s="36">
        <f t="shared" si="10"/>
        <v>0.35916791653926339</v>
      </c>
      <c r="T12" s="38">
        <f t="shared" si="2"/>
        <v>6.0033435245722943E-8</v>
      </c>
      <c r="U12" s="39"/>
      <c r="V12" s="34"/>
      <c r="W12" s="34"/>
      <c r="X12" s="39">
        <f>(P6*P12)/ABS(P6-P12)</f>
        <v>10090902.170091145</v>
      </c>
      <c r="Y12" s="32">
        <f t="shared" si="11"/>
        <v>116.79284919086973</v>
      </c>
      <c r="Z12" s="39" t="e">
        <f ca="1">2*PI()*SQRT(POW((C12+C6)/2,3)/'Physical Parameters'!E3)/2</f>
        <v>#NAME?</v>
      </c>
      <c r="AA12" s="32" t="e">
        <f t="shared" ca="1" si="12"/>
        <v>#NAME?</v>
      </c>
    </row>
    <row r="13" spans="1:27" ht="12">
      <c r="B13" s="7" t="s">
        <v>91</v>
      </c>
      <c r="C13" s="25">
        <v>27184000</v>
      </c>
      <c r="D13" s="27">
        <v>0</v>
      </c>
      <c r="E13" s="27">
        <v>0</v>
      </c>
      <c r="F13" s="28">
        <v>0</v>
      </c>
      <c r="G13" s="28">
        <v>0</v>
      </c>
      <c r="H13" s="30">
        <f>RADIANS(179.908753681645)</f>
        <v>3.1400001049041757</v>
      </c>
      <c r="I13" s="7">
        <v>8</v>
      </c>
      <c r="J13" s="25">
        <v>27184000</v>
      </c>
      <c r="K13" s="25">
        <v>21184000</v>
      </c>
      <c r="L13" s="32">
        <f>SQRT('Physical Parameters'!E13*(2/J13-1/C13))</f>
        <v>3223.8443835357903</v>
      </c>
      <c r="M13" s="82" t="s">
        <v>81</v>
      </c>
      <c r="N13" s="72"/>
      <c r="O13" s="72"/>
      <c r="P13" s="33">
        <v>52980.8790593796</v>
      </c>
      <c r="Q13" s="34"/>
      <c r="R13" s="35">
        <f t="shared" si="1"/>
        <v>0</v>
      </c>
      <c r="S13" s="36">
        <f t="shared" ref="S13:S17" si="13">P13/86400-R13</f>
        <v>0.6132046187428194</v>
      </c>
      <c r="T13" s="38">
        <f t="shared" si="2"/>
        <v>1.1859345142494813E-4</v>
      </c>
      <c r="U13" s="39">
        <f>P13*P12/ABS(P13-P12)</f>
        <v>53007.71220252366</v>
      </c>
      <c r="V13" s="35">
        <f t="shared" ref="V13:V17" si="14">FLOOR(U13/86400,1)</f>
        <v>0</v>
      </c>
      <c r="W13" s="36">
        <f t="shared" ref="W13:W17" si="15">U13/86400-V13</f>
        <v>0.61351518752920908</v>
      </c>
      <c r="X13" s="39"/>
      <c r="Y13" s="32"/>
      <c r="Z13" s="71" t="s">
        <v>79</v>
      </c>
      <c r="AA13" s="72"/>
    </row>
    <row r="14" spans="1:27" ht="12">
      <c r="B14" s="7" t="s">
        <v>93</v>
      </c>
      <c r="C14" s="25">
        <v>43152000</v>
      </c>
      <c r="D14" s="27">
        <v>0</v>
      </c>
      <c r="E14" s="27">
        <v>0</v>
      </c>
      <c r="F14" s="28">
        <v>0</v>
      </c>
      <c r="G14" s="28">
        <v>0</v>
      </c>
      <c r="H14" s="30">
        <f>RADIANS(51.5662001957363)</f>
        <v>0.89999997615814287</v>
      </c>
      <c r="I14" s="7">
        <v>8</v>
      </c>
      <c r="J14" s="25">
        <v>43152000</v>
      </c>
      <c r="K14" s="25">
        <v>37152000</v>
      </c>
      <c r="L14" s="32">
        <f>SQRT('Physical Parameters'!E13*(2/J14-1/C14))</f>
        <v>2558.7643203866792</v>
      </c>
      <c r="M14" s="82" t="s">
        <v>81</v>
      </c>
      <c r="N14" s="72"/>
      <c r="O14" s="72"/>
      <c r="P14" s="33">
        <v>105962.088893924</v>
      </c>
      <c r="Q14" s="34"/>
      <c r="R14" s="35">
        <f t="shared" si="1"/>
        <v>1</v>
      </c>
      <c r="S14" s="36">
        <f t="shared" si="13"/>
        <v>0.22641306590189814</v>
      </c>
      <c r="T14" s="38">
        <f t="shared" si="2"/>
        <v>5.9296540609628091E-5</v>
      </c>
      <c r="U14" s="39">
        <f>P14*P12/ABS(P14-P12)</f>
        <v>106069.47652539572</v>
      </c>
      <c r="V14" s="35">
        <f t="shared" si="14"/>
        <v>1</v>
      </c>
      <c r="W14" s="36">
        <f t="shared" si="15"/>
        <v>0.22765597830319106</v>
      </c>
      <c r="X14" s="39"/>
      <c r="Y14" s="32"/>
      <c r="Z14" s="71" t="s">
        <v>79</v>
      </c>
      <c r="AA14" s="72"/>
    </row>
    <row r="15" spans="1:27" ht="12">
      <c r="B15" s="7" t="s">
        <v>95</v>
      </c>
      <c r="C15" s="25">
        <v>68500000</v>
      </c>
      <c r="D15" s="27">
        <v>0</v>
      </c>
      <c r="E15" s="27">
        <v>2.5000000000000001E-2</v>
      </c>
      <c r="F15" s="28">
        <v>0</v>
      </c>
      <c r="G15" s="28">
        <v>0</v>
      </c>
      <c r="H15" s="30">
        <f>RADIANS(179.908753681645)</f>
        <v>3.1400001049041757</v>
      </c>
      <c r="I15" s="7">
        <v>8</v>
      </c>
      <c r="J15" s="25">
        <v>68500000</v>
      </c>
      <c r="K15" s="25">
        <v>62500000</v>
      </c>
      <c r="L15" s="32">
        <f>SQRT('Physical Parameters'!E13*(2/J15-1/C15))</f>
        <v>2030.8856225363222</v>
      </c>
      <c r="M15" s="82" t="s">
        <v>81</v>
      </c>
      <c r="N15" s="72"/>
      <c r="O15" s="72"/>
      <c r="P15" s="33">
        <v>211926.35802123</v>
      </c>
      <c r="Q15" s="34"/>
      <c r="R15" s="35">
        <f t="shared" si="1"/>
        <v>2</v>
      </c>
      <c r="S15" s="36">
        <f t="shared" si="13"/>
        <v>0.45285136598645837</v>
      </c>
      <c r="T15" s="38">
        <f t="shared" si="2"/>
        <v>2.9647965292501086E-5</v>
      </c>
      <c r="U15" s="39">
        <f>P15*P12/ABS(P15-P12)</f>
        <v>212356.35317440625</v>
      </c>
      <c r="V15" s="35">
        <f t="shared" si="14"/>
        <v>2</v>
      </c>
      <c r="W15" s="36">
        <f t="shared" si="15"/>
        <v>0.45782816174081287</v>
      </c>
      <c r="X15" s="39"/>
      <c r="Y15" s="32"/>
      <c r="Z15" s="71" t="s">
        <v>79</v>
      </c>
      <c r="AA15" s="72"/>
    </row>
    <row r="16" spans="1:27" ht="12">
      <c r="B16" s="7" t="s">
        <v>96</v>
      </c>
      <c r="C16" s="25">
        <v>128500000</v>
      </c>
      <c r="D16" s="27">
        <v>0.23499999999999999</v>
      </c>
      <c r="E16" s="27">
        <v>15</v>
      </c>
      <c r="F16" s="28">
        <v>25</v>
      </c>
      <c r="G16" s="28">
        <v>10</v>
      </c>
      <c r="H16" s="30">
        <f>RADIANS(51.5662001957363)</f>
        <v>0.89999997615814287</v>
      </c>
      <c r="I16" s="7">
        <v>8</v>
      </c>
      <c r="J16" s="25">
        <v>98302500</v>
      </c>
      <c r="K16" s="29">
        <f t="shared" ref="K16:K17" si="16">J16-6000000</f>
        <v>92302500</v>
      </c>
      <c r="L16" s="32">
        <f>SQRT('Physical Parameters'!E13*(2/J16-1/C16))</f>
        <v>1884.0045538334496</v>
      </c>
      <c r="M16" s="25">
        <v>158697500</v>
      </c>
      <c r="N16" s="29">
        <f t="shared" ref="N16:N17" si="17">M16-6000000</f>
        <v>152697500</v>
      </c>
      <c r="O16" s="32">
        <f>SQRT('Physical Parameters'!E13*(2/M16-1/C16))</f>
        <v>1167.0149665446063</v>
      </c>
      <c r="P16" s="33">
        <v>544507.4</v>
      </c>
      <c r="Q16" s="34"/>
      <c r="R16" s="35">
        <f t="shared" si="1"/>
        <v>6</v>
      </c>
      <c r="S16" s="36">
        <f t="shared" si="13"/>
        <v>0.30216898148148186</v>
      </c>
      <c r="T16" s="38">
        <f t="shared" si="2"/>
        <v>1.1539210132276597E-5</v>
      </c>
      <c r="U16" s="39">
        <f>P16*P12/ABS(P16-P12)</f>
        <v>547355.04757974087</v>
      </c>
      <c r="V16" s="35">
        <f t="shared" si="14"/>
        <v>6</v>
      </c>
      <c r="W16" s="36">
        <f t="shared" si="15"/>
        <v>0.33512786550626039</v>
      </c>
      <c r="X16" s="39"/>
      <c r="Y16" s="32"/>
      <c r="Z16" s="71" t="s">
        <v>79</v>
      </c>
      <c r="AA16" s="72"/>
    </row>
    <row r="17" spans="1:27" ht="12">
      <c r="B17" s="7" t="s">
        <v>97</v>
      </c>
      <c r="C17" s="25">
        <v>179890000</v>
      </c>
      <c r="D17" s="27">
        <v>0.17085</v>
      </c>
      <c r="E17" s="27">
        <v>4.25</v>
      </c>
      <c r="F17" s="28">
        <v>15</v>
      </c>
      <c r="G17" s="28">
        <v>2</v>
      </c>
      <c r="H17" s="27">
        <v>0.9</v>
      </c>
      <c r="I17" s="7">
        <v>8</v>
      </c>
      <c r="J17" s="25">
        <v>149155794</v>
      </c>
      <c r="K17" s="29">
        <f t="shared" si="16"/>
        <v>143155794</v>
      </c>
      <c r="L17" s="32">
        <f>SQRT('Physical Parameters'!E13*(2/J17-1/C17))</f>
        <v>1489.2284223789925</v>
      </c>
      <c r="M17" s="25">
        <v>210624206</v>
      </c>
      <c r="N17" s="29">
        <f t="shared" si="17"/>
        <v>204624206</v>
      </c>
      <c r="O17" s="32">
        <f>SQRT('Physical Parameters'!E13*(2/M17-1/C17))</f>
        <v>1054.61310457026</v>
      </c>
      <c r="P17" s="25">
        <v>901902.6</v>
      </c>
      <c r="R17" s="35">
        <f t="shared" si="1"/>
        <v>10</v>
      </c>
      <c r="S17" s="36">
        <f t="shared" si="13"/>
        <v>0.43868750000000034</v>
      </c>
      <c r="T17" s="38">
        <f t="shared" si="2"/>
        <v>6.9665896374836778E-6</v>
      </c>
      <c r="U17" s="39">
        <f>P17*P12/ABS(P17-P12)</f>
        <v>909742.15270175075</v>
      </c>
      <c r="V17" s="35">
        <f t="shared" si="14"/>
        <v>10</v>
      </c>
      <c r="W17" s="36">
        <f t="shared" si="15"/>
        <v>0.52942306367767067</v>
      </c>
      <c r="X17" s="39"/>
      <c r="Y17" s="32"/>
      <c r="Z17" s="71" t="s">
        <v>79</v>
      </c>
      <c r="AA17" s="72"/>
    </row>
    <row r="18" spans="1:27" ht="12">
      <c r="A18" s="81" t="s">
        <v>99</v>
      </c>
      <c r="B18" s="72"/>
      <c r="C18" s="25">
        <v>90118820000</v>
      </c>
      <c r="D18" s="27">
        <v>0.26</v>
      </c>
      <c r="E18" s="27">
        <v>6.15</v>
      </c>
      <c r="F18" s="28">
        <v>260</v>
      </c>
      <c r="G18" s="28">
        <v>50</v>
      </c>
      <c r="H18" s="27">
        <v>3.14</v>
      </c>
      <c r="I18" s="7">
        <v>0</v>
      </c>
      <c r="J18" s="25">
        <v>66687926800</v>
      </c>
      <c r="K18" s="29">
        <f>J18-'Physical Parameters'!C3</f>
        <v>66426326800</v>
      </c>
      <c r="L18" s="32">
        <f>SQRT('Physical Parameters'!E3*(2/J18-1/C18))</f>
        <v>4706.3814268182359</v>
      </c>
      <c r="M18" s="25">
        <v>113549713200</v>
      </c>
      <c r="N18" s="29">
        <f>M18-'Physical Parameters'!C3</f>
        <v>113288113200</v>
      </c>
      <c r="O18" s="32">
        <f>SQRT('Physical Parameters'!E3*(2/M18-1/C18))</f>
        <v>2764.0652824170593</v>
      </c>
      <c r="P18" s="25">
        <v>156992048.40000001</v>
      </c>
      <c r="Q18" s="35">
        <f>FLOOR(P18/365/86400,1)</f>
        <v>4</v>
      </c>
      <c r="R18" s="35">
        <f t="shared" si="1"/>
        <v>357</v>
      </c>
      <c r="S18" s="36">
        <f>P18/86400-R18-Q18*365</f>
        <v>3.7597222222302662E-2</v>
      </c>
      <c r="T18" s="38">
        <f t="shared" si="2"/>
        <v>4.0022315596333003E-8</v>
      </c>
      <c r="U18" s="39"/>
      <c r="V18" s="34"/>
      <c r="W18" s="34"/>
      <c r="X18" s="39">
        <f>(P6*P18)/ABS(P6-P18)</f>
        <v>9776696.7582106125</v>
      </c>
      <c r="Y18" s="32">
        <f>X18/86400</f>
        <v>113.15621247928949</v>
      </c>
      <c r="Z18" s="39" t="e">
        <f ca="1">2*PI()*SQRT(POW((C18+C6)/2,3)/'Physical Parameters'!E3)/2</f>
        <v>#NAME?</v>
      </c>
      <c r="AA18" s="32" t="e">
        <f ca="1">Z18/86400</f>
        <v>#NAME?</v>
      </c>
    </row>
    <row r="19" spans="1:27" ht="12">
      <c r="C19" s="29"/>
      <c r="D19" s="80" t="s">
        <v>100</v>
      </c>
      <c r="E19" s="72"/>
      <c r="F19" s="72"/>
      <c r="G19" s="72"/>
      <c r="H19" s="72"/>
      <c r="I19" s="72"/>
      <c r="J19" s="29"/>
      <c r="K19" s="29"/>
      <c r="L19" s="61"/>
      <c r="M19" s="29"/>
      <c r="N19" s="29"/>
      <c r="O19" s="61"/>
      <c r="S19" s="62"/>
      <c r="T19" s="13"/>
      <c r="U19" s="39"/>
      <c r="V19" s="34"/>
      <c r="W19" s="34"/>
      <c r="X19" s="39"/>
      <c r="Y19" s="32"/>
      <c r="Z19" s="63"/>
      <c r="AA19" s="32"/>
    </row>
    <row r="20" spans="1:27" ht="12">
      <c r="D20" s="79" t="str">
        <f>HYPERLINK("http://kerbalspaceprogram.com/forum/showthread.php/19573-Get-Celestial-Body-Orbital-%28etc-%29-Elements-from-KSP-itself?p=270550&amp;viewfull=1#post270550","Thread: Get Celestial Body Orbital (etc.) Elements from KSP itself?")</f>
        <v>Thread: Get Celestial Body Orbital (etc.) Elements from KSP itself?</v>
      </c>
      <c r="E20" s="72"/>
      <c r="F20" s="72"/>
      <c r="G20" s="72"/>
      <c r="H20" s="72"/>
      <c r="I20" s="72"/>
      <c r="J20" s="29"/>
      <c r="K20" s="29"/>
      <c r="L20" s="61"/>
      <c r="M20" s="29"/>
      <c r="N20" s="29"/>
      <c r="O20" s="61"/>
      <c r="P20" s="29"/>
      <c r="S20" s="62"/>
      <c r="T20" s="13"/>
      <c r="U20" s="39"/>
      <c r="V20" s="34"/>
      <c r="W20" s="34"/>
      <c r="X20" s="39"/>
      <c r="Y20" s="32"/>
      <c r="Z20" s="63"/>
      <c r="AA20" s="32"/>
    </row>
    <row r="21" spans="1:27" ht="12">
      <c r="C21" s="25" t="s">
        <v>101</v>
      </c>
      <c r="D21" s="84" t="s">
        <v>102</v>
      </c>
      <c r="E21" s="72"/>
      <c r="F21" s="72"/>
      <c r="G21" s="72"/>
      <c r="H21" s="72"/>
      <c r="I21" s="72"/>
      <c r="J21" s="29"/>
      <c r="K21" s="29"/>
      <c r="L21" s="61"/>
      <c r="M21" s="29"/>
      <c r="N21" s="29"/>
      <c r="O21" s="61"/>
      <c r="P21" s="29"/>
      <c r="S21" s="62"/>
      <c r="T21" s="13"/>
      <c r="U21" s="40"/>
      <c r="V21" s="34"/>
      <c r="W21" s="34"/>
      <c r="X21" s="39"/>
      <c r="Y21" s="32"/>
      <c r="Z21" s="63"/>
      <c r="AA21" s="32"/>
    </row>
    <row r="22" spans="1:27" ht="36">
      <c r="C22" s="25" t="s">
        <v>103</v>
      </c>
      <c r="D22" s="84" t="s">
        <v>104</v>
      </c>
      <c r="E22" s="72"/>
      <c r="F22" s="72"/>
      <c r="G22" s="72"/>
      <c r="H22" s="72"/>
      <c r="I22" s="72"/>
      <c r="J22" s="29"/>
      <c r="K22" s="29"/>
      <c r="L22" s="61"/>
      <c r="M22" s="29"/>
      <c r="N22" s="29"/>
      <c r="O22" s="61"/>
      <c r="P22" s="29"/>
      <c r="S22" s="62"/>
      <c r="T22" s="13"/>
      <c r="U22" s="40"/>
      <c r="V22" s="34"/>
      <c r="W22" s="34"/>
      <c r="X22" s="39"/>
      <c r="Y22" s="32"/>
      <c r="Z22" s="63"/>
      <c r="AA22" s="32"/>
    </row>
    <row r="23" spans="1:27" ht="12">
      <c r="C23" s="80" t="s">
        <v>105</v>
      </c>
      <c r="D23" s="72"/>
      <c r="E23" s="72"/>
      <c r="F23" s="72"/>
      <c r="G23" s="72"/>
      <c r="H23" s="72"/>
      <c r="J23" s="29"/>
      <c r="K23" s="29"/>
      <c r="L23" s="61"/>
      <c r="M23" s="29"/>
      <c r="N23" s="29"/>
      <c r="O23" s="61"/>
      <c r="P23" s="29"/>
      <c r="S23" s="62"/>
      <c r="T23" s="13"/>
      <c r="U23" s="40"/>
      <c r="V23" s="34"/>
      <c r="W23" s="34"/>
      <c r="X23" s="39"/>
      <c r="Y23" s="32"/>
      <c r="Z23" s="63"/>
      <c r="AA23" s="32"/>
    </row>
    <row r="24" spans="1:27" ht="12">
      <c r="C24" s="85" t="s">
        <v>106</v>
      </c>
      <c r="D24" s="72"/>
      <c r="E24" s="72"/>
      <c r="F24" s="72"/>
      <c r="G24" s="72"/>
      <c r="H24" s="64"/>
      <c r="J24" s="29"/>
      <c r="K24" s="29"/>
      <c r="L24" s="61"/>
      <c r="M24" s="29"/>
      <c r="N24" s="29"/>
      <c r="O24" s="61"/>
      <c r="P24" s="29"/>
      <c r="S24" s="62"/>
      <c r="T24" s="13"/>
      <c r="U24" s="40"/>
      <c r="V24" s="34"/>
      <c r="W24" s="34"/>
      <c r="X24" s="39"/>
      <c r="Y24" s="32"/>
      <c r="Z24" s="63"/>
      <c r="AA24" s="32"/>
    </row>
    <row r="25" spans="1:27" ht="12">
      <c r="C25" s="29"/>
      <c r="D25" s="30"/>
      <c r="E25" s="30"/>
      <c r="F25" s="61"/>
      <c r="G25" s="61"/>
      <c r="H25" s="64"/>
      <c r="J25" s="29"/>
      <c r="K25" s="29"/>
      <c r="L25" s="61"/>
      <c r="M25" s="29"/>
      <c r="N25" s="29"/>
      <c r="O25" s="61"/>
      <c r="P25" s="29"/>
      <c r="S25" s="62"/>
      <c r="T25" s="13"/>
      <c r="U25" s="39"/>
      <c r="V25" s="34"/>
      <c r="W25" s="34"/>
      <c r="X25" s="39"/>
      <c r="Y25" s="32"/>
      <c r="Z25" s="63"/>
      <c r="AA25" s="32"/>
    </row>
    <row r="26" spans="1:27" ht="12">
      <c r="C26" s="29"/>
      <c r="D26" s="30"/>
      <c r="E26" s="30"/>
      <c r="F26" s="61"/>
      <c r="G26" s="61"/>
      <c r="H26" s="64"/>
      <c r="J26" s="29"/>
      <c r="K26" s="29"/>
      <c r="L26" s="61"/>
      <c r="M26" s="29"/>
      <c r="N26" s="29"/>
      <c r="O26" s="61"/>
      <c r="P26" s="29"/>
      <c r="S26" s="62"/>
      <c r="T26" s="13"/>
      <c r="U26" s="39"/>
      <c r="V26" s="34"/>
      <c r="W26" s="34"/>
      <c r="X26" s="39"/>
      <c r="Y26" s="32"/>
      <c r="Z26" s="63"/>
      <c r="AA26" s="32"/>
    </row>
    <row r="27" spans="1:27" ht="12">
      <c r="C27" s="29"/>
      <c r="D27" s="30"/>
      <c r="E27" s="30"/>
      <c r="F27" s="61"/>
      <c r="G27" s="61"/>
      <c r="H27" s="64"/>
      <c r="J27" s="29"/>
      <c r="K27" s="29"/>
      <c r="L27" s="61"/>
      <c r="M27" s="29"/>
      <c r="N27" s="29"/>
      <c r="O27" s="61"/>
      <c r="P27" s="29"/>
      <c r="S27" s="62"/>
      <c r="T27" s="13"/>
      <c r="U27" s="39"/>
      <c r="V27" s="34"/>
      <c r="W27" s="34"/>
      <c r="X27" s="39"/>
      <c r="Y27" s="32"/>
      <c r="Z27" s="63"/>
      <c r="AA27" s="32"/>
    </row>
    <row r="28" spans="1:27" ht="12">
      <c r="C28" s="29"/>
      <c r="D28" s="30"/>
      <c r="E28" s="30"/>
      <c r="F28" s="61"/>
      <c r="G28" s="61"/>
      <c r="H28" s="64"/>
      <c r="J28" s="29"/>
      <c r="K28" s="29"/>
      <c r="L28" s="61"/>
      <c r="M28" s="29"/>
      <c r="N28" s="29"/>
      <c r="O28" s="61"/>
      <c r="P28" s="29"/>
      <c r="S28" s="62"/>
      <c r="T28" s="13"/>
      <c r="U28" s="39"/>
      <c r="V28" s="34"/>
      <c r="W28" s="34"/>
      <c r="X28" s="39"/>
      <c r="Y28" s="32"/>
      <c r="Z28" s="63"/>
      <c r="AA28" s="32"/>
    </row>
    <row r="29" spans="1:27" ht="12">
      <c r="C29" s="29"/>
      <c r="D29" s="30"/>
      <c r="E29" s="30"/>
      <c r="F29" s="61"/>
      <c r="G29" s="61"/>
      <c r="H29" s="64"/>
      <c r="J29" s="29"/>
      <c r="K29" s="29"/>
      <c r="L29" s="61"/>
      <c r="M29" s="29"/>
      <c r="N29" s="29"/>
      <c r="O29" s="61"/>
      <c r="P29" s="29"/>
      <c r="S29" s="62"/>
      <c r="T29" s="13"/>
      <c r="U29" s="39"/>
      <c r="V29" s="34"/>
      <c r="W29" s="34"/>
      <c r="X29" s="39"/>
      <c r="Y29" s="32"/>
      <c r="Z29" s="63"/>
      <c r="AA29" s="32"/>
    </row>
    <row r="30" spans="1:27" ht="12">
      <c r="C30" s="29"/>
      <c r="D30" s="30"/>
      <c r="E30" s="30"/>
      <c r="F30" s="61"/>
      <c r="G30" s="61"/>
      <c r="H30" s="64"/>
      <c r="J30" s="29"/>
      <c r="K30" s="29"/>
      <c r="L30" s="61"/>
      <c r="M30" s="29"/>
      <c r="N30" s="29"/>
      <c r="O30" s="61"/>
      <c r="P30" s="29"/>
      <c r="S30" s="62"/>
      <c r="T30" s="13"/>
      <c r="U30" s="39"/>
      <c r="V30" s="34"/>
      <c r="W30" s="34"/>
      <c r="X30" s="39"/>
      <c r="Y30" s="32"/>
      <c r="Z30" s="63"/>
      <c r="AA30" s="32"/>
    </row>
    <row r="31" spans="1:27" ht="12">
      <c r="C31" s="29"/>
      <c r="D31" s="30"/>
      <c r="E31" s="30"/>
      <c r="F31" s="61"/>
      <c r="G31" s="61"/>
      <c r="H31" s="64"/>
      <c r="J31" s="29"/>
      <c r="K31" s="29"/>
      <c r="L31" s="61"/>
      <c r="M31" s="29"/>
      <c r="N31" s="29"/>
      <c r="O31" s="61"/>
      <c r="P31" s="29"/>
      <c r="S31" s="62"/>
      <c r="T31" s="13"/>
      <c r="U31" s="39"/>
      <c r="V31" s="34"/>
      <c r="W31" s="34"/>
      <c r="X31" s="39"/>
      <c r="Y31" s="32"/>
      <c r="Z31" s="63"/>
      <c r="AA31" s="32"/>
    </row>
    <row r="32" spans="1:27" ht="12">
      <c r="C32" s="29"/>
      <c r="D32" s="30"/>
      <c r="E32" s="30"/>
      <c r="F32" s="61"/>
      <c r="G32" s="61"/>
      <c r="H32" s="64"/>
      <c r="J32" s="29"/>
      <c r="K32" s="29"/>
      <c r="L32" s="61"/>
      <c r="M32" s="29"/>
      <c r="N32" s="29"/>
      <c r="O32" s="61"/>
      <c r="P32" s="29"/>
      <c r="S32" s="62"/>
      <c r="T32" s="13"/>
      <c r="U32" s="39"/>
      <c r="V32" s="34"/>
      <c r="W32" s="34"/>
      <c r="X32" s="39"/>
      <c r="Y32" s="32"/>
      <c r="Z32" s="63"/>
      <c r="AA32" s="32"/>
    </row>
    <row r="33" spans="3:27" ht="12">
      <c r="C33" s="29"/>
      <c r="D33" s="30"/>
      <c r="E33" s="30"/>
      <c r="F33" s="61"/>
      <c r="G33" s="61"/>
      <c r="H33" s="64"/>
      <c r="J33" s="29"/>
      <c r="K33" s="29"/>
      <c r="L33" s="61"/>
      <c r="M33" s="29"/>
      <c r="N33" s="29"/>
      <c r="O33" s="61"/>
      <c r="P33" s="29"/>
      <c r="S33" s="62"/>
      <c r="T33" s="13"/>
      <c r="U33" s="39"/>
      <c r="V33" s="34"/>
      <c r="W33" s="34"/>
      <c r="X33" s="39"/>
      <c r="Y33" s="32"/>
      <c r="Z33" s="63"/>
      <c r="AA33" s="32"/>
    </row>
    <row r="34" spans="3:27" ht="12">
      <c r="C34" s="29"/>
      <c r="D34" s="30"/>
      <c r="E34" s="30"/>
      <c r="F34" s="61"/>
      <c r="G34" s="61"/>
      <c r="H34" s="64"/>
      <c r="J34" s="29"/>
      <c r="K34" s="29"/>
      <c r="L34" s="61"/>
      <c r="M34" s="29"/>
      <c r="N34" s="29"/>
      <c r="O34" s="61"/>
      <c r="P34" s="29"/>
      <c r="S34" s="62"/>
      <c r="T34" s="13"/>
      <c r="U34" s="39"/>
      <c r="V34" s="34"/>
      <c r="W34" s="34"/>
      <c r="X34" s="39"/>
      <c r="Y34" s="32"/>
      <c r="Z34" s="63"/>
      <c r="AA34" s="32"/>
    </row>
    <row r="35" spans="3:27" ht="12">
      <c r="C35" s="29"/>
      <c r="D35" s="30"/>
      <c r="E35" s="30"/>
      <c r="F35" s="61"/>
      <c r="G35" s="61"/>
      <c r="H35" s="64"/>
      <c r="J35" s="29"/>
      <c r="K35" s="29"/>
      <c r="L35" s="61"/>
      <c r="M35" s="29"/>
      <c r="N35" s="29"/>
      <c r="O35" s="61"/>
      <c r="P35" s="29"/>
      <c r="S35" s="62"/>
      <c r="T35" s="13"/>
      <c r="U35" s="39"/>
      <c r="V35" s="34"/>
      <c r="W35" s="34"/>
      <c r="X35" s="39"/>
      <c r="Y35" s="32"/>
      <c r="Z35" s="63"/>
      <c r="AA35" s="32"/>
    </row>
    <row r="36" spans="3:27" ht="12">
      <c r="C36" s="29"/>
      <c r="D36" s="30"/>
      <c r="E36" s="30"/>
      <c r="F36" s="61"/>
      <c r="G36" s="61"/>
      <c r="H36" s="64"/>
      <c r="J36" s="29"/>
      <c r="K36" s="29"/>
      <c r="L36" s="61"/>
      <c r="M36" s="29"/>
      <c r="N36" s="29"/>
      <c r="O36" s="61"/>
      <c r="P36" s="29"/>
      <c r="S36" s="62"/>
      <c r="T36" s="13"/>
      <c r="U36" s="39"/>
      <c r="V36" s="34"/>
      <c r="W36" s="34"/>
      <c r="X36" s="39"/>
      <c r="Y36" s="32"/>
      <c r="Z36" s="63"/>
      <c r="AA36" s="32"/>
    </row>
    <row r="37" spans="3:27" ht="12">
      <c r="C37" s="29"/>
      <c r="D37" s="30"/>
      <c r="E37" s="30"/>
      <c r="F37" s="61"/>
      <c r="G37" s="61"/>
      <c r="H37" s="64"/>
      <c r="J37" s="29"/>
      <c r="K37" s="29"/>
      <c r="L37" s="61"/>
      <c r="M37" s="29"/>
      <c r="N37" s="29"/>
      <c r="O37" s="61"/>
      <c r="P37" s="29"/>
      <c r="S37" s="62"/>
      <c r="T37" s="13"/>
      <c r="U37" s="39"/>
      <c r="V37" s="34"/>
      <c r="W37" s="34"/>
      <c r="X37" s="39"/>
      <c r="Y37" s="32"/>
      <c r="Z37" s="63"/>
      <c r="AA37" s="32"/>
    </row>
    <row r="38" spans="3:27" ht="12">
      <c r="C38" s="29"/>
      <c r="D38" s="30"/>
      <c r="E38" s="30"/>
      <c r="F38" s="61"/>
      <c r="G38" s="61"/>
      <c r="H38" s="64"/>
      <c r="J38" s="29"/>
      <c r="K38" s="29"/>
      <c r="L38" s="61"/>
      <c r="M38" s="29"/>
      <c r="N38" s="29"/>
      <c r="O38" s="61"/>
      <c r="P38" s="29"/>
      <c r="S38" s="62"/>
      <c r="T38" s="13"/>
      <c r="U38" s="39"/>
      <c r="V38" s="34"/>
      <c r="W38" s="34"/>
      <c r="X38" s="39"/>
      <c r="Y38" s="32"/>
      <c r="Z38" s="63"/>
      <c r="AA38" s="32"/>
    </row>
    <row r="39" spans="3:27" ht="12">
      <c r="C39" s="29"/>
      <c r="D39" s="30"/>
      <c r="E39" s="30"/>
      <c r="F39" s="61"/>
      <c r="G39" s="61"/>
      <c r="H39" s="64"/>
      <c r="J39" s="29"/>
      <c r="K39" s="29"/>
      <c r="L39" s="61"/>
      <c r="M39" s="29"/>
      <c r="N39" s="29"/>
      <c r="O39" s="61"/>
      <c r="P39" s="29"/>
      <c r="S39" s="62"/>
      <c r="T39" s="13"/>
      <c r="U39" s="39"/>
      <c r="V39" s="34"/>
      <c r="W39" s="34"/>
      <c r="X39" s="39"/>
      <c r="Y39" s="32"/>
      <c r="Z39" s="63"/>
      <c r="AA39" s="32"/>
    </row>
    <row r="40" spans="3:27" ht="12">
      <c r="C40" s="29"/>
      <c r="D40" s="30"/>
      <c r="E40" s="30"/>
      <c r="F40" s="61"/>
      <c r="G40" s="61"/>
      <c r="H40" s="64"/>
      <c r="J40" s="29"/>
      <c r="K40" s="29"/>
      <c r="L40" s="61"/>
      <c r="M40" s="29"/>
      <c r="N40" s="29"/>
      <c r="O40" s="61"/>
      <c r="P40" s="29"/>
      <c r="S40" s="62"/>
      <c r="T40" s="13"/>
      <c r="U40" s="39"/>
      <c r="V40" s="34"/>
      <c r="W40" s="34"/>
      <c r="X40" s="39"/>
      <c r="Y40" s="32"/>
      <c r="Z40" s="63"/>
      <c r="AA40" s="32"/>
    </row>
    <row r="41" spans="3:27" ht="12">
      <c r="C41" s="29"/>
      <c r="D41" s="30"/>
      <c r="E41" s="30"/>
      <c r="F41" s="61"/>
      <c r="G41" s="61"/>
      <c r="H41" s="64"/>
      <c r="J41" s="29"/>
      <c r="K41" s="29"/>
      <c r="L41" s="61"/>
      <c r="M41" s="29"/>
      <c r="N41" s="29"/>
      <c r="O41" s="61"/>
      <c r="P41" s="29"/>
      <c r="S41" s="62"/>
      <c r="T41" s="13"/>
      <c r="U41" s="39"/>
      <c r="V41" s="34"/>
      <c r="W41" s="34"/>
      <c r="X41" s="39"/>
      <c r="Y41" s="32"/>
      <c r="Z41" s="63"/>
      <c r="AA41" s="32"/>
    </row>
    <row r="42" spans="3:27" ht="12">
      <c r="C42" s="29"/>
      <c r="D42" s="30"/>
      <c r="E42" s="30"/>
      <c r="F42" s="61"/>
      <c r="G42" s="61"/>
      <c r="H42" s="64"/>
      <c r="J42" s="29"/>
      <c r="K42" s="29"/>
      <c r="L42" s="61"/>
      <c r="M42" s="29"/>
      <c r="N42" s="29"/>
      <c r="O42" s="61"/>
      <c r="P42" s="29"/>
      <c r="S42" s="62"/>
      <c r="T42" s="13"/>
      <c r="U42" s="39"/>
      <c r="V42" s="34"/>
      <c r="W42" s="34"/>
      <c r="X42" s="39"/>
      <c r="Y42" s="32"/>
      <c r="Z42" s="63"/>
      <c r="AA42" s="32"/>
    </row>
    <row r="43" spans="3:27" ht="12">
      <c r="C43" s="29"/>
      <c r="D43" s="30"/>
      <c r="E43" s="30"/>
      <c r="F43" s="61"/>
      <c r="G43" s="61"/>
      <c r="H43" s="64"/>
      <c r="J43" s="29"/>
      <c r="K43" s="29"/>
      <c r="L43" s="61"/>
      <c r="M43" s="29"/>
      <c r="N43" s="29"/>
      <c r="O43" s="61"/>
      <c r="P43" s="29"/>
      <c r="S43" s="62"/>
      <c r="T43" s="13"/>
      <c r="U43" s="39"/>
      <c r="V43" s="34"/>
      <c r="W43" s="34"/>
      <c r="X43" s="39"/>
      <c r="Y43" s="32"/>
      <c r="Z43" s="63"/>
      <c r="AA43" s="32"/>
    </row>
    <row r="44" spans="3:27" ht="12">
      <c r="C44" s="29"/>
      <c r="D44" s="30"/>
      <c r="E44" s="30"/>
      <c r="F44" s="61"/>
      <c r="G44" s="61"/>
      <c r="H44" s="64"/>
      <c r="J44" s="29"/>
      <c r="K44" s="29"/>
      <c r="L44" s="61"/>
      <c r="M44" s="29"/>
      <c r="N44" s="29"/>
      <c r="O44" s="61"/>
      <c r="P44" s="29"/>
      <c r="S44" s="62"/>
      <c r="T44" s="13"/>
      <c r="U44" s="39"/>
      <c r="V44" s="34"/>
      <c r="W44" s="34"/>
      <c r="X44" s="39"/>
      <c r="Y44" s="32"/>
      <c r="Z44" s="63"/>
      <c r="AA44" s="32"/>
    </row>
    <row r="45" spans="3:27" ht="12">
      <c r="C45" s="29"/>
      <c r="D45" s="30"/>
      <c r="E45" s="30"/>
      <c r="F45" s="61"/>
      <c r="G45" s="61"/>
      <c r="H45" s="64"/>
      <c r="J45" s="29"/>
      <c r="K45" s="29"/>
      <c r="L45" s="61"/>
      <c r="M45" s="29"/>
      <c r="N45" s="29"/>
      <c r="O45" s="61"/>
      <c r="P45" s="29"/>
      <c r="S45" s="62"/>
      <c r="T45" s="13"/>
      <c r="U45" s="39"/>
      <c r="V45" s="34"/>
      <c r="W45" s="34"/>
      <c r="X45" s="39"/>
      <c r="Y45" s="32"/>
      <c r="Z45" s="63"/>
      <c r="AA45" s="32"/>
    </row>
    <row r="46" spans="3:27" ht="12">
      <c r="C46" s="29"/>
      <c r="D46" s="30"/>
      <c r="E46" s="30"/>
      <c r="F46" s="61"/>
      <c r="G46" s="61"/>
      <c r="H46" s="64"/>
      <c r="J46" s="29"/>
      <c r="K46" s="29"/>
      <c r="L46" s="61"/>
      <c r="M46" s="29"/>
      <c r="N46" s="29"/>
      <c r="O46" s="61"/>
      <c r="P46" s="29"/>
      <c r="S46" s="62"/>
      <c r="T46" s="13"/>
      <c r="U46" s="39"/>
      <c r="V46" s="34"/>
      <c r="W46" s="34"/>
      <c r="X46" s="39"/>
      <c r="Y46" s="32"/>
      <c r="Z46" s="63"/>
      <c r="AA46" s="32"/>
    </row>
    <row r="47" spans="3:27" ht="12">
      <c r="C47" s="29"/>
      <c r="D47" s="30"/>
      <c r="E47" s="30"/>
      <c r="F47" s="61"/>
      <c r="G47" s="61"/>
      <c r="H47" s="64"/>
      <c r="J47" s="29"/>
      <c r="K47" s="29"/>
      <c r="L47" s="61"/>
      <c r="M47" s="29"/>
      <c r="N47" s="29"/>
      <c r="O47" s="61"/>
      <c r="P47" s="29"/>
      <c r="S47" s="62"/>
      <c r="T47" s="13"/>
      <c r="U47" s="39"/>
      <c r="V47" s="34"/>
      <c r="W47" s="34"/>
      <c r="X47" s="39"/>
      <c r="Y47" s="32"/>
      <c r="Z47" s="63"/>
      <c r="AA47" s="32"/>
    </row>
    <row r="48" spans="3:27" ht="12">
      <c r="C48" s="29"/>
      <c r="D48" s="30"/>
      <c r="E48" s="30"/>
      <c r="F48" s="61"/>
      <c r="G48" s="61"/>
      <c r="H48" s="64"/>
      <c r="J48" s="29"/>
      <c r="K48" s="29"/>
      <c r="L48" s="61"/>
      <c r="M48" s="29"/>
      <c r="N48" s="29"/>
      <c r="O48" s="61"/>
      <c r="P48" s="29"/>
      <c r="S48" s="62"/>
      <c r="T48" s="13"/>
      <c r="U48" s="39"/>
      <c r="V48" s="34"/>
      <c r="W48" s="34"/>
      <c r="X48" s="39"/>
      <c r="Y48" s="32"/>
      <c r="Z48" s="63"/>
      <c r="AA48" s="32"/>
    </row>
    <row r="49" spans="3:27" ht="12">
      <c r="C49" s="29"/>
      <c r="D49" s="30"/>
      <c r="E49" s="30"/>
      <c r="F49" s="61"/>
      <c r="G49" s="61"/>
      <c r="H49" s="64"/>
      <c r="J49" s="29"/>
      <c r="K49" s="29"/>
      <c r="L49" s="61"/>
      <c r="M49" s="29"/>
      <c r="N49" s="29"/>
      <c r="O49" s="61"/>
      <c r="P49" s="29"/>
      <c r="S49" s="62"/>
      <c r="T49" s="13"/>
      <c r="U49" s="39"/>
      <c r="V49" s="34"/>
      <c r="W49" s="34"/>
      <c r="X49" s="39"/>
      <c r="Y49" s="32"/>
      <c r="Z49" s="63"/>
      <c r="AA49" s="32"/>
    </row>
    <row r="50" spans="3:27" ht="12">
      <c r="C50" s="29"/>
      <c r="D50" s="30"/>
      <c r="E50" s="30"/>
      <c r="F50" s="61"/>
      <c r="G50" s="61"/>
      <c r="H50" s="64"/>
      <c r="J50" s="29"/>
      <c r="K50" s="29"/>
      <c r="L50" s="61"/>
      <c r="M50" s="29"/>
      <c r="N50" s="29"/>
      <c r="O50" s="61"/>
      <c r="P50" s="29"/>
      <c r="S50" s="62"/>
      <c r="T50" s="13"/>
      <c r="U50" s="39"/>
      <c r="V50" s="34"/>
      <c r="W50" s="34"/>
      <c r="X50" s="39"/>
      <c r="Y50" s="32"/>
      <c r="Z50" s="63"/>
      <c r="AA50" s="32"/>
    </row>
    <row r="51" spans="3:27" ht="12">
      <c r="C51" s="29"/>
      <c r="D51" s="30"/>
      <c r="E51" s="30"/>
      <c r="F51" s="61"/>
      <c r="G51" s="61"/>
      <c r="H51" s="64"/>
      <c r="J51" s="29"/>
      <c r="K51" s="29"/>
      <c r="L51" s="61"/>
      <c r="M51" s="29"/>
      <c r="N51" s="29"/>
      <c r="O51" s="61"/>
      <c r="P51" s="29"/>
      <c r="S51" s="62"/>
      <c r="T51" s="13"/>
      <c r="U51" s="39"/>
      <c r="V51" s="34"/>
      <c r="W51" s="34"/>
      <c r="X51" s="39"/>
      <c r="Y51" s="32"/>
      <c r="Z51" s="63"/>
      <c r="AA51" s="32"/>
    </row>
    <row r="52" spans="3:27" ht="12">
      <c r="C52" s="29"/>
      <c r="D52" s="30"/>
      <c r="E52" s="30"/>
      <c r="F52" s="61"/>
      <c r="G52" s="61"/>
      <c r="H52" s="64"/>
      <c r="J52" s="29"/>
      <c r="K52" s="29"/>
      <c r="L52" s="61"/>
      <c r="M52" s="29"/>
      <c r="N52" s="29"/>
      <c r="O52" s="61"/>
      <c r="P52" s="29"/>
      <c r="S52" s="62"/>
      <c r="T52" s="13"/>
      <c r="U52" s="39"/>
      <c r="V52" s="34"/>
      <c r="W52" s="34"/>
      <c r="X52" s="39"/>
      <c r="Y52" s="32"/>
      <c r="Z52" s="63"/>
      <c r="AA52" s="32"/>
    </row>
    <row r="53" spans="3:27" ht="12">
      <c r="C53" s="29"/>
      <c r="D53" s="30"/>
      <c r="E53" s="30"/>
      <c r="F53" s="61"/>
      <c r="G53" s="61"/>
      <c r="H53" s="64"/>
      <c r="J53" s="29"/>
      <c r="K53" s="29"/>
      <c r="L53" s="61"/>
      <c r="M53" s="29"/>
      <c r="N53" s="29"/>
      <c r="O53" s="61"/>
      <c r="P53" s="29"/>
      <c r="S53" s="62"/>
      <c r="T53" s="13"/>
      <c r="U53" s="39"/>
      <c r="V53" s="34"/>
      <c r="W53" s="34"/>
      <c r="X53" s="39"/>
      <c r="Y53" s="32"/>
      <c r="Z53" s="63"/>
      <c r="AA53" s="32"/>
    </row>
    <row r="54" spans="3:27" ht="12">
      <c r="C54" s="29"/>
      <c r="D54" s="30"/>
      <c r="E54" s="30"/>
      <c r="F54" s="61"/>
      <c r="G54" s="61"/>
      <c r="H54" s="64"/>
      <c r="J54" s="29"/>
      <c r="K54" s="29"/>
      <c r="L54" s="61"/>
      <c r="M54" s="29"/>
      <c r="N54" s="29"/>
      <c r="O54" s="61"/>
      <c r="P54" s="29"/>
      <c r="S54" s="62"/>
      <c r="T54" s="13"/>
      <c r="U54" s="39"/>
      <c r="V54" s="34"/>
      <c r="W54" s="34"/>
      <c r="X54" s="39"/>
      <c r="Y54" s="32"/>
      <c r="Z54" s="63"/>
      <c r="AA54" s="32"/>
    </row>
    <row r="55" spans="3:27" ht="12">
      <c r="C55" s="29"/>
      <c r="D55" s="30"/>
      <c r="E55" s="30"/>
      <c r="F55" s="61"/>
      <c r="G55" s="61"/>
      <c r="H55" s="64"/>
      <c r="J55" s="29"/>
      <c r="K55" s="29"/>
      <c r="L55" s="61"/>
      <c r="M55" s="29"/>
      <c r="N55" s="29"/>
      <c r="O55" s="61"/>
      <c r="P55" s="29"/>
      <c r="S55" s="62"/>
      <c r="T55" s="13"/>
      <c r="U55" s="39"/>
      <c r="V55" s="34"/>
      <c r="W55" s="34"/>
      <c r="X55" s="39"/>
      <c r="Y55" s="32"/>
      <c r="Z55" s="63"/>
      <c r="AA55" s="32"/>
    </row>
    <row r="56" spans="3:27" ht="12">
      <c r="C56" s="29"/>
      <c r="D56" s="30"/>
      <c r="E56" s="30"/>
      <c r="F56" s="61"/>
      <c r="G56" s="61"/>
      <c r="H56" s="64"/>
      <c r="J56" s="29"/>
      <c r="K56" s="29"/>
      <c r="L56" s="61"/>
      <c r="M56" s="29"/>
      <c r="N56" s="29"/>
      <c r="O56" s="61"/>
      <c r="P56" s="29"/>
      <c r="S56" s="62"/>
      <c r="T56" s="13"/>
      <c r="U56" s="39"/>
      <c r="V56" s="34"/>
      <c r="W56" s="34"/>
      <c r="X56" s="39"/>
      <c r="Y56" s="32"/>
      <c r="Z56" s="63"/>
      <c r="AA56" s="32"/>
    </row>
    <row r="57" spans="3:27" ht="12">
      <c r="C57" s="29"/>
      <c r="D57" s="30"/>
      <c r="E57" s="30"/>
      <c r="F57" s="61"/>
      <c r="G57" s="61"/>
      <c r="H57" s="64"/>
      <c r="J57" s="29"/>
      <c r="K57" s="29"/>
      <c r="L57" s="61"/>
      <c r="M57" s="29"/>
      <c r="N57" s="29"/>
      <c r="O57" s="61"/>
      <c r="P57" s="29"/>
      <c r="S57" s="62"/>
      <c r="T57" s="13"/>
      <c r="U57" s="39"/>
      <c r="V57" s="34"/>
      <c r="W57" s="34"/>
      <c r="X57" s="39"/>
      <c r="Y57" s="32"/>
      <c r="Z57" s="63"/>
      <c r="AA57" s="32"/>
    </row>
    <row r="58" spans="3:27" ht="12">
      <c r="C58" s="29"/>
      <c r="D58" s="30"/>
      <c r="E58" s="30"/>
      <c r="F58" s="61"/>
      <c r="G58" s="61"/>
      <c r="H58" s="64"/>
      <c r="J58" s="29"/>
      <c r="K58" s="29"/>
      <c r="L58" s="61"/>
      <c r="M58" s="29"/>
      <c r="N58" s="29"/>
      <c r="O58" s="61"/>
      <c r="P58" s="29"/>
      <c r="S58" s="62"/>
      <c r="T58" s="13"/>
      <c r="U58" s="39"/>
      <c r="V58" s="34"/>
      <c r="W58" s="34"/>
      <c r="X58" s="39"/>
      <c r="Y58" s="32"/>
      <c r="Z58" s="63"/>
      <c r="AA58" s="32"/>
    </row>
    <row r="59" spans="3:27" ht="12">
      <c r="C59" s="29"/>
      <c r="D59" s="30"/>
      <c r="E59" s="30"/>
      <c r="F59" s="61"/>
      <c r="G59" s="61"/>
      <c r="H59" s="64"/>
      <c r="J59" s="29"/>
      <c r="K59" s="29"/>
      <c r="L59" s="61"/>
      <c r="M59" s="29"/>
      <c r="N59" s="29"/>
      <c r="O59" s="61"/>
      <c r="P59" s="29"/>
      <c r="S59" s="62"/>
      <c r="T59" s="13"/>
      <c r="U59" s="39"/>
      <c r="V59" s="34"/>
      <c r="W59" s="34"/>
      <c r="X59" s="39"/>
      <c r="Y59" s="32"/>
      <c r="Z59" s="63"/>
      <c r="AA59" s="32"/>
    </row>
    <row r="60" spans="3:27" ht="12">
      <c r="C60" s="29"/>
      <c r="D60" s="30"/>
      <c r="E60" s="30"/>
      <c r="F60" s="61"/>
      <c r="G60" s="61"/>
      <c r="H60" s="64"/>
      <c r="J60" s="29"/>
      <c r="K60" s="29"/>
      <c r="L60" s="61"/>
      <c r="M60" s="29"/>
      <c r="N60" s="29"/>
      <c r="O60" s="61"/>
      <c r="P60" s="29"/>
      <c r="S60" s="62"/>
      <c r="T60" s="13"/>
      <c r="U60" s="39"/>
      <c r="V60" s="34"/>
      <c r="W60" s="34"/>
      <c r="X60" s="39"/>
      <c r="Y60" s="32"/>
      <c r="Z60" s="63"/>
      <c r="AA60" s="32"/>
    </row>
    <row r="61" spans="3:27" ht="12">
      <c r="C61" s="29"/>
      <c r="D61" s="30"/>
      <c r="E61" s="30"/>
      <c r="F61" s="61"/>
      <c r="G61" s="61"/>
      <c r="H61" s="64"/>
      <c r="J61" s="29"/>
      <c r="K61" s="29"/>
      <c r="L61" s="61"/>
      <c r="M61" s="29"/>
      <c r="N61" s="29"/>
      <c r="O61" s="61"/>
      <c r="P61" s="29"/>
      <c r="S61" s="62"/>
      <c r="T61" s="13"/>
      <c r="U61" s="39"/>
      <c r="V61" s="34"/>
      <c r="W61" s="34"/>
      <c r="X61" s="39"/>
      <c r="Y61" s="32"/>
      <c r="Z61" s="63"/>
      <c r="AA61" s="32"/>
    </row>
    <row r="62" spans="3:27" ht="12">
      <c r="C62" s="29"/>
      <c r="D62" s="30"/>
      <c r="E62" s="30"/>
      <c r="F62" s="61"/>
      <c r="G62" s="61"/>
      <c r="H62" s="64"/>
      <c r="J62" s="29"/>
      <c r="K62" s="29"/>
      <c r="L62" s="61"/>
      <c r="M62" s="29"/>
      <c r="N62" s="29"/>
      <c r="O62" s="61"/>
      <c r="P62" s="29"/>
      <c r="S62" s="62"/>
      <c r="T62" s="13"/>
      <c r="U62" s="39"/>
      <c r="V62" s="34"/>
      <c r="W62" s="34"/>
      <c r="X62" s="39"/>
      <c r="Y62" s="32"/>
      <c r="Z62" s="63"/>
      <c r="AA62" s="32"/>
    </row>
    <row r="63" spans="3:27" ht="12">
      <c r="C63" s="29"/>
      <c r="D63" s="30"/>
      <c r="E63" s="30"/>
      <c r="F63" s="61"/>
      <c r="G63" s="61"/>
      <c r="H63" s="64"/>
      <c r="J63" s="29"/>
      <c r="K63" s="29"/>
      <c r="L63" s="61"/>
      <c r="M63" s="29"/>
      <c r="N63" s="29"/>
      <c r="O63" s="61"/>
      <c r="P63" s="29"/>
      <c r="S63" s="62"/>
      <c r="T63" s="13"/>
      <c r="U63" s="39"/>
      <c r="V63" s="34"/>
      <c r="W63" s="34"/>
      <c r="X63" s="39"/>
      <c r="Y63" s="32"/>
      <c r="Z63" s="63"/>
      <c r="AA63" s="32"/>
    </row>
    <row r="64" spans="3:27" ht="12">
      <c r="C64" s="29"/>
      <c r="D64" s="30"/>
      <c r="E64" s="30"/>
      <c r="F64" s="61"/>
      <c r="G64" s="61"/>
      <c r="H64" s="64"/>
      <c r="J64" s="29"/>
      <c r="K64" s="29"/>
      <c r="L64" s="61"/>
      <c r="M64" s="29"/>
      <c r="N64" s="29"/>
      <c r="O64" s="61"/>
      <c r="P64" s="29"/>
      <c r="S64" s="62"/>
      <c r="T64" s="13"/>
      <c r="U64" s="39"/>
      <c r="V64" s="34"/>
      <c r="W64" s="34"/>
      <c r="X64" s="39"/>
      <c r="Y64" s="32"/>
      <c r="Z64" s="63"/>
      <c r="AA64" s="32"/>
    </row>
    <row r="65" spans="3:27" ht="12">
      <c r="C65" s="29"/>
      <c r="D65" s="30"/>
      <c r="E65" s="30"/>
      <c r="F65" s="61"/>
      <c r="G65" s="61"/>
      <c r="H65" s="64"/>
      <c r="J65" s="29"/>
      <c r="K65" s="29"/>
      <c r="L65" s="61"/>
      <c r="M65" s="29"/>
      <c r="N65" s="29"/>
      <c r="O65" s="61"/>
      <c r="P65" s="29"/>
      <c r="S65" s="62"/>
      <c r="T65" s="13"/>
      <c r="U65" s="39"/>
      <c r="V65" s="34"/>
      <c r="W65" s="34"/>
      <c r="X65" s="39"/>
      <c r="Y65" s="32"/>
      <c r="Z65" s="63"/>
      <c r="AA65" s="32"/>
    </row>
    <row r="66" spans="3:27" ht="12">
      <c r="C66" s="29"/>
      <c r="D66" s="30"/>
      <c r="E66" s="30"/>
      <c r="F66" s="61"/>
      <c r="G66" s="61"/>
      <c r="H66" s="64"/>
      <c r="J66" s="29"/>
      <c r="K66" s="29"/>
      <c r="L66" s="61"/>
      <c r="M66" s="29"/>
      <c r="N66" s="29"/>
      <c r="O66" s="61"/>
      <c r="P66" s="29"/>
      <c r="S66" s="62"/>
      <c r="T66" s="13"/>
      <c r="U66" s="39"/>
      <c r="V66" s="34"/>
      <c r="W66" s="34"/>
      <c r="X66" s="39"/>
      <c r="Y66" s="32"/>
      <c r="Z66" s="63"/>
      <c r="AA66" s="32"/>
    </row>
    <row r="67" spans="3:27" ht="12">
      <c r="C67" s="29"/>
      <c r="D67" s="30"/>
      <c r="E67" s="30"/>
      <c r="F67" s="61"/>
      <c r="G67" s="61"/>
      <c r="H67" s="64"/>
      <c r="J67" s="29"/>
      <c r="K67" s="29"/>
      <c r="L67" s="61"/>
      <c r="M67" s="29"/>
      <c r="N67" s="29"/>
      <c r="O67" s="61"/>
      <c r="P67" s="29"/>
      <c r="S67" s="62"/>
      <c r="T67" s="13"/>
      <c r="U67" s="39"/>
      <c r="V67" s="34"/>
      <c r="W67" s="34"/>
      <c r="X67" s="39"/>
      <c r="Y67" s="32"/>
      <c r="Z67" s="63"/>
      <c r="AA67" s="32"/>
    </row>
    <row r="68" spans="3:27" ht="12">
      <c r="C68" s="29"/>
      <c r="D68" s="30"/>
      <c r="E68" s="30"/>
      <c r="F68" s="61"/>
      <c r="G68" s="61"/>
      <c r="H68" s="64"/>
      <c r="J68" s="29"/>
      <c r="K68" s="29"/>
      <c r="L68" s="61"/>
      <c r="M68" s="29"/>
      <c r="N68" s="29"/>
      <c r="O68" s="61"/>
      <c r="P68" s="29"/>
      <c r="S68" s="62"/>
      <c r="T68" s="13"/>
      <c r="U68" s="39"/>
      <c r="V68" s="34"/>
      <c r="W68" s="34"/>
      <c r="X68" s="39"/>
      <c r="Y68" s="32"/>
      <c r="Z68" s="63"/>
      <c r="AA68" s="32"/>
    </row>
    <row r="69" spans="3:27" ht="12">
      <c r="C69" s="29"/>
      <c r="D69" s="30"/>
      <c r="E69" s="30"/>
      <c r="F69" s="61"/>
      <c r="G69" s="61"/>
      <c r="H69" s="64"/>
      <c r="J69" s="29"/>
      <c r="K69" s="29"/>
      <c r="L69" s="61"/>
      <c r="M69" s="29"/>
      <c r="N69" s="29"/>
      <c r="O69" s="61"/>
      <c r="P69" s="29"/>
      <c r="S69" s="62"/>
      <c r="T69" s="13"/>
      <c r="U69" s="39"/>
      <c r="V69" s="34"/>
      <c r="W69" s="34"/>
      <c r="X69" s="39"/>
      <c r="Y69" s="32"/>
      <c r="Z69" s="63"/>
      <c r="AA69" s="32"/>
    </row>
    <row r="70" spans="3:27" ht="12">
      <c r="C70" s="29"/>
      <c r="D70" s="30"/>
      <c r="E70" s="30"/>
      <c r="F70" s="61"/>
      <c r="G70" s="61"/>
      <c r="H70" s="64"/>
      <c r="J70" s="29"/>
      <c r="K70" s="29"/>
      <c r="L70" s="61"/>
      <c r="M70" s="29"/>
      <c r="N70" s="29"/>
      <c r="O70" s="61"/>
      <c r="P70" s="29"/>
      <c r="S70" s="62"/>
      <c r="T70" s="13"/>
      <c r="U70" s="39"/>
      <c r="V70" s="34"/>
      <c r="W70" s="34"/>
      <c r="X70" s="39"/>
      <c r="Y70" s="32"/>
      <c r="Z70" s="63"/>
      <c r="AA70" s="32"/>
    </row>
    <row r="71" spans="3:27" ht="12">
      <c r="C71" s="29"/>
      <c r="D71" s="30"/>
      <c r="E71" s="30"/>
      <c r="F71" s="61"/>
      <c r="G71" s="61"/>
      <c r="H71" s="64"/>
      <c r="J71" s="29"/>
      <c r="K71" s="29"/>
      <c r="L71" s="61"/>
      <c r="M71" s="29"/>
      <c r="N71" s="29"/>
      <c r="O71" s="61"/>
      <c r="P71" s="29"/>
      <c r="S71" s="62"/>
      <c r="T71" s="13"/>
      <c r="U71" s="39"/>
      <c r="V71" s="34"/>
      <c r="W71" s="34"/>
      <c r="X71" s="39"/>
      <c r="Y71" s="32"/>
      <c r="Z71" s="63"/>
      <c r="AA71" s="32"/>
    </row>
    <row r="72" spans="3:27" ht="12">
      <c r="C72" s="29"/>
      <c r="D72" s="30"/>
      <c r="E72" s="30"/>
      <c r="F72" s="61"/>
      <c r="G72" s="61"/>
      <c r="H72" s="64"/>
      <c r="J72" s="29"/>
      <c r="K72" s="29"/>
      <c r="L72" s="61"/>
      <c r="M72" s="29"/>
      <c r="N72" s="29"/>
      <c r="O72" s="61"/>
      <c r="P72" s="29"/>
      <c r="S72" s="62"/>
      <c r="T72" s="13"/>
      <c r="U72" s="39"/>
      <c r="V72" s="34"/>
      <c r="W72" s="34"/>
      <c r="X72" s="39"/>
      <c r="Y72" s="32"/>
      <c r="Z72" s="63"/>
      <c r="AA72" s="32"/>
    </row>
    <row r="73" spans="3:27" ht="12">
      <c r="C73" s="29"/>
      <c r="D73" s="30"/>
      <c r="E73" s="30"/>
      <c r="F73" s="61"/>
      <c r="G73" s="61"/>
      <c r="H73" s="64"/>
      <c r="J73" s="29"/>
      <c r="K73" s="29"/>
      <c r="L73" s="61"/>
      <c r="M73" s="29"/>
      <c r="N73" s="29"/>
      <c r="O73" s="61"/>
      <c r="P73" s="29"/>
      <c r="S73" s="62"/>
      <c r="T73" s="13"/>
      <c r="U73" s="39"/>
      <c r="V73" s="34"/>
      <c r="W73" s="34"/>
      <c r="X73" s="39"/>
      <c r="Y73" s="32"/>
      <c r="Z73" s="63"/>
      <c r="AA73" s="32"/>
    </row>
    <row r="74" spans="3:27" ht="12">
      <c r="C74" s="29"/>
      <c r="D74" s="30"/>
      <c r="E74" s="30"/>
      <c r="F74" s="61"/>
      <c r="G74" s="61"/>
      <c r="H74" s="64"/>
      <c r="J74" s="29"/>
      <c r="K74" s="29"/>
      <c r="L74" s="61"/>
      <c r="M74" s="29"/>
      <c r="N74" s="29"/>
      <c r="O74" s="61"/>
      <c r="P74" s="29"/>
      <c r="S74" s="62"/>
      <c r="T74" s="13"/>
      <c r="U74" s="39"/>
      <c r="V74" s="34"/>
      <c r="W74" s="34"/>
      <c r="X74" s="39"/>
      <c r="Y74" s="32"/>
      <c r="Z74" s="63"/>
      <c r="AA74" s="32"/>
    </row>
    <row r="75" spans="3:27" ht="12">
      <c r="C75" s="29"/>
      <c r="D75" s="30"/>
      <c r="E75" s="30"/>
      <c r="F75" s="61"/>
      <c r="G75" s="61"/>
      <c r="H75" s="64"/>
      <c r="J75" s="29"/>
      <c r="K75" s="29"/>
      <c r="L75" s="61"/>
      <c r="M75" s="29"/>
      <c r="N75" s="29"/>
      <c r="O75" s="61"/>
      <c r="P75" s="29"/>
      <c r="S75" s="62"/>
      <c r="T75" s="13"/>
      <c r="U75" s="39"/>
      <c r="V75" s="34"/>
      <c r="W75" s="34"/>
      <c r="X75" s="39"/>
      <c r="Y75" s="32"/>
      <c r="Z75" s="63"/>
      <c r="AA75" s="32"/>
    </row>
    <row r="76" spans="3:27" ht="12">
      <c r="C76" s="29"/>
      <c r="D76" s="30"/>
      <c r="E76" s="30"/>
      <c r="F76" s="61"/>
      <c r="G76" s="61"/>
      <c r="H76" s="64"/>
      <c r="J76" s="29"/>
      <c r="K76" s="29"/>
      <c r="L76" s="61"/>
      <c r="M76" s="29"/>
      <c r="N76" s="29"/>
      <c r="O76" s="61"/>
      <c r="P76" s="29"/>
      <c r="S76" s="62"/>
      <c r="T76" s="13"/>
      <c r="U76" s="39"/>
      <c r="V76" s="34"/>
      <c r="W76" s="34"/>
      <c r="X76" s="39"/>
      <c r="Y76" s="32"/>
      <c r="Z76" s="63"/>
      <c r="AA76" s="32"/>
    </row>
    <row r="77" spans="3:27" ht="12">
      <c r="C77" s="29"/>
      <c r="D77" s="30"/>
      <c r="E77" s="30"/>
      <c r="F77" s="61"/>
      <c r="G77" s="61"/>
      <c r="H77" s="64"/>
      <c r="J77" s="29"/>
      <c r="K77" s="29"/>
      <c r="L77" s="61"/>
      <c r="M77" s="29"/>
      <c r="N77" s="29"/>
      <c r="O77" s="61"/>
      <c r="P77" s="29"/>
      <c r="S77" s="62"/>
      <c r="T77" s="13"/>
      <c r="U77" s="39"/>
      <c r="V77" s="34"/>
      <c r="W77" s="34"/>
      <c r="X77" s="39"/>
      <c r="Y77" s="32"/>
      <c r="Z77" s="63"/>
      <c r="AA77" s="32"/>
    </row>
    <row r="78" spans="3:27" ht="12">
      <c r="C78" s="29"/>
      <c r="D78" s="30"/>
      <c r="E78" s="30"/>
      <c r="F78" s="61"/>
      <c r="G78" s="61"/>
      <c r="H78" s="64"/>
      <c r="J78" s="29"/>
      <c r="K78" s="29"/>
      <c r="L78" s="61"/>
      <c r="M78" s="29"/>
      <c r="N78" s="29"/>
      <c r="O78" s="61"/>
      <c r="P78" s="29"/>
      <c r="S78" s="62"/>
      <c r="T78" s="13"/>
      <c r="U78" s="39"/>
      <c r="V78" s="34"/>
      <c r="W78" s="34"/>
      <c r="X78" s="39"/>
      <c r="Y78" s="32"/>
      <c r="Z78" s="63"/>
      <c r="AA78" s="32"/>
    </row>
    <row r="79" spans="3:27" ht="12">
      <c r="C79" s="29"/>
      <c r="D79" s="30"/>
      <c r="E79" s="30"/>
      <c r="F79" s="61"/>
      <c r="G79" s="61"/>
      <c r="H79" s="64"/>
      <c r="J79" s="29"/>
      <c r="K79" s="29"/>
      <c r="L79" s="61"/>
      <c r="M79" s="29"/>
      <c r="N79" s="29"/>
      <c r="O79" s="61"/>
      <c r="P79" s="29"/>
      <c r="S79" s="62"/>
      <c r="T79" s="13"/>
      <c r="U79" s="39"/>
      <c r="V79" s="34"/>
      <c r="W79" s="34"/>
      <c r="X79" s="39"/>
      <c r="Y79" s="32"/>
      <c r="Z79" s="63"/>
      <c r="AA79" s="32"/>
    </row>
    <row r="80" spans="3:27" ht="12">
      <c r="C80" s="29"/>
      <c r="D80" s="30"/>
      <c r="E80" s="30"/>
      <c r="F80" s="61"/>
      <c r="G80" s="61"/>
      <c r="H80" s="64"/>
      <c r="J80" s="29"/>
      <c r="K80" s="29"/>
      <c r="L80" s="61"/>
      <c r="M80" s="29"/>
      <c r="N80" s="29"/>
      <c r="O80" s="61"/>
      <c r="P80" s="29"/>
      <c r="S80" s="62"/>
      <c r="T80" s="13"/>
      <c r="U80" s="39"/>
      <c r="V80" s="34"/>
      <c r="W80" s="34"/>
      <c r="X80" s="39"/>
      <c r="Y80" s="32"/>
      <c r="Z80" s="63"/>
      <c r="AA80" s="32"/>
    </row>
    <row r="81" spans="3:27" ht="12">
      <c r="C81" s="29"/>
      <c r="D81" s="30"/>
      <c r="E81" s="30"/>
      <c r="F81" s="61"/>
      <c r="G81" s="61"/>
      <c r="H81" s="64"/>
      <c r="J81" s="29"/>
      <c r="K81" s="29"/>
      <c r="L81" s="61"/>
      <c r="M81" s="29"/>
      <c r="N81" s="29"/>
      <c r="O81" s="61"/>
      <c r="P81" s="29"/>
      <c r="S81" s="62"/>
      <c r="T81" s="13"/>
      <c r="U81" s="39"/>
      <c r="V81" s="34"/>
      <c r="W81" s="34"/>
      <c r="X81" s="39"/>
      <c r="Y81" s="32"/>
      <c r="Z81" s="63"/>
      <c r="AA81" s="32"/>
    </row>
    <row r="82" spans="3:27" ht="12">
      <c r="C82" s="29"/>
      <c r="D82" s="30"/>
      <c r="E82" s="30"/>
      <c r="F82" s="61"/>
      <c r="G82" s="61"/>
      <c r="H82" s="64"/>
      <c r="J82" s="29"/>
      <c r="K82" s="29"/>
      <c r="L82" s="61"/>
      <c r="M82" s="29"/>
      <c r="N82" s="29"/>
      <c r="O82" s="61"/>
      <c r="P82" s="29"/>
      <c r="S82" s="62"/>
      <c r="T82" s="13"/>
      <c r="U82" s="39"/>
      <c r="V82" s="34"/>
      <c r="W82" s="34"/>
      <c r="X82" s="39"/>
      <c r="Y82" s="32"/>
      <c r="Z82" s="63"/>
      <c r="AA82" s="32"/>
    </row>
    <row r="83" spans="3:27" ht="12">
      <c r="C83" s="29"/>
      <c r="D83" s="30"/>
      <c r="E83" s="30"/>
      <c r="F83" s="61"/>
      <c r="G83" s="61"/>
      <c r="H83" s="64"/>
      <c r="J83" s="29"/>
      <c r="K83" s="29"/>
      <c r="L83" s="61"/>
      <c r="M83" s="29"/>
      <c r="N83" s="29"/>
      <c r="O83" s="61"/>
      <c r="P83" s="29"/>
      <c r="S83" s="62"/>
      <c r="T83" s="13"/>
      <c r="U83" s="39"/>
      <c r="V83" s="34"/>
      <c r="W83" s="34"/>
      <c r="X83" s="39"/>
      <c r="Y83" s="32"/>
      <c r="Z83" s="63"/>
      <c r="AA83" s="32"/>
    </row>
    <row r="84" spans="3:27" ht="12">
      <c r="C84" s="29"/>
      <c r="D84" s="30"/>
      <c r="E84" s="30"/>
      <c r="F84" s="61"/>
      <c r="G84" s="61"/>
      <c r="H84" s="64"/>
      <c r="J84" s="29"/>
      <c r="K84" s="29"/>
      <c r="L84" s="61"/>
      <c r="M84" s="29"/>
      <c r="N84" s="29"/>
      <c r="O84" s="61"/>
      <c r="P84" s="29"/>
      <c r="S84" s="62"/>
      <c r="T84" s="13"/>
      <c r="U84" s="39"/>
      <c r="V84" s="34"/>
      <c r="W84" s="34"/>
      <c r="X84" s="39"/>
      <c r="Y84" s="32"/>
      <c r="Z84" s="63"/>
      <c r="AA84" s="32"/>
    </row>
    <row r="85" spans="3:27" ht="12">
      <c r="C85" s="29"/>
      <c r="D85" s="30"/>
      <c r="E85" s="30"/>
      <c r="F85" s="61"/>
      <c r="G85" s="61"/>
      <c r="H85" s="64"/>
      <c r="J85" s="29"/>
      <c r="K85" s="29"/>
      <c r="L85" s="61"/>
      <c r="M85" s="29"/>
      <c r="N85" s="29"/>
      <c r="O85" s="61"/>
      <c r="P85" s="29"/>
      <c r="S85" s="62"/>
      <c r="T85" s="13"/>
      <c r="U85" s="39"/>
      <c r="V85" s="34"/>
      <c r="W85" s="34"/>
      <c r="X85" s="39"/>
      <c r="Y85" s="32"/>
      <c r="Z85" s="63"/>
      <c r="AA85" s="32"/>
    </row>
    <row r="86" spans="3:27" ht="12">
      <c r="C86" s="29"/>
      <c r="D86" s="30"/>
      <c r="E86" s="30"/>
      <c r="F86" s="61"/>
      <c r="G86" s="61"/>
      <c r="H86" s="64"/>
      <c r="J86" s="29"/>
      <c r="K86" s="29"/>
      <c r="L86" s="61"/>
      <c r="M86" s="29"/>
      <c r="N86" s="29"/>
      <c r="O86" s="61"/>
      <c r="P86" s="29"/>
      <c r="S86" s="62"/>
      <c r="T86" s="13"/>
      <c r="U86" s="39"/>
      <c r="V86" s="34"/>
      <c r="W86" s="34"/>
      <c r="X86" s="39"/>
      <c r="Y86" s="32"/>
      <c r="Z86" s="63"/>
      <c r="AA86" s="32"/>
    </row>
    <row r="87" spans="3:27" ht="12">
      <c r="C87" s="29"/>
      <c r="D87" s="30"/>
      <c r="E87" s="30"/>
      <c r="F87" s="61"/>
      <c r="G87" s="61"/>
      <c r="H87" s="64"/>
      <c r="J87" s="29"/>
      <c r="K87" s="29"/>
      <c r="L87" s="61"/>
      <c r="M87" s="29"/>
      <c r="N87" s="29"/>
      <c r="O87" s="61"/>
      <c r="P87" s="29"/>
      <c r="S87" s="62"/>
      <c r="T87" s="13"/>
      <c r="U87" s="39"/>
      <c r="V87" s="34"/>
      <c r="W87" s="34"/>
      <c r="X87" s="39"/>
      <c r="Y87" s="32"/>
      <c r="Z87" s="63"/>
      <c r="AA87" s="32"/>
    </row>
    <row r="88" spans="3:27" ht="12">
      <c r="C88" s="29"/>
      <c r="D88" s="30"/>
      <c r="E88" s="30"/>
      <c r="F88" s="61"/>
      <c r="G88" s="61"/>
      <c r="H88" s="64"/>
      <c r="J88" s="29"/>
      <c r="K88" s="29"/>
      <c r="L88" s="61"/>
      <c r="M88" s="29"/>
      <c r="N88" s="29"/>
      <c r="O88" s="61"/>
      <c r="P88" s="29"/>
      <c r="S88" s="62"/>
      <c r="T88" s="13"/>
      <c r="U88" s="39"/>
      <c r="V88" s="34"/>
      <c r="W88" s="34"/>
      <c r="X88" s="39"/>
      <c r="Y88" s="32"/>
      <c r="Z88" s="63"/>
      <c r="AA88" s="32"/>
    </row>
    <row r="89" spans="3:27" ht="12">
      <c r="C89" s="29"/>
      <c r="D89" s="30"/>
      <c r="E89" s="30"/>
      <c r="F89" s="61"/>
      <c r="G89" s="61"/>
      <c r="H89" s="64"/>
      <c r="J89" s="29"/>
      <c r="K89" s="29"/>
      <c r="L89" s="61"/>
      <c r="M89" s="29"/>
      <c r="N89" s="29"/>
      <c r="O89" s="61"/>
      <c r="P89" s="29"/>
      <c r="S89" s="62"/>
      <c r="T89" s="13"/>
      <c r="U89" s="39"/>
      <c r="V89" s="34"/>
      <c r="W89" s="34"/>
      <c r="X89" s="39"/>
      <c r="Y89" s="32"/>
      <c r="Z89" s="63"/>
      <c r="AA89" s="32"/>
    </row>
    <row r="90" spans="3:27" ht="12">
      <c r="C90" s="29"/>
      <c r="D90" s="30"/>
      <c r="E90" s="30"/>
      <c r="F90" s="61"/>
      <c r="G90" s="61"/>
      <c r="H90" s="64"/>
      <c r="J90" s="29"/>
      <c r="K90" s="29"/>
      <c r="L90" s="61"/>
      <c r="M90" s="29"/>
      <c r="N90" s="29"/>
      <c r="O90" s="61"/>
      <c r="P90" s="29"/>
      <c r="S90" s="62"/>
      <c r="T90" s="13"/>
      <c r="U90" s="39"/>
      <c r="V90" s="34"/>
      <c r="W90" s="34"/>
      <c r="X90" s="39"/>
      <c r="Y90" s="32"/>
      <c r="Z90" s="63"/>
      <c r="AA90" s="32"/>
    </row>
    <row r="91" spans="3:27" ht="12">
      <c r="C91" s="29"/>
      <c r="D91" s="30"/>
      <c r="E91" s="30"/>
      <c r="F91" s="61"/>
      <c r="G91" s="61"/>
      <c r="H91" s="64"/>
      <c r="J91" s="29"/>
      <c r="K91" s="29"/>
      <c r="L91" s="61"/>
      <c r="M91" s="29"/>
      <c r="N91" s="29"/>
      <c r="O91" s="61"/>
      <c r="P91" s="29"/>
      <c r="S91" s="62"/>
      <c r="T91" s="13"/>
      <c r="U91" s="39"/>
      <c r="V91" s="34"/>
      <c r="W91" s="34"/>
      <c r="X91" s="39"/>
      <c r="Y91" s="32"/>
      <c r="Z91" s="63"/>
      <c r="AA91" s="32"/>
    </row>
    <row r="92" spans="3:27" ht="12">
      <c r="C92" s="29"/>
      <c r="D92" s="30"/>
      <c r="E92" s="30"/>
      <c r="F92" s="61"/>
      <c r="G92" s="61"/>
      <c r="H92" s="64"/>
      <c r="J92" s="29"/>
      <c r="K92" s="29"/>
      <c r="L92" s="61"/>
      <c r="M92" s="29"/>
      <c r="N92" s="29"/>
      <c r="O92" s="61"/>
      <c r="P92" s="29"/>
      <c r="S92" s="62"/>
      <c r="T92" s="13"/>
      <c r="U92" s="39"/>
      <c r="V92" s="34"/>
      <c r="W92" s="34"/>
      <c r="X92" s="39"/>
      <c r="Y92" s="32"/>
      <c r="Z92" s="63"/>
      <c r="AA92" s="32"/>
    </row>
    <row r="93" spans="3:27" ht="12">
      <c r="C93" s="29"/>
      <c r="D93" s="30"/>
      <c r="E93" s="30"/>
      <c r="F93" s="61"/>
      <c r="G93" s="61"/>
      <c r="H93" s="64"/>
      <c r="J93" s="29"/>
      <c r="K93" s="29"/>
      <c r="L93" s="61"/>
      <c r="M93" s="29"/>
      <c r="N93" s="29"/>
      <c r="O93" s="61"/>
      <c r="P93" s="29"/>
      <c r="S93" s="62"/>
      <c r="T93" s="13"/>
      <c r="U93" s="39"/>
      <c r="V93" s="34"/>
      <c r="W93" s="34"/>
      <c r="X93" s="39"/>
      <c r="Y93" s="32"/>
      <c r="Z93" s="63"/>
      <c r="AA93" s="32"/>
    </row>
    <row r="94" spans="3:27" ht="12">
      <c r="C94" s="29"/>
      <c r="D94" s="30"/>
      <c r="E94" s="30"/>
      <c r="F94" s="61"/>
      <c r="G94" s="61"/>
      <c r="H94" s="64"/>
      <c r="J94" s="29"/>
      <c r="K94" s="29"/>
      <c r="L94" s="61"/>
      <c r="M94" s="29"/>
      <c r="N94" s="29"/>
      <c r="O94" s="61"/>
      <c r="P94" s="29"/>
      <c r="S94" s="62"/>
      <c r="T94" s="13"/>
      <c r="U94" s="39"/>
      <c r="V94" s="34"/>
      <c r="W94" s="34"/>
      <c r="X94" s="39"/>
      <c r="Y94" s="32"/>
      <c r="Z94" s="63"/>
      <c r="AA94" s="32"/>
    </row>
    <row r="95" spans="3:27" ht="12">
      <c r="C95" s="29"/>
      <c r="D95" s="30"/>
      <c r="E95" s="30"/>
      <c r="F95" s="61"/>
      <c r="G95" s="61"/>
      <c r="H95" s="64"/>
      <c r="J95" s="29"/>
      <c r="K95" s="29"/>
      <c r="L95" s="61"/>
      <c r="M95" s="29"/>
      <c r="N95" s="29"/>
      <c r="O95" s="61"/>
      <c r="P95" s="29"/>
      <c r="S95" s="62"/>
      <c r="T95" s="13"/>
      <c r="U95" s="39"/>
      <c r="V95" s="34"/>
      <c r="W95" s="34"/>
      <c r="X95" s="39"/>
      <c r="Y95" s="32"/>
      <c r="Z95" s="63"/>
      <c r="AA95" s="32"/>
    </row>
    <row r="96" spans="3:27" ht="12">
      <c r="C96" s="29"/>
      <c r="D96" s="30"/>
      <c r="E96" s="30"/>
      <c r="F96" s="61"/>
      <c r="G96" s="61"/>
      <c r="H96" s="64"/>
      <c r="J96" s="29"/>
      <c r="K96" s="29"/>
      <c r="L96" s="61"/>
      <c r="M96" s="29"/>
      <c r="N96" s="29"/>
      <c r="O96" s="61"/>
      <c r="P96" s="29"/>
      <c r="S96" s="62"/>
      <c r="T96" s="13"/>
      <c r="U96" s="39"/>
      <c r="V96" s="34"/>
      <c r="W96" s="34"/>
      <c r="X96" s="39"/>
      <c r="Y96" s="32"/>
      <c r="Z96" s="63"/>
      <c r="AA96" s="32"/>
    </row>
    <row r="97" spans="3:27" ht="12">
      <c r="C97" s="29"/>
      <c r="D97" s="30"/>
      <c r="E97" s="30"/>
      <c r="F97" s="61"/>
      <c r="G97" s="61"/>
      <c r="H97" s="64"/>
      <c r="J97" s="29"/>
      <c r="K97" s="29"/>
      <c r="L97" s="61"/>
      <c r="M97" s="29"/>
      <c r="N97" s="29"/>
      <c r="O97" s="61"/>
      <c r="P97" s="29"/>
      <c r="S97" s="62"/>
      <c r="T97" s="13"/>
      <c r="U97" s="39"/>
      <c r="V97" s="34"/>
      <c r="W97" s="34"/>
      <c r="X97" s="39"/>
      <c r="Y97" s="32"/>
      <c r="Z97" s="63"/>
      <c r="AA97" s="32"/>
    </row>
    <row r="98" spans="3:27" ht="12">
      <c r="C98" s="29"/>
      <c r="D98" s="30"/>
      <c r="E98" s="30"/>
      <c r="F98" s="61"/>
      <c r="G98" s="61"/>
      <c r="H98" s="64"/>
      <c r="J98" s="29"/>
      <c r="K98" s="29"/>
      <c r="L98" s="61"/>
      <c r="M98" s="29"/>
      <c r="N98" s="29"/>
      <c r="O98" s="61"/>
      <c r="P98" s="29"/>
      <c r="S98" s="62"/>
      <c r="T98" s="13"/>
      <c r="U98" s="39"/>
      <c r="V98" s="34"/>
      <c r="W98" s="34"/>
      <c r="X98" s="39"/>
      <c r="Y98" s="32"/>
      <c r="Z98" s="63"/>
      <c r="AA98" s="32"/>
    </row>
    <row r="99" spans="3:27" ht="12">
      <c r="C99" s="29"/>
      <c r="D99" s="30"/>
      <c r="E99" s="30"/>
      <c r="F99" s="61"/>
      <c r="G99" s="61"/>
      <c r="H99" s="64"/>
      <c r="J99" s="29"/>
      <c r="K99" s="29"/>
      <c r="L99" s="61"/>
      <c r="M99" s="29"/>
      <c r="N99" s="29"/>
      <c r="O99" s="61"/>
      <c r="P99" s="29"/>
      <c r="S99" s="62"/>
      <c r="T99" s="13"/>
      <c r="U99" s="39"/>
      <c r="V99" s="34"/>
      <c r="W99" s="34"/>
      <c r="X99" s="39"/>
      <c r="Y99" s="32"/>
      <c r="Z99" s="63"/>
      <c r="AA99" s="32"/>
    </row>
    <row r="100" spans="3:27" ht="12">
      <c r="C100" s="29"/>
      <c r="D100" s="30"/>
      <c r="E100" s="30"/>
      <c r="F100" s="61"/>
      <c r="G100" s="61"/>
      <c r="H100" s="64"/>
      <c r="J100" s="29"/>
      <c r="K100" s="29"/>
      <c r="L100" s="61"/>
      <c r="M100" s="29"/>
      <c r="N100" s="29"/>
      <c r="O100" s="61"/>
      <c r="P100" s="29"/>
      <c r="S100" s="62"/>
      <c r="T100" s="13"/>
      <c r="U100" s="39"/>
      <c r="V100" s="34"/>
      <c r="W100" s="34"/>
      <c r="X100" s="39"/>
      <c r="Y100" s="32"/>
      <c r="Z100" s="63"/>
      <c r="AA100" s="32"/>
    </row>
    <row r="101" spans="3:27" ht="12">
      <c r="C101" s="29"/>
      <c r="D101" s="30"/>
      <c r="E101" s="30"/>
      <c r="F101" s="61"/>
      <c r="G101" s="61"/>
      <c r="H101" s="64"/>
      <c r="J101" s="29"/>
      <c r="K101" s="29"/>
      <c r="L101" s="61"/>
      <c r="M101" s="29"/>
      <c r="N101" s="29"/>
      <c r="O101" s="61"/>
      <c r="P101" s="29"/>
      <c r="S101" s="62"/>
      <c r="T101" s="13"/>
      <c r="U101" s="39"/>
      <c r="V101" s="34"/>
      <c r="W101" s="34"/>
      <c r="X101" s="39"/>
      <c r="Y101" s="32"/>
      <c r="Z101" s="63"/>
      <c r="AA101" s="32"/>
    </row>
  </sheetData>
  <mergeCells count="35">
    <mergeCell ref="M8:O8"/>
    <mergeCell ref="D21:I21"/>
    <mergeCell ref="D22:I22"/>
    <mergeCell ref="C23:H23"/>
    <mergeCell ref="C24:G24"/>
    <mergeCell ref="M15:O15"/>
    <mergeCell ref="X1:Y1"/>
    <mergeCell ref="Z1:AA1"/>
    <mergeCell ref="D20:I20"/>
    <mergeCell ref="D19:I19"/>
    <mergeCell ref="A11:B11"/>
    <mergeCell ref="A12:B12"/>
    <mergeCell ref="M13:O13"/>
    <mergeCell ref="M14:O14"/>
    <mergeCell ref="A18:B18"/>
    <mergeCell ref="A3:B3"/>
    <mergeCell ref="A4:B4"/>
    <mergeCell ref="A6:B6"/>
    <mergeCell ref="A9:B9"/>
    <mergeCell ref="M6:O6"/>
    <mergeCell ref="M7:O7"/>
    <mergeCell ref="P1:S1"/>
    <mergeCell ref="U1:W1"/>
    <mergeCell ref="V2:W2"/>
    <mergeCell ref="A1:B1"/>
    <mergeCell ref="J1:L1"/>
    <mergeCell ref="M1:O1"/>
    <mergeCell ref="R2:S2"/>
    <mergeCell ref="Z16:AA16"/>
    <mergeCell ref="Z17:AA17"/>
    <mergeCell ref="Z5:AA5"/>
    <mergeCell ref="Z10:AA10"/>
    <mergeCell ref="Z13:AA13"/>
    <mergeCell ref="Z14:AA14"/>
    <mergeCell ref="Z15:AA15"/>
  </mergeCells>
  <hyperlinks>
    <hyperlink ref="C1" r:id="rId1" display="http://en.wikipedia.org/wiki/Semimajor_axis"/>
    <hyperlink ref="D1" r:id="rId2" display="http://en.wikipedia.org/wiki/Orbital_eccentricity"/>
    <hyperlink ref="E1" r:id="rId3" display="http://en.wikipedia.org/wiki/Orbital_inclination"/>
    <hyperlink ref="F1" r:id="rId4" display="http://en.wikipedia.org/wiki/Argument_of_periapsis"/>
    <hyperlink ref="G1" r:id="rId5" display="http://en.wikipedia.org/wiki/Longitude_of_the_ascending_node"/>
    <hyperlink ref="H1" r:id="rId6" display="http://en.wikipedia.org/wiki/Mean_anomaly"/>
    <hyperlink ref="P1" r:id="rId7" display="http://en.wikipedia.org/wiki/Sidereal_period"/>
    <hyperlink ref="T1" r:id="rId8" display="http://en.wikipedia.org/wiki/Mean_motion"/>
    <hyperlink ref="D20" r:id="rId9" location="post270550" display="http://kerbalspaceprogram.com/forum/showthread.php/19573-Get-Celestial-Body-Orbital-%28etc-%29-Elements-from-KSP-itself?p=270550&amp;viewfull=1 - post270550"/>
    <hyperlink ref="D21" r:id="rId10"/>
    <hyperlink ref="D22" r:id="rId11"/>
  </hyperlinks>
  <pageMargins left="0.75" right="0.75" top="1" bottom="1" header="0.5" footer="0.5"/>
  <drawing r:id="rId1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2.75" customHeight="1" x14ac:dyDescent="0"/>
  <cols>
    <col min="1" max="1" width="4.5" customWidth="1"/>
    <col min="2" max="2" width="11" customWidth="1"/>
    <col min="3" max="3" width="10.6640625" customWidth="1"/>
    <col min="4" max="4" width="10.5" customWidth="1"/>
    <col min="6" max="6" width="13.5" customWidth="1"/>
    <col min="7" max="7" width="12.83203125" customWidth="1"/>
    <col min="8" max="8" width="10.5" customWidth="1"/>
    <col min="9" max="9" width="7.83203125" customWidth="1"/>
    <col min="10" max="10" width="9.33203125" customWidth="1"/>
    <col min="11" max="11" width="12.6640625" customWidth="1"/>
    <col min="12" max="13" width="13" customWidth="1"/>
    <col min="14" max="14" width="11.83203125" customWidth="1"/>
    <col min="15" max="15" width="14.5" customWidth="1"/>
    <col min="16" max="16" width="11.1640625" customWidth="1"/>
    <col min="17" max="17" width="6.83203125" customWidth="1"/>
    <col min="18" max="18" width="9.33203125" customWidth="1"/>
    <col min="19" max="19" width="12.6640625" customWidth="1"/>
    <col min="20" max="20" width="12.5" customWidth="1"/>
    <col min="21" max="21" width="13.33203125" customWidth="1"/>
    <col min="22" max="22" width="2.6640625" customWidth="1"/>
    <col min="23" max="23" width="7.33203125" customWidth="1"/>
    <col min="24" max="24" width="8.5" customWidth="1"/>
    <col min="25" max="25" width="9.1640625" customWidth="1"/>
    <col min="26" max="26" width="13" customWidth="1"/>
    <col min="27" max="27" width="13.1640625" customWidth="1"/>
    <col min="28" max="28" width="10.5" customWidth="1"/>
    <col min="29" max="29" width="11.5" customWidth="1"/>
    <col min="30" max="30" width="12.5" customWidth="1"/>
    <col min="31" max="31" width="9.83203125" customWidth="1"/>
    <col min="32" max="32" width="14.5" customWidth="1"/>
    <col min="33" max="33" width="10.33203125" customWidth="1"/>
    <col min="34" max="37" width="17.33203125" customWidth="1"/>
  </cols>
  <sheetData>
    <row r="1" spans="1:37" ht="12.75" customHeight="1">
      <c r="A1" s="76" t="s">
        <v>0</v>
      </c>
      <c r="B1" s="72"/>
      <c r="C1" s="77" t="s">
        <v>1</v>
      </c>
      <c r="D1" s="72"/>
      <c r="E1" s="3" t="str">
        <f>HYPERLINK("http://en.wikipedia.org/wiki/Gravitational_parameter","Gravitational Parameter")</f>
        <v>Gravitational Parameter</v>
      </c>
      <c r="F1" s="74" t="s">
        <v>3</v>
      </c>
      <c r="G1" s="72"/>
      <c r="H1" s="5" t="s">
        <v>4</v>
      </c>
      <c r="I1" s="87" t="s">
        <v>5</v>
      </c>
      <c r="J1" s="72"/>
      <c r="K1" s="72"/>
      <c r="L1" s="72"/>
      <c r="M1" s="83" t="str">
        <f>HYPERLINK("http://en.wikipedia.org/wiki/Sphere_of_influence_(astrodynamics)","Sphere of Influence Radius")</f>
        <v>Sphere of Influence Radius</v>
      </c>
      <c r="N1" s="72"/>
      <c r="O1" s="72"/>
      <c r="P1" s="83" t="str">
        <f>HYPERLINK("http://en.wikipedia.org/wiki/Sidereal_rotation","Sidereal Rotation")</f>
        <v>Sidereal Rotation</v>
      </c>
      <c r="Q1" s="72"/>
      <c r="R1" s="72"/>
      <c r="S1" s="72"/>
      <c r="T1" s="72"/>
      <c r="U1" s="83" t="str">
        <f>HYPERLINK("http://en.wikipedia.org/wiki/Synodic_day","Mean Solar Day")</f>
        <v>Mean Solar Day</v>
      </c>
      <c r="V1" s="72"/>
      <c r="W1" s="72"/>
      <c r="X1" s="72"/>
      <c r="Y1" s="89" t="str">
        <f>HYPERLINK("http://en.wikipedia.org/wiki/Synchronous_orbit","Syncrhonous Orbit")</f>
        <v>Syncrhonous Orbit</v>
      </c>
      <c r="Z1" s="72"/>
      <c r="AA1" s="72"/>
      <c r="AB1" s="72"/>
      <c r="AC1" s="76" t="s">
        <v>16</v>
      </c>
      <c r="AD1" s="72"/>
      <c r="AE1" s="72"/>
      <c r="AF1" s="72"/>
      <c r="AG1" s="72"/>
      <c r="AH1" s="10"/>
      <c r="AI1" s="10"/>
      <c r="AJ1" s="10"/>
      <c r="AK1" s="10"/>
    </row>
    <row r="2" spans="1:37" ht="12.75" customHeight="1">
      <c r="A2" s="72"/>
      <c r="B2" s="72"/>
      <c r="C2" s="11" t="s">
        <v>27</v>
      </c>
      <c r="D2" s="11" t="s">
        <v>30</v>
      </c>
      <c r="E2" s="12" t="s">
        <v>31</v>
      </c>
      <c r="F2" s="15" t="s">
        <v>32</v>
      </c>
      <c r="G2" s="17" t="s">
        <v>37</v>
      </c>
      <c r="H2" s="15" t="s">
        <v>41</v>
      </c>
      <c r="I2" s="18" t="s">
        <v>42</v>
      </c>
      <c r="J2" s="18" t="s">
        <v>43</v>
      </c>
      <c r="K2" s="20" t="s">
        <v>44</v>
      </c>
      <c r="L2" s="20" t="s">
        <v>49</v>
      </c>
      <c r="M2" s="11" t="s">
        <v>27</v>
      </c>
      <c r="N2" s="22" t="s">
        <v>51</v>
      </c>
      <c r="O2" s="22" t="s">
        <v>55</v>
      </c>
      <c r="P2" s="11" t="s">
        <v>56</v>
      </c>
      <c r="Q2" s="88" t="s">
        <v>57</v>
      </c>
      <c r="R2" s="72"/>
      <c r="S2" s="24" t="s">
        <v>61</v>
      </c>
      <c r="T2" s="19" t="s">
        <v>62</v>
      </c>
      <c r="U2" s="22" t="s">
        <v>50</v>
      </c>
      <c r="V2" s="75" t="s">
        <v>63</v>
      </c>
      <c r="W2" s="72"/>
      <c r="X2" s="72"/>
      <c r="Y2" s="15" t="s">
        <v>64</v>
      </c>
      <c r="Z2" s="22" t="s">
        <v>65</v>
      </c>
      <c r="AA2" s="15" t="s">
        <v>48</v>
      </c>
      <c r="AB2" s="15" t="s">
        <v>66</v>
      </c>
      <c r="AC2" s="19" t="s">
        <v>67</v>
      </c>
      <c r="AD2" s="26" t="s">
        <v>68</v>
      </c>
      <c r="AE2" s="11" t="s">
        <v>69</v>
      </c>
      <c r="AF2" s="19" t="s">
        <v>70</v>
      </c>
      <c r="AG2" s="19" t="s">
        <v>71</v>
      </c>
      <c r="AH2" s="13"/>
      <c r="AI2" s="13"/>
      <c r="AJ2" s="13"/>
      <c r="AK2" s="13"/>
    </row>
    <row r="3" spans="1:37" ht="12.75" customHeight="1">
      <c r="A3" s="85" t="s">
        <v>72</v>
      </c>
      <c r="B3" s="72"/>
      <c r="C3" s="25">
        <v>261600000</v>
      </c>
      <c r="D3" s="29">
        <f t="shared" ref="D3:D19" si="0">C3/1000</f>
        <v>261600</v>
      </c>
      <c r="E3" s="31">
        <v>1.17233279483249E+18</v>
      </c>
      <c r="F3" s="35">
        <f t="shared" ref="F3:F19" si="1">E3/0.0000000000667</f>
        <v>1.7576203820577061E+28</v>
      </c>
      <c r="G3" s="37">
        <f t="shared" ref="G3:G19" si="2">F3/5.97E+24</f>
        <v>2944.087742140211</v>
      </c>
      <c r="H3" s="32">
        <f t="shared" ref="H3:H19" si="3">F3/(4/3*C3*C3*C3*PI())/1000</f>
        <v>0.23438145822519879</v>
      </c>
      <c r="I3" s="40">
        <f t="shared" ref="I3:I19" si="4">(E3/(C3*C3))</f>
        <v>17.130712827444057</v>
      </c>
      <c r="J3" s="41">
        <f t="shared" ref="J3:J19" si="5">I3/9.81</f>
        <v>1.7462500333785991</v>
      </c>
      <c r="K3" s="32">
        <f t="shared" ref="K3:K19" si="6">SQRT(E3/C3)</f>
        <v>66943.21829475608</v>
      </c>
      <c r="L3" s="32">
        <f t="shared" ref="L3:L19" si="7">K3*SQRT(2)</f>
        <v>94672.00722134675</v>
      </c>
      <c r="M3" s="42" t="s">
        <v>74</v>
      </c>
      <c r="N3" s="43" t="s">
        <v>75</v>
      </c>
      <c r="O3" s="43" t="s">
        <v>75</v>
      </c>
      <c r="P3" s="42">
        <v>432000</v>
      </c>
      <c r="Q3" s="44">
        <f t="shared" ref="Q3:Q4" si="8">FLOOR(P3/86400,1)</f>
        <v>5</v>
      </c>
      <c r="R3" s="45">
        <f t="shared" ref="R3:R19" si="9">P3/86400-Q3</f>
        <v>0</v>
      </c>
      <c r="S3" s="46">
        <f t="shared" ref="S3:S19" si="10">2*PI()*C3/P3</f>
        <v>3804.8177693476387</v>
      </c>
      <c r="T3" s="19" t="s">
        <v>77</v>
      </c>
      <c r="U3" s="39"/>
      <c r="V3" s="34"/>
      <c r="W3" s="34"/>
      <c r="X3" s="34"/>
      <c r="Y3" s="47" t="s">
        <v>78</v>
      </c>
      <c r="Z3" s="48" t="e">
        <f t="shared" ref="Z3:Z19" ca="1" si="11">POW(E3*POW(P3/(2*PI()),2),1/3)</f>
        <v>#NAME?</v>
      </c>
      <c r="AA3" s="48" t="e">
        <f t="shared" ref="AA3:AA19" ca="1" si="12">Z3-C3</f>
        <v>#NAME?</v>
      </c>
      <c r="AB3" s="49" t="e">
        <f t="shared" ref="AB3:AB19" ca="1" si="13">SQRT(E3/Z3)</f>
        <v>#NAME?</v>
      </c>
      <c r="AC3" s="50"/>
      <c r="AD3" s="51"/>
      <c r="AE3" s="52"/>
      <c r="AF3" s="50"/>
      <c r="AG3" s="50"/>
    </row>
    <row r="4" spans="1:37" ht="12.75" customHeight="1">
      <c r="A4" s="81" t="s">
        <v>60</v>
      </c>
      <c r="B4" s="72"/>
      <c r="C4" s="25">
        <v>250000</v>
      </c>
      <c r="D4" s="29">
        <f t="shared" si="0"/>
        <v>250</v>
      </c>
      <c r="E4" s="31">
        <v>168609378654.509</v>
      </c>
      <c r="F4" s="35">
        <f t="shared" si="1"/>
        <v>2.5278767414469114E+21</v>
      </c>
      <c r="G4" s="54">
        <f t="shared" si="2"/>
        <v>4.2342993994085617E-4</v>
      </c>
      <c r="H4" s="32">
        <f t="shared" si="3"/>
        <v>38.623111577117669</v>
      </c>
      <c r="I4" s="40">
        <f t="shared" si="4"/>
        <v>2.6977500584721441</v>
      </c>
      <c r="J4" s="41">
        <f t="shared" si="5"/>
        <v>0.2750000059604632</v>
      </c>
      <c r="K4" s="32">
        <f t="shared" si="6"/>
        <v>821.24144721149821</v>
      </c>
      <c r="L4" s="32">
        <f t="shared" si="7"/>
        <v>1161.4107926294091</v>
      </c>
      <c r="M4" s="25">
        <v>9646663</v>
      </c>
      <c r="N4" s="40">
        <f t="shared" ref="N4:N19" si="14">M4/C4</f>
        <v>38.586652000000001</v>
      </c>
      <c r="O4" s="55">
        <f>M4/'Orbital Elements'!C3</f>
        <v>1.8328727923924227E-3</v>
      </c>
      <c r="P4" s="25">
        <v>1210000</v>
      </c>
      <c r="Q4" s="44">
        <f t="shared" si="8"/>
        <v>14</v>
      </c>
      <c r="R4" s="45">
        <f t="shared" si="9"/>
        <v>4.6296296296297612E-3</v>
      </c>
      <c r="S4" s="46">
        <f t="shared" si="10"/>
        <v>1.298178782475121</v>
      </c>
      <c r="T4" s="15" t="s">
        <v>77</v>
      </c>
      <c r="U4" s="39">
        <f>P4/(1-P4/'Orbital Elements'!P3)</f>
        <v>2665723.4474835638</v>
      </c>
      <c r="V4" s="56"/>
      <c r="W4" s="35">
        <f>FLOOR(U4/86400,1)</f>
        <v>30</v>
      </c>
      <c r="X4" s="36">
        <f>U4/86400-W4</f>
        <v>0.85328064217087629</v>
      </c>
      <c r="Y4" s="57" t="e">
        <f t="shared" ref="Y4:Y19" ca="1" si="15">IF(Z4&lt;M4,"Yes","No")</f>
        <v>#NAME?</v>
      </c>
      <c r="Z4" s="39" t="e">
        <f t="shared" ca="1" si="11"/>
        <v>#NAME?</v>
      </c>
      <c r="AA4" s="39" t="e">
        <f t="shared" ca="1" si="12"/>
        <v>#NAME?</v>
      </c>
      <c r="AB4" s="32" t="e">
        <f t="shared" ca="1" si="13"/>
        <v>#NAME?</v>
      </c>
      <c r="AC4" s="58" t="s">
        <v>77</v>
      </c>
      <c r="AD4" s="51"/>
      <c r="AE4" s="52"/>
      <c r="AF4" s="50"/>
      <c r="AG4" s="50"/>
    </row>
    <row r="5" spans="1:37" ht="12.75" customHeight="1">
      <c r="A5" s="81" t="s">
        <v>73</v>
      </c>
      <c r="B5" s="72"/>
      <c r="C5" s="25">
        <v>700000</v>
      </c>
      <c r="D5" s="29">
        <f t="shared" si="0"/>
        <v>700</v>
      </c>
      <c r="E5" s="31">
        <v>8171730229210.8496</v>
      </c>
      <c r="F5" s="35">
        <f t="shared" si="1"/>
        <v>1.2251469609011768E+23</v>
      </c>
      <c r="G5" s="37">
        <f t="shared" si="2"/>
        <v>2.0521724638210666E-2</v>
      </c>
      <c r="H5" s="32">
        <f t="shared" si="3"/>
        <v>85.271805324242862</v>
      </c>
      <c r="I5" s="40">
        <f t="shared" si="4"/>
        <v>16.677000467777244</v>
      </c>
      <c r="J5" s="41">
        <f t="shared" si="5"/>
        <v>1.7000000476837149</v>
      </c>
      <c r="K5" s="32">
        <f t="shared" si="6"/>
        <v>3416.7089907459299</v>
      </c>
      <c r="L5" s="32">
        <f t="shared" si="7"/>
        <v>4831.9561933949844</v>
      </c>
      <c r="M5" s="25">
        <v>85109364.738243997</v>
      </c>
      <c r="N5" s="40">
        <f t="shared" si="14"/>
        <v>121.58480676891999</v>
      </c>
      <c r="O5" s="55">
        <f>M5/'Orbital Elements'!C4</f>
        <v>8.6557607291671487E-3</v>
      </c>
      <c r="P5" s="25">
        <v>80500</v>
      </c>
      <c r="Q5" s="59"/>
      <c r="R5" s="45">
        <f t="shared" si="9"/>
        <v>0.93171296296296291</v>
      </c>
      <c r="S5" s="46">
        <f t="shared" si="10"/>
        <v>54.636393975474661</v>
      </c>
      <c r="T5" s="15" t="s">
        <v>77</v>
      </c>
      <c r="U5" s="39">
        <f>P5/(1-P5/'Orbital Elements'!P4)</f>
        <v>81661.856681145873</v>
      </c>
      <c r="V5" s="34"/>
      <c r="W5" s="34"/>
      <c r="X5" s="36">
        <f t="shared" ref="X5:X7" si="16">U5/86400</f>
        <v>0.94516037825400312</v>
      </c>
      <c r="Y5" s="57" t="e">
        <f t="shared" ca="1" si="15"/>
        <v>#NAME?</v>
      </c>
      <c r="Z5" s="48" t="e">
        <f t="shared" ca="1" si="11"/>
        <v>#NAME?</v>
      </c>
      <c r="AA5" s="48" t="e">
        <f t="shared" ca="1" si="12"/>
        <v>#NAME?</v>
      </c>
      <c r="AB5" s="49" t="e">
        <f t="shared" ca="1" si="13"/>
        <v>#NAME?</v>
      </c>
      <c r="AC5" s="58" t="s">
        <v>78</v>
      </c>
      <c r="AD5" s="60">
        <v>506.63400000000001</v>
      </c>
      <c r="AE5" s="42">
        <v>7</v>
      </c>
      <c r="AF5" s="58">
        <v>90</v>
      </c>
      <c r="AG5" s="58" t="s">
        <v>78</v>
      </c>
    </row>
    <row r="6" spans="1:37" ht="12.75" customHeight="1">
      <c r="B6" s="7" t="s">
        <v>76</v>
      </c>
      <c r="C6" s="25">
        <v>13000</v>
      </c>
      <c r="D6" s="29">
        <f t="shared" si="0"/>
        <v>13</v>
      </c>
      <c r="E6" s="31">
        <v>8289449.8147163503</v>
      </c>
      <c r="F6" s="35">
        <f t="shared" si="1"/>
        <v>1.2427960741703674E+17</v>
      </c>
      <c r="G6" s="54">
        <f t="shared" si="2"/>
        <v>2.0817354676220558E-8</v>
      </c>
      <c r="H6" s="32">
        <f t="shared" si="3"/>
        <v>13.504583872968762</v>
      </c>
      <c r="I6" s="40">
        <f t="shared" si="4"/>
        <v>4.9049998903647044E-2</v>
      </c>
      <c r="J6" s="41">
        <f t="shared" si="5"/>
        <v>4.9999998882412884E-3</v>
      </c>
      <c r="K6" s="32">
        <f t="shared" si="6"/>
        <v>25.251732331612647</v>
      </c>
      <c r="L6" s="32">
        <f t="shared" si="7"/>
        <v>35.711342336781783</v>
      </c>
      <c r="M6" s="25">
        <v>126123.271704568</v>
      </c>
      <c r="N6" s="40">
        <f t="shared" si="14"/>
        <v>9.7017901311206156</v>
      </c>
      <c r="O6" s="55">
        <f>M6/'Orbital Elements'!C5</f>
        <v>4.003913387446603E-3</v>
      </c>
      <c r="P6" s="25">
        <v>28255</v>
      </c>
      <c r="Q6" s="59"/>
      <c r="R6" s="45">
        <f t="shared" si="9"/>
        <v>0.32702546296296298</v>
      </c>
      <c r="S6" s="46">
        <f t="shared" si="10"/>
        <v>2.8908656518610734</v>
      </c>
      <c r="T6" s="15" t="s">
        <v>77</v>
      </c>
      <c r="U6" s="39">
        <f>P6/(1-P6/'Orbital Elements'!P4)</f>
        <v>28396.808503452638</v>
      </c>
      <c r="V6" s="34"/>
      <c r="W6" s="34"/>
      <c r="X6" s="36">
        <f t="shared" si="16"/>
        <v>0.32866676508625736</v>
      </c>
      <c r="Y6" s="57" t="e">
        <f t="shared" ca="1" si="15"/>
        <v>#NAME?</v>
      </c>
      <c r="Z6" s="48" t="e">
        <f t="shared" ca="1" si="11"/>
        <v>#NAME?</v>
      </c>
      <c r="AA6" s="48" t="e">
        <f t="shared" ca="1" si="12"/>
        <v>#NAME?</v>
      </c>
      <c r="AB6" s="49" t="e">
        <f t="shared" ca="1" si="13"/>
        <v>#NAME?</v>
      </c>
      <c r="AC6" s="58" t="s">
        <v>77</v>
      </c>
      <c r="AD6" s="51"/>
      <c r="AE6" s="52"/>
      <c r="AF6" s="58" t="s">
        <v>82</v>
      </c>
      <c r="AG6" s="50"/>
    </row>
    <row r="7" spans="1:37" ht="12.75" customHeight="1">
      <c r="A7" s="81" t="s">
        <v>80</v>
      </c>
      <c r="B7" s="72"/>
      <c r="C7" s="25">
        <v>600000</v>
      </c>
      <c r="D7" s="29">
        <f t="shared" si="0"/>
        <v>600</v>
      </c>
      <c r="E7" s="31">
        <v>3531600000000</v>
      </c>
      <c r="F7" s="35">
        <f t="shared" si="1"/>
        <v>5.294752623688156E+22</v>
      </c>
      <c r="G7" s="37">
        <f t="shared" si="2"/>
        <v>8.868932367986861E-3</v>
      </c>
      <c r="H7" s="32">
        <f t="shared" si="3"/>
        <v>58.51986475755222</v>
      </c>
      <c r="I7" s="40">
        <f t="shared" si="4"/>
        <v>9.81</v>
      </c>
      <c r="J7" s="41">
        <f t="shared" si="5"/>
        <v>1</v>
      </c>
      <c r="K7" s="32">
        <f t="shared" si="6"/>
        <v>2426.1079942986876</v>
      </c>
      <c r="L7" s="32">
        <f t="shared" si="7"/>
        <v>3431.0348293189918</v>
      </c>
      <c r="M7" s="25">
        <v>84159286.4796305</v>
      </c>
      <c r="N7" s="40">
        <f t="shared" si="14"/>
        <v>140.26547746605084</v>
      </c>
      <c r="O7" s="55">
        <f>M7/'Orbital Elements'!C6</f>
        <v>6.1882555159058555E-3</v>
      </c>
      <c r="P7" s="25">
        <v>21600</v>
      </c>
      <c r="Q7" s="59"/>
      <c r="R7" s="45">
        <f t="shared" si="9"/>
        <v>0.25</v>
      </c>
      <c r="S7" s="46">
        <f t="shared" si="10"/>
        <v>174.53292519943295</v>
      </c>
      <c r="T7" s="15" t="s">
        <v>77</v>
      </c>
      <c r="U7" s="39">
        <f>P7/(1-P7/'Orbital Elements'!P6)</f>
        <v>21650.812763526683</v>
      </c>
      <c r="V7" s="34"/>
      <c r="W7" s="34"/>
      <c r="X7" s="36">
        <f t="shared" si="16"/>
        <v>0.25058811068896625</v>
      </c>
      <c r="Y7" s="57" t="e">
        <f t="shared" ca="1" si="15"/>
        <v>#NAME?</v>
      </c>
      <c r="Z7" s="48" t="e">
        <f t="shared" ca="1" si="11"/>
        <v>#NAME?</v>
      </c>
      <c r="AA7" s="48" t="e">
        <f t="shared" ca="1" si="12"/>
        <v>#NAME?</v>
      </c>
      <c r="AB7" s="49" t="e">
        <f t="shared" ca="1" si="13"/>
        <v>#NAME?</v>
      </c>
      <c r="AC7" s="58" t="s">
        <v>88</v>
      </c>
      <c r="AD7" s="60">
        <v>101.327</v>
      </c>
      <c r="AE7" s="42">
        <v>5</v>
      </c>
      <c r="AF7" s="58">
        <v>70</v>
      </c>
      <c r="AG7" s="58" t="s">
        <v>78</v>
      </c>
    </row>
    <row r="8" spans="1:37" ht="12.75" customHeight="1">
      <c r="B8" s="7" t="s">
        <v>83</v>
      </c>
      <c r="C8" s="25">
        <v>200000</v>
      </c>
      <c r="D8" s="29">
        <f t="shared" si="0"/>
        <v>200</v>
      </c>
      <c r="E8" s="31">
        <v>65138397520.780602</v>
      </c>
      <c r="F8" s="35">
        <f t="shared" si="1"/>
        <v>9.7658766897722045E+20</v>
      </c>
      <c r="G8" s="54">
        <f t="shared" si="2"/>
        <v>1.6358252411678733E-4</v>
      </c>
      <c r="H8" s="32">
        <f t="shared" si="3"/>
        <v>29.142891540059299</v>
      </c>
      <c r="I8" s="40">
        <f t="shared" si="4"/>
        <v>1.6284599380195151</v>
      </c>
      <c r="J8" s="41">
        <f t="shared" si="5"/>
        <v>0.16599999368190774</v>
      </c>
      <c r="K8" s="32">
        <f t="shared" si="6"/>
        <v>570.69430311148449</v>
      </c>
      <c r="L8" s="32">
        <f t="shared" si="7"/>
        <v>807.08362342932344</v>
      </c>
      <c r="M8" s="25">
        <v>2429559.1165647502</v>
      </c>
      <c r="N8" s="40">
        <f t="shared" si="14"/>
        <v>12.14779558282375</v>
      </c>
      <c r="O8" s="55">
        <f>M8/'Orbital Elements'!C7</f>
        <v>0.20246325971372919</v>
      </c>
      <c r="P8" s="25">
        <v>138984.37657447599</v>
      </c>
      <c r="Q8" s="44">
        <f>FLOOR(P8/86400,1)</f>
        <v>1</v>
      </c>
      <c r="R8" s="45">
        <f t="shared" si="9"/>
        <v>0.60861546961199053</v>
      </c>
      <c r="S8" s="46">
        <f t="shared" si="10"/>
        <v>9.0415706600125461</v>
      </c>
      <c r="T8" s="15" t="s">
        <v>89</v>
      </c>
      <c r="U8" s="39">
        <f>P8/(1-P8/'Orbital Elements'!P6)</f>
        <v>141115.38520625408</v>
      </c>
      <c r="V8" s="34"/>
      <c r="W8" s="35">
        <f>FLOOR(U8/86400,1)</f>
        <v>1</v>
      </c>
      <c r="X8" s="36">
        <f>U8/86400-W8</f>
        <v>0.6332799213686815</v>
      </c>
      <c r="Y8" s="57" t="e">
        <f t="shared" ca="1" si="15"/>
        <v>#NAME?</v>
      </c>
      <c r="Z8" s="39" t="e">
        <f t="shared" ca="1" si="11"/>
        <v>#NAME?</v>
      </c>
      <c r="AA8" s="39" t="e">
        <f t="shared" ca="1" si="12"/>
        <v>#NAME?</v>
      </c>
      <c r="AB8" s="32" t="e">
        <f t="shared" ca="1" si="13"/>
        <v>#NAME?</v>
      </c>
      <c r="AC8" s="58" t="s">
        <v>77</v>
      </c>
      <c r="AD8" s="51"/>
      <c r="AE8" s="52"/>
      <c r="AF8" s="58" t="s">
        <v>82</v>
      </c>
      <c r="AG8" s="50"/>
    </row>
    <row r="9" spans="1:37" ht="12.75" customHeight="1">
      <c r="B9" s="7" t="s">
        <v>84</v>
      </c>
      <c r="C9" s="25">
        <v>60000</v>
      </c>
      <c r="D9" s="29">
        <f t="shared" si="0"/>
        <v>60</v>
      </c>
      <c r="E9" s="31">
        <v>1765800026.31247</v>
      </c>
      <c r="F9" s="35">
        <f t="shared" si="1"/>
        <v>2.6473763512930583E+19</v>
      </c>
      <c r="G9" s="54">
        <f t="shared" si="2"/>
        <v>4.4344662500721238E-6</v>
      </c>
      <c r="H9" s="32">
        <f t="shared" si="3"/>
        <v>29.25993281478307</v>
      </c>
      <c r="I9" s="40">
        <f t="shared" si="4"/>
        <v>0.49050000730901944</v>
      </c>
      <c r="J9" s="41">
        <f t="shared" si="5"/>
        <v>5.0000000745058046E-2</v>
      </c>
      <c r="K9" s="32">
        <f t="shared" si="6"/>
        <v>171.55174274410962</v>
      </c>
      <c r="L9" s="32">
        <f t="shared" si="7"/>
        <v>242.61080123746004</v>
      </c>
      <c r="M9" s="25">
        <v>2247428.3879022999</v>
      </c>
      <c r="N9" s="40">
        <f t="shared" si="14"/>
        <v>37.457139798371664</v>
      </c>
      <c r="O9" s="55">
        <f>M9/'Orbital Elements'!C8</f>
        <v>4.7817625274517016E-2</v>
      </c>
      <c r="P9" s="25">
        <v>40400</v>
      </c>
      <c r="Q9" s="59"/>
      <c r="R9" s="45">
        <f t="shared" si="9"/>
        <v>0.46759259259259262</v>
      </c>
      <c r="S9" s="46">
        <f t="shared" si="10"/>
        <v>9.3314633274944345</v>
      </c>
      <c r="T9" s="15" t="s">
        <v>77</v>
      </c>
      <c r="U9" s="39">
        <f>P9/(1-P9/'Orbital Elements'!P6)</f>
        <v>40578.122249511493</v>
      </c>
      <c r="V9" s="34"/>
      <c r="W9" s="34"/>
      <c r="X9" s="36">
        <f t="shared" ref="X9:X14" si="17">U9/86400</f>
        <v>0.46965419270267933</v>
      </c>
      <c r="Y9" s="57" t="e">
        <f t="shared" ca="1" si="15"/>
        <v>#NAME?</v>
      </c>
      <c r="Z9" s="48" t="e">
        <f t="shared" ca="1" si="11"/>
        <v>#NAME?</v>
      </c>
      <c r="AA9" s="48" t="e">
        <f t="shared" ca="1" si="12"/>
        <v>#NAME?</v>
      </c>
      <c r="AB9" s="49" t="e">
        <f t="shared" ca="1" si="13"/>
        <v>#NAME?</v>
      </c>
      <c r="AC9" s="58" t="s">
        <v>77</v>
      </c>
      <c r="AD9" s="51"/>
      <c r="AE9" s="52"/>
      <c r="AF9" s="58" t="s">
        <v>82</v>
      </c>
      <c r="AG9" s="50"/>
    </row>
    <row r="10" spans="1:37" ht="12.75" customHeight="1">
      <c r="A10" s="81" t="s">
        <v>85</v>
      </c>
      <c r="B10" s="72"/>
      <c r="C10" s="25">
        <v>320000</v>
      </c>
      <c r="D10" s="29">
        <f t="shared" si="0"/>
        <v>320</v>
      </c>
      <c r="E10" s="31">
        <v>301363211975.09802</v>
      </c>
      <c r="F10" s="35">
        <f t="shared" si="1"/>
        <v>4.5181890850839284E+21</v>
      </c>
      <c r="G10" s="37">
        <f t="shared" si="2"/>
        <v>7.5681559214136153E-4</v>
      </c>
      <c r="H10" s="32">
        <f t="shared" si="3"/>
        <v>32.917425234144076</v>
      </c>
      <c r="I10" s="40">
        <f t="shared" si="4"/>
        <v>2.9430001169443165</v>
      </c>
      <c r="J10" s="41">
        <f t="shared" si="5"/>
        <v>0.30000001192092929</v>
      </c>
      <c r="K10" s="32">
        <f t="shared" si="6"/>
        <v>970.44321700044941</v>
      </c>
      <c r="L10" s="32">
        <f t="shared" si="7"/>
        <v>1372.4139589950121</v>
      </c>
      <c r="M10" s="25">
        <v>47921949.369737998</v>
      </c>
      <c r="N10" s="40">
        <f t="shared" si="14"/>
        <v>149.75609178043123</v>
      </c>
      <c r="O10" s="55">
        <f>M10/'Orbital Elements'!C9</f>
        <v>2.3121485272753575E-3</v>
      </c>
      <c r="P10" s="25">
        <v>65517.859375</v>
      </c>
      <c r="Q10" s="59"/>
      <c r="R10" s="45">
        <f t="shared" si="9"/>
        <v>0.75830855758101856</v>
      </c>
      <c r="S10" s="46">
        <f t="shared" si="10"/>
        <v>30.688110348499425</v>
      </c>
      <c r="T10" s="15" t="s">
        <v>92</v>
      </c>
      <c r="U10" s="39">
        <f>P10/(1-P10/'Orbital Elements'!P9)</f>
        <v>65766.706864310938</v>
      </c>
      <c r="V10" s="34"/>
      <c r="W10" s="34"/>
      <c r="X10" s="36">
        <f t="shared" si="17"/>
        <v>0.76118873685545063</v>
      </c>
      <c r="Y10" s="57" t="e">
        <f t="shared" ca="1" si="15"/>
        <v>#NAME?</v>
      </c>
      <c r="Z10" s="48" t="e">
        <f t="shared" ca="1" si="11"/>
        <v>#NAME?</v>
      </c>
      <c r="AA10" s="48" t="e">
        <f t="shared" ca="1" si="12"/>
        <v>#NAME?</v>
      </c>
      <c r="AB10" s="49" t="e">
        <f t="shared" ca="1" si="13"/>
        <v>#NAME?</v>
      </c>
      <c r="AC10" s="58" t="s">
        <v>78</v>
      </c>
      <c r="AD10" s="60">
        <v>20.265000000000001</v>
      </c>
      <c r="AE10" s="42">
        <v>3</v>
      </c>
      <c r="AF10" s="58">
        <v>50</v>
      </c>
      <c r="AG10" s="50"/>
    </row>
    <row r="11" spans="1:37" ht="12.75" customHeight="1">
      <c r="B11" s="7" t="s">
        <v>86</v>
      </c>
      <c r="C11" s="25">
        <v>130000</v>
      </c>
      <c r="D11" s="29">
        <f t="shared" si="0"/>
        <v>130</v>
      </c>
      <c r="E11" s="31">
        <v>18568368573.1441</v>
      </c>
      <c r="F11" s="35">
        <f t="shared" si="1"/>
        <v>2.783863354294468E+20</v>
      </c>
      <c r="G11" s="54">
        <f t="shared" si="2"/>
        <v>4.6630876956356246E-5</v>
      </c>
      <c r="H11" s="32">
        <f t="shared" si="3"/>
        <v>30.250269485321958</v>
      </c>
      <c r="I11" s="40">
        <f t="shared" si="4"/>
        <v>1.0987200339138521</v>
      </c>
      <c r="J11" s="41">
        <f t="shared" si="5"/>
        <v>0.11200000345706952</v>
      </c>
      <c r="K11" s="32">
        <f t="shared" si="6"/>
        <v>377.93333328617729</v>
      </c>
      <c r="L11" s="32">
        <f t="shared" si="7"/>
        <v>534.47844560618307</v>
      </c>
      <c r="M11" s="25">
        <v>1049598.9393116201</v>
      </c>
      <c r="N11" s="40">
        <f t="shared" si="14"/>
        <v>8.0738379947047694</v>
      </c>
      <c r="O11" s="55">
        <f>M11/'Orbital Elements'!C10</f>
        <v>0.32799966853488127</v>
      </c>
      <c r="P11" s="25">
        <v>65517.8621348081</v>
      </c>
      <c r="Q11" s="59"/>
      <c r="R11" s="45">
        <f t="shared" si="9"/>
        <v>0.75830858952324187</v>
      </c>
      <c r="S11" s="46">
        <f t="shared" si="10"/>
        <v>12.467044303928716</v>
      </c>
      <c r="T11" s="15" t="s">
        <v>94</v>
      </c>
      <c r="U11" s="39">
        <f>P11/(1-P11/'Orbital Elements'!P9)</f>
        <v>65766.70964512325</v>
      </c>
      <c r="V11" s="34"/>
      <c r="W11" s="34"/>
      <c r="X11" s="36">
        <f t="shared" si="17"/>
        <v>0.76118876904077837</v>
      </c>
      <c r="Y11" s="57" t="e">
        <f t="shared" ca="1" si="15"/>
        <v>#NAME?</v>
      </c>
      <c r="Z11" s="39" t="e">
        <f t="shared" ca="1" si="11"/>
        <v>#NAME?</v>
      </c>
      <c r="AA11" s="39" t="e">
        <f t="shared" ca="1" si="12"/>
        <v>#NAME?</v>
      </c>
      <c r="AB11" s="32" t="e">
        <f t="shared" ca="1" si="13"/>
        <v>#NAME?</v>
      </c>
      <c r="AC11" s="58" t="s">
        <v>77</v>
      </c>
      <c r="AD11" s="51"/>
      <c r="AE11" s="52"/>
      <c r="AF11" s="58" t="s">
        <v>82</v>
      </c>
      <c r="AG11" s="50"/>
    </row>
    <row r="12" spans="1:37" ht="12.75" customHeight="1">
      <c r="A12" s="81" t="s">
        <v>87</v>
      </c>
      <c r="B12" s="72"/>
      <c r="C12" s="25">
        <v>138000</v>
      </c>
      <c r="D12" s="29">
        <f t="shared" si="0"/>
        <v>138</v>
      </c>
      <c r="E12" s="31">
        <v>21484488600</v>
      </c>
      <c r="F12" s="35">
        <f t="shared" si="1"/>
        <v>3.2210627586206899E+20</v>
      </c>
      <c r="G12" s="54">
        <f t="shared" si="2"/>
        <v>5.395415006064807E-5</v>
      </c>
      <c r="H12" s="32">
        <f t="shared" si="3"/>
        <v>29.259932378776114</v>
      </c>
      <c r="I12" s="40">
        <f t="shared" si="4"/>
        <v>1.12815</v>
      </c>
      <c r="J12" s="41">
        <f t="shared" si="5"/>
        <v>0.11499999999999999</v>
      </c>
      <c r="K12" s="32">
        <f t="shared" si="6"/>
        <v>394.569005371684</v>
      </c>
      <c r="L12" s="32">
        <f t="shared" si="7"/>
        <v>558.0048386886981</v>
      </c>
      <c r="M12" s="25">
        <v>32832840</v>
      </c>
      <c r="N12" s="40">
        <f t="shared" si="14"/>
        <v>237.9191304347826</v>
      </c>
      <c r="O12" s="55">
        <f>M12/'Orbital Elements'!C11</f>
        <v>8.0395112666338162E-4</v>
      </c>
      <c r="P12" s="25">
        <v>34800</v>
      </c>
      <c r="Q12" s="59"/>
      <c r="R12" s="45">
        <f t="shared" si="9"/>
        <v>0.40277777777777779</v>
      </c>
      <c r="S12" s="46">
        <f t="shared" si="10"/>
        <v>24.916079666401806</v>
      </c>
      <c r="T12" s="15" t="s">
        <v>77</v>
      </c>
      <c r="U12" s="39">
        <f>P12/(1-P12/'Orbital Elements'!P11)</f>
        <v>34825.304721098415</v>
      </c>
      <c r="V12" s="34"/>
      <c r="W12" s="34"/>
      <c r="X12" s="36">
        <f t="shared" si="17"/>
        <v>0.4030706564941946</v>
      </c>
      <c r="Y12" s="57" t="e">
        <f t="shared" ca="1" si="15"/>
        <v>#NAME?</v>
      </c>
      <c r="Z12" s="48" t="e">
        <f t="shared" ca="1" si="11"/>
        <v>#NAME?</v>
      </c>
      <c r="AA12" s="48" t="e">
        <f t="shared" ca="1" si="12"/>
        <v>#NAME?</v>
      </c>
      <c r="AB12" s="49" t="e">
        <f t="shared" ca="1" si="13"/>
        <v>#NAME?</v>
      </c>
      <c r="AC12" s="58" t="s">
        <v>77</v>
      </c>
      <c r="AD12" s="51"/>
      <c r="AE12" s="52"/>
      <c r="AF12" s="58" t="s">
        <v>82</v>
      </c>
      <c r="AG12" s="50"/>
    </row>
    <row r="13" spans="1:37" ht="12.75" customHeight="1">
      <c r="A13" s="81" t="s">
        <v>90</v>
      </c>
      <c r="B13" s="72"/>
      <c r="C13" s="25">
        <v>6000000</v>
      </c>
      <c r="D13" s="29">
        <f t="shared" si="0"/>
        <v>6000</v>
      </c>
      <c r="E13" s="31">
        <v>282528004209995</v>
      </c>
      <c r="F13" s="35">
        <f t="shared" si="1"/>
        <v>4.2358021620688905E+24</v>
      </c>
      <c r="G13" s="37">
        <f t="shared" si="2"/>
        <v>0.70951460001153943</v>
      </c>
      <c r="H13" s="32">
        <f t="shared" si="3"/>
        <v>4.6815892503652883</v>
      </c>
      <c r="I13" s="40">
        <f t="shared" si="4"/>
        <v>7.8480001169443057</v>
      </c>
      <c r="J13" s="41">
        <f t="shared" si="5"/>
        <v>0.80000001192092818</v>
      </c>
      <c r="K13" s="32">
        <f t="shared" si="6"/>
        <v>6862.0697097643824</v>
      </c>
      <c r="L13" s="32">
        <f t="shared" si="7"/>
        <v>9704.4320494983986</v>
      </c>
      <c r="M13" s="25">
        <v>2455985185.42347</v>
      </c>
      <c r="N13" s="40">
        <f t="shared" si="14"/>
        <v>409.33086423724501</v>
      </c>
      <c r="O13" s="55">
        <f>M13/'Orbital Elements'!C12</f>
        <v>3.5711182814963945E-2</v>
      </c>
      <c r="P13" s="25">
        <v>36000</v>
      </c>
      <c r="Q13" s="59"/>
      <c r="R13" s="45">
        <f t="shared" si="9"/>
        <v>0.41666666666666669</v>
      </c>
      <c r="S13" s="46">
        <f t="shared" si="10"/>
        <v>1047.1975511965977</v>
      </c>
      <c r="T13" s="15" t="s">
        <v>77</v>
      </c>
      <c r="U13" s="39">
        <f>P13/(1-P13/'Orbital Elements'!P12)</f>
        <v>36012.387045614902</v>
      </c>
      <c r="V13" s="34"/>
      <c r="W13" s="34"/>
      <c r="X13" s="36">
        <f t="shared" si="17"/>
        <v>0.41681003525017246</v>
      </c>
      <c r="Y13" s="57" t="e">
        <f t="shared" ca="1" si="15"/>
        <v>#NAME?</v>
      </c>
      <c r="Z13" s="48" t="e">
        <f t="shared" ca="1" si="11"/>
        <v>#NAME?</v>
      </c>
      <c r="AA13" s="48" t="e">
        <f t="shared" ca="1" si="12"/>
        <v>#NAME?</v>
      </c>
      <c r="AB13" s="49" t="e">
        <f t="shared" ca="1" si="13"/>
        <v>#NAME?</v>
      </c>
      <c r="AC13" s="58" t="s">
        <v>78</v>
      </c>
      <c r="AD13" s="60">
        <v>1519.902</v>
      </c>
      <c r="AE13" s="42">
        <v>10</v>
      </c>
      <c r="AF13" s="58">
        <v>200</v>
      </c>
      <c r="AG13" s="50"/>
    </row>
    <row r="14" spans="1:37" ht="12.75" customHeight="1">
      <c r="B14" s="7" t="s">
        <v>91</v>
      </c>
      <c r="C14" s="25">
        <v>500000</v>
      </c>
      <c r="D14" s="29">
        <f t="shared" si="0"/>
        <v>500</v>
      </c>
      <c r="E14" s="31">
        <v>1962000029236.0801</v>
      </c>
      <c r="F14" s="35">
        <f t="shared" si="1"/>
        <v>2.941529279214513E+22</v>
      </c>
      <c r="G14" s="37">
        <f t="shared" si="2"/>
        <v>4.9271847223023666E-3</v>
      </c>
      <c r="H14" s="32">
        <f t="shared" si="3"/>
        <v>56.179071004383573</v>
      </c>
      <c r="I14" s="40">
        <f t="shared" si="4"/>
        <v>7.8480001169443199</v>
      </c>
      <c r="J14" s="41">
        <f t="shared" si="5"/>
        <v>0.80000001192092962</v>
      </c>
      <c r="K14" s="32">
        <f t="shared" si="6"/>
        <v>1980.9088970652235</v>
      </c>
      <c r="L14" s="32">
        <f t="shared" si="7"/>
        <v>2801.4282280551688</v>
      </c>
      <c r="M14" s="25">
        <v>3723645.8111330201</v>
      </c>
      <c r="N14" s="40">
        <f t="shared" si="14"/>
        <v>7.4472916222660404</v>
      </c>
      <c r="O14" s="55">
        <f>M14/'Orbital Elements'!C13</f>
        <v>0.13697931912643541</v>
      </c>
      <c r="P14" s="25">
        <v>52980.8790593796</v>
      </c>
      <c r="Q14" s="59"/>
      <c r="R14" s="45">
        <f t="shared" si="9"/>
        <v>0.6132046187428194</v>
      </c>
      <c r="S14" s="46">
        <f t="shared" si="10"/>
        <v>59.296725712474064</v>
      </c>
      <c r="T14" s="15" t="s">
        <v>98</v>
      </c>
      <c r="U14" s="39">
        <f>P14/(1-P14/'Orbital Elements'!P12)</f>
        <v>53007.712202523668</v>
      </c>
      <c r="V14" s="34"/>
      <c r="W14" s="34"/>
      <c r="X14" s="36">
        <f t="shared" si="17"/>
        <v>0.61351518752920908</v>
      </c>
      <c r="Y14" s="57" t="e">
        <f t="shared" ca="1" si="15"/>
        <v>#NAME?</v>
      </c>
      <c r="Z14" s="39" t="e">
        <f t="shared" ca="1" si="11"/>
        <v>#NAME?</v>
      </c>
      <c r="AA14" s="39" t="e">
        <f t="shared" ca="1" si="12"/>
        <v>#NAME?</v>
      </c>
      <c r="AB14" s="32" t="e">
        <f t="shared" ca="1" si="13"/>
        <v>#NAME?</v>
      </c>
      <c r="AC14" s="58" t="s">
        <v>88</v>
      </c>
      <c r="AD14" s="60">
        <v>81.061000000000007</v>
      </c>
      <c r="AE14" s="42">
        <v>4</v>
      </c>
      <c r="AF14" s="58">
        <v>50</v>
      </c>
      <c r="AG14" s="58" t="s">
        <v>78</v>
      </c>
    </row>
    <row r="15" spans="1:37" ht="12.75" customHeight="1">
      <c r="B15" s="7" t="s">
        <v>93</v>
      </c>
      <c r="C15" s="25">
        <v>300000</v>
      </c>
      <c r="D15" s="29">
        <f t="shared" si="0"/>
        <v>300</v>
      </c>
      <c r="E15" s="31">
        <v>207481499473.75101</v>
      </c>
      <c r="F15" s="35">
        <f t="shared" si="1"/>
        <v>3.1106671585270018E+21</v>
      </c>
      <c r="G15" s="54">
        <f t="shared" si="2"/>
        <v>5.2104977529765517E-4</v>
      </c>
      <c r="H15" s="32">
        <f t="shared" si="3"/>
        <v>27.504336366288484</v>
      </c>
      <c r="I15" s="40">
        <f t="shared" si="4"/>
        <v>2.3053499941527891</v>
      </c>
      <c r="J15" s="41">
        <f t="shared" si="5"/>
        <v>0.23499999940395402</v>
      </c>
      <c r="K15" s="32">
        <f t="shared" si="6"/>
        <v>831.62792055452098</v>
      </c>
      <c r="L15" s="32">
        <f t="shared" si="7"/>
        <v>1176.0994840963385</v>
      </c>
      <c r="M15" s="25">
        <v>2406401.4447940402</v>
      </c>
      <c r="N15" s="40">
        <f t="shared" si="14"/>
        <v>8.0213381493134666</v>
      </c>
      <c r="O15" s="55">
        <f>M15/'Orbital Elements'!C14</f>
        <v>5.5765699035827773E-2</v>
      </c>
      <c r="P15" s="25">
        <v>105962.088893924</v>
      </c>
      <c r="Q15" s="44">
        <f t="shared" ref="Q15:Q18" si="18">FLOOR(P15/86400,1)</f>
        <v>1</v>
      </c>
      <c r="R15" s="45">
        <f t="shared" si="9"/>
        <v>0.22641306590189814</v>
      </c>
      <c r="S15" s="46">
        <f t="shared" si="10"/>
        <v>17.788962182888429</v>
      </c>
      <c r="T15" s="15" t="s">
        <v>98</v>
      </c>
      <c r="U15" s="39">
        <f>P15/(1-P15/'Orbital Elements'!P12)</f>
        <v>106069.47652539572</v>
      </c>
      <c r="V15" s="34"/>
      <c r="W15" s="35">
        <f t="shared" ref="W15:W18" si="19">FLOOR(U15/86400,1)</f>
        <v>1</v>
      </c>
      <c r="X15" s="36">
        <f t="shared" ref="X15:X16" si="20">U15/86400-W15</f>
        <v>0.22765597830319106</v>
      </c>
      <c r="Y15" s="57" t="e">
        <f t="shared" ca="1" si="15"/>
        <v>#NAME?</v>
      </c>
      <c r="Z15" s="39" t="e">
        <f t="shared" ca="1" si="11"/>
        <v>#NAME?</v>
      </c>
      <c r="AA15" s="39" t="e">
        <f t="shared" ca="1" si="12"/>
        <v>#NAME?</v>
      </c>
      <c r="AB15" s="32" t="e">
        <f t="shared" ca="1" si="13"/>
        <v>#NAME?</v>
      </c>
      <c r="AC15" s="58" t="s">
        <v>77</v>
      </c>
      <c r="AD15" s="51"/>
      <c r="AE15" s="52"/>
      <c r="AF15" s="58" t="s">
        <v>82</v>
      </c>
      <c r="AG15" s="50"/>
    </row>
    <row r="16" spans="1:37" ht="12.75" customHeight="1">
      <c r="B16" s="7" t="s">
        <v>95</v>
      </c>
      <c r="C16" s="25">
        <v>600000</v>
      </c>
      <c r="D16" s="29">
        <f t="shared" si="0"/>
        <v>600</v>
      </c>
      <c r="E16" s="31">
        <v>2825280042099.9502</v>
      </c>
      <c r="F16" s="35">
        <f t="shared" si="1"/>
        <v>4.2358021620688912E+22</v>
      </c>
      <c r="G16" s="37">
        <f t="shared" si="2"/>
        <v>7.0951460001153956E-3</v>
      </c>
      <c r="H16" s="32">
        <f t="shared" si="3"/>
        <v>46.81589250365289</v>
      </c>
      <c r="I16" s="40">
        <f t="shared" si="4"/>
        <v>7.8480001169443057</v>
      </c>
      <c r="J16" s="41">
        <f t="shared" si="5"/>
        <v>0.80000001192092818</v>
      </c>
      <c r="K16" s="32">
        <f t="shared" si="6"/>
        <v>2169.9769745706021</v>
      </c>
      <c r="L16" s="32">
        <f t="shared" si="7"/>
        <v>3068.8108674750824</v>
      </c>
      <c r="M16" s="25">
        <v>10856518.368358601</v>
      </c>
      <c r="N16" s="40">
        <f t="shared" si="14"/>
        <v>18.094197280597669</v>
      </c>
      <c r="O16" s="55">
        <f>M16/'Orbital Elements'!C15</f>
        <v>0.15848931924611095</v>
      </c>
      <c r="P16" s="25">
        <v>211926.35802123</v>
      </c>
      <c r="Q16" s="44">
        <f t="shared" si="18"/>
        <v>2</v>
      </c>
      <c r="R16" s="45">
        <f t="shared" si="9"/>
        <v>0.45285136598645837</v>
      </c>
      <c r="S16" s="46">
        <f t="shared" si="10"/>
        <v>17.78877917550065</v>
      </c>
      <c r="T16" s="15" t="s">
        <v>98</v>
      </c>
      <c r="U16" s="39">
        <f>P16/(1-P16/'Orbital Elements'!P12)</f>
        <v>212356.35317440625</v>
      </c>
      <c r="V16" s="34"/>
      <c r="W16" s="35">
        <f t="shared" si="19"/>
        <v>2</v>
      </c>
      <c r="X16" s="36">
        <f t="shared" si="20"/>
        <v>0.45782816174081287</v>
      </c>
      <c r="Y16" s="57" t="e">
        <f t="shared" ca="1" si="15"/>
        <v>#NAME?</v>
      </c>
      <c r="Z16" s="39" t="e">
        <f t="shared" ca="1" si="11"/>
        <v>#NAME?</v>
      </c>
      <c r="AA16" s="39" t="e">
        <f t="shared" ca="1" si="12"/>
        <v>#NAME?</v>
      </c>
      <c r="AB16" s="32" t="e">
        <f t="shared" ca="1" si="13"/>
        <v>#NAME?</v>
      </c>
      <c r="AC16" s="58" t="s">
        <v>77</v>
      </c>
      <c r="AD16" s="51"/>
      <c r="AE16" s="52"/>
      <c r="AF16" s="58" t="s">
        <v>82</v>
      </c>
      <c r="AG16" s="50"/>
    </row>
    <row r="17" spans="1:33" ht="12.75" customHeight="1">
      <c r="B17" s="7" t="s">
        <v>96</v>
      </c>
      <c r="C17" s="25">
        <v>65000</v>
      </c>
      <c r="D17" s="29">
        <f t="shared" si="0"/>
        <v>65</v>
      </c>
      <c r="E17" s="31">
        <v>2486834944.4149098</v>
      </c>
      <c r="F17" s="35">
        <f t="shared" si="1"/>
        <v>3.7283882225111089E+19</v>
      </c>
      <c r="G17" s="54">
        <f t="shared" si="2"/>
        <v>6.2452064028661785E-6</v>
      </c>
      <c r="H17" s="32">
        <f t="shared" si="3"/>
        <v>32.411001295125082</v>
      </c>
      <c r="I17" s="40">
        <f t="shared" si="4"/>
        <v>0.58859998684376569</v>
      </c>
      <c r="J17" s="41">
        <f t="shared" si="5"/>
        <v>5.9999998658895583E-2</v>
      </c>
      <c r="K17" s="32">
        <f t="shared" si="6"/>
        <v>195.59907756644654</v>
      </c>
      <c r="L17" s="32">
        <f t="shared" si="7"/>
        <v>276.61886828213574</v>
      </c>
      <c r="M17" s="25">
        <v>993002.802856375</v>
      </c>
      <c r="N17" s="40">
        <f t="shared" si="14"/>
        <v>15.276966197790385</v>
      </c>
      <c r="O17" s="55">
        <f>M17/'Orbital Elements'!C16</f>
        <v>7.7276482712558365E-3</v>
      </c>
      <c r="P17" s="25">
        <v>544507</v>
      </c>
      <c r="Q17" s="44">
        <f t="shared" si="18"/>
        <v>6</v>
      </c>
      <c r="R17" s="45">
        <f t="shared" si="9"/>
        <v>0.30216435185185198</v>
      </c>
      <c r="S17" s="46">
        <f t="shared" si="10"/>
        <v>0.75004920959082833</v>
      </c>
      <c r="T17" s="15" t="s">
        <v>98</v>
      </c>
      <c r="U17" s="39">
        <f>P17/(1-P17/'Orbital Elements'!P12)</f>
        <v>547354.64338498749</v>
      </c>
      <c r="V17" s="34"/>
      <c r="W17" s="35">
        <f t="shared" si="19"/>
        <v>6</v>
      </c>
      <c r="X17" s="36">
        <f>U17/86400</f>
        <v>6.3351231873262437</v>
      </c>
      <c r="Y17" s="57" t="e">
        <f t="shared" ca="1" si="15"/>
        <v>#NAME?</v>
      </c>
      <c r="Z17" s="39" t="e">
        <f t="shared" ca="1" si="11"/>
        <v>#NAME?</v>
      </c>
      <c r="AA17" s="39" t="e">
        <f t="shared" ca="1" si="12"/>
        <v>#NAME?</v>
      </c>
      <c r="AB17" s="32" t="e">
        <f t="shared" ca="1" si="13"/>
        <v>#NAME?</v>
      </c>
      <c r="AC17" s="58" t="s">
        <v>77</v>
      </c>
      <c r="AD17" s="51"/>
      <c r="AE17" s="52"/>
      <c r="AF17" s="58" t="s">
        <v>82</v>
      </c>
      <c r="AG17" s="50"/>
    </row>
    <row r="18" spans="1:33" ht="12.75" customHeight="1">
      <c r="B18" s="7" t="s">
        <v>97</v>
      </c>
      <c r="C18" s="25">
        <v>44000</v>
      </c>
      <c r="D18" s="29">
        <f t="shared" si="0"/>
        <v>44</v>
      </c>
      <c r="E18" s="31">
        <v>721702080</v>
      </c>
      <c r="F18" s="35">
        <f t="shared" si="1"/>
        <v>1.0820121139430285E+19</v>
      </c>
      <c r="G18" s="54">
        <f t="shared" si="2"/>
        <v>1.8124156012446038E-6</v>
      </c>
      <c r="H18" s="32">
        <f t="shared" si="3"/>
        <v>30.323929919822518</v>
      </c>
      <c r="I18" s="40">
        <f t="shared" si="4"/>
        <v>0.37278</v>
      </c>
      <c r="J18" s="41">
        <f t="shared" si="5"/>
        <v>3.7999999999999999E-2</v>
      </c>
      <c r="K18" s="32">
        <f t="shared" si="6"/>
        <v>128.07154250652249</v>
      </c>
      <c r="L18" s="32">
        <f t="shared" si="7"/>
        <v>181.12051236676646</v>
      </c>
      <c r="M18" s="25">
        <v>1042139</v>
      </c>
      <c r="N18" s="40">
        <f t="shared" si="14"/>
        <v>23.684977272727274</v>
      </c>
      <c r="O18" s="55">
        <f>M18/'Orbital Elements'!C17</f>
        <v>5.7932014008560788E-3</v>
      </c>
      <c r="P18" s="25">
        <v>901903</v>
      </c>
      <c r="Q18" s="44">
        <f t="shared" si="18"/>
        <v>10</v>
      </c>
      <c r="R18" s="45">
        <f t="shared" si="9"/>
        <v>0.43869212962962933</v>
      </c>
      <c r="S18" s="46">
        <f t="shared" si="10"/>
        <v>0.30652980810120573</v>
      </c>
      <c r="T18" s="65" t="s">
        <v>98</v>
      </c>
      <c r="U18" s="39">
        <f>P18/(1-P18/'Orbital Elements'!P12)</f>
        <v>909742.55968576542</v>
      </c>
      <c r="V18" s="34"/>
      <c r="W18" s="35">
        <f t="shared" si="19"/>
        <v>10</v>
      </c>
      <c r="X18" s="36">
        <f t="shared" ref="X18:X19" si="21">U18/86400-W18</f>
        <v>0.52942777414080311</v>
      </c>
      <c r="Y18" s="57" t="e">
        <f t="shared" ca="1" si="15"/>
        <v>#NAME?</v>
      </c>
      <c r="Z18" s="39" t="e">
        <f t="shared" ca="1" si="11"/>
        <v>#NAME?</v>
      </c>
      <c r="AA18" s="39" t="e">
        <f t="shared" ca="1" si="12"/>
        <v>#NAME?</v>
      </c>
      <c r="AB18" s="32" t="e">
        <f t="shared" ca="1" si="13"/>
        <v>#NAME?</v>
      </c>
      <c r="AC18" s="58" t="s">
        <v>77</v>
      </c>
      <c r="AD18" s="51"/>
      <c r="AE18" s="52"/>
      <c r="AF18" s="58" t="s">
        <v>82</v>
      </c>
      <c r="AG18" s="50"/>
    </row>
    <row r="19" spans="1:33" ht="12.75" customHeight="1">
      <c r="A19" s="81" t="s">
        <v>107</v>
      </c>
      <c r="B19" s="72"/>
      <c r="C19" s="25">
        <v>210000</v>
      </c>
      <c r="D19" s="29">
        <f t="shared" si="0"/>
        <v>210</v>
      </c>
      <c r="E19" s="31">
        <v>74410814527.049606</v>
      </c>
      <c r="F19" s="35">
        <f t="shared" si="1"/>
        <v>1.1156044156978952E+21</v>
      </c>
      <c r="G19" s="54">
        <f t="shared" si="2"/>
        <v>1.8686841133968093E-4</v>
      </c>
      <c r="H19" s="32">
        <f t="shared" si="3"/>
        <v>28.758334514652681</v>
      </c>
      <c r="I19" s="40">
        <f t="shared" si="4"/>
        <v>1.6873200573027121</v>
      </c>
      <c r="J19" s="41">
        <f t="shared" si="5"/>
        <v>0.17200000584125505</v>
      </c>
      <c r="K19" s="32">
        <f t="shared" si="6"/>
        <v>595.26230523490199</v>
      </c>
      <c r="L19" s="32">
        <f t="shared" si="7"/>
        <v>841.82802523267151</v>
      </c>
      <c r="M19" s="25">
        <v>119082942</v>
      </c>
      <c r="N19" s="40">
        <f t="shared" si="14"/>
        <v>567.06162857142863</v>
      </c>
      <c r="O19" s="55">
        <f>M19/'Orbital Elements'!C18</f>
        <v>1.3213992593334E-3</v>
      </c>
      <c r="P19" s="25">
        <v>19460</v>
      </c>
      <c r="Q19" s="59"/>
      <c r="R19" s="45">
        <f t="shared" si="9"/>
        <v>0.22523148148148148</v>
      </c>
      <c r="S19" s="46">
        <f t="shared" si="10"/>
        <v>67.80415799114661</v>
      </c>
      <c r="T19" s="65" t="s">
        <v>77</v>
      </c>
      <c r="U19" s="39">
        <f>P19/(1-P19/'Orbital Elements'!P18)</f>
        <v>19462.412469615618</v>
      </c>
      <c r="V19" s="34"/>
      <c r="W19" s="34"/>
      <c r="X19" s="36">
        <f t="shared" si="21"/>
        <v>0.2252594035835141</v>
      </c>
      <c r="Y19" s="57" t="e">
        <f t="shared" ca="1" si="15"/>
        <v>#NAME?</v>
      </c>
      <c r="Z19" s="48" t="e">
        <f t="shared" ca="1" si="11"/>
        <v>#NAME?</v>
      </c>
      <c r="AA19" s="48" t="e">
        <f t="shared" ca="1" si="12"/>
        <v>#NAME?</v>
      </c>
      <c r="AB19" s="49" t="e">
        <f t="shared" ca="1" si="13"/>
        <v>#NAME?</v>
      </c>
      <c r="AC19" s="58" t="s">
        <v>77</v>
      </c>
      <c r="AD19" s="51"/>
      <c r="AE19" s="52"/>
      <c r="AF19" s="58" t="s">
        <v>82</v>
      </c>
      <c r="AG19" s="50"/>
    </row>
    <row r="20" spans="1:33" ht="12.75" customHeight="1">
      <c r="C20" s="29"/>
      <c r="D20" s="80" t="s">
        <v>100</v>
      </c>
      <c r="E20" s="72"/>
      <c r="F20" s="72"/>
      <c r="G20" s="72"/>
      <c r="H20" s="72"/>
      <c r="I20" s="72"/>
      <c r="J20" s="66"/>
      <c r="M20" s="29"/>
      <c r="P20" s="29"/>
      <c r="R20" s="67"/>
      <c r="S20" s="61"/>
      <c r="U20" s="39"/>
      <c r="V20" s="34"/>
      <c r="W20" s="34"/>
      <c r="X20" s="34"/>
      <c r="Y20" s="34"/>
      <c r="Z20" s="39"/>
      <c r="AA20" s="34"/>
      <c r="AB20" s="34"/>
      <c r="AD20" s="64"/>
      <c r="AE20" s="29"/>
    </row>
    <row r="21" spans="1:33" ht="12.75" customHeight="1">
      <c r="C21" s="29"/>
      <c r="D21" s="79" t="str">
        <f>HYPERLINK("http://kerbalspaceprogram.com/forum/showthread.php/19573-Get-Celestial-Body-Orbital-%28etc-%29-Elements-from-KSP-itself?p=270550&amp;viewfull=1#post270550","Thread: Get Celestial Body Orbital (etc.) Elements from KSP itself?")</f>
        <v>Thread: Get Celestial Body Orbital (etc.) Elements from KSP itself?</v>
      </c>
      <c r="E21" s="72"/>
      <c r="F21" s="72"/>
      <c r="G21" s="72"/>
      <c r="H21" s="72"/>
      <c r="I21" s="72"/>
      <c r="J21" s="66"/>
      <c r="M21" s="29"/>
      <c r="P21" s="29"/>
      <c r="R21" s="67"/>
      <c r="S21" s="61"/>
      <c r="U21" s="39"/>
      <c r="V21" s="34"/>
      <c r="W21" s="34"/>
      <c r="X21" s="34"/>
      <c r="Y21" s="34"/>
      <c r="Z21" s="39"/>
      <c r="AA21" s="34"/>
      <c r="AB21" s="34"/>
      <c r="AD21" s="64"/>
      <c r="AE21" s="29"/>
    </row>
    <row r="22" spans="1:33" ht="12.75" customHeight="1">
      <c r="C22" s="25" t="s">
        <v>101</v>
      </c>
      <c r="D22" s="86" t="s">
        <v>102</v>
      </c>
      <c r="E22" s="72"/>
      <c r="F22" s="72"/>
      <c r="G22" s="72"/>
      <c r="H22" s="72"/>
      <c r="J22" s="66"/>
      <c r="M22" s="29"/>
      <c r="P22" s="29"/>
      <c r="R22" s="67"/>
      <c r="S22" s="61"/>
      <c r="U22" s="39"/>
      <c r="V22" s="34"/>
      <c r="W22" s="34"/>
      <c r="X22" s="34"/>
      <c r="Y22" s="34"/>
      <c r="Z22" s="39"/>
      <c r="AA22" s="34"/>
      <c r="AB22" s="34"/>
      <c r="AD22" s="64"/>
      <c r="AE22" s="29"/>
    </row>
    <row r="23" spans="1:33" ht="12.75" customHeight="1">
      <c r="C23" s="25" t="s">
        <v>108</v>
      </c>
      <c r="D23" s="84" t="s">
        <v>104</v>
      </c>
      <c r="E23" s="72"/>
      <c r="F23" s="72"/>
      <c r="G23" s="72"/>
      <c r="H23" s="72"/>
      <c r="I23" s="72"/>
      <c r="J23" s="66"/>
      <c r="M23" s="29"/>
      <c r="P23" s="29"/>
      <c r="R23" s="67"/>
      <c r="S23" s="61"/>
      <c r="U23" s="39"/>
      <c r="V23" s="34"/>
      <c r="W23" s="34"/>
      <c r="X23" s="34"/>
      <c r="Y23" s="34"/>
      <c r="Z23" s="39"/>
      <c r="AA23" s="34"/>
      <c r="AB23" s="34"/>
      <c r="AD23" s="64"/>
      <c r="AE23" s="29"/>
    </row>
    <row r="24" spans="1:33" ht="12.75" customHeight="1">
      <c r="C24" s="80" t="s">
        <v>105</v>
      </c>
      <c r="D24" s="72"/>
      <c r="E24" s="72"/>
      <c r="F24" s="72"/>
      <c r="G24" s="72"/>
      <c r="H24" s="72"/>
      <c r="I24" s="68"/>
      <c r="J24" s="66"/>
      <c r="M24" s="29"/>
      <c r="P24" s="29"/>
      <c r="R24" s="67"/>
      <c r="S24" s="61"/>
      <c r="U24" s="39"/>
      <c r="V24" s="34"/>
      <c r="W24" s="34"/>
      <c r="X24" s="34"/>
      <c r="Y24" s="34"/>
      <c r="Z24" s="39"/>
      <c r="AA24" s="34"/>
      <c r="AB24" s="34"/>
      <c r="AD24" s="64"/>
      <c r="AE24" s="29"/>
    </row>
    <row r="25" spans="1:33" ht="12.75" customHeight="1">
      <c r="C25" s="80" t="s">
        <v>106</v>
      </c>
      <c r="D25" s="72"/>
      <c r="E25" s="72"/>
      <c r="F25" s="72"/>
      <c r="G25" s="72"/>
      <c r="H25" s="69"/>
      <c r="I25" s="66"/>
      <c r="J25" s="66"/>
      <c r="M25" s="29"/>
      <c r="P25" s="29"/>
      <c r="R25" s="67"/>
      <c r="S25" s="61"/>
      <c r="U25" s="39"/>
      <c r="V25" s="34"/>
      <c r="W25" s="34"/>
      <c r="X25" s="34"/>
      <c r="Y25" s="34"/>
      <c r="Z25" s="39"/>
      <c r="AA25" s="34"/>
      <c r="AB25" s="34"/>
      <c r="AD25" s="64"/>
      <c r="AE25" s="29"/>
    </row>
    <row r="26" spans="1:33" ht="12.75" customHeight="1">
      <c r="C26" s="29"/>
      <c r="D26" s="29"/>
      <c r="E26" s="68"/>
      <c r="F26" s="69"/>
      <c r="G26" s="70"/>
      <c r="H26" s="69"/>
      <c r="I26" s="66"/>
      <c r="J26" s="66"/>
      <c r="M26" s="29"/>
      <c r="P26" s="29"/>
      <c r="R26" s="67"/>
      <c r="S26" s="61"/>
      <c r="U26" s="39"/>
      <c r="V26" s="34"/>
      <c r="W26" s="34"/>
      <c r="X26" s="34"/>
      <c r="Y26" s="34"/>
      <c r="Z26" s="39"/>
      <c r="AA26" s="34"/>
      <c r="AB26" s="34"/>
      <c r="AD26" s="64"/>
      <c r="AE26" s="29"/>
    </row>
    <row r="27" spans="1:33" ht="12.75" customHeight="1">
      <c r="C27" s="29"/>
      <c r="D27" s="29"/>
      <c r="E27" s="68"/>
      <c r="F27" s="69"/>
      <c r="G27" s="70"/>
      <c r="H27" s="69"/>
      <c r="I27" s="66"/>
      <c r="J27" s="66"/>
      <c r="M27" s="29"/>
      <c r="P27" s="29"/>
      <c r="R27" s="67"/>
      <c r="S27" s="61"/>
      <c r="U27" s="39"/>
      <c r="V27" s="34"/>
      <c r="W27" s="34"/>
      <c r="X27" s="34"/>
      <c r="Y27" s="34"/>
      <c r="Z27" s="39"/>
      <c r="AA27" s="34"/>
      <c r="AB27" s="34"/>
      <c r="AD27" s="64"/>
      <c r="AE27" s="29"/>
    </row>
    <row r="28" spans="1:33" ht="12.75" customHeight="1">
      <c r="C28" s="29"/>
      <c r="D28" s="29"/>
      <c r="E28" s="68"/>
      <c r="F28" s="69"/>
      <c r="G28" s="70"/>
      <c r="H28" s="69"/>
      <c r="I28" s="66"/>
      <c r="J28" s="66"/>
      <c r="M28" s="29"/>
      <c r="P28" s="29"/>
      <c r="R28" s="67"/>
      <c r="S28" s="61"/>
      <c r="U28" s="39"/>
      <c r="V28" s="34"/>
      <c r="W28" s="34"/>
      <c r="X28" s="34"/>
      <c r="Y28" s="34"/>
      <c r="Z28" s="39"/>
      <c r="AA28" s="34"/>
      <c r="AB28" s="34"/>
      <c r="AD28" s="64"/>
      <c r="AE28" s="29"/>
    </row>
    <row r="29" spans="1:33" ht="12.75" customHeight="1">
      <c r="C29" s="29"/>
      <c r="D29" s="29"/>
      <c r="E29" s="68"/>
      <c r="F29" s="69"/>
      <c r="G29" s="70"/>
      <c r="H29" s="69"/>
      <c r="I29" s="66"/>
      <c r="J29" s="66"/>
      <c r="M29" s="29"/>
      <c r="P29" s="29"/>
      <c r="R29" s="67"/>
      <c r="S29" s="61"/>
      <c r="U29" s="39"/>
      <c r="V29" s="34"/>
      <c r="W29" s="34"/>
      <c r="X29" s="34"/>
      <c r="Y29" s="34"/>
      <c r="Z29" s="39"/>
      <c r="AA29" s="34"/>
      <c r="AB29" s="34"/>
      <c r="AD29" s="64"/>
      <c r="AE29" s="29"/>
    </row>
    <row r="30" spans="1:33" ht="12.75" customHeight="1">
      <c r="C30" s="29"/>
      <c r="D30" s="29"/>
      <c r="E30" s="68"/>
      <c r="F30" s="69"/>
      <c r="G30" s="70"/>
      <c r="H30" s="69"/>
      <c r="I30" s="66"/>
      <c r="J30" s="66"/>
      <c r="M30" s="29"/>
      <c r="P30" s="29"/>
      <c r="R30" s="67"/>
      <c r="S30" s="61"/>
      <c r="U30" s="39"/>
      <c r="V30" s="34"/>
      <c r="W30" s="34"/>
      <c r="X30" s="34"/>
      <c r="Y30" s="34"/>
      <c r="Z30" s="39"/>
      <c r="AA30" s="34"/>
      <c r="AB30" s="34"/>
      <c r="AD30" s="64"/>
      <c r="AE30" s="29"/>
    </row>
    <row r="31" spans="1:33" ht="12.75" customHeight="1">
      <c r="C31" s="29"/>
      <c r="D31" s="29"/>
      <c r="E31" s="68"/>
      <c r="F31" s="69"/>
      <c r="G31" s="70"/>
      <c r="H31" s="69"/>
      <c r="I31" s="66"/>
      <c r="J31" s="66"/>
      <c r="M31" s="29"/>
      <c r="P31" s="29"/>
      <c r="R31" s="67"/>
      <c r="S31" s="61"/>
      <c r="U31" s="39"/>
      <c r="V31" s="34"/>
      <c r="W31" s="34"/>
      <c r="X31" s="34"/>
      <c r="Y31" s="34"/>
      <c r="Z31" s="39"/>
      <c r="AA31" s="34"/>
      <c r="AB31" s="34"/>
      <c r="AD31" s="64"/>
      <c r="AE31" s="29"/>
    </row>
    <row r="32" spans="1:33" ht="12.75" customHeight="1">
      <c r="C32" s="29"/>
      <c r="D32" s="29"/>
      <c r="E32" s="68"/>
      <c r="F32" s="69"/>
      <c r="G32" s="70"/>
      <c r="H32" s="69"/>
      <c r="I32" s="66"/>
      <c r="J32" s="66"/>
      <c r="M32" s="29"/>
      <c r="P32" s="29"/>
      <c r="R32" s="67"/>
      <c r="S32" s="61"/>
      <c r="U32" s="39"/>
      <c r="V32" s="34"/>
      <c r="W32" s="34"/>
      <c r="X32" s="34"/>
      <c r="Y32" s="34"/>
      <c r="Z32" s="39"/>
      <c r="AA32" s="34"/>
      <c r="AB32" s="34"/>
      <c r="AD32" s="64"/>
      <c r="AE32" s="29"/>
    </row>
    <row r="33" spans="3:31" ht="12.75" customHeight="1">
      <c r="C33" s="29"/>
      <c r="D33" s="29"/>
      <c r="E33" s="68"/>
      <c r="F33" s="69"/>
      <c r="G33" s="70"/>
      <c r="H33" s="69"/>
      <c r="I33" s="66"/>
      <c r="J33" s="66"/>
      <c r="M33" s="29"/>
      <c r="P33" s="29"/>
      <c r="R33" s="67"/>
      <c r="S33" s="61"/>
      <c r="U33" s="39"/>
      <c r="V33" s="34"/>
      <c r="W33" s="34"/>
      <c r="X33" s="34"/>
      <c r="Y33" s="34"/>
      <c r="Z33" s="39"/>
      <c r="AA33" s="34"/>
      <c r="AB33" s="34"/>
      <c r="AD33" s="64"/>
      <c r="AE33" s="29"/>
    </row>
    <row r="34" spans="3:31" ht="12.75" customHeight="1">
      <c r="C34" s="29"/>
      <c r="D34" s="29"/>
      <c r="E34" s="68"/>
      <c r="F34" s="69"/>
      <c r="G34" s="70"/>
      <c r="H34" s="69"/>
      <c r="I34" s="66"/>
      <c r="J34" s="66"/>
      <c r="M34" s="29"/>
      <c r="P34" s="29"/>
      <c r="R34" s="67"/>
      <c r="S34" s="61"/>
      <c r="U34" s="39"/>
      <c r="V34" s="34"/>
      <c r="W34" s="34"/>
      <c r="X34" s="34"/>
      <c r="Y34" s="34"/>
      <c r="Z34" s="39"/>
      <c r="AA34" s="34"/>
      <c r="AB34" s="34"/>
      <c r="AD34" s="64"/>
      <c r="AE34" s="29"/>
    </row>
    <row r="35" spans="3:31" ht="12.75" customHeight="1">
      <c r="C35" s="29"/>
      <c r="D35" s="29"/>
      <c r="E35" s="68"/>
      <c r="F35" s="69"/>
      <c r="G35" s="70"/>
      <c r="H35" s="69"/>
      <c r="I35" s="66"/>
      <c r="J35" s="66"/>
      <c r="M35" s="29"/>
      <c r="P35" s="29"/>
      <c r="R35" s="67"/>
      <c r="S35" s="61"/>
      <c r="U35" s="39"/>
      <c r="V35" s="34"/>
      <c r="W35" s="34"/>
      <c r="X35" s="34"/>
      <c r="Y35" s="34"/>
      <c r="Z35" s="39"/>
      <c r="AA35" s="34"/>
      <c r="AB35" s="34"/>
      <c r="AD35" s="64"/>
      <c r="AE35" s="29"/>
    </row>
    <row r="36" spans="3:31" ht="12.75" customHeight="1">
      <c r="C36" s="29"/>
      <c r="D36" s="29"/>
      <c r="E36" s="68"/>
      <c r="F36" s="69"/>
      <c r="G36" s="70"/>
      <c r="H36" s="69"/>
      <c r="I36" s="66"/>
      <c r="J36" s="66"/>
      <c r="M36" s="29"/>
      <c r="P36" s="29"/>
      <c r="R36" s="67"/>
      <c r="S36" s="61"/>
      <c r="U36" s="39"/>
      <c r="V36" s="34"/>
      <c r="W36" s="34"/>
      <c r="X36" s="34"/>
      <c r="Y36" s="34"/>
      <c r="Z36" s="39"/>
      <c r="AA36" s="34"/>
      <c r="AB36" s="34"/>
      <c r="AD36" s="64"/>
      <c r="AE36" s="29"/>
    </row>
    <row r="37" spans="3:31" ht="12.75" customHeight="1">
      <c r="C37" s="29"/>
      <c r="D37" s="29"/>
      <c r="E37" s="68"/>
      <c r="F37" s="69"/>
      <c r="G37" s="70"/>
      <c r="H37" s="69"/>
      <c r="I37" s="66"/>
      <c r="J37" s="66"/>
      <c r="M37" s="29"/>
      <c r="P37" s="29"/>
      <c r="R37" s="67"/>
      <c r="S37" s="61"/>
      <c r="U37" s="39"/>
      <c r="V37" s="34"/>
      <c r="W37" s="34"/>
      <c r="X37" s="34"/>
      <c r="Y37" s="34"/>
      <c r="Z37" s="39"/>
      <c r="AA37" s="34"/>
      <c r="AB37" s="34"/>
      <c r="AD37" s="64"/>
      <c r="AE37" s="29"/>
    </row>
    <row r="38" spans="3:31" ht="12.75" customHeight="1">
      <c r="C38" s="29"/>
      <c r="D38" s="29"/>
      <c r="E38" s="68"/>
      <c r="F38" s="69"/>
      <c r="G38" s="70"/>
      <c r="H38" s="69"/>
      <c r="I38" s="66"/>
      <c r="J38" s="66"/>
      <c r="M38" s="29"/>
      <c r="P38" s="29"/>
      <c r="R38" s="67"/>
      <c r="S38" s="61"/>
      <c r="U38" s="39"/>
      <c r="V38" s="34"/>
      <c r="W38" s="34"/>
      <c r="X38" s="34"/>
      <c r="Y38" s="34"/>
      <c r="Z38" s="39"/>
      <c r="AA38" s="34"/>
      <c r="AB38" s="34"/>
      <c r="AD38" s="64"/>
      <c r="AE38" s="29"/>
    </row>
    <row r="39" spans="3:31" ht="12.75" customHeight="1">
      <c r="C39" s="29"/>
      <c r="D39" s="29"/>
      <c r="E39" s="68"/>
      <c r="F39" s="69"/>
      <c r="G39" s="70"/>
      <c r="H39" s="69"/>
      <c r="I39" s="66"/>
      <c r="J39" s="66"/>
      <c r="M39" s="29"/>
      <c r="P39" s="29"/>
      <c r="R39" s="67"/>
      <c r="S39" s="61"/>
      <c r="U39" s="39"/>
      <c r="V39" s="34"/>
      <c r="W39" s="34"/>
      <c r="X39" s="34"/>
      <c r="Y39" s="34"/>
      <c r="Z39" s="39"/>
      <c r="AA39" s="34"/>
      <c r="AB39" s="34"/>
      <c r="AD39" s="64"/>
      <c r="AE39" s="29"/>
    </row>
    <row r="40" spans="3:31" ht="12.75" customHeight="1">
      <c r="C40" s="29"/>
      <c r="D40" s="29"/>
      <c r="E40" s="68"/>
      <c r="F40" s="69"/>
      <c r="G40" s="70"/>
      <c r="H40" s="69"/>
      <c r="I40" s="66"/>
      <c r="J40" s="66"/>
      <c r="M40" s="29"/>
      <c r="P40" s="29"/>
      <c r="R40" s="67"/>
      <c r="S40" s="61"/>
      <c r="U40" s="39"/>
      <c r="V40" s="34"/>
      <c r="W40" s="34"/>
      <c r="X40" s="34"/>
      <c r="Y40" s="34"/>
      <c r="Z40" s="39"/>
      <c r="AA40" s="34"/>
      <c r="AB40" s="34"/>
      <c r="AD40" s="64"/>
      <c r="AE40" s="29"/>
    </row>
    <row r="41" spans="3:31" ht="12.75" customHeight="1">
      <c r="C41" s="29"/>
      <c r="D41" s="29"/>
      <c r="E41" s="68"/>
      <c r="F41" s="69"/>
      <c r="G41" s="70"/>
      <c r="H41" s="69"/>
      <c r="I41" s="66"/>
      <c r="J41" s="66"/>
      <c r="M41" s="29"/>
      <c r="P41" s="29"/>
      <c r="R41" s="67"/>
      <c r="S41" s="61"/>
      <c r="U41" s="39"/>
      <c r="V41" s="34"/>
      <c r="W41" s="34"/>
      <c r="X41" s="34"/>
      <c r="Y41" s="34"/>
      <c r="Z41" s="39"/>
      <c r="AA41" s="34"/>
      <c r="AB41" s="34"/>
      <c r="AD41" s="64"/>
      <c r="AE41" s="29"/>
    </row>
    <row r="42" spans="3:31" ht="12.75" customHeight="1">
      <c r="C42" s="29"/>
      <c r="D42" s="29"/>
      <c r="E42" s="68"/>
      <c r="F42" s="69"/>
      <c r="G42" s="70"/>
      <c r="H42" s="69"/>
      <c r="I42" s="66"/>
      <c r="J42" s="66"/>
      <c r="M42" s="29"/>
      <c r="P42" s="29"/>
      <c r="R42" s="67"/>
      <c r="S42" s="61"/>
      <c r="U42" s="39"/>
      <c r="V42" s="34"/>
      <c r="W42" s="34"/>
      <c r="X42" s="34"/>
      <c r="Y42" s="34"/>
      <c r="Z42" s="39"/>
      <c r="AA42" s="34"/>
      <c r="AB42" s="34"/>
      <c r="AD42" s="64"/>
      <c r="AE42" s="29"/>
    </row>
    <row r="43" spans="3:31" ht="12.75" customHeight="1">
      <c r="C43" s="29"/>
      <c r="D43" s="29"/>
      <c r="E43" s="68"/>
      <c r="F43" s="69"/>
      <c r="G43" s="70"/>
      <c r="H43" s="69"/>
      <c r="I43" s="66"/>
      <c r="J43" s="66"/>
      <c r="M43" s="29"/>
      <c r="P43" s="29"/>
      <c r="R43" s="67"/>
      <c r="S43" s="61"/>
      <c r="U43" s="39"/>
      <c r="V43" s="34"/>
      <c r="W43" s="34"/>
      <c r="X43" s="34"/>
      <c r="Y43" s="34"/>
      <c r="Z43" s="39"/>
      <c r="AA43" s="34"/>
      <c r="AB43" s="34"/>
      <c r="AD43" s="64"/>
      <c r="AE43" s="29"/>
    </row>
    <row r="44" spans="3:31" ht="12.75" customHeight="1">
      <c r="C44" s="29"/>
      <c r="D44" s="29"/>
      <c r="E44" s="68"/>
      <c r="F44" s="69"/>
      <c r="G44" s="70"/>
      <c r="H44" s="69"/>
      <c r="I44" s="66"/>
      <c r="J44" s="66"/>
      <c r="M44" s="29"/>
      <c r="P44" s="29"/>
      <c r="R44" s="67"/>
      <c r="S44" s="61"/>
      <c r="U44" s="39"/>
      <c r="V44" s="34"/>
      <c r="W44" s="34"/>
      <c r="X44" s="34"/>
      <c r="Y44" s="34"/>
      <c r="Z44" s="39"/>
      <c r="AA44" s="34"/>
      <c r="AB44" s="34"/>
      <c r="AD44" s="64"/>
      <c r="AE44" s="29"/>
    </row>
    <row r="45" spans="3:31" ht="12.75" customHeight="1">
      <c r="C45" s="29"/>
      <c r="D45" s="29"/>
      <c r="E45" s="68"/>
      <c r="F45" s="69"/>
      <c r="G45" s="70"/>
      <c r="H45" s="69"/>
      <c r="I45" s="66"/>
      <c r="J45" s="66"/>
      <c r="M45" s="29"/>
      <c r="P45" s="29"/>
      <c r="R45" s="67"/>
      <c r="S45" s="61"/>
      <c r="U45" s="39"/>
      <c r="V45" s="34"/>
      <c r="W45" s="34"/>
      <c r="X45" s="34"/>
      <c r="Y45" s="34"/>
      <c r="Z45" s="39"/>
      <c r="AA45" s="34"/>
      <c r="AB45" s="34"/>
      <c r="AD45" s="64"/>
      <c r="AE45" s="29"/>
    </row>
    <row r="46" spans="3:31" ht="12.75" customHeight="1">
      <c r="C46" s="29"/>
      <c r="D46" s="29"/>
      <c r="E46" s="68"/>
      <c r="F46" s="69"/>
      <c r="G46" s="70"/>
      <c r="H46" s="69"/>
      <c r="I46" s="66"/>
      <c r="J46" s="66"/>
      <c r="M46" s="29"/>
      <c r="P46" s="29"/>
      <c r="R46" s="67"/>
      <c r="S46" s="61"/>
      <c r="U46" s="39"/>
      <c r="V46" s="34"/>
      <c r="W46" s="34"/>
      <c r="X46" s="34"/>
      <c r="Y46" s="34"/>
      <c r="Z46" s="39"/>
      <c r="AA46" s="34"/>
      <c r="AB46" s="34"/>
      <c r="AD46" s="64"/>
      <c r="AE46" s="29"/>
    </row>
    <row r="47" spans="3:31" ht="12.75" customHeight="1">
      <c r="C47" s="29"/>
      <c r="D47" s="29"/>
      <c r="E47" s="68"/>
      <c r="F47" s="69"/>
      <c r="G47" s="70"/>
      <c r="H47" s="69"/>
      <c r="I47" s="66"/>
      <c r="J47" s="66"/>
      <c r="M47" s="29"/>
      <c r="P47" s="29"/>
      <c r="R47" s="67"/>
      <c r="S47" s="61"/>
      <c r="U47" s="39"/>
      <c r="V47" s="34"/>
      <c r="W47" s="34"/>
      <c r="X47" s="34"/>
      <c r="Y47" s="34"/>
      <c r="Z47" s="39"/>
      <c r="AA47" s="34"/>
      <c r="AB47" s="34"/>
      <c r="AD47" s="64"/>
      <c r="AE47" s="29"/>
    </row>
    <row r="48" spans="3:31" ht="12.75" customHeight="1">
      <c r="C48" s="29"/>
      <c r="D48" s="29"/>
      <c r="E48" s="68"/>
      <c r="F48" s="69"/>
      <c r="G48" s="70"/>
      <c r="H48" s="69"/>
      <c r="I48" s="66"/>
      <c r="J48" s="66"/>
      <c r="M48" s="29"/>
      <c r="P48" s="29"/>
      <c r="R48" s="67"/>
      <c r="S48" s="61"/>
      <c r="U48" s="39"/>
      <c r="V48" s="34"/>
      <c r="W48" s="34"/>
      <c r="X48" s="34"/>
      <c r="Y48" s="34"/>
      <c r="Z48" s="39"/>
      <c r="AA48" s="34"/>
      <c r="AB48" s="34"/>
      <c r="AD48" s="64"/>
      <c r="AE48" s="29"/>
    </row>
    <row r="49" spans="3:31" ht="12.75" customHeight="1">
      <c r="C49" s="29"/>
      <c r="D49" s="29"/>
      <c r="E49" s="68"/>
      <c r="F49" s="69"/>
      <c r="G49" s="70"/>
      <c r="H49" s="69"/>
      <c r="I49" s="66"/>
      <c r="J49" s="66"/>
      <c r="M49" s="29"/>
      <c r="P49" s="29"/>
      <c r="R49" s="67"/>
      <c r="S49" s="61"/>
      <c r="U49" s="39"/>
      <c r="V49" s="34"/>
      <c r="W49" s="34"/>
      <c r="X49" s="34"/>
      <c r="Y49" s="34"/>
      <c r="Z49" s="39"/>
      <c r="AA49" s="34"/>
      <c r="AB49" s="34"/>
      <c r="AD49" s="64"/>
      <c r="AE49" s="29"/>
    </row>
    <row r="50" spans="3:31" ht="12.75" customHeight="1">
      <c r="C50" s="29"/>
      <c r="D50" s="29"/>
      <c r="E50" s="68"/>
      <c r="F50" s="69"/>
      <c r="G50" s="70"/>
      <c r="H50" s="69"/>
      <c r="I50" s="66"/>
      <c r="J50" s="66"/>
      <c r="M50" s="29"/>
      <c r="P50" s="29"/>
      <c r="R50" s="67"/>
      <c r="S50" s="61"/>
      <c r="U50" s="39"/>
      <c r="V50" s="34"/>
      <c r="W50" s="34"/>
      <c r="X50" s="34"/>
      <c r="Y50" s="34"/>
      <c r="Z50" s="39"/>
      <c r="AA50" s="34"/>
      <c r="AB50" s="34"/>
      <c r="AD50" s="64"/>
      <c r="AE50" s="29"/>
    </row>
    <row r="51" spans="3:31" ht="12.75" customHeight="1">
      <c r="C51" s="29"/>
      <c r="D51" s="29"/>
      <c r="E51" s="68"/>
      <c r="F51" s="69"/>
      <c r="G51" s="70"/>
      <c r="H51" s="69"/>
      <c r="I51" s="66"/>
      <c r="J51" s="66"/>
      <c r="M51" s="29"/>
      <c r="P51" s="29"/>
      <c r="R51" s="67"/>
      <c r="S51" s="61"/>
      <c r="U51" s="39"/>
      <c r="V51" s="34"/>
      <c r="W51" s="34"/>
      <c r="X51" s="34"/>
      <c r="Y51" s="34"/>
      <c r="Z51" s="39"/>
      <c r="AA51" s="34"/>
      <c r="AB51" s="34"/>
      <c r="AD51" s="64"/>
      <c r="AE51" s="29"/>
    </row>
    <row r="52" spans="3:31" ht="12.75" customHeight="1">
      <c r="C52" s="29"/>
      <c r="D52" s="29"/>
      <c r="E52" s="68"/>
      <c r="F52" s="69"/>
      <c r="G52" s="70"/>
      <c r="H52" s="69"/>
      <c r="I52" s="66"/>
      <c r="J52" s="66"/>
      <c r="M52" s="29"/>
      <c r="P52" s="29"/>
      <c r="R52" s="67"/>
      <c r="S52" s="61"/>
      <c r="U52" s="39"/>
      <c r="V52" s="34"/>
      <c r="W52" s="34"/>
      <c r="X52" s="34"/>
      <c r="Y52" s="34"/>
      <c r="Z52" s="39"/>
      <c r="AA52" s="34"/>
      <c r="AB52" s="34"/>
      <c r="AD52" s="64"/>
      <c r="AE52" s="29"/>
    </row>
    <row r="53" spans="3:31" ht="12.75" customHeight="1">
      <c r="C53" s="29"/>
      <c r="D53" s="29"/>
      <c r="E53" s="68"/>
      <c r="F53" s="69"/>
      <c r="G53" s="70"/>
      <c r="H53" s="69"/>
      <c r="I53" s="66"/>
      <c r="J53" s="66"/>
      <c r="M53" s="29"/>
      <c r="P53" s="29"/>
      <c r="R53" s="67"/>
      <c r="S53" s="61"/>
      <c r="U53" s="39"/>
      <c r="V53" s="34"/>
      <c r="W53" s="34"/>
      <c r="X53" s="34"/>
      <c r="Y53" s="34"/>
      <c r="Z53" s="39"/>
      <c r="AA53" s="34"/>
      <c r="AB53" s="34"/>
      <c r="AD53" s="64"/>
      <c r="AE53" s="29"/>
    </row>
    <row r="54" spans="3:31" ht="12.75" customHeight="1">
      <c r="C54" s="29"/>
      <c r="D54" s="29"/>
      <c r="E54" s="68"/>
      <c r="F54" s="69"/>
      <c r="G54" s="70"/>
      <c r="H54" s="69"/>
      <c r="I54" s="66"/>
      <c r="J54" s="66"/>
      <c r="M54" s="29"/>
      <c r="P54" s="29"/>
      <c r="R54" s="67"/>
      <c r="S54" s="61"/>
      <c r="U54" s="39"/>
      <c r="V54" s="34"/>
      <c r="W54" s="34"/>
      <c r="X54" s="34"/>
      <c r="Y54" s="34"/>
      <c r="Z54" s="39"/>
      <c r="AA54" s="34"/>
      <c r="AB54" s="34"/>
      <c r="AD54" s="64"/>
      <c r="AE54" s="29"/>
    </row>
    <row r="55" spans="3:31" ht="12.75" customHeight="1">
      <c r="C55" s="29"/>
      <c r="D55" s="29"/>
      <c r="E55" s="68"/>
      <c r="F55" s="69"/>
      <c r="G55" s="70"/>
      <c r="H55" s="69"/>
      <c r="I55" s="66"/>
      <c r="J55" s="66"/>
      <c r="M55" s="29"/>
      <c r="P55" s="29"/>
      <c r="R55" s="67"/>
      <c r="S55" s="61"/>
      <c r="U55" s="39"/>
      <c r="V55" s="34"/>
      <c r="W55" s="34"/>
      <c r="X55" s="34"/>
      <c r="Y55" s="34"/>
      <c r="Z55" s="39"/>
      <c r="AA55" s="34"/>
      <c r="AB55" s="34"/>
      <c r="AD55" s="64"/>
      <c r="AE55" s="29"/>
    </row>
    <row r="56" spans="3:31" ht="12.75" customHeight="1">
      <c r="C56" s="29"/>
      <c r="D56" s="29"/>
      <c r="E56" s="68"/>
      <c r="F56" s="69"/>
      <c r="G56" s="70"/>
      <c r="H56" s="69"/>
      <c r="I56" s="66"/>
      <c r="J56" s="66"/>
      <c r="M56" s="29"/>
      <c r="P56" s="29"/>
      <c r="R56" s="67"/>
      <c r="S56" s="61"/>
      <c r="U56" s="39"/>
      <c r="V56" s="34"/>
      <c r="W56" s="34"/>
      <c r="X56" s="34"/>
      <c r="Y56" s="34"/>
      <c r="Z56" s="39"/>
      <c r="AA56" s="34"/>
      <c r="AB56" s="34"/>
      <c r="AD56" s="64"/>
      <c r="AE56" s="29"/>
    </row>
    <row r="57" spans="3:31" ht="12.75" customHeight="1">
      <c r="C57" s="29"/>
      <c r="D57" s="29"/>
      <c r="E57" s="68"/>
      <c r="F57" s="69"/>
      <c r="G57" s="70"/>
      <c r="H57" s="69"/>
      <c r="I57" s="66"/>
      <c r="J57" s="66"/>
      <c r="M57" s="29"/>
      <c r="P57" s="29"/>
      <c r="R57" s="67"/>
      <c r="S57" s="61"/>
      <c r="U57" s="39"/>
      <c r="V57" s="34"/>
      <c r="W57" s="34"/>
      <c r="X57" s="34"/>
      <c r="Y57" s="34"/>
      <c r="Z57" s="39"/>
      <c r="AA57" s="34"/>
      <c r="AB57" s="34"/>
      <c r="AD57" s="64"/>
      <c r="AE57" s="29"/>
    </row>
    <row r="58" spans="3:31" ht="12.75" customHeight="1">
      <c r="C58" s="29"/>
      <c r="D58" s="29"/>
      <c r="E58" s="68"/>
      <c r="F58" s="69"/>
      <c r="G58" s="70"/>
      <c r="H58" s="69"/>
      <c r="I58" s="66"/>
      <c r="J58" s="66"/>
      <c r="M58" s="29"/>
      <c r="P58" s="29"/>
      <c r="R58" s="67"/>
      <c r="S58" s="61"/>
      <c r="U58" s="39"/>
      <c r="V58" s="34"/>
      <c r="W58" s="34"/>
      <c r="X58" s="34"/>
      <c r="Y58" s="34"/>
      <c r="Z58" s="39"/>
      <c r="AA58" s="34"/>
      <c r="AB58" s="34"/>
      <c r="AD58" s="64"/>
      <c r="AE58" s="29"/>
    </row>
    <row r="59" spans="3:31" ht="12.75" customHeight="1">
      <c r="C59" s="29"/>
      <c r="D59" s="29"/>
      <c r="E59" s="68"/>
      <c r="F59" s="69"/>
      <c r="G59" s="70"/>
      <c r="H59" s="69"/>
      <c r="I59" s="66"/>
      <c r="J59" s="66"/>
      <c r="M59" s="29"/>
      <c r="P59" s="29"/>
      <c r="R59" s="67"/>
      <c r="S59" s="61"/>
      <c r="U59" s="39"/>
      <c r="V59" s="34"/>
      <c r="W59" s="34"/>
      <c r="X59" s="34"/>
      <c r="Y59" s="34"/>
      <c r="Z59" s="39"/>
      <c r="AA59" s="34"/>
      <c r="AB59" s="34"/>
      <c r="AD59" s="64"/>
      <c r="AE59" s="29"/>
    </row>
    <row r="60" spans="3:31" ht="12.75" customHeight="1">
      <c r="C60" s="29"/>
      <c r="D60" s="29"/>
      <c r="E60" s="68"/>
      <c r="F60" s="69"/>
      <c r="G60" s="70"/>
      <c r="H60" s="69"/>
      <c r="I60" s="66"/>
      <c r="J60" s="66"/>
      <c r="M60" s="29"/>
      <c r="P60" s="29"/>
      <c r="R60" s="67"/>
      <c r="S60" s="61"/>
      <c r="U60" s="39"/>
      <c r="V60" s="34"/>
      <c r="W60" s="34"/>
      <c r="X60" s="34"/>
      <c r="Y60" s="34"/>
      <c r="Z60" s="39"/>
      <c r="AA60" s="34"/>
      <c r="AB60" s="34"/>
      <c r="AD60" s="64"/>
      <c r="AE60" s="29"/>
    </row>
    <row r="61" spans="3:31" ht="12.75" customHeight="1">
      <c r="C61" s="29"/>
      <c r="D61" s="29"/>
      <c r="E61" s="68"/>
      <c r="F61" s="69"/>
      <c r="G61" s="70"/>
      <c r="H61" s="69"/>
      <c r="I61" s="66"/>
      <c r="J61" s="66"/>
      <c r="M61" s="29"/>
      <c r="P61" s="29"/>
      <c r="R61" s="67"/>
      <c r="S61" s="61"/>
      <c r="U61" s="39"/>
      <c r="V61" s="34"/>
      <c r="W61" s="34"/>
      <c r="X61" s="34"/>
      <c r="Y61" s="34"/>
      <c r="Z61" s="39"/>
      <c r="AA61" s="34"/>
      <c r="AB61" s="34"/>
      <c r="AD61" s="64"/>
      <c r="AE61" s="29"/>
    </row>
    <row r="62" spans="3:31" ht="12.75" customHeight="1">
      <c r="C62" s="29"/>
      <c r="D62" s="29"/>
      <c r="E62" s="68"/>
      <c r="F62" s="69"/>
      <c r="G62" s="70"/>
      <c r="H62" s="69"/>
      <c r="I62" s="66"/>
      <c r="J62" s="66"/>
      <c r="M62" s="29"/>
      <c r="P62" s="29"/>
      <c r="R62" s="67"/>
      <c r="S62" s="61"/>
      <c r="U62" s="39"/>
      <c r="V62" s="34"/>
      <c r="W62" s="34"/>
      <c r="X62" s="34"/>
      <c r="Y62" s="34"/>
      <c r="Z62" s="39"/>
      <c r="AA62" s="34"/>
      <c r="AB62" s="34"/>
      <c r="AD62" s="64"/>
      <c r="AE62" s="29"/>
    </row>
    <row r="63" spans="3:31" ht="12.75" customHeight="1">
      <c r="C63" s="29"/>
      <c r="D63" s="29"/>
      <c r="E63" s="68"/>
      <c r="F63" s="69"/>
      <c r="G63" s="70"/>
      <c r="H63" s="69"/>
      <c r="I63" s="66"/>
      <c r="J63" s="66"/>
      <c r="M63" s="29"/>
      <c r="P63" s="29"/>
      <c r="R63" s="67"/>
      <c r="S63" s="61"/>
      <c r="U63" s="39"/>
      <c r="V63" s="34"/>
      <c r="W63" s="34"/>
      <c r="X63" s="34"/>
      <c r="Y63" s="34"/>
      <c r="Z63" s="39"/>
      <c r="AA63" s="34"/>
      <c r="AB63" s="34"/>
      <c r="AD63" s="64"/>
      <c r="AE63" s="29"/>
    </row>
    <row r="64" spans="3:31" ht="12.75" customHeight="1">
      <c r="C64" s="29"/>
      <c r="D64" s="29"/>
      <c r="E64" s="68"/>
      <c r="F64" s="69"/>
      <c r="G64" s="70"/>
      <c r="H64" s="69"/>
      <c r="I64" s="66"/>
      <c r="J64" s="66"/>
      <c r="M64" s="29"/>
      <c r="P64" s="29"/>
      <c r="R64" s="67"/>
      <c r="S64" s="61"/>
      <c r="U64" s="39"/>
      <c r="V64" s="34"/>
      <c r="W64" s="34"/>
      <c r="X64" s="34"/>
      <c r="Y64" s="34"/>
      <c r="Z64" s="39"/>
      <c r="AA64" s="34"/>
      <c r="AB64" s="34"/>
      <c r="AD64" s="64"/>
      <c r="AE64" s="29"/>
    </row>
    <row r="65" spans="3:31" ht="12.75" customHeight="1">
      <c r="C65" s="29"/>
      <c r="D65" s="29"/>
      <c r="E65" s="68"/>
      <c r="F65" s="69"/>
      <c r="G65" s="70"/>
      <c r="H65" s="69"/>
      <c r="I65" s="66"/>
      <c r="J65" s="66"/>
      <c r="M65" s="29"/>
      <c r="P65" s="29"/>
      <c r="R65" s="67"/>
      <c r="S65" s="61"/>
      <c r="U65" s="39"/>
      <c r="V65" s="34"/>
      <c r="W65" s="34"/>
      <c r="X65" s="34"/>
      <c r="Y65" s="34"/>
      <c r="Z65" s="39"/>
      <c r="AA65" s="34"/>
      <c r="AB65" s="34"/>
      <c r="AD65" s="64"/>
      <c r="AE65" s="29"/>
    </row>
    <row r="66" spans="3:31" ht="12.75" customHeight="1">
      <c r="C66" s="29"/>
      <c r="D66" s="29"/>
      <c r="E66" s="68"/>
      <c r="F66" s="69"/>
      <c r="G66" s="70"/>
      <c r="H66" s="69"/>
      <c r="I66" s="66"/>
      <c r="J66" s="66"/>
      <c r="M66" s="29"/>
      <c r="P66" s="29"/>
      <c r="R66" s="67"/>
      <c r="S66" s="61"/>
      <c r="U66" s="39"/>
      <c r="V66" s="34"/>
      <c r="W66" s="34"/>
      <c r="X66" s="34"/>
      <c r="Y66" s="34"/>
      <c r="Z66" s="39"/>
      <c r="AA66" s="34"/>
      <c r="AB66" s="34"/>
      <c r="AD66" s="64"/>
      <c r="AE66" s="29"/>
    </row>
    <row r="67" spans="3:31" ht="12.75" customHeight="1">
      <c r="C67" s="29"/>
      <c r="D67" s="29"/>
      <c r="E67" s="68"/>
      <c r="F67" s="69"/>
      <c r="G67" s="70"/>
      <c r="H67" s="69"/>
      <c r="I67" s="66"/>
      <c r="J67" s="66"/>
      <c r="M67" s="29"/>
      <c r="P67" s="29"/>
      <c r="R67" s="67"/>
      <c r="S67" s="61"/>
      <c r="U67" s="39"/>
      <c r="V67" s="34"/>
      <c r="W67" s="34"/>
      <c r="X67" s="34"/>
      <c r="Y67" s="34"/>
      <c r="Z67" s="39"/>
      <c r="AA67" s="34"/>
      <c r="AB67" s="34"/>
      <c r="AD67" s="64"/>
      <c r="AE67" s="29"/>
    </row>
    <row r="68" spans="3:31" ht="12.75" customHeight="1">
      <c r="C68" s="29"/>
      <c r="D68" s="29"/>
      <c r="E68" s="68"/>
      <c r="F68" s="69"/>
      <c r="G68" s="70"/>
      <c r="H68" s="69"/>
      <c r="I68" s="66"/>
      <c r="J68" s="66"/>
      <c r="M68" s="29"/>
      <c r="P68" s="29"/>
      <c r="R68" s="67"/>
      <c r="S68" s="61"/>
      <c r="U68" s="39"/>
      <c r="V68" s="34"/>
      <c r="W68" s="34"/>
      <c r="X68" s="34"/>
      <c r="Y68" s="34"/>
      <c r="Z68" s="39"/>
      <c r="AA68" s="34"/>
      <c r="AB68" s="34"/>
      <c r="AD68" s="64"/>
      <c r="AE68" s="29"/>
    </row>
    <row r="69" spans="3:31" ht="12.75" customHeight="1">
      <c r="C69" s="29"/>
      <c r="D69" s="29"/>
      <c r="E69" s="68"/>
      <c r="F69" s="69"/>
      <c r="G69" s="70"/>
      <c r="H69" s="69"/>
      <c r="I69" s="66"/>
      <c r="J69" s="66"/>
      <c r="M69" s="29"/>
      <c r="P69" s="29"/>
      <c r="R69" s="67"/>
      <c r="S69" s="61"/>
      <c r="U69" s="39"/>
      <c r="V69" s="34"/>
      <c r="W69" s="34"/>
      <c r="X69" s="34"/>
      <c r="Y69" s="34"/>
      <c r="Z69" s="39"/>
      <c r="AA69" s="34"/>
      <c r="AB69" s="34"/>
      <c r="AD69" s="64"/>
      <c r="AE69" s="29"/>
    </row>
    <row r="70" spans="3:31" ht="12.75" customHeight="1">
      <c r="C70" s="29"/>
      <c r="D70" s="29"/>
      <c r="E70" s="68"/>
      <c r="F70" s="69"/>
      <c r="G70" s="70"/>
      <c r="H70" s="69"/>
      <c r="I70" s="66"/>
      <c r="J70" s="66"/>
      <c r="M70" s="29"/>
      <c r="P70" s="29"/>
      <c r="R70" s="67"/>
      <c r="S70" s="61"/>
      <c r="U70" s="39"/>
      <c r="V70" s="34"/>
      <c r="W70" s="34"/>
      <c r="X70" s="34"/>
      <c r="Y70" s="34"/>
      <c r="Z70" s="39"/>
      <c r="AA70" s="34"/>
      <c r="AB70" s="34"/>
      <c r="AD70" s="64"/>
      <c r="AE70" s="29"/>
    </row>
    <row r="71" spans="3:31" ht="12.75" customHeight="1">
      <c r="C71" s="29"/>
      <c r="D71" s="29"/>
      <c r="E71" s="68"/>
      <c r="F71" s="69"/>
      <c r="G71" s="70"/>
      <c r="H71" s="69"/>
      <c r="I71" s="66"/>
      <c r="J71" s="66"/>
      <c r="M71" s="29"/>
      <c r="P71" s="29"/>
      <c r="R71" s="67"/>
      <c r="S71" s="61"/>
      <c r="U71" s="39"/>
      <c r="V71" s="34"/>
      <c r="W71" s="34"/>
      <c r="X71" s="34"/>
      <c r="Y71" s="34"/>
      <c r="Z71" s="39"/>
      <c r="AA71" s="34"/>
      <c r="AB71" s="34"/>
      <c r="AD71" s="64"/>
      <c r="AE71" s="29"/>
    </row>
    <row r="72" spans="3:31" ht="12.75" customHeight="1">
      <c r="C72" s="29"/>
      <c r="D72" s="29"/>
      <c r="E72" s="68"/>
      <c r="F72" s="69"/>
      <c r="G72" s="70"/>
      <c r="H72" s="69"/>
      <c r="I72" s="66"/>
      <c r="J72" s="66"/>
      <c r="M72" s="29"/>
      <c r="P72" s="29"/>
      <c r="R72" s="67"/>
      <c r="S72" s="61"/>
      <c r="U72" s="39"/>
      <c r="V72" s="34"/>
      <c r="W72" s="34"/>
      <c r="X72" s="34"/>
      <c r="Y72" s="34"/>
      <c r="Z72" s="39"/>
      <c r="AA72" s="34"/>
      <c r="AB72" s="34"/>
      <c r="AD72" s="64"/>
      <c r="AE72" s="29"/>
    </row>
    <row r="73" spans="3:31" ht="12.75" customHeight="1">
      <c r="C73" s="29"/>
      <c r="D73" s="29"/>
      <c r="E73" s="68"/>
      <c r="F73" s="69"/>
      <c r="G73" s="70"/>
      <c r="H73" s="69"/>
      <c r="I73" s="66"/>
      <c r="J73" s="66"/>
      <c r="M73" s="29"/>
      <c r="P73" s="29"/>
      <c r="R73" s="67"/>
      <c r="S73" s="61"/>
      <c r="U73" s="39"/>
      <c r="V73" s="34"/>
      <c r="W73" s="34"/>
      <c r="X73" s="34"/>
      <c r="Y73" s="34"/>
      <c r="Z73" s="39"/>
      <c r="AA73" s="34"/>
      <c r="AB73" s="34"/>
      <c r="AD73" s="64"/>
      <c r="AE73" s="29"/>
    </row>
    <row r="74" spans="3:31" ht="12.75" customHeight="1">
      <c r="C74" s="29"/>
      <c r="D74" s="29"/>
      <c r="E74" s="68"/>
      <c r="F74" s="69"/>
      <c r="G74" s="70"/>
      <c r="H74" s="69"/>
      <c r="I74" s="66"/>
      <c r="J74" s="66"/>
      <c r="M74" s="29"/>
      <c r="P74" s="29"/>
      <c r="R74" s="67"/>
      <c r="S74" s="61"/>
      <c r="U74" s="39"/>
      <c r="V74" s="34"/>
      <c r="W74" s="34"/>
      <c r="X74" s="34"/>
      <c r="Y74" s="34"/>
      <c r="Z74" s="39"/>
      <c r="AA74" s="34"/>
      <c r="AB74" s="34"/>
      <c r="AD74" s="64"/>
      <c r="AE74" s="29"/>
    </row>
    <row r="75" spans="3:31" ht="12.75" customHeight="1">
      <c r="C75" s="29"/>
      <c r="D75" s="29"/>
      <c r="E75" s="68"/>
      <c r="F75" s="69"/>
      <c r="G75" s="70"/>
      <c r="H75" s="69"/>
      <c r="I75" s="66"/>
      <c r="J75" s="66"/>
      <c r="M75" s="29"/>
      <c r="P75" s="29"/>
      <c r="R75" s="67"/>
      <c r="S75" s="61"/>
      <c r="U75" s="39"/>
      <c r="V75" s="34"/>
      <c r="W75" s="34"/>
      <c r="X75" s="34"/>
      <c r="Y75" s="34"/>
      <c r="Z75" s="39"/>
      <c r="AA75" s="34"/>
      <c r="AB75" s="34"/>
      <c r="AD75" s="64"/>
      <c r="AE75" s="29"/>
    </row>
    <row r="76" spans="3:31" ht="12.75" customHeight="1">
      <c r="C76" s="29"/>
      <c r="D76" s="29"/>
      <c r="E76" s="68"/>
      <c r="F76" s="69"/>
      <c r="G76" s="70"/>
      <c r="H76" s="69"/>
      <c r="I76" s="66"/>
      <c r="J76" s="66"/>
      <c r="M76" s="29"/>
      <c r="P76" s="29"/>
      <c r="R76" s="67"/>
      <c r="S76" s="61"/>
      <c r="U76" s="39"/>
      <c r="V76" s="34"/>
      <c r="W76" s="34"/>
      <c r="X76" s="34"/>
      <c r="Y76" s="34"/>
      <c r="Z76" s="39"/>
      <c r="AA76" s="34"/>
      <c r="AB76" s="34"/>
      <c r="AD76" s="64"/>
      <c r="AE76" s="29"/>
    </row>
    <row r="77" spans="3:31" ht="12.75" customHeight="1">
      <c r="C77" s="29"/>
      <c r="D77" s="29"/>
      <c r="E77" s="68"/>
      <c r="F77" s="69"/>
      <c r="G77" s="70"/>
      <c r="H77" s="69"/>
      <c r="I77" s="66"/>
      <c r="J77" s="66"/>
      <c r="M77" s="29"/>
      <c r="P77" s="29"/>
      <c r="R77" s="67"/>
      <c r="S77" s="61"/>
      <c r="U77" s="39"/>
      <c r="V77" s="34"/>
      <c r="W77" s="34"/>
      <c r="X77" s="34"/>
      <c r="Y77" s="34"/>
      <c r="Z77" s="39"/>
      <c r="AA77" s="34"/>
      <c r="AB77" s="34"/>
      <c r="AD77" s="64"/>
      <c r="AE77" s="29"/>
    </row>
    <row r="78" spans="3:31" ht="12.75" customHeight="1">
      <c r="C78" s="29"/>
      <c r="D78" s="29"/>
      <c r="E78" s="68"/>
      <c r="F78" s="69"/>
      <c r="G78" s="70"/>
      <c r="H78" s="69"/>
      <c r="I78" s="66"/>
      <c r="J78" s="66"/>
      <c r="M78" s="29"/>
      <c r="P78" s="29"/>
      <c r="R78" s="67"/>
      <c r="S78" s="61"/>
      <c r="U78" s="39"/>
      <c r="V78" s="34"/>
      <c r="W78" s="34"/>
      <c r="X78" s="34"/>
      <c r="Y78" s="34"/>
      <c r="Z78" s="39"/>
      <c r="AA78" s="34"/>
      <c r="AB78" s="34"/>
      <c r="AD78" s="64"/>
      <c r="AE78" s="29"/>
    </row>
    <row r="79" spans="3:31" ht="12.75" customHeight="1">
      <c r="C79" s="29"/>
      <c r="D79" s="29"/>
      <c r="E79" s="68"/>
      <c r="F79" s="69"/>
      <c r="G79" s="70"/>
      <c r="H79" s="69"/>
      <c r="I79" s="66"/>
      <c r="J79" s="66"/>
      <c r="M79" s="29"/>
      <c r="P79" s="29"/>
      <c r="R79" s="67"/>
      <c r="S79" s="61"/>
      <c r="U79" s="39"/>
      <c r="V79" s="34"/>
      <c r="W79" s="34"/>
      <c r="X79" s="34"/>
      <c r="Y79" s="34"/>
      <c r="Z79" s="39"/>
      <c r="AA79" s="34"/>
      <c r="AB79" s="34"/>
      <c r="AD79" s="64"/>
      <c r="AE79" s="29"/>
    </row>
    <row r="80" spans="3:31" ht="12.75" customHeight="1">
      <c r="C80" s="29"/>
      <c r="D80" s="29"/>
      <c r="E80" s="68"/>
      <c r="F80" s="69"/>
      <c r="G80" s="70"/>
      <c r="H80" s="69"/>
      <c r="I80" s="66"/>
      <c r="J80" s="66"/>
      <c r="M80" s="29"/>
      <c r="P80" s="29"/>
      <c r="R80" s="67"/>
      <c r="S80" s="61"/>
      <c r="U80" s="39"/>
      <c r="V80" s="34"/>
      <c r="W80" s="34"/>
      <c r="X80" s="34"/>
      <c r="Y80" s="34"/>
      <c r="Z80" s="39"/>
      <c r="AA80" s="34"/>
      <c r="AB80" s="34"/>
      <c r="AD80" s="64"/>
      <c r="AE80" s="29"/>
    </row>
    <row r="81" spans="3:31" ht="12.75" customHeight="1">
      <c r="C81" s="29"/>
      <c r="D81" s="29"/>
      <c r="E81" s="68"/>
      <c r="F81" s="69"/>
      <c r="G81" s="70"/>
      <c r="H81" s="69"/>
      <c r="I81" s="66"/>
      <c r="J81" s="66"/>
      <c r="M81" s="29"/>
      <c r="P81" s="29"/>
      <c r="R81" s="67"/>
      <c r="S81" s="61"/>
      <c r="U81" s="39"/>
      <c r="V81" s="34"/>
      <c r="W81" s="34"/>
      <c r="X81" s="34"/>
      <c r="Y81" s="34"/>
      <c r="Z81" s="39"/>
      <c r="AA81" s="34"/>
      <c r="AB81" s="34"/>
      <c r="AD81" s="64"/>
      <c r="AE81" s="29"/>
    </row>
    <row r="82" spans="3:31" ht="12.75" customHeight="1">
      <c r="C82" s="29"/>
      <c r="D82" s="29"/>
      <c r="E82" s="68"/>
      <c r="F82" s="69"/>
      <c r="G82" s="70"/>
      <c r="H82" s="69"/>
      <c r="I82" s="66"/>
      <c r="J82" s="66"/>
      <c r="M82" s="29"/>
      <c r="P82" s="29"/>
      <c r="R82" s="67"/>
      <c r="S82" s="61"/>
      <c r="U82" s="39"/>
      <c r="V82" s="34"/>
      <c r="W82" s="34"/>
      <c r="X82" s="34"/>
      <c r="Y82" s="34"/>
      <c r="Z82" s="39"/>
      <c r="AA82" s="34"/>
      <c r="AB82" s="34"/>
      <c r="AD82" s="64"/>
      <c r="AE82" s="29"/>
    </row>
    <row r="83" spans="3:31" ht="12.75" customHeight="1">
      <c r="C83" s="29"/>
      <c r="D83" s="29"/>
      <c r="E83" s="68"/>
      <c r="F83" s="69"/>
      <c r="G83" s="70"/>
      <c r="H83" s="69"/>
      <c r="I83" s="66"/>
      <c r="J83" s="66"/>
      <c r="M83" s="29"/>
      <c r="P83" s="29"/>
      <c r="R83" s="67"/>
      <c r="S83" s="61"/>
      <c r="U83" s="39"/>
      <c r="V83" s="34"/>
      <c r="W83" s="34"/>
      <c r="X83" s="34"/>
      <c r="Y83" s="34"/>
      <c r="Z83" s="39"/>
      <c r="AA83" s="34"/>
      <c r="AB83" s="34"/>
      <c r="AD83" s="64"/>
      <c r="AE83" s="29"/>
    </row>
    <row r="84" spans="3:31" ht="12.75" customHeight="1">
      <c r="C84" s="29"/>
      <c r="D84" s="29"/>
      <c r="E84" s="68"/>
      <c r="F84" s="69"/>
      <c r="G84" s="70"/>
      <c r="H84" s="69"/>
      <c r="I84" s="66"/>
      <c r="J84" s="66"/>
      <c r="M84" s="29"/>
      <c r="P84" s="29"/>
      <c r="R84" s="67"/>
      <c r="S84" s="61"/>
      <c r="U84" s="39"/>
      <c r="V84" s="34"/>
      <c r="W84" s="34"/>
      <c r="X84" s="34"/>
      <c r="Y84" s="34"/>
      <c r="Z84" s="39"/>
      <c r="AA84" s="34"/>
      <c r="AB84" s="34"/>
      <c r="AD84" s="64"/>
      <c r="AE84" s="29"/>
    </row>
    <row r="85" spans="3:31" ht="12.75" customHeight="1">
      <c r="C85" s="29"/>
      <c r="D85" s="29"/>
      <c r="E85" s="68"/>
      <c r="F85" s="69"/>
      <c r="G85" s="70"/>
      <c r="H85" s="69"/>
      <c r="I85" s="66"/>
      <c r="J85" s="66"/>
      <c r="M85" s="29"/>
      <c r="P85" s="29"/>
      <c r="R85" s="67"/>
      <c r="S85" s="61"/>
      <c r="U85" s="39"/>
      <c r="V85" s="34"/>
      <c r="W85" s="34"/>
      <c r="X85" s="34"/>
      <c r="Y85" s="34"/>
      <c r="Z85" s="39"/>
      <c r="AA85" s="34"/>
      <c r="AB85" s="34"/>
      <c r="AD85" s="64"/>
      <c r="AE85" s="29"/>
    </row>
    <row r="86" spans="3:31" ht="12.75" customHeight="1">
      <c r="C86" s="29"/>
      <c r="D86" s="29"/>
      <c r="E86" s="68"/>
      <c r="F86" s="69"/>
      <c r="G86" s="70"/>
      <c r="H86" s="69"/>
      <c r="I86" s="66"/>
      <c r="J86" s="66"/>
      <c r="M86" s="29"/>
      <c r="P86" s="29"/>
      <c r="R86" s="67"/>
      <c r="S86" s="61"/>
      <c r="U86" s="39"/>
      <c r="V86" s="34"/>
      <c r="W86" s="34"/>
      <c r="X86" s="34"/>
      <c r="Y86" s="34"/>
      <c r="Z86" s="39"/>
      <c r="AA86" s="34"/>
      <c r="AB86" s="34"/>
      <c r="AD86" s="64"/>
      <c r="AE86" s="29"/>
    </row>
    <row r="87" spans="3:31" ht="12.75" customHeight="1">
      <c r="C87" s="29"/>
      <c r="D87" s="29"/>
      <c r="E87" s="68"/>
      <c r="F87" s="69"/>
      <c r="G87" s="70"/>
      <c r="H87" s="69"/>
      <c r="I87" s="66"/>
      <c r="J87" s="66"/>
      <c r="M87" s="29"/>
      <c r="P87" s="29"/>
      <c r="R87" s="67"/>
      <c r="S87" s="61"/>
      <c r="U87" s="39"/>
      <c r="V87" s="34"/>
      <c r="W87" s="34"/>
      <c r="X87" s="34"/>
      <c r="Y87" s="34"/>
      <c r="Z87" s="39"/>
      <c r="AA87" s="34"/>
      <c r="AB87" s="34"/>
      <c r="AD87" s="64"/>
      <c r="AE87" s="29"/>
    </row>
    <row r="88" spans="3:31" ht="12.75" customHeight="1">
      <c r="C88" s="29"/>
      <c r="D88" s="29"/>
      <c r="E88" s="68"/>
      <c r="F88" s="69"/>
      <c r="G88" s="70"/>
      <c r="H88" s="69"/>
      <c r="I88" s="66"/>
      <c r="J88" s="66"/>
      <c r="M88" s="29"/>
      <c r="P88" s="29"/>
      <c r="R88" s="67"/>
      <c r="S88" s="61"/>
      <c r="U88" s="39"/>
      <c r="V88" s="34"/>
      <c r="W88" s="34"/>
      <c r="X88" s="34"/>
      <c r="Y88" s="34"/>
      <c r="Z88" s="39"/>
      <c r="AA88" s="34"/>
      <c r="AB88" s="34"/>
      <c r="AD88" s="64"/>
      <c r="AE88" s="29"/>
    </row>
    <row r="89" spans="3:31" ht="12.75" customHeight="1">
      <c r="C89" s="29"/>
      <c r="D89" s="29"/>
      <c r="E89" s="68"/>
      <c r="F89" s="69"/>
      <c r="G89" s="70"/>
      <c r="H89" s="69"/>
      <c r="I89" s="66"/>
      <c r="J89" s="66"/>
      <c r="M89" s="29"/>
      <c r="P89" s="29"/>
      <c r="R89" s="67"/>
      <c r="S89" s="61"/>
      <c r="U89" s="39"/>
      <c r="V89" s="34"/>
      <c r="W89" s="34"/>
      <c r="X89" s="34"/>
      <c r="Y89" s="34"/>
      <c r="Z89" s="39"/>
      <c r="AA89" s="34"/>
      <c r="AB89" s="34"/>
      <c r="AD89" s="64"/>
      <c r="AE89" s="29"/>
    </row>
    <row r="90" spans="3:31" ht="12.75" customHeight="1">
      <c r="C90" s="29"/>
      <c r="D90" s="29"/>
      <c r="E90" s="68"/>
      <c r="F90" s="69"/>
      <c r="G90" s="70"/>
      <c r="H90" s="69"/>
      <c r="I90" s="66"/>
      <c r="J90" s="66"/>
      <c r="M90" s="29"/>
      <c r="P90" s="29"/>
      <c r="R90" s="67"/>
      <c r="S90" s="61"/>
      <c r="U90" s="39"/>
      <c r="V90" s="34"/>
      <c r="W90" s="34"/>
      <c r="X90" s="34"/>
      <c r="Y90" s="34"/>
      <c r="Z90" s="39"/>
      <c r="AA90" s="34"/>
      <c r="AB90" s="34"/>
      <c r="AD90" s="64"/>
      <c r="AE90" s="29"/>
    </row>
    <row r="91" spans="3:31" ht="12.75" customHeight="1">
      <c r="C91" s="29"/>
      <c r="D91" s="29"/>
      <c r="E91" s="68"/>
      <c r="F91" s="69"/>
      <c r="G91" s="70"/>
      <c r="H91" s="69"/>
      <c r="I91" s="66"/>
      <c r="J91" s="66"/>
      <c r="M91" s="29"/>
      <c r="P91" s="29"/>
      <c r="R91" s="67"/>
      <c r="S91" s="61"/>
      <c r="U91" s="39"/>
      <c r="V91" s="34"/>
      <c r="W91" s="34"/>
      <c r="X91" s="34"/>
      <c r="Y91" s="34"/>
      <c r="Z91" s="39"/>
      <c r="AA91" s="34"/>
      <c r="AB91" s="34"/>
      <c r="AD91" s="64"/>
      <c r="AE91" s="29"/>
    </row>
    <row r="92" spans="3:31" ht="12.75" customHeight="1">
      <c r="C92" s="29"/>
      <c r="D92" s="29"/>
      <c r="E92" s="68"/>
      <c r="F92" s="69"/>
      <c r="G92" s="70"/>
      <c r="H92" s="69"/>
      <c r="I92" s="66"/>
      <c r="J92" s="66"/>
      <c r="M92" s="29"/>
      <c r="P92" s="29"/>
      <c r="R92" s="67"/>
      <c r="S92" s="61"/>
      <c r="U92" s="39"/>
      <c r="V92" s="34"/>
      <c r="W92" s="34"/>
      <c r="X92" s="34"/>
      <c r="Y92" s="34"/>
      <c r="Z92" s="39"/>
      <c r="AA92" s="34"/>
      <c r="AB92" s="34"/>
      <c r="AD92" s="64"/>
      <c r="AE92" s="29"/>
    </row>
    <row r="93" spans="3:31" ht="12.75" customHeight="1">
      <c r="C93" s="29"/>
      <c r="D93" s="29"/>
      <c r="E93" s="68"/>
      <c r="F93" s="69"/>
      <c r="G93" s="70"/>
      <c r="H93" s="69"/>
      <c r="I93" s="66"/>
      <c r="J93" s="66"/>
      <c r="M93" s="29"/>
      <c r="P93" s="29"/>
      <c r="R93" s="67"/>
      <c r="S93" s="61"/>
      <c r="U93" s="39"/>
      <c r="V93" s="34"/>
      <c r="W93" s="34"/>
      <c r="X93" s="34"/>
      <c r="Y93" s="34"/>
      <c r="Z93" s="39"/>
      <c r="AA93" s="34"/>
      <c r="AB93" s="34"/>
      <c r="AD93" s="64"/>
      <c r="AE93" s="29"/>
    </row>
    <row r="94" spans="3:31" ht="12.75" customHeight="1">
      <c r="C94" s="29"/>
      <c r="D94" s="29"/>
      <c r="E94" s="68"/>
      <c r="F94" s="69"/>
      <c r="G94" s="70"/>
      <c r="H94" s="69"/>
      <c r="I94" s="66"/>
      <c r="J94" s="66"/>
      <c r="M94" s="29"/>
      <c r="P94" s="29"/>
      <c r="R94" s="67"/>
      <c r="S94" s="61"/>
      <c r="U94" s="39"/>
      <c r="V94" s="34"/>
      <c r="W94" s="34"/>
      <c r="X94" s="34"/>
      <c r="Y94" s="34"/>
      <c r="Z94" s="39"/>
      <c r="AA94" s="34"/>
      <c r="AB94" s="34"/>
      <c r="AD94" s="64"/>
      <c r="AE94" s="29"/>
    </row>
    <row r="95" spans="3:31" ht="12.75" customHeight="1">
      <c r="C95" s="29"/>
      <c r="D95" s="29"/>
      <c r="E95" s="68"/>
      <c r="F95" s="69"/>
      <c r="G95" s="70"/>
      <c r="H95" s="69"/>
      <c r="I95" s="66"/>
      <c r="J95" s="66"/>
      <c r="M95" s="29"/>
      <c r="P95" s="29"/>
      <c r="R95" s="67"/>
      <c r="S95" s="61"/>
      <c r="U95" s="39"/>
      <c r="V95" s="34"/>
      <c r="W95" s="34"/>
      <c r="X95" s="34"/>
      <c r="Y95" s="34"/>
      <c r="Z95" s="39"/>
      <c r="AA95" s="34"/>
      <c r="AB95" s="34"/>
      <c r="AD95" s="64"/>
      <c r="AE95" s="29"/>
    </row>
    <row r="96" spans="3:31" ht="12.75" customHeight="1">
      <c r="C96" s="29"/>
      <c r="D96" s="29"/>
      <c r="E96" s="68"/>
      <c r="F96" s="69"/>
      <c r="G96" s="70"/>
      <c r="H96" s="69"/>
      <c r="I96" s="66"/>
      <c r="J96" s="66"/>
      <c r="M96" s="29"/>
      <c r="P96" s="29"/>
      <c r="R96" s="67"/>
      <c r="S96" s="61"/>
      <c r="U96" s="39"/>
      <c r="V96" s="34"/>
      <c r="W96" s="34"/>
      <c r="X96" s="34"/>
      <c r="Y96" s="34"/>
      <c r="Z96" s="39"/>
      <c r="AA96" s="34"/>
      <c r="AB96" s="34"/>
      <c r="AD96" s="64"/>
      <c r="AE96" s="29"/>
    </row>
    <row r="97" spans="3:31" ht="12.75" customHeight="1">
      <c r="C97" s="29"/>
      <c r="D97" s="29"/>
      <c r="E97" s="68"/>
      <c r="F97" s="69"/>
      <c r="G97" s="70"/>
      <c r="H97" s="69"/>
      <c r="I97" s="66"/>
      <c r="J97" s="66"/>
      <c r="M97" s="29"/>
      <c r="P97" s="29"/>
      <c r="R97" s="67"/>
      <c r="S97" s="61"/>
      <c r="U97" s="39"/>
      <c r="V97" s="34"/>
      <c r="W97" s="34"/>
      <c r="X97" s="34"/>
      <c r="Y97" s="34"/>
      <c r="Z97" s="39"/>
      <c r="AA97" s="34"/>
      <c r="AB97" s="34"/>
      <c r="AD97" s="64"/>
      <c r="AE97" s="29"/>
    </row>
    <row r="98" spans="3:31" ht="12.75" customHeight="1">
      <c r="C98" s="29"/>
      <c r="D98" s="29"/>
      <c r="E98" s="68"/>
      <c r="F98" s="69"/>
      <c r="G98" s="70"/>
      <c r="H98" s="69"/>
      <c r="I98" s="66"/>
      <c r="J98" s="66"/>
      <c r="M98" s="29"/>
      <c r="P98" s="29"/>
      <c r="R98" s="67"/>
      <c r="S98" s="61"/>
      <c r="U98" s="39"/>
      <c r="V98" s="34"/>
      <c r="W98" s="34"/>
      <c r="X98" s="34"/>
      <c r="Y98" s="34"/>
      <c r="Z98" s="39"/>
      <c r="AA98" s="34"/>
      <c r="AB98" s="34"/>
      <c r="AD98" s="64"/>
      <c r="AE98" s="29"/>
    </row>
    <row r="99" spans="3:31" ht="12.75" customHeight="1">
      <c r="C99" s="29"/>
      <c r="D99" s="29"/>
      <c r="E99" s="68"/>
      <c r="F99" s="69"/>
      <c r="G99" s="70"/>
      <c r="H99" s="69"/>
      <c r="I99" s="66"/>
      <c r="J99" s="66"/>
      <c r="M99" s="29"/>
      <c r="P99" s="29"/>
      <c r="R99" s="67"/>
      <c r="S99" s="61"/>
      <c r="U99" s="39"/>
      <c r="V99" s="34"/>
      <c r="W99" s="34"/>
      <c r="X99" s="34"/>
      <c r="Y99" s="34"/>
      <c r="Z99" s="39"/>
      <c r="AA99" s="34"/>
      <c r="AB99" s="34"/>
      <c r="AD99" s="64"/>
      <c r="AE99" s="29"/>
    </row>
    <row r="100" spans="3:31" ht="12.75" customHeight="1">
      <c r="C100" s="29"/>
      <c r="D100" s="29"/>
      <c r="E100" s="68"/>
      <c r="F100" s="69"/>
      <c r="G100" s="70"/>
      <c r="H100" s="69"/>
      <c r="I100" s="66"/>
      <c r="J100" s="66"/>
      <c r="M100" s="29"/>
      <c r="P100" s="29"/>
      <c r="R100" s="67"/>
      <c r="S100" s="61"/>
      <c r="U100" s="39"/>
      <c r="V100" s="34"/>
      <c r="W100" s="34"/>
      <c r="X100" s="34"/>
      <c r="Y100" s="34"/>
      <c r="Z100" s="39"/>
      <c r="AA100" s="34"/>
      <c r="AB100" s="34"/>
      <c r="AD100" s="64"/>
      <c r="AE100" s="29"/>
    </row>
    <row r="101" spans="3:31" ht="12.75" customHeight="1">
      <c r="C101" s="29"/>
      <c r="D101" s="29"/>
      <c r="E101" s="68"/>
      <c r="F101" s="69"/>
      <c r="G101" s="70"/>
      <c r="H101" s="69"/>
      <c r="I101" s="66"/>
      <c r="J101" s="66"/>
      <c r="M101" s="29"/>
      <c r="P101" s="29"/>
      <c r="R101" s="67"/>
      <c r="S101" s="61"/>
      <c r="U101" s="39"/>
      <c r="V101" s="34"/>
      <c r="W101" s="34"/>
      <c r="X101" s="34"/>
      <c r="Y101" s="34"/>
      <c r="Z101" s="39"/>
      <c r="AA101" s="34"/>
      <c r="AB101" s="34"/>
      <c r="AD101" s="64"/>
      <c r="AE101" s="29"/>
    </row>
    <row r="102" spans="3:31" ht="12.75" customHeight="1">
      <c r="C102" s="29"/>
      <c r="D102" s="29"/>
      <c r="E102" s="68"/>
      <c r="F102" s="69"/>
      <c r="G102" s="70"/>
      <c r="H102" s="69"/>
      <c r="I102" s="66"/>
      <c r="J102" s="66"/>
      <c r="M102" s="29"/>
      <c r="P102" s="29"/>
      <c r="R102" s="67"/>
      <c r="S102" s="61"/>
      <c r="U102" s="39"/>
      <c r="V102" s="34"/>
      <c r="W102" s="34"/>
      <c r="X102" s="34"/>
      <c r="Y102" s="34"/>
      <c r="Z102" s="39"/>
      <c r="AA102" s="34"/>
      <c r="AB102" s="34"/>
      <c r="AD102" s="64"/>
      <c r="AE102" s="29"/>
    </row>
    <row r="103" spans="3:31" ht="12.75" customHeight="1">
      <c r="C103" s="29"/>
      <c r="D103" s="29"/>
      <c r="E103" s="68"/>
      <c r="F103" s="69"/>
      <c r="G103" s="70"/>
      <c r="H103" s="69"/>
      <c r="I103" s="66"/>
      <c r="J103" s="66"/>
      <c r="M103" s="29"/>
      <c r="P103" s="29"/>
      <c r="R103" s="67"/>
      <c r="S103" s="61"/>
      <c r="U103" s="39"/>
      <c r="V103" s="34"/>
      <c r="W103" s="34"/>
      <c r="X103" s="34"/>
      <c r="Y103" s="34"/>
      <c r="Z103" s="39"/>
      <c r="AA103" s="34"/>
      <c r="AB103" s="34"/>
      <c r="AD103" s="64"/>
      <c r="AE103" s="29"/>
    </row>
  </sheetData>
  <mergeCells count="25">
    <mergeCell ref="P1:T1"/>
    <mergeCell ref="Q2:R2"/>
    <mergeCell ref="Y1:AB1"/>
    <mergeCell ref="AC1:AG1"/>
    <mergeCell ref="U1:X1"/>
    <mergeCell ref="V2:X2"/>
    <mergeCell ref="A12:B12"/>
    <mergeCell ref="A19:B19"/>
    <mergeCell ref="A13:B13"/>
    <mergeCell ref="I1:L1"/>
    <mergeCell ref="M1:O1"/>
    <mergeCell ref="A1:B2"/>
    <mergeCell ref="A3:B3"/>
    <mergeCell ref="A4:B4"/>
    <mergeCell ref="A5:B5"/>
    <mergeCell ref="A7:B7"/>
    <mergeCell ref="A10:B10"/>
    <mergeCell ref="C1:D1"/>
    <mergeCell ref="F1:G1"/>
    <mergeCell ref="C24:H24"/>
    <mergeCell ref="C25:G25"/>
    <mergeCell ref="D20:I20"/>
    <mergeCell ref="D21:I21"/>
    <mergeCell ref="D22:H22"/>
    <mergeCell ref="D23:I23"/>
  </mergeCells>
  <hyperlinks>
    <hyperlink ref="E1" r:id="rId1" display="http://en.wikipedia.org/wiki/Gravitational_parameter"/>
    <hyperlink ref="M1" r:id="rId2" display="http://en.wikipedia.org/wiki/Sphere_of_influence_(astrodynamics)"/>
    <hyperlink ref="P1" r:id="rId3" display="http://en.wikipedia.org/wiki/Sidereal_rotation"/>
    <hyperlink ref="U1" r:id="rId4" display="http://en.wikipedia.org/wiki/Synodic_day"/>
    <hyperlink ref="Y1" r:id="rId5" display="http://en.wikipedia.org/wiki/Synchronous_orbit"/>
    <hyperlink ref="D21" r:id="rId6" location="post270550" display="http://kerbalspaceprogram.com/forum/showthread.php/19573-Get-Celestial-Body-Orbital-%28etc-%29-Elements-from-KSP-itself?p=270550&amp;viewfull=1 - post270550"/>
    <hyperlink ref="D22" r:id="rId7"/>
    <hyperlink ref="D23" r:id="rId8"/>
  </hyperlinks>
  <pageMargins left="0.75" right="0.75" top="1" bottom="1" header="0.5" footer="0.5"/>
  <drawing r:id="rId9"/>
  <legacyDrawing r:id="rId1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14.5" defaultRowHeight="12.75" customHeight="1" x14ac:dyDescent="0"/>
  <cols>
    <col min="1" max="1" width="25.5" customWidth="1"/>
    <col min="2" max="2" width="66.33203125" customWidth="1"/>
    <col min="3" max="20" width="17.33203125" customWidth="1"/>
  </cols>
  <sheetData>
    <row r="1" spans="1:2" ht="12.75" customHeight="1">
      <c r="A1" s="7" t="s">
        <v>9</v>
      </c>
      <c r="B1" s="7" t="s">
        <v>10</v>
      </c>
    </row>
    <row r="2" spans="1:2" ht="12.75" customHeight="1">
      <c r="A2" s="7" t="s">
        <v>11</v>
      </c>
      <c r="B2" s="7" t="s">
        <v>12</v>
      </c>
    </row>
    <row r="3" spans="1:2" ht="12.75" customHeight="1">
      <c r="A3" s="7" t="s">
        <v>13</v>
      </c>
      <c r="B3" s="7" t="s">
        <v>14</v>
      </c>
    </row>
    <row r="4" spans="1:2" ht="12.75" customHeight="1">
      <c r="A4" s="9">
        <v>41269</v>
      </c>
      <c r="B4" s="7" t="s">
        <v>15</v>
      </c>
    </row>
    <row r="5" spans="1:2" ht="12.75" customHeight="1">
      <c r="A5" s="9">
        <v>41270</v>
      </c>
      <c r="B5" s="7" t="s">
        <v>17</v>
      </c>
    </row>
    <row r="6" spans="1:2" ht="12.75" customHeight="1">
      <c r="A6" s="9">
        <v>41271</v>
      </c>
      <c r="B6" s="7" t="s">
        <v>18</v>
      </c>
    </row>
    <row r="7" spans="1:2" ht="12.75" customHeight="1">
      <c r="A7" s="9">
        <v>41271</v>
      </c>
      <c r="B7" s="7" t="s">
        <v>19</v>
      </c>
    </row>
    <row r="8" spans="1:2" ht="12.75" customHeight="1">
      <c r="A8" s="9">
        <v>41278</v>
      </c>
      <c r="B8" s="7" t="s">
        <v>21</v>
      </c>
    </row>
    <row r="9" spans="1:2" ht="12.75" customHeight="1">
      <c r="A9" s="9">
        <v>41281</v>
      </c>
      <c r="B9" s="7" t="s">
        <v>22</v>
      </c>
    </row>
    <row r="10" spans="1:2" ht="12.75" customHeight="1">
      <c r="A10" s="9">
        <v>41286</v>
      </c>
      <c r="B10" s="7" t="s">
        <v>23</v>
      </c>
    </row>
    <row r="11" spans="1:2" ht="12.75" customHeight="1">
      <c r="A11" s="9">
        <v>41287</v>
      </c>
      <c r="B11" s="7" t="s">
        <v>25</v>
      </c>
    </row>
    <row r="12" spans="1:2" ht="12.75" customHeight="1">
      <c r="A12" s="9">
        <v>41297</v>
      </c>
      <c r="B12" s="7" t="s">
        <v>26</v>
      </c>
    </row>
    <row r="13" spans="1:2" ht="12.75" customHeight="1">
      <c r="A13" s="9">
        <v>41299</v>
      </c>
      <c r="B13" s="7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Orbital Elements</vt:lpstr>
      <vt:lpstr>Physical Parameters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Try</cp:lastModifiedBy>
  <dcterms:created xsi:type="dcterms:W3CDTF">2015-10-16T15:25:20Z</dcterms:created>
  <dcterms:modified xsi:type="dcterms:W3CDTF">2015-10-16T15:25:20Z</dcterms:modified>
</cp:coreProperties>
</file>