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Thomas\Desktop\ACS ES&amp;T Eng\P-adsorption-by-Six- Different Metal-containing- Adsorbents\"/>
    </mc:Choice>
  </mc:AlternateContent>
  <xr:revisionPtr revIDLastSave="0" documentId="13_ncr:1_{4B4A9EF3-8E7E-4FC7-A51C-654372DE059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cessed_dataset" sheetId="2" r:id="rId1"/>
  </sheets>
  <calcPr calcId="191029"/>
</workbook>
</file>

<file path=xl/calcChain.xml><?xml version="1.0" encoding="utf-8"?>
<calcChain xmlns="http://schemas.openxmlformats.org/spreadsheetml/2006/main">
  <c r="N584" i="2" l="1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770" i="2"/>
  <c r="N771" i="2"/>
  <c r="N772" i="2"/>
  <c r="N773" i="2"/>
  <c r="N774" i="2"/>
  <c r="N775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785" i="2"/>
  <c r="N1786" i="2"/>
  <c r="N1787" i="2"/>
  <c r="N1788" i="2"/>
  <c r="N1789" i="2"/>
  <c r="N1784" i="2"/>
  <c r="N1779" i="2"/>
  <c r="N1780" i="2"/>
  <c r="N1781" i="2"/>
  <c r="N1782" i="2"/>
  <c r="N1783" i="2"/>
  <c r="N1778" i="2"/>
  <c r="N1791" i="2"/>
  <c r="N1792" i="2"/>
  <c r="N1793" i="2"/>
  <c r="N1794" i="2"/>
  <c r="N1795" i="2"/>
  <c r="N1790" i="2"/>
  <c r="N1797" i="2"/>
  <c r="N1798" i="2"/>
  <c r="N1799" i="2"/>
  <c r="N1800" i="2"/>
  <c r="N1801" i="2"/>
  <c r="N1796" i="2"/>
  <c r="N1773" i="2"/>
  <c r="N1774" i="2"/>
  <c r="N1775" i="2"/>
  <c r="N1776" i="2"/>
  <c r="N1777" i="2"/>
  <c r="N1772" i="2"/>
  <c r="N1767" i="2"/>
  <c r="N1768" i="2"/>
  <c r="N1769" i="2"/>
  <c r="N1770" i="2"/>
  <c r="N1771" i="2"/>
  <c r="N1766" i="2"/>
  <c r="N1762" i="2"/>
  <c r="N1763" i="2"/>
  <c r="N1764" i="2"/>
  <c r="N1765" i="2"/>
  <c r="N1760" i="2"/>
  <c r="N1761" i="2"/>
  <c r="N1755" i="2"/>
  <c r="N1756" i="2"/>
  <c r="N1757" i="2"/>
  <c r="N1758" i="2"/>
  <c r="N1759" i="2"/>
  <c r="N1754" i="2"/>
  <c r="N1749" i="2"/>
  <c r="N1750" i="2"/>
  <c r="N1751" i="2"/>
  <c r="N1752" i="2"/>
  <c r="N1753" i="2"/>
  <c r="N1748" i="2"/>
  <c r="N1747" i="2"/>
  <c r="N1743" i="2"/>
  <c r="N1744" i="2"/>
  <c r="N1745" i="2"/>
  <c r="N1746" i="2"/>
  <c r="N1742" i="2"/>
  <c r="N1737" i="2"/>
  <c r="N1738" i="2"/>
  <c r="N1739" i="2"/>
  <c r="N1740" i="2"/>
  <c r="N1741" i="2"/>
  <c r="N1736" i="2"/>
  <c r="N1731" i="2"/>
  <c r="N1732" i="2"/>
  <c r="N1733" i="2"/>
  <c r="N1734" i="2"/>
  <c r="N1735" i="2"/>
  <c r="N1730" i="2"/>
  <c r="N1725" i="2"/>
  <c r="N1726" i="2"/>
  <c r="N1727" i="2"/>
  <c r="N1728" i="2"/>
  <c r="N1729" i="2"/>
  <c r="N1724" i="2"/>
  <c r="N1719" i="2"/>
  <c r="N1720" i="2"/>
  <c r="N1721" i="2"/>
  <c r="N1722" i="2"/>
  <c r="N1723" i="2"/>
  <c r="N1718" i="2"/>
  <c r="N1713" i="2"/>
  <c r="N1714" i="2"/>
  <c r="N1715" i="2"/>
  <c r="N1716" i="2"/>
  <c r="N1717" i="2"/>
  <c r="N1712" i="2"/>
  <c r="N1707" i="2"/>
  <c r="N1708" i="2"/>
  <c r="N1709" i="2"/>
  <c r="N1710" i="2"/>
  <c r="N1711" i="2"/>
  <c r="N1706" i="2"/>
  <c r="N1701" i="2"/>
  <c r="N1702" i="2"/>
  <c r="N1703" i="2"/>
  <c r="N1704" i="2"/>
  <c r="N1705" i="2"/>
  <c r="N1700" i="2"/>
  <c r="N1695" i="2"/>
  <c r="N1696" i="2"/>
  <c r="N1697" i="2"/>
  <c r="N1698" i="2"/>
  <c r="N1699" i="2"/>
  <c r="N1694" i="2"/>
  <c r="N1689" i="2"/>
  <c r="N1690" i="2"/>
  <c r="N1691" i="2"/>
  <c r="N1692" i="2"/>
  <c r="N1693" i="2"/>
  <c r="N1688" i="2"/>
  <c r="N1683" i="2"/>
  <c r="N1684" i="2"/>
  <c r="N1685" i="2"/>
  <c r="N1686" i="2"/>
  <c r="N1687" i="2"/>
  <c r="N1682" i="2"/>
  <c r="N1677" i="2"/>
  <c r="N1678" i="2"/>
  <c r="N1679" i="2"/>
  <c r="N1680" i="2"/>
  <c r="N1681" i="2"/>
  <c r="N1676" i="2"/>
  <c r="N1671" i="2"/>
  <c r="N1672" i="2"/>
  <c r="N1673" i="2"/>
  <c r="N1674" i="2"/>
  <c r="N1675" i="2"/>
  <c r="N1670" i="2"/>
  <c r="N1665" i="2"/>
  <c r="N1666" i="2"/>
  <c r="N1667" i="2"/>
  <c r="N1668" i="2"/>
  <c r="N1669" i="2"/>
  <c r="N1664" i="2"/>
  <c r="N1659" i="2"/>
  <c r="N1660" i="2"/>
  <c r="N1661" i="2"/>
  <c r="N1662" i="2"/>
  <c r="N1663" i="2"/>
  <c r="N1658" i="2"/>
  <c r="N1653" i="2"/>
  <c r="N1654" i="2"/>
  <c r="N1655" i="2"/>
  <c r="N1656" i="2"/>
  <c r="N1657" i="2"/>
  <c r="N1652" i="2"/>
  <c r="N1647" i="2"/>
  <c r="N1648" i="2"/>
  <c r="N1649" i="2"/>
  <c r="N1650" i="2"/>
  <c r="N1651" i="2"/>
  <c r="N1646" i="2"/>
  <c r="N1641" i="2"/>
  <c r="N1642" i="2"/>
  <c r="N1643" i="2"/>
  <c r="N1644" i="2"/>
  <c r="N1645" i="2"/>
  <c r="N1640" i="2"/>
  <c r="N1635" i="2"/>
  <c r="N1636" i="2"/>
  <c r="N1637" i="2"/>
  <c r="N1638" i="2"/>
  <c r="N1639" i="2"/>
  <c r="N1634" i="2"/>
  <c r="N1629" i="2"/>
  <c r="N1630" i="2"/>
  <c r="N1631" i="2"/>
  <c r="N1632" i="2"/>
  <c r="N1633" i="2"/>
  <c r="N1628" i="2"/>
  <c r="N1623" i="2"/>
  <c r="N1624" i="2"/>
  <c r="N1625" i="2"/>
  <c r="N1626" i="2"/>
  <c r="N1627" i="2"/>
  <c r="N1622" i="2"/>
  <c r="N1617" i="2"/>
  <c r="N1618" i="2"/>
  <c r="N1619" i="2"/>
  <c r="N1620" i="2"/>
  <c r="N1621" i="2"/>
  <c r="N1616" i="2"/>
  <c r="N1611" i="2"/>
  <c r="N1612" i="2"/>
  <c r="N1613" i="2"/>
  <c r="N1614" i="2"/>
  <c r="N1615" i="2"/>
  <c r="N1610" i="2"/>
  <c r="N1605" i="2"/>
  <c r="N1606" i="2"/>
  <c r="N1607" i="2"/>
  <c r="N1608" i="2"/>
  <c r="N1609" i="2"/>
  <c r="N1604" i="2"/>
  <c r="N1599" i="2"/>
  <c r="N1600" i="2"/>
  <c r="N1601" i="2"/>
  <c r="N1602" i="2"/>
  <c r="N1603" i="2"/>
  <c r="N1598" i="2"/>
  <c r="N1592" i="2"/>
  <c r="N1593" i="2"/>
  <c r="N1594" i="2"/>
  <c r="N1595" i="2"/>
  <c r="N1596" i="2"/>
  <c r="N1597" i="2"/>
  <c r="N1587" i="2"/>
  <c r="N1588" i="2"/>
  <c r="N1589" i="2"/>
  <c r="N1590" i="2"/>
  <c r="N1591" i="2"/>
  <c r="N1586" i="2"/>
  <c r="N1581" i="2"/>
  <c r="N1582" i="2"/>
  <c r="N1583" i="2"/>
  <c r="N1584" i="2"/>
  <c r="N1585" i="2"/>
  <c r="N1580" i="2"/>
  <c r="N1575" i="2"/>
  <c r="N1576" i="2"/>
  <c r="N1577" i="2"/>
  <c r="N1578" i="2"/>
  <c r="N1579" i="2"/>
  <c r="N1574" i="2"/>
  <c r="N1569" i="2"/>
  <c r="N1570" i="2"/>
  <c r="N1571" i="2"/>
  <c r="N1572" i="2"/>
  <c r="N1573" i="2"/>
  <c r="N1568" i="2"/>
  <c r="N1563" i="2"/>
  <c r="N1564" i="2"/>
  <c r="N1565" i="2"/>
  <c r="N1566" i="2"/>
  <c r="N1567" i="2"/>
  <c r="N1562" i="2"/>
  <c r="N1557" i="2"/>
  <c r="N1558" i="2"/>
  <c r="N1559" i="2"/>
  <c r="N1560" i="2"/>
  <c r="N1561" i="2"/>
  <c r="N1556" i="2"/>
  <c r="N1551" i="2"/>
  <c r="N1552" i="2"/>
  <c r="N1553" i="2"/>
  <c r="N1554" i="2"/>
  <c r="N1555" i="2"/>
  <c r="N1550" i="2"/>
  <c r="N1545" i="2"/>
  <c r="N1546" i="2"/>
  <c r="N1547" i="2"/>
  <c r="N1548" i="2"/>
  <c r="N1549" i="2"/>
  <c r="N1544" i="2"/>
  <c r="N1539" i="2"/>
  <c r="N1540" i="2"/>
  <c r="N1541" i="2"/>
  <c r="N1542" i="2"/>
  <c r="N1543" i="2"/>
  <c r="N1538" i="2"/>
  <c r="N1533" i="2"/>
  <c r="N1534" i="2"/>
  <c r="N1535" i="2"/>
  <c r="N1536" i="2"/>
  <c r="N1537" i="2"/>
  <c r="N1532" i="2"/>
  <c r="N1527" i="2"/>
  <c r="N1528" i="2"/>
  <c r="N1529" i="2"/>
  <c r="N1530" i="2"/>
  <c r="N1531" i="2"/>
  <c r="N1526" i="2"/>
  <c r="N1521" i="2"/>
  <c r="N1522" i="2"/>
  <c r="N1523" i="2"/>
  <c r="N1524" i="2"/>
  <c r="N1525" i="2"/>
  <c r="N1520" i="2"/>
  <c r="N1515" i="2"/>
  <c r="N1516" i="2"/>
  <c r="N1517" i="2"/>
  <c r="N1518" i="2"/>
  <c r="N1519" i="2"/>
  <c r="N1514" i="2"/>
  <c r="N1509" i="2"/>
  <c r="N1510" i="2"/>
  <c r="N1511" i="2"/>
  <c r="N1512" i="2"/>
  <c r="N1513" i="2"/>
  <c r="N1508" i="2"/>
  <c r="N1503" i="2"/>
  <c r="N1504" i="2"/>
  <c r="N1505" i="2"/>
  <c r="N1506" i="2"/>
  <c r="N1507" i="2"/>
  <c r="N1502" i="2"/>
  <c r="N1497" i="2"/>
  <c r="N1498" i="2"/>
  <c r="N1499" i="2"/>
  <c r="N1500" i="2"/>
  <c r="N1501" i="2"/>
  <c r="N1496" i="2"/>
  <c r="N1491" i="2"/>
  <c r="N1492" i="2"/>
  <c r="N1493" i="2"/>
  <c r="N1494" i="2"/>
  <c r="N1495" i="2"/>
  <c r="N1490" i="2"/>
  <c r="N1485" i="2"/>
  <c r="N1486" i="2"/>
  <c r="N1487" i="2"/>
  <c r="N1488" i="2"/>
  <c r="N1489" i="2"/>
  <c r="N1484" i="2"/>
  <c r="N1479" i="2"/>
  <c r="N1480" i="2"/>
  <c r="N1481" i="2"/>
  <c r="N1482" i="2"/>
  <c r="N1483" i="2"/>
  <c r="N1478" i="2"/>
  <c r="N1473" i="2"/>
  <c r="N1474" i="2"/>
  <c r="N1475" i="2"/>
  <c r="N1476" i="2"/>
  <c r="N1477" i="2"/>
  <c r="N1472" i="2"/>
  <c r="N1471" i="2"/>
  <c r="N1467" i="2"/>
  <c r="N1468" i="2"/>
  <c r="N1469" i="2"/>
  <c r="N1470" i="2"/>
  <c r="N1466" i="2"/>
  <c r="N1461" i="2"/>
  <c r="N1462" i="2"/>
  <c r="N1463" i="2"/>
  <c r="N1464" i="2"/>
  <c r="N1465" i="2"/>
  <c r="N1460" i="2"/>
  <c r="N1455" i="2"/>
  <c r="N1456" i="2"/>
  <c r="N1457" i="2"/>
  <c r="N1458" i="2"/>
  <c r="N1459" i="2"/>
  <c r="N1454" i="2"/>
  <c r="N1449" i="2"/>
  <c r="N1450" i="2"/>
  <c r="N1451" i="2"/>
  <c r="N1452" i="2"/>
  <c r="N1453" i="2"/>
  <c r="N1448" i="2"/>
  <c r="N1443" i="2"/>
  <c r="N1444" i="2"/>
  <c r="N1445" i="2"/>
  <c r="N1446" i="2"/>
  <c r="N1447" i="2"/>
  <c r="N1442" i="2"/>
  <c r="N1430" i="2"/>
  <c r="N1431" i="2"/>
  <c r="N1432" i="2"/>
  <c r="N1433" i="2"/>
  <c r="N1434" i="2"/>
  <c r="N1435" i="2"/>
  <c r="N1425" i="2"/>
  <c r="N1426" i="2"/>
  <c r="N1427" i="2"/>
  <c r="N1428" i="2"/>
  <c r="N1429" i="2"/>
  <c r="N1424" i="2"/>
  <c r="N1419" i="2"/>
  <c r="N1420" i="2"/>
  <c r="N1421" i="2"/>
  <c r="N1422" i="2"/>
  <c r="N1423" i="2"/>
  <c r="N1418" i="2"/>
  <c r="N1413" i="2"/>
  <c r="N1414" i="2"/>
  <c r="N1415" i="2"/>
  <c r="N1416" i="2"/>
  <c r="N1417" i="2"/>
  <c r="N1412" i="2"/>
  <c r="N1407" i="2"/>
  <c r="N1408" i="2"/>
  <c r="N1409" i="2"/>
  <c r="N1410" i="2"/>
  <c r="N1411" i="2"/>
  <c r="N1406" i="2"/>
  <c r="N1401" i="2"/>
  <c r="N1402" i="2"/>
  <c r="N1403" i="2"/>
  <c r="N1404" i="2"/>
  <c r="N1405" i="2"/>
  <c r="N1400" i="2"/>
  <c r="N1395" i="2"/>
  <c r="N1396" i="2"/>
  <c r="N1397" i="2"/>
  <c r="N1398" i="2"/>
  <c r="N1399" i="2"/>
  <c r="N1394" i="2"/>
  <c r="N1389" i="2"/>
  <c r="N1390" i="2"/>
  <c r="N1391" i="2"/>
  <c r="N1392" i="2"/>
  <c r="N1393" i="2"/>
  <c r="N1388" i="2"/>
  <c r="N1383" i="2"/>
  <c r="N1384" i="2"/>
  <c r="N1385" i="2"/>
  <c r="N1386" i="2"/>
  <c r="N1387" i="2"/>
  <c r="N1382" i="2"/>
  <c r="N1377" i="2"/>
  <c r="N1378" i="2"/>
  <c r="N1379" i="2"/>
  <c r="N1380" i="2"/>
  <c r="N1381" i="2"/>
  <c r="N1376" i="2"/>
  <c r="N1371" i="2"/>
  <c r="N1372" i="2"/>
  <c r="N1373" i="2"/>
  <c r="N1374" i="2"/>
  <c r="N1375" i="2"/>
  <c r="N1370" i="2"/>
  <c r="N1365" i="2"/>
  <c r="N1366" i="2"/>
  <c r="N1367" i="2"/>
  <c r="N1368" i="2"/>
  <c r="N1369" i="2"/>
  <c r="N1364" i="2"/>
  <c r="N1359" i="2"/>
  <c r="N1360" i="2"/>
  <c r="N1361" i="2"/>
  <c r="N1362" i="2"/>
  <c r="N1363" i="2"/>
  <c r="N1358" i="2"/>
  <c r="N1353" i="2"/>
  <c r="N1354" i="2"/>
  <c r="N1355" i="2"/>
  <c r="N1356" i="2"/>
  <c r="N1357" i="2"/>
  <c r="N1352" i="2"/>
  <c r="N1347" i="2"/>
  <c r="N1348" i="2"/>
  <c r="N1349" i="2"/>
  <c r="N1350" i="2"/>
  <c r="N1351" i="2"/>
  <c r="N1346" i="2"/>
  <c r="N1341" i="2"/>
  <c r="N1342" i="2"/>
  <c r="N1343" i="2"/>
  <c r="N1344" i="2"/>
  <c r="N1345" i="2"/>
  <c r="N1340" i="2"/>
  <c r="N1335" i="2"/>
  <c r="N1336" i="2"/>
  <c r="N1337" i="2"/>
  <c r="N1338" i="2"/>
  <c r="N1339" i="2"/>
  <c r="N1334" i="2"/>
  <c r="N1329" i="2"/>
  <c r="N1330" i="2"/>
  <c r="N1331" i="2"/>
  <c r="N1332" i="2"/>
  <c r="N1333" i="2"/>
  <c r="N1328" i="2"/>
  <c r="N1323" i="2"/>
  <c r="N1324" i="2"/>
  <c r="N1325" i="2"/>
  <c r="N1326" i="2"/>
  <c r="N1327" i="2"/>
  <c r="N1322" i="2"/>
  <c r="N1317" i="2"/>
  <c r="N1318" i="2"/>
  <c r="N1319" i="2"/>
  <c r="N1320" i="2"/>
  <c r="N1321" i="2"/>
  <c r="N1316" i="2"/>
  <c r="N1311" i="2"/>
  <c r="N1312" i="2"/>
  <c r="N1313" i="2"/>
  <c r="N1314" i="2"/>
  <c r="N1315" i="2"/>
  <c r="N1310" i="2"/>
  <c r="N1305" i="2"/>
  <c r="N1306" i="2"/>
  <c r="N1307" i="2"/>
  <c r="N1308" i="2"/>
  <c r="N1309" i="2"/>
  <c r="N1304" i="2"/>
  <c r="N1299" i="2"/>
  <c r="N1300" i="2"/>
  <c r="N1301" i="2"/>
  <c r="N1302" i="2"/>
  <c r="N1303" i="2"/>
  <c r="N1298" i="2"/>
  <c r="N1293" i="2"/>
  <c r="N1294" i="2"/>
  <c r="N1295" i="2"/>
  <c r="N1296" i="2"/>
  <c r="N1297" i="2"/>
  <c r="N1292" i="2"/>
  <c r="N1287" i="2"/>
  <c r="N1288" i="2"/>
  <c r="N1289" i="2"/>
  <c r="N1290" i="2"/>
  <c r="N1291" i="2"/>
  <c r="N1286" i="2"/>
  <c r="N111" i="2"/>
  <c r="N112" i="2"/>
  <c r="N113" i="2"/>
  <c r="N114" i="2"/>
  <c r="N115" i="2"/>
  <c r="N110" i="2"/>
  <c r="N99" i="2"/>
  <c r="N100" i="2"/>
  <c r="N101" i="2"/>
  <c r="N102" i="2"/>
  <c r="N103" i="2"/>
  <c r="N98" i="2"/>
  <c r="N105" i="2"/>
  <c r="N106" i="2"/>
  <c r="N107" i="2"/>
  <c r="N108" i="2"/>
  <c r="N109" i="2"/>
  <c r="N104" i="2"/>
  <c r="N75" i="2"/>
  <c r="N76" i="2"/>
  <c r="N77" i="2"/>
  <c r="N78" i="2"/>
  <c r="N79" i="2"/>
  <c r="N74" i="2"/>
  <c r="N1263" i="2"/>
  <c r="N1264" i="2"/>
  <c r="N1265" i="2"/>
  <c r="N1266" i="2"/>
  <c r="N1267" i="2"/>
  <c r="N1262" i="2"/>
  <c r="N1257" i="2"/>
  <c r="N1258" i="2"/>
  <c r="N1259" i="2"/>
  <c r="N1260" i="2"/>
  <c r="N1261" i="2"/>
  <c r="N1256" i="2"/>
  <c r="N1251" i="2"/>
  <c r="N1252" i="2"/>
  <c r="N1253" i="2"/>
  <c r="N1254" i="2"/>
  <c r="N1255" i="2"/>
  <c r="N1250" i="2"/>
  <c r="N1245" i="2"/>
  <c r="N1246" i="2"/>
  <c r="N1247" i="2"/>
  <c r="N1248" i="2"/>
  <c r="N1249" i="2"/>
  <c r="N1244" i="2"/>
  <c r="N1239" i="2"/>
  <c r="N1240" i="2"/>
  <c r="N1241" i="2"/>
  <c r="N1242" i="2"/>
  <c r="N1243" i="2"/>
  <c r="N1238" i="2"/>
  <c r="N1233" i="2"/>
  <c r="N1234" i="2"/>
  <c r="N1235" i="2"/>
  <c r="N1236" i="2"/>
  <c r="N1237" i="2"/>
  <c r="N1232" i="2"/>
  <c r="N1227" i="2"/>
  <c r="N1228" i="2"/>
  <c r="N1229" i="2"/>
  <c r="N1230" i="2"/>
  <c r="N1231" i="2"/>
  <c r="N1226" i="2"/>
  <c r="N1221" i="2"/>
  <c r="N1222" i="2"/>
  <c r="N1223" i="2"/>
  <c r="N1224" i="2"/>
  <c r="N1225" i="2"/>
  <c r="N1220" i="2"/>
  <c r="N1215" i="2"/>
  <c r="N1216" i="2"/>
  <c r="N1217" i="2"/>
  <c r="N1218" i="2"/>
  <c r="N1219" i="2"/>
  <c r="N1214" i="2"/>
  <c r="N1209" i="2"/>
  <c r="N1210" i="2"/>
  <c r="N1211" i="2"/>
  <c r="N1212" i="2"/>
  <c r="N1213" i="2"/>
  <c r="N1208" i="2"/>
  <c r="N1203" i="2"/>
  <c r="N1204" i="2"/>
  <c r="N1205" i="2"/>
  <c r="N1206" i="2"/>
  <c r="N1207" i="2"/>
  <c r="N1202" i="2"/>
  <c r="N1197" i="2"/>
  <c r="N1198" i="2"/>
  <c r="N1199" i="2"/>
  <c r="N1200" i="2"/>
  <c r="N1201" i="2"/>
  <c r="N1196" i="2"/>
  <c r="N1191" i="2"/>
  <c r="N1192" i="2"/>
  <c r="N1193" i="2"/>
  <c r="N1194" i="2"/>
  <c r="N1195" i="2"/>
  <c r="N1190" i="2"/>
  <c r="N1185" i="2"/>
  <c r="N1186" i="2"/>
  <c r="N1187" i="2"/>
  <c r="N1188" i="2"/>
  <c r="N1189" i="2"/>
  <c r="N1184" i="2"/>
  <c r="N1179" i="2"/>
  <c r="N1180" i="2"/>
  <c r="N1181" i="2"/>
  <c r="N1182" i="2"/>
  <c r="N1183" i="2"/>
  <c r="N1178" i="2"/>
  <c r="N1173" i="2"/>
  <c r="N1174" i="2"/>
  <c r="N1175" i="2"/>
  <c r="N1176" i="2"/>
  <c r="N1177" i="2"/>
  <c r="N1172" i="2"/>
  <c r="N1167" i="2"/>
  <c r="N1168" i="2"/>
  <c r="N1169" i="2"/>
  <c r="N1170" i="2"/>
  <c r="N1171" i="2"/>
  <c r="N1166" i="2"/>
  <c r="N1155" i="2"/>
  <c r="N1156" i="2"/>
  <c r="N1157" i="2"/>
  <c r="N1158" i="2"/>
  <c r="N1159" i="2"/>
  <c r="N1154" i="2"/>
  <c r="N1160" i="2"/>
  <c r="N1161" i="2"/>
  <c r="N1162" i="2"/>
  <c r="N1163" i="2"/>
  <c r="N1164" i="2"/>
  <c r="N1165" i="2"/>
  <c r="N1143" i="2"/>
  <c r="N1144" i="2"/>
  <c r="N1145" i="2"/>
  <c r="N1146" i="2"/>
  <c r="N1147" i="2"/>
  <c r="N1142" i="2"/>
  <c r="N1149" i="2"/>
  <c r="N1150" i="2"/>
  <c r="N1151" i="2"/>
  <c r="N1152" i="2"/>
  <c r="N1153" i="2"/>
  <c r="N1148" i="2"/>
  <c r="N1137" i="2"/>
  <c r="N1138" i="2"/>
  <c r="N1139" i="2"/>
  <c r="N1140" i="2"/>
  <c r="N1141" i="2"/>
  <c r="N1136" i="2"/>
  <c r="N1130" i="2"/>
  <c r="N1131" i="2"/>
  <c r="N1132" i="2"/>
  <c r="N1133" i="2"/>
  <c r="N1134" i="2"/>
  <c r="N1135" i="2"/>
  <c r="N1107" i="2"/>
  <c r="N1108" i="2"/>
  <c r="N1109" i="2"/>
  <c r="N1110" i="2"/>
  <c r="N1111" i="2"/>
  <c r="N1106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<sst xmlns="http://schemas.openxmlformats.org/spreadsheetml/2006/main" count="1887" uniqueCount="27">
  <si>
    <t>La(wt%)</t>
  </si>
  <si>
    <t>Al(wt%)</t>
  </si>
  <si>
    <t>Fe(wt%)</t>
  </si>
  <si>
    <t>Zr(wt%)</t>
  </si>
  <si>
    <t>Ca(wt%)</t>
  </si>
  <si>
    <t>Mg(wt%)</t>
  </si>
  <si>
    <t>Solution pH</t>
  </si>
  <si>
    <t>Background type</t>
  </si>
  <si>
    <t>NaCl(0.01mol/L)</t>
  </si>
  <si>
    <t>N.G.</t>
  </si>
  <si>
    <t>KNO3(0.01mol)</t>
  </si>
  <si>
    <t>√</t>
  </si>
  <si>
    <t>Temperature(K)</t>
    <phoneticPr fontId="1" type="noConversion"/>
  </si>
  <si>
    <t>Cd(0mg/L)</t>
  </si>
  <si>
    <t>Cd(0mg/L)</t>
    <phoneticPr fontId="1" type="noConversion"/>
  </si>
  <si>
    <t>Cd(1mg/L)</t>
  </si>
  <si>
    <t>Cd(1mg/L)</t>
    <phoneticPr fontId="1" type="noConversion"/>
  </si>
  <si>
    <t>Cd(0.2mg/L)</t>
  </si>
  <si>
    <t>Cd(0.2mg/L)</t>
    <phoneticPr fontId="1" type="noConversion"/>
  </si>
  <si>
    <t>Cd(5mg/L)</t>
  </si>
  <si>
    <t>Cd(5mg/L)</t>
    <phoneticPr fontId="1" type="noConversion"/>
  </si>
  <si>
    <t xml:space="preserve"> </t>
    <phoneticPr fontId="1" type="noConversion"/>
  </si>
  <si>
    <t>Surface area(m2/g)</t>
    <phoneticPr fontId="1" type="noConversion"/>
  </si>
  <si>
    <t>Pore Volume(cm3/g)</t>
    <phoneticPr fontId="1" type="noConversion"/>
  </si>
  <si>
    <t>Pore size （nm）</t>
  </si>
  <si>
    <t>Equilibrium concentration (Ce,mg/L)</t>
  </si>
  <si>
    <t>Adsorption capacities (qe, mg P 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</si>
</sst>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1"/>
  <sheetViews>
    <sheetView tabSelected="1" zoomScale="70" zoomScaleNormal="70" workbookViewId="0">
      <pane xSplit="1" ySplit="1" topLeftCell="B62" activePane="bottomRight" state="frozen"/>
      <selection pane="topRight"/>
      <selection pane="bottomLeft"/>
      <selection pane="bottomRight" activeCell="E7" sqref="E7"/>
    </sheetView>
  </sheetViews>
  <sheetFormatPr defaultColWidth="10.6640625" defaultRowHeight="34.5" customHeight="1" x14ac:dyDescent="0.3"/>
  <cols>
    <col min="1" max="16384" width="10.6640625" style="1"/>
  </cols>
  <sheetData>
    <row r="1" spans="1:14" ht="34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23</v>
      </c>
      <c r="I1" s="1" t="s">
        <v>24</v>
      </c>
      <c r="J1" s="1" t="s">
        <v>6</v>
      </c>
      <c r="K1" s="1" t="s">
        <v>12</v>
      </c>
      <c r="L1" s="1" t="s">
        <v>7</v>
      </c>
      <c r="M1" s="1" t="s">
        <v>25</v>
      </c>
      <c r="N1" s="1" t="s">
        <v>26</v>
      </c>
    </row>
    <row r="2" spans="1:14" ht="34.5" customHeight="1" x14ac:dyDescent="0.3">
      <c r="A2" s="1">
        <v>5.3</v>
      </c>
      <c r="B2" s="1">
        <v>31.7</v>
      </c>
      <c r="G2" s="1">
        <v>107.1</v>
      </c>
      <c r="H2" s="1">
        <v>0.34</v>
      </c>
      <c r="J2" s="1">
        <v>4</v>
      </c>
      <c r="K2" s="1">
        <v>298</v>
      </c>
      <c r="L2" s="1" t="s">
        <v>8</v>
      </c>
      <c r="M2" s="1">
        <v>5</v>
      </c>
      <c r="N2" s="1">
        <f t="shared" ref="N2:N7" si="0">(76.3*0.154*M2)/(1+0.154*M2)</f>
        <v>33.192655367231637</v>
      </c>
    </row>
    <row r="3" spans="1:14" ht="34.5" customHeight="1" x14ac:dyDescent="0.3">
      <c r="A3" s="1">
        <v>5.3</v>
      </c>
      <c r="B3" s="1">
        <v>31.7</v>
      </c>
      <c r="G3" s="1">
        <v>107.1</v>
      </c>
      <c r="H3" s="1">
        <v>0.34</v>
      </c>
      <c r="J3" s="1">
        <v>4</v>
      </c>
      <c r="K3" s="1">
        <v>298</v>
      </c>
      <c r="L3" s="1" t="s">
        <v>8</v>
      </c>
      <c r="M3" s="1">
        <v>10</v>
      </c>
      <c r="N3" s="1">
        <f t="shared" si="0"/>
        <v>46.260629921259842</v>
      </c>
    </row>
    <row r="4" spans="1:14" ht="34.5" customHeight="1" x14ac:dyDescent="0.3">
      <c r="A4" s="1">
        <v>5.3</v>
      </c>
      <c r="B4" s="1">
        <v>31.7</v>
      </c>
      <c r="G4" s="1">
        <v>107.1</v>
      </c>
      <c r="H4" s="1">
        <v>0.34</v>
      </c>
      <c r="J4" s="1">
        <v>4</v>
      </c>
      <c r="K4" s="1">
        <v>298</v>
      </c>
      <c r="L4" s="1" t="s">
        <v>8</v>
      </c>
      <c r="M4" s="1">
        <v>15</v>
      </c>
      <c r="N4" s="1">
        <f t="shared" si="0"/>
        <v>53.248640483383681</v>
      </c>
    </row>
    <row r="5" spans="1:14" ht="34.5" customHeight="1" x14ac:dyDescent="0.3">
      <c r="A5" s="1">
        <v>5.3</v>
      </c>
      <c r="B5" s="1">
        <v>31.7</v>
      </c>
      <c r="G5" s="1">
        <v>107.1</v>
      </c>
      <c r="H5" s="1">
        <v>0.34</v>
      </c>
      <c r="J5" s="1">
        <v>4</v>
      </c>
      <c r="K5" s="1">
        <v>298</v>
      </c>
      <c r="L5" s="1" t="s">
        <v>8</v>
      </c>
      <c r="M5" s="1">
        <v>20</v>
      </c>
      <c r="N5" s="1">
        <f t="shared" si="0"/>
        <v>57.599019607843132</v>
      </c>
    </row>
    <row r="6" spans="1:14" ht="34.5" customHeight="1" x14ac:dyDescent="0.3">
      <c r="A6" s="1">
        <v>5.3</v>
      </c>
      <c r="B6" s="1">
        <v>31.7</v>
      </c>
      <c r="G6" s="1">
        <v>107.1</v>
      </c>
      <c r="H6" s="1">
        <v>0.34</v>
      </c>
      <c r="J6" s="1">
        <v>4</v>
      </c>
      <c r="K6" s="1">
        <v>298</v>
      </c>
      <c r="L6" s="1" t="s">
        <v>8</v>
      </c>
      <c r="M6" s="1">
        <v>25</v>
      </c>
      <c r="N6" s="1">
        <f t="shared" si="0"/>
        <v>60.568041237113405</v>
      </c>
    </row>
    <row r="7" spans="1:14" ht="34.5" customHeight="1" x14ac:dyDescent="0.3">
      <c r="A7" s="1">
        <v>5.3</v>
      </c>
      <c r="B7" s="1">
        <v>31.7</v>
      </c>
      <c r="G7" s="1">
        <v>107.1</v>
      </c>
      <c r="H7" s="1">
        <v>0.34</v>
      </c>
      <c r="J7" s="1">
        <v>4</v>
      </c>
      <c r="K7" s="1">
        <v>298</v>
      </c>
      <c r="L7" s="1" t="s">
        <v>8</v>
      </c>
      <c r="M7" s="1">
        <v>30</v>
      </c>
      <c r="N7" s="1">
        <f t="shared" si="0"/>
        <v>62.72348754448398</v>
      </c>
    </row>
    <row r="8" spans="1:14" ht="34.5" customHeight="1" x14ac:dyDescent="0.3">
      <c r="A8" s="1">
        <v>5.3</v>
      </c>
      <c r="B8" s="1">
        <v>31.7</v>
      </c>
      <c r="G8" s="1">
        <v>107.1</v>
      </c>
      <c r="H8" s="1">
        <v>0.34</v>
      </c>
      <c r="J8" s="1">
        <v>8.5</v>
      </c>
      <c r="K8" s="1">
        <v>298</v>
      </c>
      <c r="L8" s="1" t="s">
        <v>8</v>
      </c>
      <c r="M8" s="1">
        <v>5</v>
      </c>
      <c r="N8" s="1">
        <f t="shared" ref="N8:N13" si="1">(45.3*0.236*M8)/(1+0.236*M8)</f>
        <v>24.520183486238533</v>
      </c>
    </row>
    <row r="9" spans="1:14" ht="34.5" customHeight="1" x14ac:dyDescent="0.3">
      <c r="A9" s="1">
        <v>5.3</v>
      </c>
      <c r="B9" s="1">
        <v>31.7</v>
      </c>
      <c r="G9" s="1">
        <v>107.1</v>
      </c>
      <c r="H9" s="1">
        <v>0.34</v>
      </c>
      <c r="J9" s="1">
        <v>8.5</v>
      </c>
      <c r="K9" s="1">
        <v>298</v>
      </c>
      <c r="L9" s="1" t="s">
        <v>8</v>
      </c>
      <c r="M9" s="1">
        <v>10</v>
      </c>
      <c r="N9" s="1">
        <f t="shared" si="1"/>
        <v>31.81785714285714</v>
      </c>
    </row>
    <row r="10" spans="1:14" ht="34.5" customHeight="1" x14ac:dyDescent="0.3">
      <c r="A10" s="1">
        <v>5.3</v>
      </c>
      <c r="B10" s="1">
        <v>31.7</v>
      </c>
      <c r="G10" s="1">
        <v>107.1</v>
      </c>
      <c r="H10" s="1">
        <v>0.34</v>
      </c>
      <c r="J10" s="1">
        <v>8.5</v>
      </c>
      <c r="K10" s="1">
        <v>298</v>
      </c>
      <c r="L10" s="1" t="s">
        <v>8</v>
      </c>
      <c r="M10" s="1">
        <v>15</v>
      </c>
      <c r="N10" s="1">
        <f t="shared" si="1"/>
        <v>35.322026431718058</v>
      </c>
    </row>
    <row r="11" spans="1:14" ht="34.5" customHeight="1" x14ac:dyDescent="0.3">
      <c r="A11" s="1">
        <v>5.3</v>
      </c>
      <c r="B11" s="1">
        <v>31.7</v>
      </c>
      <c r="G11" s="1">
        <v>107.1</v>
      </c>
      <c r="H11" s="1">
        <v>0.34</v>
      </c>
      <c r="J11" s="1">
        <v>8.5</v>
      </c>
      <c r="K11" s="1">
        <v>298</v>
      </c>
      <c r="L11" s="1" t="s">
        <v>8</v>
      </c>
      <c r="M11" s="1">
        <v>20</v>
      </c>
      <c r="N11" s="1">
        <f t="shared" si="1"/>
        <v>37.380419580419577</v>
      </c>
    </row>
    <row r="12" spans="1:14" ht="34.5" customHeight="1" x14ac:dyDescent="0.3">
      <c r="A12" s="1">
        <v>5.3</v>
      </c>
      <c r="B12" s="1">
        <v>31.7</v>
      </c>
      <c r="G12" s="1">
        <v>107.1</v>
      </c>
      <c r="H12" s="1">
        <v>0.34</v>
      </c>
      <c r="J12" s="1">
        <v>8.5</v>
      </c>
      <c r="K12" s="1">
        <v>298</v>
      </c>
      <c r="L12" s="1" t="s">
        <v>8</v>
      </c>
      <c r="M12" s="1">
        <v>25</v>
      </c>
      <c r="N12" s="1">
        <f t="shared" si="1"/>
        <v>38.734782608695653</v>
      </c>
    </row>
    <row r="13" spans="1:14" ht="34.5" customHeight="1" x14ac:dyDescent="0.3">
      <c r="A13" s="1">
        <v>5.3</v>
      </c>
      <c r="B13" s="1">
        <v>31.7</v>
      </c>
      <c r="G13" s="1">
        <v>107.1</v>
      </c>
      <c r="H13" s="1">
        <v>0.34</v>
      </c>
      <c r="J13" s="1">
        <v>8.5</v>
      </c>
      <c r="K13" s="1">
        <v>298</v>
      </c>
      <c r="L13" s="1" t="s">
        <v>8</v>
      </c>
      <c r="M13" s="1">
        <v>30</v>
      </c>
      <c r="N13" s="1">
        <f t="shared" si="1"/>
        <v>39.693564356435644</v>
      </c>
    </row>
    <row r="14" spans="1:14" ht="34.5" customHeight="1" x14ac:dyDescent="0.3">
      <c r="A14" s="1">
        <v>7.8</v>
      </c>
      <c r="B14" s="1">
        <v>31.4</v>
      </c>
      <c r="G14" s="1">
        <v>121</v>
      </c>
      <c r="H14" s="1">
        <v>0.39</v>
      </c>
      <c r="J14" s="1">
        <v>4</v>
      </c>
      <c r="K14" s="1">
        <v>298</v>
      </c>
      <c r="L14" s="1" t="s">
        <v>8</v>
      </c>
      <c r="M14" s="1">
        <v>5</v>
      </c>
      <c r="N14" s="1">
        <f t="shared" ref="N14:N19" si="2">(120.5*0.135*M14)/(1+0.135*M14)</f>
        <v>48.559701492537314</v>
      </c>
    </row>
    <row r="15" spans="1:14" ht="34.5" customHeight="1" x14ac:dyDescent="0.3">
      <c r="A15" s="1">
        <v>7.8</v>
      </c>
      <c r="B15" s="1">
        <v>31.4</v>
      </c>
      <c r="G15" s="1">
        <v>121</v>
      </c>
      <c r="H15" s="1">
        <v>0.39</v>
      </c>
      <c r="J15" s="1">
        <v>4</v>
      </c>
      <c r="K15" s="1">
        <v>298</v>
      </c>
      <c r="L15" s="1" t="s">
        <v>8</v>
      </c>
      <c r="M15" s="1">
        <v>10</v>
      </c>
      <c r="N15" s="1">
        <f t="shared" si="2"/>
        <v>69.223404255319153</v>
      </c>
    </row>
    <row r="16" spans="1:14" ht="34.5" customHeight="1" x14ac:dyDescent="0.3">
      <c r="A16" s="1">
        <v>7.8</v>
      </c>
      <c r="B16" s="1">
        <v>31.4</v>
      </c>
      <c r="G16" s="1">
        <v>121</v>
      </c>
      <c r="H16" s="1">
        <v>0.39</v>
      </c>
      <c r="J16" s="1">
        <v>4</v>
      </c>
      <c r="K16" s="1">
        <v>298</v>
      </c>
      <c r="L16" s="1" t="s">
        <v>8</v>
      </c>
      <c r="M16" s="1">
        <v>15</v>
      </c>
      <c r="N16" s="1">
        <f t="shared" si="2"/>
        <v>80.665289256198349</v>
      </c>
    </row>
    <row r="17" spans="1:14" ht="34.5" customHeight="1" x14ac:dyDescent="0.3">
      <c r="A17" s="1">
        <v>7.8</v>
      </c>
      <c r="B17" s="1">
        <v>31.4</v>
      </c>
      <c r="G17" s="1">
        <v>121</v>
      </c>
      <c r="H17" s="1">
        <v>0.39</v>
      </c>
      <c r="J17" s="1">
        <v>4</v>
      </c>
      <c r="K17" s="1">
        <v>298</v>
      </c>
      <c r="L17" s="1" t="s">
        <v>8</v>
      </c>
      <c r="M17" s="1">
        <v>20</v>
      </c>
      <c r="N17" s="1">
        <f t="shared" si="2"/>
        <v>87.932432432432435</v>
      </c>
    </row>
    <row r="18" spans="1:14" ht="34.5" customHeight="1" x14ac:dyDescent="0.3">
      <c r="A18" s="1">
        <v>7.8</v>
      </c>
      <c r="B18" s="1">
        <v>31.4</v>
      </c>
      <c r="G18" s="1">
        <v>121</v>
      </c>
      <c r="H18" s="1">
        <v>0.39</v>
      </c>
      <c r="J18" s="1">
        <v>4</v>
      </c>
      <c r="K18" s="1">
        <v>298</v>
      </c>
      <c r="L18" s="1" t="s">
        <v>8</v>
      </c>
      <c r="M18" s="1">
        <v>25</v>
      </c>
      <c r="N18" s="1">
        <f t="shared" si="2"/>
        <v>92.95714285714287</v>
      </c>
    </row>
    <row r="19" spans="1:14" ht="34.5" customHeight="1" x14ac:dyDescent="0.3">
      <c r="A19" s="1">
        <v>7.8</v>
      </c>
      <c r="B19" s="1">
        <v>31.4</v>
      </c>
      <c r="G19" s="1">
        <v>121</v>
      </c>
      <c r="H19" s="1">
        <v>0.39</v>
      </c>
      <c r="J19" s="1">
        <v>4</v>
      </c>
      <c r="K19" s="1">
        <v>298</v>
      </c>
      <c r="L19" s="1" t="s">
        <v>8</v>
      </c>
      <c r="M19" s="1">
        <v>30</v>
      </c>
      <c r="N19" s="1">
        <f t="shared" si="2"/>
        <v>96.638613861386133</v>
      </c>
    </row>
    <row r="20" spans="1:14" ht="34.5" customHeight="1" x14ac:dyDescent="0.3">
      <c r="A20" s="1">
        <v>7.8</v>
      </c>
      <c r="B20" s="1">
        <v>31.4</v>
      </c>
      <c r="G20" s="1">
        <v>121</v>
      </c>
      <c r="H20" s="1">
        <v>0.39</v>
      </c>
      <c r="J20" s="1">
        <v>8.5</v>
      </c>
      <c r="K20" s="1">
        <v>298</v>
      </c>
      <c r="L20" s="1" t="s">
        <v>8</v>
      </c>
      <c r="M20" s="1">
        <v>5</v>
      </c>
      <c r="N20" s="1">
        <f t="shared" ref="N20:N25" si="3">(64.1*0.34*M20)/(1+0.34*M20)</f>
        <v>40.359259259259254</v>
      </c>
    </row>
    <row r="21" spans="1:14" ht="34.5" customHeight="1" x14ac:dyDescent="0.3">
      <c r="A21" s="1">
        <v>7.8</v>
      </c>
      <c r="B21" s="1">
        <v>31.4</v>
      </c>
      <c r="G21" s="1">
        <v>121</v>
      </c>
      <c r="H21" s="1">
        <v>0.39</v>
      </c>
      <c r="J21" s="1">
        <v>8.5</v>
      </c>
      <c r="K21" s="1">
        <v>298</v>
      </c>
      <c r="L21" s="1" t="s">
        <v>8</v>
      </c>
      <c r="M21" s="1">
        <v>10</v>
      </c>
      <c r="N21" s="1">
        <f t="shared" si="3"/>
        <v>49.531818181818174</v>
      </c>
    </row>
    <row r="22" spans="1:14" ht="34.5" customHeight="1" x14ac:dyDescent="0.3">
      <c r="A22" s="1">
        <v>7.8</v>
      </c>
      <c r="B22" s="1">
        <v>31.4</v>
      </c>
      <c r="G22" s="1">
        <v>121</v>
      </c>
      <c r="H22" s="1">
        <v>0.39</v>
      </c>
      <c r="J22" s="1">
        <v>8.5</v>
      </c>
      <c r="K22" s="1">
        <v>298</v>
      </c>
      <c r="L22" s="1" t="s">
        <v>8</v>
      </c>
      <c r="M22" s="1">
        <v>15</v>
      </c>
      <c r="N22" s="1">
        <f t="shared" si="3"/>
        <v>53.591803278688523</v>
      </c>
    </row>
    <row r="23" spans="1:14" ht="34.5" customHeight="1" x14ac:dyDescent="0.3">
      <c r="A23" s="1">
        <v>7.8</v>
      </c>
      <c r="B23" s="1">
        <v>31.4</v>
      </c>
      <c r="G23" s="1">
        <v>121</v>
      </c>
      <c r="H23" s="1">
        <v>0.39</v>
      </c>
      <c r="J23" s="1">
        <v>8.5</v>
      </c>
      <c r="K23" s="1">
        <v>298</v>
      </c>
      <c r="L23" s="1" t="s">
        <v>8</v>
      </c>
      <c r="M23" s="1">
        <v>20</v>
      </c>
      <c r="N23" s="1">
        <f t="shared" si="3"/>
        <v>55.882051282051279</v>
      </c>
    </row>
    <row r="24" spans="1:14" ht="34.5" customHeight="1" x14ac:dyDescent="0.3">
      <c r="A24" s="1">
        <v>7.8</v>
      </c>
      <c r="B24" s="1">
        <v>31.4</v>
      </c>
      <c r="G24" s="1">
        <v>121</v>
      </c>
      <c r="H24" s="1">
        <v>0.39</v>
      </c>
      <c r="J24" s="1">
        <v>8.5</v>
      </c>
      <c r="K24" s="1">
        <v>298</v>
      </c>
      <c r="L24" s="1" t="s">
        <v>8</v>
      </c>
      <c r="M24" s="1">
        <v>25</v>
      </c>
      <c r="N24" s="1">
        <f t="shared" si="3"/>
        <v>57.352631578947374</v>
      </c>
    </row>
    <row r="25" spans="1:14" ht="34.5" customHeight="1" x14ac:dyDescent="0.3">
      <c r="A25" s="1">
        <v>7.8</v>
      </c>
      <c r="B25" s="1">
        <v>31.4</v>
      </c>
      <c r="G25" s="1">
        <v>121</v>
      </c>
      <c r="H25" s="1">
        <v>0.39</v>
      </c>
      <c r="J25" s="1">
        <v>8.5</v>
      </c>
      <c r="K25" s="1">
        <v>298</v>
      </c>
      <c r="L25" s="1" t="s">
        <v>8</v>
      </c>
      <c r="M25" s="1">
        <v>30</v>
      </c>
      <c r="N25" s="1">
        <f t="shared" si="3"/>
        <v>58.376785714285717</v>
      </c>
    </row>
    <row r="26" spans="1:14" ht="34.5" customHeight="1" x14ac:dyDescent="0.3">
      <c r="A26" s="1">
        <v>13.1</v>
      </c>
      <c r="B26" s="1">
        <v>26.5</v>
      </c>
      <c r="G26" s="1">
        <v>99.3</v>
      </c>
      <c r="H26" s="1">
        <v>0.31</v>
      </c>
      <c r="J26" s="1">
        <v>4</v>
      </c>
      <c r="K26" s="1">
        <v>298</v>
      </c>
      <c r="L26" s="1" t="s">
        <v>8</v>
      </c>
      <c r="M26" s="1">
        <v>5</v>
      </c>
      <c r="N26" s="1">
        <f t="shared" ref="N26:N31" si="4">(128*0.129*M26)/(1+0.129*M26)</f>
        <v>50.18844984802432</v>
      </c>
    </row>
    <row r="27" spans="1:14" ht="34.5" customHeight="1" x14ac:dyDescent="0.3">
      <c r="A27" s="1">
        <v>13.1</v>
      </c>
      <c r="B27" s="1">
        <v>26.5</v>
      </c>
      <c r="G27" s="1">
        <v>99.3</v>
      </c>
      <c r="H27" s="1">
        <v>0.31</v>
      </c>
      <c r="J27" s="1">
        <v>4</v>
      </c>
      <c r="K27" s="1">
        <v>298</v>
      </c>
      <c r="L27" s="1" t="s">
        <v>8</v>
      </c>
      <c r="M27" s="1">
        <v>10</v>
      </c>
      <c r="N27" s="1">
        <f t="shared" si="4"/>
        <v>72.104803493449779</v>
      </c>
    </row>
    <row r="28" spans="1:14" ht="34.5" customHeight="1" x14ac:dyDescent="0.3">
      <c r="A28" s="1">
        <v>13.1</v>
      </c>
      <c r="B28" s="1">
        <v>26.5</v>
      </c>
      <c r="G28" s="1">
        <v>99.3</v>
      </c>
      <c r="H28" s="1">
        <v>0.31</v>
      </c>
      <c r="J28" s="1">
        <v>4</v>
      </c>
      <c r="K28" s="1">
        <v>298</v>
      </c>
      <c r="L28" s="1" t="s">
        <v>8</v>
      </c>
      <c r="M28" s="1">
        <v>15</v>
      </c>
      <c r="N28" s="1">
        <f t="shared" si="4"/>
        <v>84.388415672913112</v>
      </c>
    </row>
    <row r="29" spans="1:14" ht="34.5" customHeight="1" x14ac:dyDescent="0.3">
      <c r="A29" s="1">
        <v>13.1</v>
      </c>
      <c r="B29" s="1">
        <v>26.5</v>
      </c>
      <c r="G29" s="1">
        <v>99.3</v>
      </c>
      <c r="H29" s="1">
        <v>0.31</v>
      </c>
      <c r="J29" s="1">
        <v>4</v>
      </c>
      <c r="K29" s="1">
        <v>298</v>
      </c>
      <c r="L29" s="1" t="s">
        <v>8</v>
      </c>
      <c r="M29" s="1">
        <v>20</v>
      </c>
      <c r="N29" s="1">
        <f t="shared" si="4"/>
        <v>92.245810055865917</v>
      </c>
    </row>
    <row r="30" spans="1:14" ht="34.5" customHeight="1" x14ac:dyDescent="0.3">
      <c r="A30" s="1">
        <v>13.1</v>
      </c>
      <c r="B30" s="1">
        <v>26.5</v>
      </c>
      <c r="G30" s="1">
        <v>99.3</v>
      </c>
      <c r="H30" s="1">
        <v>0.31</v>
      </c>
      <c r="J30" s="1">
        <v>4</v>
      </c>
      <c r="K30" s="1">
        <v>298</v>
      </c>
      <c r="L30" s="1" t="s">
        <v>8</v>
      </c>
      <c r="M30" s="1">
        <v>25</v>
      </c>
      <c r="N30" s="1">
        <f t="shared" si="4"/>
        <v>97.704142011834335</v>
      </c>
    </row>
    <row r="31" spans="1:14" ht="34.5" customHeight="1" x14ac:dyDescent="0.3">
      <c r="A31" s="1">
        <v>13.1</v>
      </c>
      <c r="B31" s="1">
        <v>26.5</v>
      </c>
      <c r="G31" s="1">
        <v>99.3</v>
      </c>
      <c r="H31" s="1">
        <v>0.31</v>
      </c>
      <c r="J31" s="1">
        <v>4</v>
      </c>
      <c r="K31" s="1">
        <v>298</v>
      </c>
      <c r="L31" s="1" t="s">
        <v>8</v>
      </c>
      <c r="M31" s="1">
        <v>30</v>
      </c>
      <c r="N31" s="1">
        <f t="shared" si="4"/>
        <v>101.71663244353182</v>
      </c>
    </row>
    <row r="32" spans="1:14" ht="34.5" customHeight="1" x14ac:dyDescent="0.3">
      <c r="A32" s="1">
        <v>13.1</v>
      </c>
      <c r="B32" s="1">
        <v>26.5</v>
      </c>
      <c r="G32" s="1">
        <v>99.3</v>
      </c>
      <c r="H32" s="1">
        <v>0.31</v>
      </c>
      <c r="J32" s="1">
        <v>8.5</v>
      </c>
      <c r="K32" s="1">
        <v>298</v>
      </c>
      <c r="L32" s="1" t="s">
        <v>8</v>
      </c>
      <c r="M32" s="1">
        <v>5</v>
      </c>
      <c r="N32" s="1">
        <f t="shared" ref="N32:N37" si="5">(70.4*0.631*M32)/(1+0.631*M32)</f>
        <v>53.456558363417571</v>
      </c>
    </row>
    <row r="33" spans="1:14" ht="34.5" customHeight="1" x14ac:dyDescent="0.3">
      <c r="A33" s="1">
        <v>13.1</v>
      </c>
      <c r="B33" s="1">
        <v>26.5</v>
      </c>
      <c r="G33" s="1">
        <v>99.3</v>
      </c>
      <c r="H33" s="1">
        <v>0.31</v>
      </c>
      <c r="J33" s="1">
        <v>8.5</v>
      </c>
      <c r="K33" s="1">
        <v>298</v>
      </c>
      <c r="L33" s="1" t="s">
        <v>8</v>
      </c>
      <c r="M33" s="1">
        <v>10</v>
      </c>
      <c r="N33" s="1">
        <f t="shared" si="5"/>
        <v>60.769357045143643</v>
      </c>
    </row>
    <row r="34" spans="1:14" ht="34.5" customHeight="1" x14ac:dyDescent="0.3">
      <c r="A34" s="1">
        <v>13.1</v>
      </c>
      <c r="B34" s="1">
        <v>26.5</v>
      </c>
      <c r="G34" s="1">
        <v>99.3</v>
      </c>
      <c r="H34" s="1">
        <v>0.31</v>
      </c>
      <c r="J34" s="1">
        <v>8.5</v>
      </c>
      <c r="K34" s="1">
        <v>298</v>
      </c>
      <c r="L34" s="1" t="s">
        <v>8</v>
      </c>
      <c r="M34" s="1">
        <v>15</v>
      </c>
      <c r="N34" s="1">
        <f t="shared" si="5"/>
        <v>63.672814142379359</v>
      </c>
    </row>
    <row r="35" spans="1:14" ht="34.5" customHeight="1" x14ac:dyDescent="0.3">
      <c r="A35" s="1">
        <v>13.1</v>
      </c>
      <c r="B35" s="1">
        <v>26.5</v>
      </c>
      <c r="G35" s="1">
        <v>99.3</v>
      </c>
      <c r="H35" s="1">
        <v>0.31</v>
      </c>
      <c r="J35" s="1">
        <v>8.5</v>
      </c>
      <c r="K35" s="1">
        <v>298</v>
      </c>
      <c r="L35" s="1" t="s">
        <v>8</v>
      </c>
      <c r="M35" s="1">
        <v>20</v>
      </c>
      <c r="N35" s="1">
        <f t="shared" si="5"/>
        <v>65.231130690161535</v>
      </c>
    </row>
    <row r="36" spans="1:14" ht="34.5" customHeight="1" x14ac:dyDescent="0.3">
      <c r="A36" s="1">
        <v>13.1</v>
      </c>
      <c r="B36" s="1">
        <v>26.5</v>
      </c>
      <c r="G36" s="1">
        <v>99.3</v>
      </c>
      <c r="H36" s="1">
        <v>0.31</v>
      </c>
      <c r="J36" s="1">
        <v>8.5</v>
      </c>
      <c r="K36" s="1">
        <v>298</v>
      </c>
      <c r="L36" s="1" t="s">
        <v>8</v>
      </c>
      <c r="M36" s="1">
        <v>25</v>
      </c>
      <c r="N36" s="1">
        <f t="shared" si="5"/>
        <v>66.203278688524605</v>
      </c>
    </row>
    <row r="37" spans="1:14" ht="34.5" customHeight="1" x14ac:dyDescent="0.3">
      <c r="A37" s="1">
        <v>13.1</v>
      </c>
      <c r="B37" s="1">
        <v>26.5</v>
      </c>
      <c r="G37" s="1">
        <v>99.3</v>
      </c>
      <c r="H37" s="1">
        <v>0.31</v>
      </c>
      <c r="J37" s="1">
        <v>8.5</v>
      </c>
      <c r="K37" s="1">
        <v>298</v>
      </c>
      <c r="L37" s="1" t="s">
        <v>8</v>
      </c>
      <c r="M37" s="1">
        <v>30</v>
      </c>
      <c r="N37" s="1">
        <f t="shared" si="5"/>
        <v>66.867636728549925</v>
      </c>
    </row>
    <row r="38" spans="1:14" ht="34.5" customHeight="1" x14ac:dyDescent="0.3">
      <c r="A38" s="1">
        <v>25.63</v>
      </c>
      <c r="C38" s="1">
        <v>14.45</v>
      </c>
      <c r="G38" s="1">
        <v>71.31</v>
      </c>
      <c r="H38" s="1">
        <v>7.61</v>
      </c>
      <c r="I38" s="1">
        <v>0.26100000000000001</v>
      </c>
      <c r="J38" s="1">
        <v>7</v>
      </c>
      <c r="K38" s="1">
        <v>296</v>
      </c>
      <c r="M38" s="1">
        <v>30</v>
      </c>
      <c r="N38" s="1">
        <f t="shared" ref="N38:N43" si="6">(M38*0.047*253.83)/(1+0.047*M38)</f>
        <v>148.50634854771783</v>
      </c>
    </row>
    <row r="39" spans="1:14" ht="34.5" customHeight="1" x14ac:dyDescent="0.3">
      <c r="A39" s="1">
        <v>25.63</v>
      </c>
      <c r="C39" s="1">
        <v>14.45</v>
      </c>
      <c r="G39" s="1">
        <v>71.31</v>
      </c>
      <c r="H39" s="1">
        <v>7.61</v>
      </c>
      <c r="I39" s="1">
        <v>0.26100000000000001</v>
      </c>
      <c r="J39" s="1">
        <v>7</v>
      </c>
      <c r="K39" s="1">
        <v>296</v>
      </c>
      <c r="M39" s="1">
        <v>60</v>
      </c>
      <c r="N39" s="1">
        <f t="shared" si="6"/>
        <v>187.38235602094244</v>
      </c>
    </row>
    <row r="40" spans="1:14" ht="34.5" customHeight="1" x14ac:dyDescent="0.3">
      <c r="A40" s="1">
        <v>25.63</v>
      </c>
      <c r="C40" s="1">
        <v>14.45</v>
      </c>
      <c r="G40" s="1">
        <v>71.31</v>
      </c>
      <c r="H40" s="1">
        <v>7.61</v>
      </c>
      <c r="I40" s="1">
        <v>0.26100000000000001</v>
      </c>
      <c r="J40" s="1">
        <v>7</v>
      </c>
      <c r="K40" s="1">
        <v>296</v>
      </c>
      <c r="M40" s="1">
        <v>90</v>
      </c>
      <c r="N40" s="1">
        <f t="shared" si="6"/>
        <v>205.29653919694076</v>
      </c>
    </row>
    <row r="41" spans="1:14" ht="34.5" customHeight="1" x14ac:dyDescent="0.3">
      <c r="A41" s="1">
        <v>25.63</v>
      </c>
      <c r="C41" s="1">
        <v>14.45</v>
      </c>
      <c r="G41" s="1">
        <v>71.31</v>
      </c>
      <c r="H41" s="1">
        <v>7.61</v>
      </c>
      <c r="I41" s="1">
        <v>0.26100000000000001</v>
      </c>
      <c r="J41" s="1">
        <v>7</v>
      </c>
      <c r="K41" s="1">
        <v>296</v>
      </c>
      <c r="M41" s="1">
        <v>120</v>
      </c>
      <c r="N41" s="1">
        <f t="shared" si="6"/>
        <v>215.60259036144581</v>
      </c>
    </row>
    <row r="42" spans="1:14" ht="34.5" customHeight="1" x14ac:dyDescent="0.3">
      <c r="A42" s="1">
        <v>25.63</v>
      </c>
      <c r="C42" s="1">
        <v>14.45</v>
      </c>
      <c r="G42" s="1">
        <v>71.31</v>
      </c>
      <c r="H42" s="1">
        <v>7.61</v>
      </c>
      <c r="I42" s="1">
        <v>0.26100000000000001</v>
      </c>
      <c r="J42" s="1">
        <v>7</v>
      </c>
      <c r="K42" s="1">
        <v>296</v>
      </c>
      <c r="M42" s="1">
        <v>150</v>
      </c>
      <c r="N42" s="1">
        <f t="shared" si="6"/>
        <v>222.29832298136645</v>
      </c>
    </row>
    <row r="43" spans="1:14" ht="34.5" customHeight="1" x14ac:dyDescent="0.3">
      <c r="A43" s="1">
        <v>25.63</v>
      </c>
      <c r="C43" s="1">
        <v>14.45</v>
      </c>
      <c r="G43" s="1">
        <v>71.31</v>
      </c>
      <c r="H43" s="1">
        <v>7.61</v>
      </c>
      <c r="I43" s="1">
        <v>0.26100000000000001</v>
      </c>
      <c r="J43" s="1">
        <v>7</v>
      </c>
      <c r="K43" s="1">
        <v>296</v>
      </c>
      <c r="M43" s="1">
        <v>180</v>
      </c>
      <c r="N43" s="1">
        <f t="shared" si="6"/>
        <v>226.99807610993662</v>
      </c>
    </row>
    <row r="44" spans="1:14" ht="34.5" customHeight="1" x14ac:dyDescent="0.3">
      <c r="G44" s="1">
        <v>4.76</v>
      </c>
      <c r="H44" s="1">
        <v>3.2000000000000001E-2</v>
      </c>
      <c r="I44" s="1">
        <v>4.7140000000000004</v>
      </c>
      <c r="J44" s="1">
        <v>3</v>
      </c>
      <c r="K44" s="1" t="s">
        <v>9</v>
      </c>
      <c r="M44" s="1">
        <v>25</v>
      </c>
      <c r="N44" s="1">
        <f t="shared" ref="N44:N49" si="7">(195.3*0.1643*M44)/(1+0.1643*M44)</f>
        <v>157.06211453744496</v>
      </c>
    </row>
    <row r="45" spans="1:14" ht="34.5" customHeight="1" x14ac:dyDescent="0.3">
      <c r="G45" s="1">
        <v>4.76</v>
      </c>
      <c r="H45" s="1">
        <v>3.2000000000000001E-2</v>
      </c>
      <c r="I45" s="1">
        <v>4.7140000000000004</v>
      </c>
      <c r="J45" s="1">
        <v>3</v>
      </c>
      <c r="K45" s="1" t="s">
        <v>9</v>
      </c>
      <c r="M45" s="1">
        <v>50</v>
      </c>
      <c r="N45" s="1">
        <f t="shared" si="7"/>
        <v>174.10629408572981</v>
      </c>
    </row>
    <row r="46" spans="1:14" ht="34.5" customHeight="1" x14ac:dyDescent="0.3">
      <c r="G46" s="1">
        <v>4.76</v>
      </c>
      <c r="H46" s="1">
        <v>3.2000000000000001E-2</v>
      </c>
      <c r="I46" s="1">
        <v>4.7140000000000004</v>
      </c>
      <c r="J46" s="1">
        <v>3</v>
      </c>
      <c r="K46" s="1" t="s">
        <v>9</v>
      </c>
      <c r="M46" s="1">
        <v>100</v>
      </c>
      <c r="N46" s="1">
        <f t="shared" si="7"/>
        <v>184.0951807228916</v>
      </c>
    </row>
    <row r="47" spans="1:14" ht="34.5" customHeight="1" x14ac:dyDescent="0.3">
      <c r="G47" s="1">
        <v>4.76</v>
      </c>
      <c r="H47" s="1">
        <v>3.2000000000000001E-2</v>
      </c>
      <c r="I47" s="1">
        <v>4.7140000000000004</v>
      </c>
      <c r="J47" s="1">
        <v>3</v>
      </c>
      <c r="K47" s="1" t="s">
        <v>9</v>
      </c>
      <c r="M47" s="1">
        <v>200</v>
      </c>
      <c r="N47" s="1">
        <f t="shared" si="7"/>
        <v>189.53213230950976</v>
      </c>
    </row>
    <row r="48" spans="1:14" ht="34.5" customHeight="1" x14ac:dyDescent="0.3">
      <c r="G48" s="1">
        <v>4.76</v>
      </c>
      <c r="H48" s="1">
        <v>3.2000000000000001E-2</v>
      </c>
      <c r="I48" s="1">
        <v>4.7140000000000004</v>
      </c>
      <c r="J48" s="1">
        <v>3</v>
      </c>
      <c r="K48" s="1" t="s">
        <v>9</v>
      </c>
      <c r="M48" s="1">
        <v>300</v>
      </c>
      <c r="N48" s="1">
        <f t="shared" si="7"/>
        <v>191.41652415987278</v>
      </c>
    </row>
    <row r="49" spans="1:14" ht="34.5" customHeight="1" x14ac:dyDescent="0.3">
      <c r="G49" s="1">
        <v>4.76</v>
      </c>
      <c r="H49" s="1">
        <v>3.2000000000000001E-2</v>
      </c>
      <c r="I49" s="1">
        <v>4.7140000000000004</v>
      </c>
      <c r="J49" s="1">
        <v>3</v>
      </c>
      <c r="K49" s="1" t="s">
        <v>9</v>
      </c>
      <c r="M49" s="1">
        <v>400</v>
      </c>
      <c r="N49" s="1">
        <f t="shared" si="7"/>
        <v>192.37284172661873</v>
      </c>
    </row>
    <row r="50" spans="1:14" ht="34.5" customHeight="1" x14ac:dyDescent="0.3">
      <c r="G50" s="1">
        <v>1.69</v>
      </c>
      <c r="H50" s="1">
        <v>1.7999999999999999E-2</v>
      </c>
      <c r="I50" s="1">
        <v>4.5439999999999996</v>
      </c>
      <c r="J50" s="1">
        <v>3</v>
      </c>
      <c r="K50" s="1" t="s">
        <v>9</v>
      </c>
      <c r="M50" s="1">
        <v>25</v>
      </c>
      <c r="N50" s="1">
        <f t="shared" ref="N50:N55" si="8">(82.5*0.0099*M50)/(1+0.0099*M50)</f>
        <v>16.367735470941884</v>
      </c>
    </row>
    <row r="51" spans="1:14" ht="34.5" customHeight="1" x14ac:dyDescent="0.3">
      <c r="G51" s="1">
        <v>1.69</v>
      </c>
      <c r="H51" s="1">
        <v>1.7999999999999999E-2</v>
      </c>
      <c r="I51" s="1">
        <v>4.5439999999999996</v>
      </c>
      <c r="J51" s="1">
        <v>3</v>
      </c>
      <c r="K51" s="1" t="s">
        <v>9</v>
      </c>
      <c r="M51" s="1">
        <v>50</v>
      </c>
      <c r="N51" s="1">
        <f t="shared" si="8"/>
        <v>27.316053511705686</v>
      </c>
    </row>
    <row r="52" spans="1:14" ht="34.5" customHeight="1" x14ac:dyDescent="0.3">
      <c r="G52" s="1">
        <v>1.69</v>
      </c>
      <c r="H52" s="1">
        <v>1.7999999999999999E-2</v>
      </c>
      <c r="I52" s="1">
        <v>4.5439999999999996</v>
      </c>
      <c r="J52" s="1">
        <v>3</v>
      </c>
      <c r="K52" s="1" t="s">
        <v>9</v>
      </c>
      <c r="M52" s="1">
        <v>100</v>
      </c>
      <c r="N52" s="1">
        <f t="shared" si="8"/>
        <v>41.042713567839201</v>
      </c>
    </row>
    <row r="53" spans="1:14" ht="34.5" customHeight="1" x14ac:dyDescent="0.3">
      <c r="G53" s="1">
        <v>1.69</v>
      </c>
      <c r="H53" s="1">
        <v>1.7999999999999999E-2</v>
      </c>
      <c r="I53" s="1">
        <v>4.5439999999999996</v>
      </c>
      <c r="J53" s="1">
        <v>3</v>
      </c>
      <c r="K53" s="1" t="s">
        <v>9</v>
      </c>
      <c r="M53" s="1">
        <v>200</v>
      </c>
      <c r="N53" s="1">
        <f t="shared" si="8"/>
        <v>54.81543624161074</v>
      </c>
    </row>
    <row r="54" spans="1:14" ht="34.5" customHeight="1" x14ac:dyDescent="0.3">
      <c r="G54" s="1">
        <v>1.69</v>
      </c>
      <c r="H54" s="1">
        <v>1.7999999999999999E-2</v>
      </c>
      <c r="I54" s="1">
        <v>4.5439999999999996</v>
      </c>
      <c r="J54" s="1">
        <v>3</v>
      </c>
      <c r="K54" s="1" t="s">
        <v>9</v>
      </c>
      <c r="M54" s="1">
        <v>300</v>
      </c>
      <c r="N54" s="1">
        <f t="shared" si="8"/>
        <v>61.719143576826205</v>
      </c>
    </row>
    <row r="55" spans="1:14" ht="34.5" customHeight="1" x14ac:dyDescent="0.3">
      <c r="G55" s="1">
        <v>1.69</v>
      </c>
      <c r="H55" s="1">
        <v>1.7999999999999999E-2</v>
      </c>
      <c r="I55" s="1">
        <v>4.5439999999999996</v>
      </c>
      <c r="J55" s="1">
        <v>3</v>
      </c>
      <c r="K55" s="1" t="s">
        <v>9</v>
      </c>
      <c r="M55" s="1">
        <v>400</v>
      </c>
      <c r="N55" s="1">
        <f t="shared" si="8"/>
        <v>65.866935483870961</v>
      </c>
    </row>
    <row r="56" spans="1:14" ht="34.5" customHeight="1" x14ac:dyDescent="0.3">
      <c r="A56" s="1">
        <v>36.86</v>
      </c>
      <c r="G56" s="1">
        <v>50.6</v>
      </c>
      <c r="H56" s="1">
        <v>0.23599999999999999</v>
      </c>
      <c r="I56" s="1">
        <v>16.86</v>
      </c>
      <c r="J56" s="1">
        <v>7</v>
      </c>
      <c r="K56" s="1">
        <v>298</v>
      </c>
      <c r="M56" s="1">
        <v>10</v>
      </c>
      <c r="N56" s="1">
        <f t="shared" ref="N56:N61" si="9">(75.08*5.263*M56)/(1+5.263*M56)</f>
        <v>73.680037292560144</v>
      </c>
    </row>
    <row r="57" spans="1:14" ht="34.5" customHeight="1" x14ac:dyDescent="0.3">
      <c r="A57" s="1">
        <v>36.86</v>
      </c>
      <c r="G57" s="1">
        <v>50.6</v>
      </c>
      <c r="H57" s="1">
        <v>0.23599999999999999</v>
      </c>
      <c r="I57" s="1">
        <v>16.86</v>
      </c>
      <c r="J57" s="1">
        <v>7</v>
      </c>
      <c r="K57" s="1">
        <v>298</v>
      </c>
      <c r="M57" s="1">
        <v>25</v>
      </c>
      <c r="N57" s="1">
        <f t="shared" si="9"/>
        <v>74.513679049594572</v>
      </c>
    </row>
    <row r="58" spans="1:14" ht="34.5" customHeight="1" x14ac:dyDescent="0.3">
      <c r="A58" s="1">
        <v>36.86</v>
      </c>
      <c r="G58" s="1">
        <v>50.6</v>
      </c>
      <c r="H58" s="1">
        <v>0.23599999999999999</v>
      </c>
      <c r="I58" s="1">
        <v>16.86</v>
      </c>
      <c r="J58" s="1">
        <v>7</v>
      </c>
      <c r="K58" s="1">
        <v>298</v>
      </c>
      <c r="M58" s="1">
        <v>50</v>
      </c>
      <c r="N58" s="1">
        <f t="shared" si="9"/>
        <v>74.795767556312711</v>
      </c>
    </row>
    <row r="59" spans="1:14" ht="34.5" customHeight="1" x14ac:dyDescent="0.3">
      <c r="A59" s="1">
        <v>36.86</v>
      </c>
      <c r="G59" s="1">
        <v>50.6</v>
      </c>
      <c r="H59" s="1">
        <v>0.23599999999999999</v>
      </c>
      <c r="I59" s="1">
        <v>16.86</v>
      </c>
      <c r="J59" s="1">
        <v>7</v>
      </c>
      <c r="K59" s="1">
        <v>298</v>
      </c>
      <c r="M59" s="1">
        <v>100</v>
      </c>
      <c r="N59" s="1">
        <f t="shared" si="9"/>
        <v>74.937614261331319</v>
      </c>
    </row>
    <row r="60" spans="1:14" ht="34.5" customHeight="1" x14ac:dyDescent="0.3">
      <c r="A60" s="1">
        <v>36.86</v>
      </c>
      <c r="G60" s="1">
        <v>50.6</v>
      </c>
      <c r="H60" s="1">
        <v>0.23599999999999999</v>
      </c>
      <c r="I60" s="1">
        <v>16.86</v>
      </c>
      <c r="J60" s="1">
        <v>7</v>
      </c>
      <c r="K60" s="1">
        <v>298</v>
      </c>
      <c r="M60" s="1">
        <v>150</v>
      </c>
      <c r="N60" s="1">
        <f t="shared" si="9"/>
        <v>74.9850161300525</v>
      </c>
    </row>
    <row r="61" spans="1:14" ht="34.5" customHeight="1" x14ac:dyDescent="0.3">
      <c r="A61" s="1">
        <v>36.86</v>
      </c>
      <c r="G61" s="1">
        <v>50.6</v>
      </c>
      <c r="H61" s="1">
        <v>0.23599999999999999</v>
      </c>
      <c r="I61" s="1">
        <v>16.86</v>
      </c>
      <c r="J61" s="1">
        <v>7</v>
      </c>
      <c r="K61" s="1">
        <v>298</v>
      </c>
      <c r="M61" s="1">
        <v>200</v>
      </c>
      <c r="N61" s="1">
        <f t="shared" si="9"/>
        <v>75.008739559605175</v>
      </c>
    </row>
    <row r="62" spans="1:14" ht="34.5" customHeight="1" x14ac:dyDescent="0.3">
      <c r="G62" s="1">
        <v>46.19</v>
      </c>
      <c r="H62" s="1">
        <v>7.0000000000000007E-2</v>
      </c>
      <c r="I62" s="1">
        <v>5.86</v>
      </c>
      <c r="J62" s="1">
        <v>5.4</v>
      </c>
      <c r="K62" s="1">
        <v>296</v>
      </c>
      <c r="M62" s="1">
        <v>50</v>
      </c>
      <c r="N62" s="1">
        <f t="shared" ref="N62:N67" si="10">(M62*93.91*0.18)/(1+0.18*M62)</f>
        <v>84.518999999999991</v>
      </c>
    </row>
    <row r="63" spans="1:14" ht="34.5" customHeight="1" x14ac:dyDescent="0.3">
      <c r="G63" s="1">
        <v>46.19</v>
      </c>
      <c r="H63" s="1">
        <v>7.0000000000000007E-2</v>
      </c>
      <c r="I63" s="1">
        <v>5.86</v>
      </c>
      <c r="J63" s="1">
        <v>5.4</v>
      </c>
      <c r="K63" s="1">
        <v>296</v>
      </c>
      <c r="M63" s="1">
        <v>100</v>
      </c>
      <c r="N63" s="1">
        <f t="shared" si="10"/>
        <v>88.967368421052626</v>
      </c>
    </row>
    <row r="64" spans="1:14" ht="34.5" customHeight="1" x14ac:dyDescent="0.3">
      <c r="G64" s="1">
        <v>46.19</v>
      </c>
      <c r="H64" s="1">
        <v>7.0000000000000007E-2</v>
      </c>
      <c r="I64" s="1">
        <v>5.86</v>
      </c>
      <c r="J64" s="1">
        <v>5.4</v>
      </c>
      <c r="K64" s="1">
        <v>296</v>
      </c>
      <c r="M64" s="1">
        <v>150</v>
      </c>
      <c r="N64" s="1">
        <f t="shared" si="10"/>
        <v>90.556071428571414</v>
      </c>
    </row>
    <row r="65" spans="1:14" ht="34.5" customHeight="1" x14ac:dyDescent="0.3">
      <c r="G65" s="1">
        <v>46.19</v>
      </c>
      <c r="H65" s="1">
        <v>7.0000000000000007E-2</v>
      </c>
      <c r="I65" s="1">
        <v>5.86</v>
      </c>
      <c r="J65" s="1">
        <v>5.4</v>
      </c>
      <c r="K65" s="1">
        <v>296</v>
      </c>
      <c r="M65" s="1">
        <v>200</v>
      </c>
      <c r="N65" s="1">
        <f t="shared" si="10"/>
        <v>91.371891891891892</v>
      </c>
    </row>
    <row r="66" spans="1:14" ht="34.5" customHeight="1" x14ac:dyDescent="0.3">
      <c r="G66" s="1">
        <v>46.19</v>
      </c>
      <c r="H66" s="1">
        <v>7.0000000000000007E-2</v>
      </c>
      <c r="I66" s="1">
        <v>5.86</v>
      </c>
      <c r="J66" s="1">
        <v>5.4</v>
      </c>
      <c r="K66" s="1">
        <v>296</v>
      </c>
      <c r="M66" s="1">
        <v>250</v>
      </c>
      <c r="N66" s="1">
        <f t="shared" si="10"/>
        <v>91.868478260869566</v>
      </c>
    </row>
    <row r="67" spans="1:14" ht="34.5" customHeight="1" x14ac:dyDescent="0.3">
      <c r="G67" s="1">
        <v>46.19</v>
      </c>
      <c r="H67" s="1">
        <v>7.0000000000000007E-2</v>
      </c>
      <c r="I67" s="1">
        <v>5.86</v>
      </c>
      <c r="J67" s="1">
        <v>5.4</v>
      </c>
      <c r="K67" s="1">
        <v>296</v>
      </c>
      <c r="M67" s="1">
        <v>300</v>
      </c>
      <c r="N67" s="1">
        <f t="shared" si="10"/>
        <v>92.202545454545444</v>
      </c>
    </row>
    <row r="68" spans="1:14" ht="34.5" customHeight="1" x14ac:dyDescent="0.3">
      <c r="E68" s="1">
        <v>17.149999999999999</v>
      </c>
      <c r="G68" s="1">
        <v>5.09</v>
      </c>
      <c r="H68" s="1">
        <v>0.04</v>
      </c>
      <c r="I68" s="1">
        <v>25.59</v>
      </c>
      <c r="J68" s="1">
        <v>10</v>
      </c>
      <c r="K68" s="1">
        <v>298</v>
      </c>
      <c r="M68" s="1">
        <v>10</v>
      </c>
      <c r="N68" s="1">
        <f t="shared" ref="N68:N73" si="11">(78.11*1.02*M68)/(1+1.02*M68)</f>
        <v>71.135892857142863</v>
      </c>
    </row>
    <row r="69" spans="1:14" ht="34.5" customHeight="1" x14ac:dyDescent="0.3">
      <c r="E69" s="1">
        <v>17.149999999999999</v>
      </c>
      <c r="G69" s="1">
        <v>5.09</v>
      </c>
      <c r="H69" s="1">
        <v>0.04</v>
      </c>
      <c r="I69" s="1">
        <v>25.59</v>
      </c>
      <c r="J69" s="1">
        <v>10</v>
      </c>
      <c r="K69" s="1">
        <v>298</v>
      </c>
      <c r="M69" s="1">
        <v>25</v>
      </c>
      <c r="N69" s="1">
        <f t="shared" si="11"/>
        <v>75.162452830188684</v>
      </c>
    </row>
    <row r="70" spans="1:14" ht="34.5" customHeight="1" x14ac:dyDescent="0.3">
      <c r="E70" s="1">
        <v>17.149999999999999</v>
      </c>
      <c r="G70" s="1">
        <v>5.09</v>
      </c>
      <c r="H70" s="1">
        <v>0.04</v>
      </c>
      <c r="I70" s="1">
        <v>25.59</v>
      </c>
      <c r="J70" s="1">
        <v>10</v>
      </c>
      <c r="K70" s="1">
        <v>298</v>
      </c>
      <c r="M70" s="1">
        <v>50</v>
      </c>
      <c r="N70" s="1">
        <f t="shared" si="11"/>
        <v>76.60788461538462</v>
      </c>
    </row>
    <row r="71" spans="1:14" ht="34.5" customHeight="1" x14ac:dyDescent="0.3">
      <c r="E71" s="1">
        <v>17.149999999999999</v>
      </c>
      <c r="G71" s="1">
        <v>5.09</v>
      </c>
      <c r="H71" s="1">
        <v>0.04</v>
      </c>
      <c r="I71" s="1">
        <v>25.59</v>
      </c>
      <c r="J71" s="1">
        <v>10</v>
      </c>
      <c r="K71" s="1">
        <v>298</v>
      </c>
      <c r="M71" s="1">
        <v>75</v>
      </c>
      <c r="N71" s="1">
        <f t="shared" si="11"/>
        <v>77.102129032258063</v>
      </c>
    </row>
    <row r="72" spans="1:14" ht="34.5" customHeight="1" x14ac:dyDescent="0.3">
      <c r="E72" s="1">
        <v>17.149999999999999</v>
      </c>
      <c r="G72" s="1">
        <v>5.09</v>
      </c>
      <c r="H72" s="1">
        <v>0.04</v>
      </c>
      <c r="I72" s="1">
        <v>25.59</v>
      </c>
      <c r="J72" s="1">
        <v>10</v>
      </c>
      <c r="K72" s="1">
        <v>298</v>
      </c>
      <c r="M72" s="1">
        <v>150</v>
      </c>
      <c r="N72" s="1">
        <f t="shared" si="11"/>
        <v>77.602792207792206</v>
      </c>
    </row>
    <row r="73" spans="1:14" ht="34.5" customHeight="1" x14ac:dyDescent="0.3">
      <c r="E73" s="1">
        <v>17.149999999999999</v>
      </c>
      <c r="G73" s="1">
        <v>5.09</v>
      </c>
      <c r="H73" s="1">
        <v>0.04</v>
      </c>
      <c r="I73" s="1">
        <v>25.59</v>
      </c>
      <c r="J73" s="1">
        <v>10</v>
      </c>
      <c r="K73" s="1">
        <v>298</v>
      </c>
      <c r="M73" s="1">
        <v>200</v>
      </c>
      <c r="N73" s="1">
        <f t="shared" si="11"/>
        <v>77.728975609756105</v>
      </c>
    </row>
    <row r="74" spans="1:14" ht="34.5" customHeight="1" x14ac:dyDescent="0.3">
      <c r="A74" s="1">
        <v>22.5</v>
      </c>
      <c r="C74" s="1">
        <v>5.63</v>
      </c>
      <c r="G74" s="1">
        <v>131.91999999999999</v>
      </c>
      <c r="J74" s="1">
        <v>5</v>
      </c>
      <c r="K74" s="1">
        <v>298</v>
      </c>
      <c r="L74" s="1" t="s">
        <v>10</v>
      </c>
      <c r="M74" s="1">
        <v>5</v>
      </c>
      <c r="N74" s="1">
        <f t="shared" ref="N74:N79" si="12">(88.9*4.35*M74)/(1+4.35*M74)</f>
        <v>84.992307692307691</v>
      </c>
    </row>
    <row r="75" spans="1:14" ht="34.5" customHeight="1" x14ac:dyDescent="0.3">
      <c r="A75" s="1">
        <v>22.5</v>
      </c>
      <c r="C75" s="1">
        <v>5.63</v>
      </c>
      <c r="G75" s="1">
        <v>131.91999999999999</v>
      </c>
      <c r="J75" s="1">
        <v>5</v>
      </c>
      <c r="K75" s="1">
        <v>298</v>
      </c>
      <c r="L75" s="1" t="s">
        <v>10</v>
      </c>
      <c r="M75" s="1">
        <v>10</v>
      </c>
      <c r="N75" s="1">
        <f t="shared" si="12"/>
        <v>86.902247191011227</v>
      </c>
    </row>
    <row r="76" spans="1:14" ht="34.5" customHeight="1" x14ac:dyDescent="0.3">
      <c r="A76" s="1">
        <v>22.5</v>
      </c>
      <c r="C76" s="1">
        <v>5.63</v>
      </c>
      <c r="G76" s="1">
        <v>131.91999999999999</v>
      </c>
      <c r="J76" s="1">
        <v>5</v>
      </c>
      <c r="K76" s="1">
        <v>298</v>
      </c>
      <c r="L76" s="1" t="s">
        <v>10</v>
      </c>
      <c r="M76" s="1">
        <v>20</v>
      </c>
      <c r="N76" s="1">
        <f t="shared" si="12"/>
        <v>87.889772727272714</v>
      </c>
    </row>
    <row r="77" spans="1:14" ht="34.5" customHeight="1" x14ac:dyDescent="0.3">
      <c r="A77" s="1">
        <v>22.5</v>
      </c>
      <c r="C77" s="1">
        <v>5.63</v>
      </c>
      <c r="G77" s="1">
        <v>131.91999999999999</v>
      </c>
      <c r="J77" s="1">
        <v>5</v>
      </c>
      <c r="K77" s="1">
        <v>298</v>
      </c>
      <c r="L77" s="1" t="s">
        <v>10</v>
      </c>
      <c r="M77" s="1">
        <v>50</v>
      </c>
      <c r="N77" s="1">
        <f t="shared" si="12"/>
        <v>88.493135011441666</v>
      </c>
    </row>
    <row r="78" spans="1:14" ht="34.5" customHeight="1" x14ac:dyDescent="0.3">
      <c r="A78" s="1">
        <v>22.5</v>
      </c>
      <c r="C78" s="1">
        <v>5.63</v>
      </c>
      <c r="G78" s="1">
        <v>131.91999999999999</v>
      </c>
      <c r="J78" s="1">
        <v>5</v>
      </c>
      <c r="K78" s="1">
        <v>298</v>
      </c>
      <c r="L78" s="1" t="s">
        <v>10</v>
      </c>
      <c r="M78" s="1">
        <v>100</v>
      </c>
      <c r="N78" s="1">
        <f t="shared" si="12"/>
        <v>88.69610091743121</v>
      </c>
    </row>
    <row r="79" spans="1:14" ht="34.5" customHeight="1" x14ac:dyDescent="0.3">
      <c r="A79" s="1">
        <v>22.5</v>
      </c>
      <c r="C79" s="1">
        <v>5.63</v>
      </c>
      <c r="G79" s="1">
        <v>131.91999999999999</v>
      </c>
      <c r="J79" s="1">
        <v>5</v>
      </c>
      <c r="K79" s="1">
        <v>298</v>
      </c>
      <c r="L79" s="1" t="s">
        <v>10</v>
      </c>
      <c r="M79" s="1">
        <v>200</v>
      </c>
      <c r="N79" s="1">
        <f t="shared" si="12"/>
        <v>88.797933409873721</v>
      </c>
    </row>
    <row r="80" spans="1:14" ht="34.5" customHeight="1" x14ac:dyDescent="0.3">
      <c r="A80" s="1">
        <v>22.5</v>
      </c>
      <c r="C80" s="1">
        <v>5.63</v>
      </c>
      <c r="G80" s="1">
        <v>131.91999999999999</v>
      </c>
      <c r="J80" s="1">
        <v>11</v>
      </c>
      <c r="K80" s="1">
        <v>298</v>
      </c>
      <c r="L80" s="1" t="s">
        <v>10</v>
      </c>
      <c r="M80" s="1">
        <v>5</v>
      </c>
      <c r="N80" s="1">
        <f t="shared" ref="N80:N85" si="13">(42.2*0.14*M80)/(1+0.14*M80)</f>
        <v>17.376470588235296</v>
      </c>
    </row>
    <row r="81" spans="1:14" ht="34.5" customHeight="1" x14ac:dyDescent="0.3">
      <c r="A81" s="1">
        <v>22.5</v>
      </c>
      <c r="C81" s="1">
        <v>5.63</v>
      </c>
      <c r="G81" s="1">
        <v>131.91999999999999</v>
      </c>
      <c r="J81" s="1">
        <v>11</v>
      </c>
      <c r="K81" s="1">
        <v>298</v>
      </c>
      <c r="L81" s="1" t="s">
        <v>10</v>
      </c>
      <c r="M81" s="1">
        <v>10</v>
      </c>
      <c r="N81" s="1">
        <f t="shared" si="13"/>
        <v>24.616666666666667</v>
      </c>
    </row>
    <row r="82" spans="1:14" ht="34.5" customHeight="1" x14ac:dyDescent="0.3">
      <c r="A82" s="1">
        <v>22.5</v>
      </c>
      <c r="C82" s="1">
        <v>5.63</v>
      </c>
      <c r="G82" s="1">
        <v>131.91999999999999</v>
      </c>
      <c r="J82" s="1">
        <v>11</v>
      </c>
      <c r="K82" s="1">
        <v>298</v>
      </c>
      <c r="L82" s="1" t="s">
        <v>10</v>
      </c>
      <c r="M82" s="1">
        <v>20</v>
      </c>
      <c r="N82" s="1">
        <f t="shared" si="13"/>
        <v>31.094736842105267</v>
      </c>
    </row>
    <row r="83" spans="1:14" ht="34.5" customHeight="1" x14ac:dyDescent="0.3">
      <c r="A83" s="1">
        <v>22.5</v>
      </c>
      <c r="C83" s="1">
        <v>5.63</v>
      </c>
      <c r="G83" s="1">
        <v>131.91999999999999</v>
      </c>
      <c r="J83" s="1">
        <v>11</v>
      </c>
      <c r="K83" s="1">
        <v>298</v>
      </c>
      <c r="L83" s="1" t="s">
        <v>10</v>
      </c>
      <c r="M83" s="1">
        <v>50</v>
      </c>
      <c r="N83" s="1">
        <f t="shared" si="13"/>
        <v>36.925000000000011</v>
      </c>
    </row>
    <row r="84" spans="1:14" ht="34.5" customHeight="1" x14ac:dyDescent="0.3">
      <c r="A84" s="1">
        <v>22.5</v>
      </c>
      <c r="C84" s="1">
        <v>5.63</v>
      </c>
      <c r="G84" s="1">
        <v>131.91999999999999</v>
      </c>
      <c r="J84" s="1">
        <v>11</v>
      </c>
      <c r="K84" s="1">
        <v>298</v>
      </c>
      <c r="L84" s="1" t="s">
        <v>10</v>
      </c>
      <c r="M84" s="1">
        <v>100</v>
      </c>
      <c r="N84" s="1">
        <f t="shared" si="13"/>
        <v>39.386666666666677</v>
      </c>
    </row>
    <row r="85" spans="1:14" ht="34.5" customHeight="1" x14ac:dyDescent="0.3">
      <c r="A85" s="1">
        <v>22.5</v>
      </c>
      <c r="C85" s="1">
        <v>5.63</v>
      </c>
      <c r="G85" s="1">
        <v>131.91999999999999</v>
      </c>
      <c r="J85" s="1">
        <v>11</v>
      </c>
      <c r="K85" s="1">
        <v>298</v>
      </c>
      <c r="L85" s="1" t="s">
        <v>10</v>
      </c>
      <c r="M85" s="1">
        <v>200</v>
      </c>
      <c r="N85" s="1">
        <f t="shared" si="13"/>
        <v>40.744827586206902</v>
      </c>
    </row>
    <row r="86" spans="1:14" ht="34.5" customHeight="1" x14ac:dyDescent="0.3">
      <c r="G86" s="1">
        <v>59.9</v>
      </c>
      <c r="H86" s="1">
        <v>0.11</v>
      </c>
      <c r="I86" s="1">
        <v>3.9</v>
      </c>
      <c r="J86" s="1">
        <v>8.5</v>
      </c>
      <c r="K86" s="1">
        <v>298</v>
      </c>
      <c r="L86" s="1" t="s">
        <v>8</v>
      </c>
      <c r="M86" s="1">
        <v>5</v>
      </c>
      <c r="N86" s="1">
        <f t="shared" ref="N86:N91" si="14">(10.753*2.981*M86)/(1+2.981*M86)</f>
        <v>10.076923294561459</v>
      </c>
    </row>
    <row r="87" spans="1:14" ht="34.5" customHeight="1" x14ac:dyDescent="0.3">
      <c r="G87" s="1">
        <v>59.9</v>
      </c>
      <c r="H87" s="1">
        <v>0.11</v>
      </c>
      <c r="I87" s="1">
        <v>3.9</v>
      </c>
      <c r="J87" s="1">
        <v>8.5</v>
      </c>
      <c r="K87" s="1">
        <v>298</v>
      </c>
      <c r="L87" s="1" t="s">
        <v>8</v>
      </c>
      <c r="M87" s="1">
        <v>15</v>
      </c>
      <c r="N87" s="1">
        <f t="shared" si="14"/>
        <v>10.517781800284371</v>
      </c>
    </row>
    <row r="88" spans="1:14" ht="34.5" customHeight="1" x14ac:dyDescent="0.3">
      <c r="G88" s="1">
        <v>59.9</v>
      </c>
      <c r="H88" s="1">
        <v>0.11</v>
      </c>
      <c r="I88" s="1">
        <v>3.9</v>
      </c>
      <c r="J88" s="1">
        <v>8.5</v>
      </c>
      <c r="K88" s="1">
        <v>298</v>
      </c>
      <c r="L88" s="1" t="s">
        <v>8</v>
      </c>
      <c r="M88" s="1">
        <v>25</v>
      </c>
      <c r="N88" s="1">
        <f t="shared" si="14"/>
        <v>10.610623303541875</v>
      </c>
    </row>
    <row r="89" spans="1:14" ht="34.5" customHeight="1" x14ac:dyDescent="0.3">
      <c r="G89" s="1">
        <v>59.9</v>
      </c>
      <c r="H89" s="1">
        <v>0.11</v>
      </c>
      <c r="I89" s="1">
        <v>3.9</v>
      </c>
      <c r="J89" s="1">
        <v>8.5</v>
      </c>
      <c r="K89" s="1">
        <v>298</v>
      </c>
      <c r="L89" s="1" t="s">
        <v>8</v>
      </c>
      <c r="M89" s="1">
        <v>30</v>
      </c>
      <c r="N89" s="1">
        <f t="shared" si="14"/>
        <v>10.634090346124076</v>
      </c>
    </row>
    <row r="90" spans="1:14" ht="34.5" customHeight="1" x14ac:dyDescent="0.3">
      <c r="G90" s="1">
        <v>59.9</v>
      </c>
      <c r="H90" s="1">
        <v>0.11</v>
      </c>
      <c r="I90" s="1">
        <v>3.9</v>
      </c>
      <c r="J90" s="1">
        <v>8.5</v>
      </c>
      <c r="K90" s="1">
        <v>298</v>
      </c>
      <c r="L90" s="1" t="s">
        <v>8</v>
      </c>
      <c r="M90" s="1">
        <v>40</v>
      </c>
      <c r="N90" s="1">
        <f t="shared" si="14"/>
        <v>10.663570525615436</v>
      </c>
    </row>
    <row r="91" spans="1:14" ht="34.5" customHeight="1" x14ac:dyDescent="0.3">
      <c r="G91" s="1">
        <v>59.9</v>
      </c>
      <c r="H91" s="1">
        <v>0.11</v>
      </c>
      <c r="I91" s="1">
        <v>3.9</v>
      </c>
      <c r="J91" s="1">
        <v>8.5</v>
      </c>
      <c r="K91" s="1">
        <v>298</v>
      </c>
      <c r="L91" s="1" t="s">
        <v>8</v>
      </c>
      <c r="M91" s="1">
        <v>50</v>
      </c>
      <c r="N91" s="1">
        <f t="shared" si="14"/>
        <v>10.681337220926359</v>
      </c>
    </row>
    <row r="92" spans="1:14" ht="34.5" customHeight="1" x14ac:dyDescent="0.3">
      <c r="A92" s="1">
        <v>13.1</v>
      </c>
      <c r="B92" s="1">
        <v>26.5</v>
      </c>
      <c r="G92" s="1">
        <v>99.3</v>
      </c>
      <c r="H92" s="1">
        <v>0.31</v>
      </c>
      <c r="J92" s="1">
        <v>8.5</v>
      </c>
      <c r="K92" s="1">
        <v>298</v>
      </c>
      <c r="L92" s="1" t="s">
        <v>8</v>
      </c>
      <c r="M92" s="1">
        <v>10</v>
      </c>
      <c r="N92" s="1">
        <f t="shared" ref="N92:N97" si="15">(68.5*0.591*M92)/(1+0.591*M92)</f>
        <v>58.586830680173655</v>
      </c>
    </row>
    <row r="93" spans="1:14" ht="34.5" customHeight="1" x14ac:dyDescent="0.3">
      <c r="A93" s="1">
        <v>13.1</v>
      </c>
      <c r="B93" s="1">
        <v>26.5</v>
      </c>
      <c r="G93" s="1">
        <v>99.3</v>
      </c>
      <c r="H93" s="1">
        <v>0.31</v>
      </c>
      <c r="J93" s="1">
        <v>8.5</v>
      </c>
      <c r="K93" s="1">
        <v>298</v>
      </c>
      <c r="L93" s="1" t="s">
        <v>8</v>
      </c>
      <c r="M93" s="1">
        <v>25</v>
      </c>
      <c r="N93" s="1">
        <f t="shared" si="15"/>
        <v>64.157686212361341</v>
      </c>
    </row>
    <row r="94" spans="1:14" ht="34.5" customHeight="1" x14ac:dyDescent="0.3">
      <c r="A94" s="1">
        <v>13.1</v>
      </c>
      <c r="B94" s="1">
        <v>26.5</v>
      </c>
      <c r="G94" s="1">
        <v>99.3</v>
      </c>
      <c r="H94" s="1">
        <v>0.31</v>
      </c>
      <c r="J94" s="1">
        <v>8.5</v>
      </c>
      <c r="K94" s="1">
        <v>298</v>
      </c>
      <c r="L94" s="1" t="s">
        <v>8</v>
      </c>
      <c r="M94" s="1">
        <v>40</v>
      </c>
      <c r="N94" s="1">
        <f t="shared" si="15"/>
        <v>65.719967532467521</v>
      </c>
    </row>
    <row r="95" spans="1:14" ht="34.5" customHeight="1" x14ac:dyDescent="0.3">
      <c r="A95" s="1">
        <v>13.1</v>
      </c>
      <c r="B95" s="1">
        <v>26.5</v>
      </c>
      <c r="G95" s="1">
        <v>99.3</v>
      </c>
      <c r="H95" s="1">
        <v>0.31</v>
      </c>
      <c r="J95" s="1">
        <v>8.5</v>
      </c>
      <c r="K95" s="1">
        <v>298</v>
      </c>
      <c r="L95" s="1" t="s">
        <v>8</v>
      </c>
      <c r="M95" s="1">
        <v>55</v>
      </c>
      <c r="N95" s="1">
        <f t="shared" si="15"/>
        <v>66.455529025518587</v>
      </c>
    </row>
    <row r="96" spans="1:14" ht="34.5" customHeight="1" x14ac:dyDescent="0.3">
      <c r="A96" s="1">
        <v>13.1</v>
      </c>
      <c r="B96" s="1">
        <v>26.5</v>
      </c>
      <c r="G96" s="1">
        <v>99.3</v>
      </c>
      <c r="H96" s="1">
        <v>0.31</v>
      </c>
      <c r="J96" s="1">
        <v>8.5</v>
      </c>
      <c r="K96" s="1">
        <v>298</v>
      </c>
      <c r="L96" s="1" t="s">
        <v>8</v>
      </c>
      <c r="M96" s="1">
        <v>70</v>
      </c>
      <c r="N96" s="1">
        <f t="shared" si="15"/>
        <v>66.883290063724331</v>
      </c>
    </row>
    <row r="97" spans="1:14" ht="34.5" customHeight="1" x14ac:dyDescent="0.3">
      <c r="A97" s="1">
        <v>13.1</v>
      </c>
      <c r="B97" s="1">
        <v>26.5</v>
      </c>
      <c r="G97" s="1">
        <v>99.3</v>
      </c>
      <c r="H97" s="1">
        <v>0.31</v>
      </c>
      <c r="J97" s="1">
        <v>8.5</v>
      </c>
      <c r="K97" s="1">
        <v>298</v>
      </c>
      <c r="L97" s="1" t="s">
        <v>8</v>
      </c>
      <c r="M97" s="1">
        <v>90</v>
      </c>
      <c r="N97" s="1">
        <f t="shared" si="15"/>
        <v>67.235929138217386</v>
      </c>
    </row>
    <row r="98" spans="1:14" ht="34.5" customHeight="1" x14ac:dyDescent="0.3">
      <c r="A98" s="1">
        <v>25.31</v>
      </c>
      <c r="B98" s="1">
        <v>2.2200000000000002</v>
      </c>
      <c r="C98" s="1">
        <v>3.31</v>
      </c>
      <c r="E98" s="1">
        <v>19.07</v>
      </c>
      <c r="F98" s="1">
        <v>5.66</v>
      </c>
      <c r="G98" s="1">
        <v>1.252</v>
      </c>
      <c r="I98" s="1">
        <v>14000</v>
      </c>
      <c r="J98" s="1">
        <v>7</v>
      </c>
      <c r="K98" s="1">
        <v>298</v>
      </c>
      <c r="M98" s="1">
        <v>1</v>
      </c>
      <c r="N98" s="1">
        <f t="shared" ref="N98:N103" si="16">(7.07843*0.4123*M98)/(1+0.4123*M98)</f>
        <v>2.0664424619415138</v>
      </c>
    </row>
    <row r="99" spans="1:14" ht="34.5" customHeight="1" x14ac:dyDescent="0.3">
      <c r="A99" s="1">
        <v>25.31</v>
      </c>
      <c r="B99" s="1">
        <v>2.2200000000000002</v>
      </c>
      <c r="C99" s="1">
        <v>3.31</v>
      </c>
      <c r="E99" s="1">
        <v>19.07</v>
      </c>
      <c r="F99" s="1">
        <v>5.66</v>
      </c>
      <c r="G99" s="1">
        <v>1.252</v>
      </c>
      <c r="I99" s="1">
        <v>14000</v>
      </c>
      <c r="J99" s="1">
        <v>7</v>
      </c>
      <c r="K99" s="1">
        <v>298</v>
      </c>
      <c r="M99" s="1">
        <v>2</v>
      </c>
      <c r="N99" s="1">
        <f t="shared" si="16"/>
        <v>3.1989879305053162</v>
      </c>
    </row>
    <row r="100" spans="1:14" ht="34.5" customHeight="1" x14ac:dyDescent="0.3">
      <c r="A100" s="1">
        <v>25.31</v>
      </c>
      <c r="B100" s="1">
        <v>2.2200000000000002</v>
      </c>
      <c r="C100" s="1">
        <v>3.31</v>
      </c>
      <c r="E100" s="1">
        <v>19.07</v>
      </c>
      <c r="F100" s="1">
        <v>5.66</v>
      </c>
      <c r="G100" s="1">
        <v>1.252</v>
      </c>
      <c r="I100" s="1">
        <v>14000</v>
      </c>
      <c r="J100" s="1">
        <v>7</v>
      </c>
      <c r="K100" s="1">
        <v>298</v>
      </c>
      <c r="M100" s="1">
        <v>5</v>
      </c>
      <c r="N100" s="1">
        <f t="shared" si="16"/>
        <v>4.766350953780826</v>
      </c>
    </row>
    <row r="101" spans="1:14" ht="34.5" customHeight="1" x14ac:dyDescent="0.3">
      <c r="A101" s="1">
        <v>25.31</v>
      </c>
      <c r="B101" s="1">
        <v>2.2200000000000002</v>
      </c>
      <c r="C101" s="1">
        <v>3.31</v>
      </c>
      <c r="E101" s="1">
        <v>19.07</v>
      </c>
      <c r="F101" s="1">
        <v>5.66</v>
      </c>
      <c r="G101" s="1">
        <v>1.252</v>
      </c>
      <c r="I101" s="1">
        <v>14000</v>
      </c>
      <c r="J101" s="1">
        <v>7</v>
      </c>
      <c r="K101" s="1">
        <v>298</v>
      </c>
      <c r="M101" s="1">
        <v>10</v>
      </c>
      <c r="N101" s="1">
        <f t="shared" si="16"/>
        <v>5.6967337282842081</v>
      </c>
    </row>
    <row r="102" spans="1:14" ht="34.5" customHeight="1" x14ac:dyDescent="0.3">
      <c r="A102" s="1">
        <v>25.31</v>
      </c>
      <c r="B102" s="1">
        <v>2.2200000000000002</v>
      </c>
      <c r="C102" s="1">
        <v>3.31</v>
      </c>
      <c r="E102" s="1">
        <v>19.07</v>
      </c>
      <c r="F102" s="1">
        <v>5.66</v>
      </c>
      <c r="G102" s="1">
        <v>1.252</v>
      </c>
      <c r="I102" s="1">
        <v>14000</v>
      </c>
      <c r="J102" s="1">
        <v>7</v>
      </c>
      <c r="K102" s="1">
        <v>298</v>
      </c>
      <c r="M102" s="1">
        <v>15</v>
      </c>
      <c r="N102" s="1">
        <f t="shared" si="16"/>
        <v>6.0931937274688561</v>
      </c>
    </row>
    <row r="103" spans="1:14" ht="34.5" customHeight="1" x14ac:dyDescent="0.3">
      <c r="A103" s="1">
        <v>25.31</v>
      </c>
      <c r="B103" s="1">
        <v>2.2200000000000002</v>
      </c>
      <c r="C103" s="1">
        <v>3.31</v>
      </c>
      <c r="E103" s="1">
        <v>19.07</v>
      </c>
      <c r="F103" s="1">
        <v>5.66</v>
      </c>
      <c r="G103" s="1">
        <v>1.252</v>
      </c>
      <c r="I103" s="1">
        <v>14000</v>
      </c>
      <c r="J103" s="1">
        <v>7</v>
      </c>
      <c r="K103" s="1">
        <v>298</v>
      </c>
      <c r="M103" s="1">
        <v>20</v>
      </c>
      <c r="N103" s="1">
        <f t="shared" si="16"/>
        <v>6.312863268440406</v>
      </c>
    </row>
    <row r="104" spans="1:14" ht="34.5" customHeight="1" x14ac:dyDescent="0.3">
      <c r="B104" s="1">
        <v>2.79</v>
      </c>
      <c r="C104" s="1">
        <v>3.59</v>
      </c>
      <c r="E104" s="1">
        <v>29.75</v>
      </c>
      <c r="F104" s="1">
        <v>10.45</v>
      </c>
      <c r="G104" s="1">
        <v>1.1319999999999999</v>
      </c>
      <c r="I104" s="1">
        <v>16900</v>
      </c>
      <c r="J104" s="1">
        <v>7</v>
      </c>
      <c r="K104" s="1">
        <v>298</v>
      </c>
      <c r="M104" s="1">
        <v>1</v>
      </c>
      <c r="N104" s="1">
        <f t="shared" ref="N104:N109" si="17">(1.43268*1.31*M104)/(1+1.31*M104)</f>
        <v>0.81247220779220786</v>
      </c>
    </row>
    <row r="105" spans="1:14" ht="34.5" customHeight="1" x14ac:dyDescent="0.3">
      <c r="B105" s="1">
        <v>2.79</v>
      </c>
      <c r="C105" s="1">
        <v>3.59</v>
      </c>
      <c r="E105" s="1">
        <v>29.75</v>
      </c>
      <c r="F105" s="1">
        <v>10.45</v>
      </c>
      <c r="G105" s="1">
        <v>1.1319999999999999</v>
      </c>
      <c r="I105" s="1">
        <v>16900</v>
      </c>
      <c r="J105" s="1">
        <v>7</v>
      </c>
      <c r="K105" s="1">
        <v>298</v>
      </c>
      <c r="M105" s="1">
        <v>2</v>
      </c>
      <c r="N105" s="1">
        <f t="shared" si="17"/>
        <v>1.036912044198895</v>
      </c>
    </row>
    <row r="106" spans="1:14" ht="34.5" customHeight="1" x14ac:dyDescent="0.3">
      <c r="B106" s="1">
        <v>2.79</v>
      </c>
      <c r="C106" s="1">
        <v>3.59</v>
      </c>
      <c r="E106" s="1">
        <v>29.75</v>
      </c>
      <c r="F106" s="1">
        <v>10.45</v>
      </c>
      <c r="G106" s="1">
        <v>1.1319999999999999</v>
      </c>
      <c r="I106" s="1">
        <v>16900</v>
      </c>
      <c r="J106" s="1">
        <v>7</v>
      </c>
      <c r="K106" s="1">
        <v>298</v>
      </c>
      <c r="M106" s="1">
        <v>5</v>
      </c>
      <c r="N106" s="1">
        <f t="shared" si="17"/>
        <v>1.242921059602649</v>
      </c>
    </row>
    <row r="107" spans="1:14" ht="34.5" customHeight="1" x14ac:dyDescent="0.3">
      <c r="B107" s="1">
        <v>2.79</v>
      </c>
      <c r="C107" s="1">
        <v>3.59</v>
      </c>
      <c r="E107" s="1">
        <v>29.75</v>
      </c>
      <c r="F107" s="1">
        <v>10.45</v>
      </c>
      <c r="G107" s="1">
        <v>1.1319999999999999</v>
      </c>
      <c r="I107" s="1">
        <v>16900</v>
      </c>
      <c r="J107" s="1">
        <v>7</v>
      </c>
      <c r="K107" s="1">
        <v>298</v>
      </c>
      <c r="M107" s="1">
        <v>10</v>
      </c>
      <c r="N107" s="1">
        <f t="shared" si="17"/>
        <v>1.3310714893617022</v>
      </c>
    </row>
    <row r="108" spans="1:14" ht="34.5" customHeight="1" x14ac:dyDescent="0.3">
      <c r="B108" s="1">
        <v>2.79</v>
      </c>
      <c r="C108" s="1">
        <v>3.59</v>
      </c>
      <c r="E108" s="1">
        <v>29.75</v>
      </c>
      <c r="F108" s="1">
        <v>10.45</v>
      </c>
      <c r="G108" s="1">
        <v>1.1319999999999999</v>
      </c>
      <c r="I108" s="1">
        <v>16900</v>
      </c>
      <c r="J108" s="1">
        <v>7</v>
      </c>
      <c r="K108" s="1">
        <v>298</v>
      </c>
      <c r="M108" s="1">
        <v>15</v>
      </c>
      <c r="N108" s="1">
        <f t="shared" si="17"/>
        <v>1.363300823244552</v>
      </c>
    </row>
    <row r="109" spans="1:14" ht="34.5" customHeight="1" x14ac:dyDescent="0.3">
      <c r="B109" s="1">
        <v>2.79</v>
      </c>
      <c r="C109" s="1">
        <v>3.59</v>
      </c>
      <c r="E109" s="1">
        <v>29.75</v>
      </c>
      <c r="F109" s="1">
        <v>10.45</v>
      </c>
      <c r="G109" s="1">
        <v>1.1319999999999999</v>
      </c>
      <c r="I109" s="1">
        <v>16900</v>
      </c>
      <c r="J109" s="1">
        <v>7</v>
      </c>
      <c r="K109" s="1">
        <v>298</v>
      </c>
      <c r="M109" s="1">
        <v>20</v>
      </c>
      <c r="N109" s="1">
        <f t="shared" si="17"/>
        <v>1.3800079411764705</v>
      </c>
    </row>
    <row r="110" spans="1:14" ht="34.5" customHeight="1" x14ac:dyDescent="0.3">
      <c r="B110" s="1">
        <v>2.8</v>
      </c>
      <c r="C110" s="1">
        <v>3.55</v>
      </c>
      <c r="E110" s="1">
        <v>29.41</v>
      </c>
      <c r="F110" s="1">
        <v>10.27</v>
      </c>
      <c r="G110" s="1">
        <v>0.3513</v>
      </c>
      <c r="I110" s="1">
        <v>33800</v>
      </c>
      <c r="J110" s="1">
        <v>7</v>
      </c>
      <c r="K110" s="1">
        <v>298</v>
      </c>
      <c r="M110" s="1">
        <v>1</v>
      </c>
      <c r="N110" s="1">
        <f t="shared" ref="N110:N115" si="18">(0.73704*2.98*M110)/(1+2.98*M110)</f>
        <v>0.55185407035175882</v>
      </c>
    </row>
    <row r="111" spans="1:14" ht="34.5" customHeight="1" x14ac:dyDescent="0.3">
      <c r="B111" s="1">
        <v>2.8</v>
      </c>
      <c r="C111" s="1">
        <v>3.55</v>
      </c>
      <c r="E111" s="1">
        <v>29.41</v>
      </c>
      <c r="F111" s="1">
        <v>10.27</v>
      </c>
      <c r="G111" s="1">
        <v>0.3513</v>
      </c>
      <c r="I111" s="1">
        <v>33800</v>
      </c>
      <c r="J111" s="1">
        <v>7</v>
      </c>
      <c r="K111" s="1">
        <v>298</v>
      </c>
      <c r="M111" s="1">
        <v>2</v>
      </c>
      <c r="N111" s="1">
        <f t="shared" si="18"/>
        <v>0.63114344827586211</v>
      </c>
    </row>
    <row r="112" spans="1:14" ht="34.5" customHeight="1" x14ac:dyDescent="0.3">
      <c r="B112" s="1">
        <v>2.8</v>
      </c>
      <c r="C112" s="1">
        <v>3.55</v>
      </c>
      <c r="E112" s="1">
        <v>29.41</v>
      </c>
      <c r="F112" s="1">
        <v>10.27</v>
      </c>
      <c r="G112" s="1">
        <v>0.3513</v>
      </c>
      <c r="I112" s="1">
        <v>33800</v>
      </c>
      <c r="J112" s="1">
        <v>7</v>
      </c>
      <c r="K112" s="1">
        <v>298</v>
      </c>
      <c r="M112" s="1">
        <v>5</v>
      </c>
      <c r="N112" s="1">
        <f t="shared" si="18"/>
        <v>0.69068528301886789</v>
      </c>
    </row>
    <row r="113" spans="1:14" ht="34.5" customHeight="1" x14ac:dyDescent="0.3">
      <c r="B113" s="1">
        <v>2.8</v>
      </c>
      <c r="C113" s="1">
        <v>3.55</v>
      </c>
      <c r="E113" s="1">
        <v>29.41</v>
      </c>
      <c r="F113" s="1">
        <v>10.27</v>
      </c>
      <c r="G113" s="1">
        <v>0.3513</v>
      </c>
      <c r="I113" s="1">
        <v>33800</v>
      </c>
      <c r="J113" s="1">
        <v>7</v>
      </c>
      <c r="K113" s="1">
        <v>298</v>
      </c>
      <c r="M113" s="1">
        <v>10</v>
      </c>
      <c r="N113" s="1">
        <f t="shared" si="18"/>
        <v>0.71311012987012978</v>
      </c>
    </row>
    <row r="114" spans="1:14" ht="34.5" customHeight="1" x14ac:dyDescent="0.3">
      <c r="B114" s="1">
        <v>2.8</v>
      </c>
      <c r="C114" s="1">
        <v>3.55</v>
      </c>
      <c r="E114" s="1">
        <v>29.41</v>
      </c>
      <c r="F114" s="1">
        <v>10.27</v>
      </c>
      <c r="G114" s="1">
        <v>0.3513</v>
      </c>
      <c r="I114" s="1">
        <v>33800</v>
      </c>
      <c r="J114" s="1">
        <v>7</v>
      </c>
      <c r="K114" s="1">
        <v>298</v>
      </c>
      <c r="M114" s="1">
        <v>15</v>
      </c>
      <c r="N114" s="1">
        <f t="shared" si="18"/>
        <v>0.72091221006564543</v>
      </c>
    </row>
    <row r="115" spans="1:14" ht="34.5" customHeight="1" x14ac:dyDescent="0.3">
      <c r="B115" s="1">
        <v>2.8</v>
      </c>
      <c r="C115" s="1">
        <v>3.55</v>
      </c>
      <c r="E115" s="1">
        <v>29.41</v>
      </c>
      <c r="F115" s="1">
        <v>10.27</v>
      </c>
      <c r="G115" s="1">
        <v>0.3513</v>
      </c>
      <c r="I115" s="1">
        <v>33800</v>
      </c>
      <c r="J115" s="1">
        <v>7</v>
      </c>
      <c r="K115" s="1">
        <v>298</v>
      </c>
      <c r="M115" s="1">
        <v>20</v>
      </c>
      <c r="N115" s="1">
        <f t="shared" si="18"/>
        <v>0.72487762376237619</v>
      </c>
    </row>
    <row r="116" spans="1:14" ht="34.5" customHeight="1" x14ac:dyDescent="0.3">
      <c r="A116" s="1">
        <v>1</v>
      </c>
      <c r="G116" s="1">
        <v>47.8</v>
      </c>
      <c r="J116" s="1">
        <v>7</v>
      </c>
      <c r="K116" s="1">
        <v>298</v>
      </c>
      <c r="M116" s="1">
        <v>50</v>
      </c>
      <c r="N116" s="1">
        <f t="shared" ref="N116:N121" si="19">22.6*(M116)^0.279</f>
        <v>67.316429136954525</v>
      </c>
    </row>
    <row r="117" spans="1:14" ht="34.5" customHeight="1" x14ac:dyDescent="0.3">
      <c r="A117" s="1">
        <v>1</v>
      </c>
      <c r="G117" s="1">
        <v>47.8</v>
      </c>
      <c r="J117" s="1">
        <v>7</v>
      </c>
      <c r="K117" s="1">
        <v>298</v>
      </c>
      <c r="M117" s="1">
        <v>60</v>
      </c>
      <c r="N117" s="1">
        <f t="shared" si="19"/>
        <v>70.829249161546272</v>
      </c>
    </row>
    <row r="118" spans="1:14" ht="34.5" customHeight="1" x14ac:dyDescent="0.3">
      <c r="A118" s="1">
        <v>1</v>
      </c>
      <c r="G118" s="1">
        <v>47.8</v>
      </c>
      <c r="J118" s="1">
        <v>7</v>
      </c>
      <c r="K118" s="1">
        <v>298</v>
      </c>
      <c r="M118" s="1">
        <v>80</v>
      </c>
      <c r="N118" s="1">
        <f t="shared" si="19"/>
        <v>76.748614742921035</v>
      </c>
    </row>
    <row r="119" spans="1:14" ht="34.5" customHeight="1" x14ac:dyDescent="0.3">
      <c r="A119" s="1">
        <v>1</v>
      </c>
      <c r="G119" s="1">
        <v>47.8</v>
      </c>
      <c r="J119" s="1">
        <v>7</v>
      </c>
      <c r="K119" s="1">
        <v>298</v>
      </c>
      <c r="M119" s="1">
        <v>100</v>
      </c>
      <c r="N119" s="1">
        <f t="shared" si="19"/>
        <v>81.678628956552615</v>
      </c>
    </row>
    <row r="120" spans="1:14" ht="34.5" customHeight="1" x14ac:dyDescent="0.3">
      <c r="A120" s="1">
        <v>1</v>
      </c>
      <c r="G120" s="1">
        <v>47.8</v>
      </c>
      <c r="J120" s="1">
        <v>7</v>
      </c>
      <c r="K120" s="1">
        <v>298</v>
      </c>
      <c r="M120" s="1">
        <v>120</v>
      </c>
      <c r="N120" s="1">
        <f t="shared" si="19"/>
        <v>85.940921639903891</v>
      </c>
    </row>
    <row r="121" spans="1:14" ht="34.5" customHeight="1" x14ac:dyDescent="0.3">
      <c r="A121" s="1">
        <v>1</v>
      </c>
      <c r="G121" s="1">
        <v>47.8</v>
      </c>
      <c r="J121" s="1">
        <v>7</v>
      </c>
      <c r="K121" s="1">
        <v>298</v>
      </c>
      <c r="M121" s="1">
        <v>150</v>
      </c>
      <c r="N121" s="1">
        <f t="shared" si="19"/>
        <v>91.461411705249404</v>
      </c>
    </row>
    <row r="122" spans="1:14" ht="34.5" customHeight="1" x14ac:dyDescent="0.3">
      <c r="A122" s="1">
        <v>1</v>
      </c>
      <c r="G122" s="1">
        <v>3.48</v>
      </c>
      <c r="J122" s="1">
        <v>7</v>
      </c>
      <c r="K122" s="1">
        <v>298</v>
      </c>
      <c r="M122" s="1">
        <v>50</v>
      </c>
      <c r="N122" s="1">
        <f t="shared" ref="N122:N127" si="20">61.5*(M122)^0.0857</f>
        <v>85.995721617102859</v>
      </c>
    </row>
    <row r="123" spans="1:14" ht="34.5" customHeight="1" x14ac:dyDescent="0.3">
      <c r="A123" s="1">
        <v>1</v>
      </c>
      <c r="G123" s="1">
        <v>3.48</v>
      </c>
      <c r="J123" s="1">
        <v>7</v>
      </c>
      <c r="K123" s="1">
        <v>298</v>
      </c>
      <c r="M123" s="1">
        <v>60</v>
      </c>
      <c r="N123" s="1">
        <f t="shared" si="20"/>
        <v>87.349953461228722</v>
      </c>
    </row>
    <row r="124" spans="1:14" ht="34.5" customHeight="1" x14ac:dyDescent="0.3">
      <c r="A124" s="1">
        <v>1</v>
      </c>
      <c r="G124" s="1">
        <v>3.48</v>
      </c>
      <c r="J124" s="1">
        <v>7</v>
      </c>
      <c r="K124" s="1">
        <v>298</v>
      </c>
      <c r="M124" s="1">
        <v>80</v>
      </c>
      <c r="N124" s="1">
        <f t="shared" si="20"/>
        <v>89.530276895048274</v>
      </c>
    </row>
    <row r="125" spans="1:14" ht="34.5" customHeight="1" x14ac:dyDescent="0.3">
      <c r="A125" s="1">
        <v>1</v>
      </c>
      <c r="G125" s="1">
        <v>3.48</v>
      </c>
      <c r="J125" s="1">
        <v>7</v>
      </c>
      <c r="K125" s="1">
        <v>298</v>
      </c>
      <c r="M125" s="1">
        <v>100</v>
      </c>
      <c r="N125" s="1">
        <f t="shared" si="20"/>
        <v>91.258876071794603</v>
      </c>
    </row>
    <row r="126" spans="1:14" ht="34.5" customHeight="1" x14ac:dyDescent="0.3">
      <c r="A126" s="1">
        <v>1</v>
      </c>
      <c r="G126" s="1">
        <v>3.48</v>
      </c>
      <c r="J126" s="1">
        <v>7</v>
      </c>
      <c r="K126" s="1">
        <v>298</v>
      </c>
      <c r="M126" s="1">
        <v>120</v>
      </c>
      <c r="N126" s="1">
        <f t="shared" si="20"/>
        <v>92.69599031087067</v>
      </c>
    </row>
    <row r="127" spans="1:14" ht="34.5" customHeight="1" x14ac:dyDescent="0.3">
      <c r="A127" s="1">
        <v>1</v>
      </c>
      <c r="G127" s="1">
        <v>3.48</v>
      </c>
      <c r="J127" s="1">
        <v>7</v>
      </c>
      <c r="K127" s="1">
        <v>298</v>
      </c>
      <c r="M127" s="1">
        <v>150</v>
      </c>
      <c r="N127" s="1">
        <f t="shared" si="20"/>
        <v>94.485711264452561</v>
      </c>
    </row>
    <row r="128" spans="1:14" ht="34.5" customHeight="1" x14ac:dyDescent="0.3">
      <c r="G128" s="1">
        <v>16.48</v>
      </c>
      <c r="H128" s="1">
        <v>0.13</v>
      </c>
      <c r="I128" s="1">
        <v>3.84</v>
      </c>
      <c r="J128" s="1">
        <v>7</v>
      </c>
      <c r="K128" s="1">
        <v>298</v>
      </c>
      <c r="M128" s="1">
        <v>2</v>
      </c>
      <c r="N128" s="1">
        <f t="shared" ref="N128:N133" si="21">(34.72*1.43*M128)/(1+1.43*M128)</f>
        <v>25.725181347150258</v>
      </c>
    </row>
    <row r="129" spans="7:14" ht="34.5" customHeight="1" x14ac:dyDescent="0.3">
      <c r="G129" s="1">
        <v>16.48</v>
      </c>
      <c r="H129" s="1">
        <v>0.13</v>
      </c>
      <c r="I129" s="1">
        <v>3.84</v>
      </c>
      <c r="J129" s="1">
        <v>7</v>
      </c>
      <c r="K129" s="1">
        <v>298</v>
      </c>
      <c r="M129" s="1">
        <v>3</v>
      </c>
      <c r="N129" s="1">
        <f t="shared" si="21"/>
        <v>28.156672967863894</v>
      </c>
    </row>
    <row r="130" spans="7:14" ht="34.5" customHeight="1" x14ac:dyDescent="0.3">
      <c r="G130" s="1">
        <v>16.48</v>
      </c>
      <c r="H130" s="1">
        <v>0.13</v>
      </c>
      <c r="I130" s="1">
        <v>3.84</v>
      </c>
      <c r="J130" s="1">
        <v>7</v>
      </c>
      <c r="K130" s="1">
        <v>298</v>
      </c>
      <c r="M130" s="1">
        <v>5</v>
      </c>
      <c r="N130" s="1">
        <f t="shared" si="21"/>
        <v>30.459877300613503</v>
      </c>
    </row>
    <row r="131" spans="7:14" ht="34.5" customHeight="1" x14ac:dyDescent="0.3">
      <c r="G131" s="1">
        <v>16.48</v>
      </c>
      <c r="H131" s="1">
        <v>0.13</v>
      </c>
      <c r="I131" s="1">
        <v>3.84</v>
      </c>
      <c r="J131" s="1">
        <v>7</v>
      </c>
      <c r="K131" s="1">
        <v>298</v>
      </c>
      <c r="M131" s="1">
        <v>9</v>
      </c>
      <c r="N131" s="1">
        <f t="shared" si="21"/>
        <v>32.216755587599138</v>
      </c>
    </row>
    <row r="132" spans="7:14" ht="34.5" customHeight="1" x14ac:dyDescent="0.3">
      <c r="G132" s="1">
        <v>16.48</v>
      </c>
      <c r="H132" s="1">
        <v>0.13</v>
      </c>
      <c r="I132" s="1">
        <v>3.84</v>
      </c>
      <c r="J132" s="1">
        <v>7</v>
      </c>
      <c r="K132" s="1">
        <v>298</v>
      </c>
      <c r="M132" s="1">
        <v>15</v>
      </c>
      <c r="N132" s="1">
        <f t="shared" si="21"/>
        <v>33.173452115812921</v>
      </c>
    </row>
    <row r="133" spans="7:14" ht="34.5" customHeight="1" x14ac:dyDescent="0.3">
      <c r="G133" s="1">
        <v>16.48</v>
      </c>
      <c r="H133" s="1">
        <v>0.13</v>
      </c>
      <c r="I133" s="1">
        <v>3.84</v>
      </c>
      <c r="J133" s="1">
        <v>7</v>
      </c>
      <c r="K133" s="1">
        <v>298</v>
      </c>
      <c r="M133" s="1">
        <v>20</v>
      </c>
      <c r="N133" s="1">
        <f t="shared" si="21"/>
        <v>33.547027027027028</v>
      </c>
    </row>
    <row r="134" spans="7:14" ht="34.5" customHeight="1" x14ac:dyDescent="0.3">
      <c r="G134" s="1">
        <v>16.48</v>
      </c>
      <c r="H134" s="1">
        <v>0.13</v>
      </c>
      <c r="I134" s="1">
        <v>3.84</v>
      </c>
      <c r="J134" s="1">
        <v>7</v>
      </c>
      <c r="K134" s="1">
        <v>318</v>
      </c>
      <c r="M134" s="1">
        <v>2</v>
      </c>
      <c r="N134" s="1">
        <f t="shared" ref="N134:N139" si="22">(36.32*1.46*M134)/(1+1.46*M134)</f>
        <v>27.054693877551021</v>
      </c>
    </row>
    <row r="135" spans="7:14" ht="34.5" customHeight="1" x14ac:dyDescent="0.3">
      <c r="G135" s="1">
        <v>16.48</v>
      </c>
      <c r="H135" s="1">
        <v>0.13</v>
      </c>
      <c r="I135" s="1">
        <v>3.84</v>
      </c>
      <c r="J135" s="1">
        <v>7</v>
      </c>
      <c r="K135" s="1">
        <v>318</v>
      </c>
      <c r="M135" s="1">
        <v>3</v>
      </c>
      <c r="N135" s="1">
        <f t="shared" si="22"/>
        <v>29.569070631970263</v>
      </c>
    </row>
    <row r="136" spans="7:14" ht="34.5" customHeight="1" x14ac:dyDescent="0.3">
      <c r="G136" s="1">
        <v>16.48</v>
      </c>
      <c r="H136" s="1">
        <v>0.13</v>
      </c>
      <c r="I136" s="1">
        <v>3.84</v>
      </c>
      <c r="J136" s="1">
        <v>7</v>
      </c>
      <c r="K136" s="1">
        <v>318</v>
      </c>
      <c r="M136" s="1">
        <v>5</v>
      </c>
      <c r="N136" s="1">
        <f t="shared" si="22"/>
        <v>31.944096385542167</v>
      </c>
    </row>
    <row r="137" spans="7:14" ht="34.5" customHeight="1" x14ac:dyDescent="0.3">
      <c r="G137" s="1">
        <v>16.48</v>
      </c>
      <c r="H137" s="1">
        <v>0.13</v>
      </c>
      <c r="I137" s="1">
        <v>3.84</v>
      </c>
      <c r="J137" s="1">
        <v>7</v>
      </c>
      <c r="K137" s="1">
        <v>318</v>
      </c>
      <c r="M137" s="1">
        <v>9</v>
      </c>
      <c r="N137" s="1">
        <f t="shared" si="22"/>
        <v>33.751400282885427</v>
      </c>
    </row>
    <row r="138" spans="7:14" ht="34.5" customHeight="1" x14ac:dyDescent="0.3">
      <c r="G138" s="1">
        <v>16.48</v>
      </c>
      <c r="H138" s="1">
        <v>0.13</v>
      </c>
      <c r="I138" s="1">
        <v>3.84</v>
      </c>
      <c r="J138" s="1">
        <v>7</v>
      </c>
      <c r="K138" s="1">
        <v>318</v>
      </c>
      <c r="M138" s="1">
        <v>15</v>
      </c>
      <c r="N138" s="1">
        <f t="shared" si="22"/>
        <v>34.733973799126638</v>
      </c>
    </row>
    <row r="139" spans="7:14" ht="34.5" customHeight="1" x14ac:dyDescent="0.3">
      <c r="G139" s="1">
        <v>16.48</v>
      </c>
      <c r="H139" s="1">
        <v>0.13</v>
      </c>
      <c r="I139" s="1">
        <v>3.84</v>
      </c>
      <c r="J139" s="1">
        <v>7</v>
      </c>
      <c r="K139" s="1">
        <v>318</v>
      </c>
      <c r="M139" s="1">
        <v>20</v>
      </c>
      <c r="N139" s="1">
        <f t="shared" si="22"/>
        <v>35.117350993377485</v>
      </c>
    </row>
    <row r="140" spans="7:14" ht="34.5" customHeight="1" x14ac:dyDescent="0.3">
      <c r="G140" s="1">
        <v>16.48</v>
      </c>
      <c r="H140" s="1">
        <v>0.13</v>
      </c>
      <c r="I140" s="1">
        <v>3.84</v>
      </c>
      <c r="J140" s="1">
        <v>7</v>
      </c>
      <c r="K140" s="1">
        <v>338</v>
      </c>
      <c r="M140" s="1">
        <v>2</v>
      </c>
      <c r="N140" s="1">
        <f t="shared" ref="N140:N145" si="23">(38.18*1.7*M140)/(1+1.7*M140)</f>
        <v>29.502727272727267</v>
      </c>
    </row>
    <row r="141" spans="7:14" ht="34.5" customHeight="1" x14ac:dyDescent="0.3">
      <c r="G141" s="1">
        <v>16.48</v>
      </c>
      <c r="H141" s="1">
        <v>0.13</v>
      </c>
      <c r="I141" s="1">
        <v>3.84</v>
      </c>
      <c r="J141" s="1">
        <v>7</v>
      </c>
      <c r="K141" s="1">
        <v>338</v>
      </c>
      <c r="M141" s="1">
        <v>3</v>
      </c>
      <c r="N141" s="1">
        <f t="shared" si="23"/>
        <v>31.920983606557371</v>
      </c>
    </row>
    <row r="142" spans="7:14" ht="34.5" customHeight="1" x14ac:dyDescent="0.3">
      <c r="G142" s="1">
        <v>16.48</v>
      </c>
      <c r="H142" s="1">
        <v>0.13</v>
      </c>
      <c r="I142" s="1">
        <v>3.84</v>
      </c>
      <c r="J142" s="1">
        <v>7</v>
      </c>
      <c r="K142" s="1">
        <v>338</v>
      </c>
      <c r="M142" s="1">
        <v>5</v>
      </c>
      <c r="N142" s="1">
        <f t="shared" si="23"/>
        <v>34.161052631578947</v>
      </c>
    </row>
    <row r="143" spans="7:14" ht="34.5" customHeight="1" x14ac:dyDescent="0.3">
      <c r="G143" s="1">
        <v>16.48</v>
      </c>
      <c r="H143" s="1">
        <v>0.13</v>
      </c>
      <c r="I143" s="1">
        <v>3.84</v>
      </c>
      <c r="J143" s="1">
        <v>7</v>
      </c>
      <c r="K143" s="1">
        <v>338</v>
      </c>
      <c r="M143" s="1">
        <v>9</v>
      </c>
      <c r="N143" s="1">
        <f t="shared" si="23"/>
        <v>35.837668711656441</v>
      </c>
    </row>
    <row r="144" spans="7:14" ht="34.5" customHeight="1" x14ac:dyDescent="0.3">
      <c r="G144" s="1">
        <v>16.48</v>
      </c>
      <c r="H144" s="1">
        <v>0.13</v>
      </c>
      <c r="I144" s="1">
        <v>3.84</v>
      </c>
      <c r="J144" s="1">
        <v>7</v>
      </c>
      <c r="K144" s="1">
        <v>338</v>
      </c>
      <c r="M144" s="1">
        <v>15</v>
      </c>
      <c r="N144" s="1">
        <f t="shared" si="23"/>
        <v>36.739245283018867</v>
      </c>
    </row>
    <row r="145" spans="1:14" ht="34.5" customHeight="1" x14ac:dyDescent="0.3">
      <c r="G145" s="1">
        <v>16.48</v>
      </c>
      <c r="H145" s="1">
        <v>0.13</v>
      </c>
      <c r="I145" s="1">
        <v>3.84</v>
      </c>
      <c r="J145" s="1">
        <v>7</v>
      </c>
      <c r="K145" s="1">
        <v>338</v>
      </c>
      <c r="M145" s="1">
        <v>20</v>
      </c>
      <c r="N145" s="1">
        <f t="shared" si="23"/>
        <v>37.089142857142853</v>
      </c>
    </row>
    <row r="146" spans="1:14" ht="34.5" customHeight="1" x14ac:dyDescent="0.3">
      <c r="A146" s="1">
        <v>1</v>
      </c>
      <c r="G146" s="1">
        <v>47.12</v>
      </c>
      <c r="H146" s="1">
        <v>0.28499999999999998</v>
      </c>
      <c r="I146" s="1">
        <v>24.22</v>
      </c>
      <c r="J146" s="1">
        <v>4</v>
      </c>
      <c r="K146" s="1">
        <v>298</v>
      </c>
      <c r="M146" s="1">
        <v>3</v>
      </c>
      <c r="N146" s="1">
        <f t="shared" ref="N146:N151" si="24">(122*0.598*M146)/(1+0.598*M146)</f>
        <v>78.335003579098071</v>
      </c>
    </row>
    <row r="147" spans="1:14" ht="34.5" customHeight="1" x14ac:dyDescent="0.3">
      <c r="A147" s="1">
        <v>1</v>
      </c>
      <c r="G147" s="1">
        <v>47.12</v>
      </c>
      <c r="H147" s="1">
        <v>0.28499999999999998</v>
      </c>
      <c r="I147" s="1">
        <v>24.22</v>
      </c>
      <c r="J147" s="1">
        <v>4</v>
      </c>
      <c r="K147" s="1">
        <v>298</v>
      </c>
      <c r="M147" s="1">
        <v>20</v>
      </c>
      <c r="N147" s="1">
        <f t="shared" si="24"/>
        <v>112.58641975308643</v>
      </c>
    </row>
    <row r="148" spans="1:14" ht="34.5" customHeight="1" x14ac:dyDescent="0.3">
      <c r="A148" s="1">
        <v>1</v>
      </c>
      <c r="G148" s="1">
        <v>47.12</v>
      </c>
      <c r="H148" s="1">
        <v>0.28499999999999998</v>
      </c>
      <c r="I148" s="1">
        <v>24.22</v>
      </c>
      <c r="J148" s="1">
        <v>4</v>
      </c>
      <c r="K148" s="1">
        <v>298</v>
      </c>
      <c r="M148" s="1">
        <v>40</v>
      </c>
      <c r="N148" s="1">
        <f t="shared" si="24"/>
        <v>117.10433386837883</v>
      </c>
    </row>
    <row r="149" spans="1:14" ht="34.5" customHeight="1" x14ac:dyDescent="0.3">
      <c r="A149" s="1">
        <v>1</v>
      </c>
      <c r="G149" s="1">
        <v>47.12</v>
      </c>
      <c r="H149" s="1">
        <v>0.28499999999999998</v>
      </c>
      <c r="I149" s="1">
        <v>24.22</v>
      </c>
      <c r="J149" s="1">
        <v>4</v>
      </c>
      <c r="K149" s="1">
        <v>298</v>
      </c>
      <c r="M149" s="1">
        <v>60</v>
      </c>
      <c r="N149" s="1">
        <f t="shared" si="24"/>
        <v>118.69197396963126</v>
      </c>
    </row>
    <row r="150" spans="1:14" ht="34.5" customHeight="1" x14ac:dyDescent="0.3">
      <c r="A150" s="1">
        <v>1</v>
      </c>
      <c r="G150" s="1">
        <v>47.12</v>
      </c>
      <c r="H150" s="1">
        <v>0.28499999999999998</v>
      </c>
      <c r="I150" s="1">
        <v>24.22</v>
      </c>
      <c r="J150" s="1">
        <v>4</v>
      </c>
      <c r="K150" s="1">
        <v>298</v>
      </c>
      <c r="M150" s="1">
        <v>80</v>
      </c>
      <c r="N150" s="1">
        <f t="shared" si="24"/>
        <v>119.50204750204752</v>
      </c>
    </row>
    <row r="151" spans="1:14" ht="34.5" customHeight="1" x14ac:dyDescent="0.3">
      <c r="A151" s="1">
        <v>1</v>
      </c>
      <c r="G151" s="1">
        <v>47.12</v>
      </c>
      <c r="H151" s="1">
        <v>0.28499999999999998</v>
      </c>
      <c r="I151" s="1">
        <v>24.22</v>
      </c>
      <c r="J151" s="1">
        <v>4</v>
      </c>
      <c r="K151" s="1">
        <v>298</v>
      </c>
      <c r="M151" s="1">
        <v>100</v>
      </c>
      <c r="N151" s="1">
        <f t="shared" si="24"/>
        <v>119.99342105263159</v>
      </c>
    </row>
    <row r="152" spans="1:14" ht="34.5" customHeight="1" x14ac:dyDescent="0.3">
      <c r="A152" s="1">
        <v>1</v>
      </c>
      <c r="G152" s="1">
        <v>47.12</v>
      </c>
      <c r="H152" s="1">
        <v>0.28499999999999998</v>
      </c>
      <c r="I152" s="1">
        <v>24.22</v>
      </c>
      <c r="J152" s="1">
        <v>8</v>
      </c>
      <c r="K152" s="1">
        <v>298</v>
      </c>
      <c r="M152" s="1">
        <v>10</v>
      </c>
      <c r="N152" s="1">
        <f t="shared" ref="N152:N157" si="25">(109.9*1.011*M152)/(1+1.011*M152)</f>
        <v>100.0080108010801</v>
      </c>
    </row>
    <row r="153" spans="1:14" ht="34.5" customHeight="1" x14ac:dyDescent="0.3">
      <c r="A153" s="1">
        <v>1</v>
      </c>
      <c r="G153" s="1">
        <v>47.12</v>
      </c>
      <c r="H153" s="1">
        <v>0.28499999999999998</v>
      </c>
      <c r="I153" s="1">
        <v>24.22</v>
      </c>
      <c r="J153" s="1">
        <v>8</v>
      </c>
      <c r="K153" s="1">
        <v>298</v>
      </c>
      <c r="M153" s="1">
        <v>25</v>
      </c>
      <c r="N153" s="1">
        <f t="shared" si="25"/>
        <v>105.71731684110371</v>
      </c>
    </row>
    <row r="154" spans="1:14" ht="34.5" customHeight="1" x14ac:dyDescent="0.3">
      <c r="A154" s="1">
        <v>1</v>
      </c>
      <c r="G154" s="1">
        <v>47.12</v>
      </c>
      <c r="H154" s="1">
        <v>0.28499999999999998</v>
      </c>
      <c r="I154" s="1">
        <v>24.22</v>
      </c>
      <c r="J154" s="1">
        <v>8</v>
      </c>
      <c r="K154" s="1">
        <v>298</v>
      </c>
      <c r="M154" s="1">
        <v>42</v>
      </c>
      <c r="N154" s="1">
        <f t="shared" si="25"/>
        <v>107.37135428650315</v>
      </c>
    </row>
    <row r="155" spans="1:14" ht="34.5" customHeight="1" x14ac:dyDescent="0.3">
      <c r="A155" s="1">
        <v>1</v>
      </c>
      <c r="G155" s="1">
        <v>47.12</v>
      </c>
      <c r="H155" s="1">
        <v>0.28499999999999998</v>
      </c>
      <c r="I155" s="1">
        <v>24.22</v>
      </c>
      <c r="J155" s="1">
        <v>8</v>
      </c>
      <c r="K155" s="1">
        <v>298</v>
      </c>
      <c r="M155" s="1">
        <v>65</v>
      </c>
      <c r="N155" s="1">
        <f t="shared" si="25"/>
        <v>108.25269429663496</v>
      </c>
    </row>
    <row r="156" spans="1:14" ht="34.5" customHeight="1" x14ac:dyDescent="0.3">
      <c r="A156" s="1">
        <v>1</v>
      </c>
      <c r="G156" s="1">
        <v>47.12</v>
      </c>
      <c r="H156" s="1">
        <v>0.28499999999999998</v>
      </c>
      <c r="I156" s="1">
        <v>24.22</v>
      </c>
      <c r="J156" s="1">
        <v>8</v>
      </c>
      <c r="K156" s="1">
        <v>298</v>
      </c>
      <c r="M156" s="1">
        <v>86</v>
      </c>
      <c r="N156" s="1">
        <f t="shared" si="25"/>
        <v>108.65036954494802</v>
      </c>
    </row>
    <row r="157" spans="1:14" ht="34.5" customHeight="1" x14ac:dyDescent="0.3">
      <c r="A157" s="1">
        <v>1</v>
      </c>
      <c r="G157" s="1">
        <v>47.12</v>
      </c>
      <c r="H157" s="1">
        <v>0.28499999999999998</v>
      </c>
      <c r="I157" s="1">
        <v>24.22</v>
      </c>
      <c r="J157" s="1">
        <v>8</v>
      </c>
      <c r="K157" s="1">
        <v>298</v>
      </c>
      <c r="M157" s="1">
        <v>100</v>
      </c>
      <c r="N157" s="1">
        <f t="shared" si="25"/>
        <v>108.8236043095005</v>
      </c>
    </row>
    <row r="158" spans="1:14" ht="34.5" customHeight="1" x14ac:dyDescent="0.3">
      <c r="A158" s="1">
        <v>21.65</v>
      </c>
      <c r="B158" s="1">
        <v>14.83</v>
      </c>
      <c r="G158" s="1">
        <v>61.3</v>
      </c>
      <c r="H158" s="1">
        <v>0.26</v>
      </c>
      <c r="I158" s="1">
        <v>16.88</v>
      </c>
      <c r="J158" s="1">
        <v>6</v>
      </c>
      <c r="K158" s="1">
        <v>298</v>
      </c>
      <c r="M158" s="1">
        <v>15</v>
      </c>
      <c r="N158" s="1">
        <f t="shared" ref="N158:N163" si="26">(131.159*0.108*M158)/(1+0.108*M158)</f>
        <v>81.098312977099226</v>
      </c>
    </row>
    <row r="159" spans="1:14" ht="34.5" customHeight="1" x14ac:dyDescent="0.3">
      <c r="A159" s="1">
        <v>21.65</v>
      </c>
      <c r="B159" s="1">
        <v>14.83</v>
      </c>
      <c r="G159" s="1">
        <v>61.3</v>
      </c>
      <c r="H159" s="1">
        <v>0.26</v>
      </c>
      <c r="I159" s="1">
        <v>16.88</v>
      </c>
      <c r="J159" s="1">
        <v>6</v>
      </c>
      <c r="K159" s="1">
        <v>298</v>
      </c>
      <c r="M159" s="1">
        <v>30</v>
      </c>
      <c r="N159" s="1">
        <f t="shared" si="26"/>
        <v>100.22527358490565</v>
      </c>
    </row>
    <row r="160" spans="1:14" ht="34.5" customHeight="1" x14ac:dyDescent="0.3">
      <c r="A160" s="1">
        <v>21.65</v>
      </c>
      <c r="B160" s="1">
        <v>14.83</v>
      </c>
      <c r="G160" s="1">
        <v>61.3</v>
      </c>
      <c r="H160" s="1">
        <v>0.26</v>
      </c>
      <c r="I160" s="1">
        <v>16.88</v>
      </c>
      <c r="J160" s="1">
        <v>6</v>
      </c>
      <c r="K160" s="1">
        <v>298</v>
      </c>
      <c r="M160" s="1">
        <v>55</v>
      </c>
      <c r="N160" s="1">
        <f t="shared" si="26"/>
        <v>112.26000864553313</v>
      </c>
    </row>
    <row r="161" spans="1:14" ht="34.5" customHeight="1" x14ac:dyDescent="0.3">
      <c r="A161" s="1">
        <v>21.65</v>
      </c>
      <c r="B161" s="1">
        <v>14.83</v>
      </c>
      <c r="G161" s="1">
        <v>61.3</v>
      </c>
      <c r="H161" s="1">
        <v>0.26</v>
      </c>
      <c r="I161" s="1">
        <v>16.88</v>
      </c>
      <c r="J161" s="1">
        <v>6</v>
      </c>
      <c r="K161" s="1">
        <v>298</v>
      </c>
      <c r="M161" s="1">
        <v>100</v>
      </c>
      <c r="N161" s="1">
        <f t="shared" si="26"/>
        <v>120.04383050847456</v>
      </c>
    </row>
    <row r="162" spans="1:14" ht="34.5" customHeight="1" x14ac:dyDescent="0.3">
      <c r="A162" s="1">
        <v>21.65</v>
      </c>
      <c r="B162" s="1">
        <v>14.83</v>
      </c>
      <c r="G162" s="1">
        <v>61.3</v>
      </c>
      <c r="H162" s="1">
        <v>0.26</v>
      </c>
      <c r="I162" s="1">
        <v>16.88</v>
      </c>
      <c r="J162" s="1">
        <v>6</v>
      </c>
      <c r="K162" s="1">
        <v>298</v>
      </c>
      <c r="M162" s="1">
        <v>150</v>
      </c>
      <c r="N162" s="1">
        <f t="shared" si="26"/>
        <v>123.53347674418605</v>
      </c>
    </row>
    <row r="163" spans="1:14" ht="34.5" customHeight="1" x14ac:dyDescent="0.3">
      <c r="A163" s="1">
        <v>21.65</v>
      </c>
      <c r="B163" s="1">
        <v>14.83</v>
      </c>
      <c r="G163" s="1">
        <v>61.3</v>
      </c>
      <c r="H163" s="1">
        <v>0.26</v>
      </c>
      <c r="I163" s="1">
        <v>16.88</v>
      </c>
      <c r="J163" s="1">
        <v>6</v>
      </c>
      <c r="K163" s="1">
        <v>298</v>
      </c>
      <c r="M163" s="1">
        <v>250</v>
      </c>
      <c r="N163" s="1">
        <f t="shared" si="26"/>
        <v>126.47474999999999</v>
      </c>
    </row>
    <row r="164" spans="1:14" ht="34.5" customHeight="1" x14ac:dyDescent="0.3">
      <c r="A164" s="1" t="s">
        <v>11</v>
      </c>
      <c r="B164" s="1" t="s">
        <v>11</v>
      </c>
      <c r="G164" s="1">
        <v>218.5</v>
      </c>
      <c r="H164" s="1">
        <v>0.15</v>
      </c>
      <c r="J164" s="1">
        <v>5.5</v>
      </c>
      <c r="K164" s="1">
        <v>303</v>
      </c>
      <c r="M164" s="1">
        <v>10</v>
      </c>
      <c r="N164" s="1">
        <f t="shared" ref="N164:N169" si="27">(3.98*M164)/(1+0.086*M164)</f>
        <v>21.397849462365592</v>
      </c>
    </row>
    <row r="165" spans="1:14" ht="34.5" customHeight="1" x14ac:dyDescent="0.3">
      <c r="A165" s="1" t="s">
        <v>11</v>
      </c>
      <c r="B165" s="1" t="s">
        <v>11</v>
      </c>
      <c r="G165" s="1">
        <v>218.5</v>
      </c>
      <c r="H165" s="1">
        <v>0.15</v>
      </c>
      <c r="J165" s="1">
        <v>5.5</v>
      </c>
      <c r="K165" s="1">
        <v>303</v>
      </c>
      <c r="M165" s="1">
        <v>20</v>
      </c>
      <c r="N165" s="1">
        <f t="shared" si="27"/>
        <v>29.264705882352942</v>
      </c>
    </row>
    <row r="166" spans="1:14" ht="34.5" customHeight="1" x14ac:dyDescent="0.3">
      <c r="A166" s="1" t="s">
        <v>11</v>
      </c>
      <c r="B166" s="1" t="s">
        <v>11</v>
      </c>
      <c r="G166" s="1">
        <v>218.5</v>
      </c>
      <c r="H166" s="1">
        <v>0.15</v>
      </c>
      <c r="J166" s="1">
        <v>5.5</v>
      </c>
      <c r="K166" s="1">
        <v>303</v>
      </c>
      <c r="M166" s="1">
        <v>40</v>
      </c>
      <c r="N166" s="1">
        <f t="shared" si="27"/>
        <v>35.855855855855857</v>
      </c>
    </row>
    <row r="167" spans="1:14" ht="34.5" customHeight="1" x14ac:dyDescent="0.3">
      <c r="A167" s="1" t="s">
        <v>11</v>
      </c>
      <c r="B167" s="1" t="s">
        <v>11</v>
      </c>
      <c r="G167" s="1">
        <v>218.5</v>
      </c>
      <c r="H167" s="1">
        <v>0.15</v>
      </c>
      <c r="J167" s="1">
        <v>5.5</v>
      </c>
      <c r="K167" s="1">
        <v>303</v>
      </c>
      <c r="M167" s="1">
        <v>60</v>
      </c>
      <c r="N167" s="1">
        <f t="shared" si="27"/>
        <v>38.766233766233775</v>
      </c>
    </row>
    <row r="168" spans="1:14" ht="34.5" customHeight="1" x14ac:dyDescent="0.3">
      <c r="A168" s="1" t="s">
        <v>11</v>
      </c>
      <c r="B168" s="1" t="s">
        <v>11</v>
      </c>
      <c r="G168" s="1">
        <v>218.5</v>
      </c>
      <c r="H168" s="1">
        <v>0.15</v>
      </c>
      <c r="J168" s="1">
        <v>5.5</v>
      </c>
      <c r="K168" s="1">
        <v>303</v>
      </c>
      <c r="M168" s="1">
        <v>80</v>
      </c>
      <c r="N168" s="1">
        <f t="shared" si="27"/>
        <v>40.406091370558379</v>
      </c>
    </row>
    <row r="169" spans="1:14" ht="34.5" customHeight="1" x14ac:dyDescent="0.3">
      <c r="A169" s="1" t="s">
        <v>11</v>
      </c>
      <c r="B169" s="1" t="s">
        <v>11</v>
      </c>
      <c r="G169" s="1">
        <v>218.5</v>
      </c>
      <c r="H169" s="1">
        <v>0.15</v>
      </c>
      <c r="J169" s="1">
        <v>5.5</v>
      </c>
      <c r="K169" s="1">
        <v>303</v>
      </c>
      <c r="M169" s="1">
        <v>100</v>
      </c>
      <c r="N169" s="1">
        <f t="shared" si="27"/>
        <v>41.458333333333336</v>
      </c>
    </row>
    <row r="170" spans="1:14" ht="34.5" customHeight="1" x14ac:dyDescent="0.3">
      <c r="A170" s="1" t="s">
        <v>11</v>
      </c>
      <c r="B170" s="1" t="s">
        <v>11</v>
      </c>
      <c r="G170" s="1">
        <v>218.5</v>
      </c>
      <c r="H170" s="1">
        <v>0.15</v>
      </c>
      <c r="J170" s="1">
        <v>5.5</v>
      </c>
      <c r="K170" s="1">
        <v>313</v>
      </c>
      <c r="M170" s="1">
        <v>10</v>
      </c>
      <c r="N170" s="1">
        <f t="shared" ref="N170:N175" si="28">(2.87*M170)/(1+0.064*M170)</f>
        <v>17.5</v>
      </c>
    </row>
    <row r="171" spans="1:14" ht="34.5" customHeight="1" x14ac:dyDescent="0.3">
      <c r="A171" s="1" t="s">
        <v>11</v>
      </c>
      <c r="B171" s="1" t="s">
        <v>11</v>
      </c>
      <c r="G171" s="1">
        <v>218.5</v>
      </c>
      <c r="H171" s="1">
        <v>0.15</v>
      </c>
      <c r="J171" s="1">
        <v>5.5</v>
      </c>
      <c r="K171" s="1">
        <v>313</v>
      </c>
      <c r="M171" s="1">
        <v>20</v>
      </c>
      <c r="N171" s="1">
        <f t="shared" si="28"/>
        <v>25.17543859649123</v>
      </c>
    </row>
    <row r="172" spans="1:14" ht="34.5" customHeight="1" x14ac:dyDescent="0.3">
      <c r="A172" s="1" t="s">
        <v>11</v>
      </c>
      <c r="B172" s="1" t="s">
        <v>11</v>
      </c>
      <c r="G172" s="1">
        <v>218.5</v>
      </c>
      <c r="H172" s="1">
        <v>0.15</v>
      </c>
      <c r="J172" s="1">
        <v>5.5</v>
      </c>
      <c r="K172" s="1">
        <v>313</v>
      </c>
      <c r="M172" s="1">
        <v>40</v>
      </c>
      <c r="N172" s="1">
        <f t="shared" si="28"/>
        <v>32.247191011235955</v>
      </c>
    </row>
    <row r="173" spans="1:14" ht="34.5" customHeight="1" x14ac:dyDescent="0.3">
      <c r="A173" s="1" t="s">
        <v>11</v>
      </c>
      <c r="B173" s="1" t="s">
        <v>11</v>
      </c>
      <c r="G173" s="1">
        <v>218.5</v>
      </c>
      <c r="H173" s="1">
        <v>0.15</v>
      </c>
      <c r="J173" s="1">
        <v>5.5</v>
      </c>
      <c r="K173" s="1">
        <v>313</v>
      </c>
      <c r="M173" s="1">
        <v>60</v>
      </c>
      <c r="N173" s="1">
        <f t="shared" si="28"/>
        <v>35.578512396694222</v>
      </c>
    </row>
    <row r="174" spans="1:14" ht="34.5" customHeight="1" x14ac:dyDescent="0.3">
      <c r="A174" s="1" t="s">
        <v>11</v>
      </c>
      <c r="B174" s="1" t="s">
        <v>11</v>
      </c>
      <c r="G174" s="1">
        <v>218.5</v>
      </c>
      <c r="H174" s="1">
        <v>0.15</v>
      </c>
      <c r="J174" s="1">
        <v>5.5</v>
      </c>
      <c r="K174" s="1">
        <v>313</v>
      </c>
      <c r="M174" s="1">
        <v>80</v>
      </c>
      <c r="N174" s="1">
        <f t="shared" si="28"/>
        <v>37.516339869281047</v>
      </c>
    </row>
    <row r="175" spans="1:14" ht="34.5" customHeight="1" x14ac:dyDescent="0.3">
      <c r="A175" s="1" t="s">
        <v>11</v>
      </c>
      <c r="B175" s="1" t="s">
        <v>11</v>
      </c>
      <c r="G175" s="1">
        <v>218.5</v>
      </c>
      <c r="H175" s="1">
        <v>0.15</v>
      </c>
      <c r="J175" s="1">
        <v>5.5</v>
      </c>
      <c r="K175" s="1">
        <v>313</v>
      </c>
      <c r="M175" s="1">
        <v>100</v>
      </c>
      <c r="N175" s="1">
        <f t="shared" si="28"/>
        <v>38.783783783783782</v>
      </c>
    </row>
    <row r="176" spans="1:14" ht="34.5" customHeight="1" x14ac:dyDescent="0.3">
      <c r="A176" s="1" t="s">
        <v>11</v>
      </c>
      <c r="B176" s="1" t="s">
        <v>11</v>
      </c>
      <c r="G176" s="1">
        <v>218.5</v>
      </c>
      <c r="H176" s="1">
        <v>0.15</v>
      </c>
      <c r="J176" s="1">
        <v>5.5</v>
      </c>
      <c r="K176" s="1">
        <v>323</v>
      </c>
      <c r="M176" s="1">
        <v>10</v>
      </c>
      <c r="N176" s="1">
        <f t="shared" ref="N176:N181" si="29">(1.98*M176)/(1+0.049*M176)</f>
        <v>13.288590604026846</v>
      </c>
    </row>
    <row r="177" spans="1:14" ht="34.5" customHeight="1" x14ac:dyDescent="0.3">
      <c r="A177" s="1" t="s">
        <v>11</v>
      </c>
      <c r="B177" s="1" t="s">
        <v>11</v>
      </c>
      <c r="G177" s="1">
        <v>218.5</v>
      </c>
      <c r="H177" s="1">
        <v>0.15</v>
      </c>
      <c r="J177" s="1">
        <v>5.5</v>
      </c>
      <c r="K177" s="1">
        <v>323</v>
      </c>
      <c r="M177" s="1">
        <v>20</v>
      </c>
      <c r="N177" s="1">
        <f t="shared" si="29"/>
        <v>20</v>
      </c>
    </row>
    <row r="178" spans="1:14" ht="34.5" customHeight="1" x14ac:dyDescent="0.3">
      <c r="A178" s="1" t="s">
        <v>11</v>
      </c>
      <c r="B178" s="1" t="s">
        <v>11</v>
      </c>
      <c r="G178" s="1">
        <v>218.5</v>
      </c>
      <c r="H178" s="1">
        <v>0.15</v>
      </c>
      <c r="J178" s="1">
        <v>5.5</v>
      </c>
      <c r="K178" s="1">
        <v>323</v>
      </c>
      <c r="M178" s="1">
        <v>40</v>
      </c>
      <c r="N178" s="1">
        <f t="shared" si="29"/>
        <v>26.756756756756758</v>
      </c>
    </row>
    <row r="179" spans="1:14" ht="34.5" customHeight="1" x14ac:dyDescent="0.3">
      <c r="A179" s="1" t="s">
        <v>11</v>
      </c>
      <c r="B179" s="1" t="s">
        <v>11</v>
      </c>
      <c r="G179" s="1">
        <v>218.5</v>
      </c>
      <c r="H179" s="1">
        <v>0.15</v>
      </c>
      <c r="J179" s="1">
        <v>5.5</v>
      </c>
      <c r="K179" s="1">
        <v>323</v>
      </c>
      <c r="M179" s="1">
        <v>60</v>
      </c>
      <c r="N179" s="1">
        <f t="shared" si="29"/>
        <v>30.152284263959391</v>
      </c>
    </row>
    <row r="180" spans="1:14" ht="34.5" customHeight="1" x14ac:dyDescent="0.3">
      <c r="A180" s="1" t="s">
        <v>11</v>
      </c>
      <c r="B180" s="1" t="s">
        <v>11</v>
      </c>
      <c r="G180" s="1">
        <v>218.5</v>
      </c>
      <c r="H180" s="1">
        <v>0.15</v>
      </c>
      <c r="J180" s="1">
        <v>5.5</v>
      </c>
      <c r="K180" s="1">
        <v>323</v>
      </c>
      <c r="M180" s="1">
        <v>80</v>
      </c>
      <c r="N180" s="1">
        <f t="shared" si="29"/>
        <v>32.195121951219512</v>
      </c>
    </row>
    <row r="181" spans="1:14" ht="34.5" customHeight="1" x14ac:dyDescent="0.3">
      <c r="A181" s="1" t="s">
        <v>11</v>
      </c>
      <c r="B181" s="1" t="s">
        <v>11</v>
      </c>
      <c r="G181" s="1">
        <v>218.5</v>
      </c>
      <c r="H181" s="1">
        <v>0.15</v>
      </c>
      <c r="J181" s="1">
        <v>5.5</v>
      </c>
      <c r="K181" s="1">
        <v>323</v>
      </c>
      <c r="M181" s="1">
        <v>100</v>
      </c>
      <c r="N181" s="1">
        <f t="shared" si="29"/>
        <v>33.559322033898304</v>
      </c>
    </row>
    <row r="182" spans="1:14" ht="34.5" customHeight="1" x14ac:dyDescent="0.3">
      <c r="A182" s="1" t="s">
        <v>11</v>
      </c>
      <c r="B182" s="1" t="s">
        <v>11</v>
      </c>
      <c r="G182" s="1">
        <v>218.5</v>
      </c>
      <c r="H182" s="1">
        <v>0.15</v>
      </c>
      <c r="J182" s="1">
        <v>5.5</v>
      </c>
      <c r="K182" s="1">
        <v>333</v>
      </c>
      <c r="M182" s="1">
        <v>10</v>
      </c>
      <c r="N182" s="1">
        <f t="shared" ref="N182:N187" si="30">(1.3*M182)/(1+0.003*M182)</f>
        <v>12.621359223300971</v>
      </c>
    </row>
    <row r="183" spans="1:14" ht="34.5" customHeight="1" x14ac:dyDescent="0.3">
      <c r="A183" s="1" t="s">
        <v>11</v>
      </c>
      <c r="B183" s="1" t="s">
        <v>11</v>
      </c>
      <c r="G183" s="1">
        <v>218.5</v>
      </c>
      <c r="H183" s="1">
        <v>0.15</v>
      </c>
      <c r="J183" s="1">
        <v>5.5</v>
      </c>
      <c r="K183" s="1">
        <v>333</v>
      </c>
      <c r="M183" s="1">
        <v>20</v>
      </c>
      <c r="N183" s="1">
        <f t="shared" si="30"/>
        <v>24.528301886792452</v>
      </c>
    </row>
    <row r="184" spans="1:14" ht="34.5" customHeight="1" x14ac:dyDescent="0.3">
      <c r="A184" s="1" t="s">
        <v>11</v>
      </c>
      <c r="B184" s="1" t="s">
        <v>11</v>
      </c>
      <c r="G184" s="1">
        <v>218.5</v>
      </c>
      <c r="H184" s="1">
        <v>0.15</v>
      </c>
      <c r="J184" s="1">
        <v>5.5</v>
      </c>
      <c r="K184" s="1">
        <v>333</v>
      </c>
      <c r="M184" s="1">
        <v>40</v>
      </c>
      <c r="N184" s="1">
        <f t="shared" si="30"/>
        <v>46.428571428571423</v>
      </c>
    </row>
    <row r="185" spans="1:14" ht="34.5" customHeight="1" x14ac:dyDescent="0.3">
      <c r="A185" s="1" t="s">
        <v>11</v>
      </c>
      <c r="B185" s="1" t="s">
        <v>11</v>
      </c>
      <c r="G185" s="1">
        <v>218.5</v>
      </c>
      <c r="H185" s="1">
        <v>0.15</v>
      </c>
      <c r="J185" s="1">
        <v>5.5</v>
      </c>
      <c r="K185" s="1">
        <v>333</v>
      </c>
      <c r="M185" s="1">
        <v>60</v>
      </c>
      <c r="N185" s="1">
        <f t="shared" si="30"/>
        <v>66.101694915254242</v>
      </c>
    </row>
    <row r="186" spans="1:14" ht="34.5" customHeight="1" x14ac:dyDescent="0.3">
      <c r="A186" s="1" t="s">
        <v>11</v>
      </c>
      <c r="B186" s="1" t="s">
        <v>11</v>
      </c>
      <c r="G186" s="1">
        <v>218.5</v>
      </c>
      <c r="H186" s="1">
        <v>0.15</v>
      </c>
      <c r="J186" s="1">
        <v>5.5</v>
      </c>
      <c r="K186" s="1">
        <v>333</v>
      </c>
      <c r="M186" s="1">
        <v>80</v>
      </c>
      <c r="N186" s="1">
        <f t="shared" si="30"/>
        <v>83.870967741935488</v>
      </c>
    </row>
    <row r="187" spans="1:14" ht="34.5" customHeight="1" x14ac:dyDescent="0.3">
      <c r="A187" s="1" t="s">
        <v>11</v>
      </c>
      <c r="B187" s="1" t="s">
        <v>11</v>
      </c>
      <c r="G187" s="1">
        <v>218.5</v>
      </c>
      <c r="H187" s="1">
        <v>0.15</v>
      </c>
      <c r="J187" s="1">
        <v>5.5</v>
      </c>
      <c r="K187" s="1">
        <v>333</v>
      </c>
      <c r="M187" s="1">
        <v>100</v>
      </c>
      <c r="N187" s="1">
        <f t="shared" si="30"/>
        <v>100</v>
      </c>
    </row>
    <row r="188" spans="1:14" ht="34.5" customHeight="1" x14ac:dyDescent="0.3">
      <c r="A188" s="1" t="s">
        <v>11</v>
      </c>
      <c r="B188" s="1" t="s">
        <v>11</v>
      </c>
      <c r="G188" s="1">
        <v>218.5</v>
      </c>
      <c r="H188" s="1">
        <v>0.15</v>
      </c>
      <c r="J188" s="1">
        <v>5.5</v>
      </c>
      <c r="K188" s="1">
        <v>343</v>
      </c>
      <c r="M188" s="1">
        <v>10</v>
      </c>
      <c r="N188" s="1">
        <f t="shared" ref="N188:N193" si="31">(0.095*M188)/(1+0.022*M188)</f>
        <v>0.77868852459016391</v>
      </c>
    </row>
    <row r="189" spans="1:14" ht="34.5" customHeight="1" x14ac:dyDescent="0.3">
      <c r="A189" s="1" t="s">
        <v>11</v>
      </c>
      <c r="B189" s="1" t="s">
        <v>11</v>
      </c>
      <c r="G189" s="1">
        <v>218.5</v>
      </c>
      <c r="H189" s="1">
        <v>0.15</v>
      </c>
      <c r="J189" s="1">
        <v>5.5</v>
      </c>
      <c r="K189" s="1">
        <v>343</v>
      </c>
      <c r="M189" s="1">
        <v>20</v>
      </c>
      <c r="N189" s="1">
        <f t="shared" si="31"/>
        <v>1.3194444444444444</v>
      </c>
    </row>
    <row r="190" spans="1:14" ht="34.5" customHeight="1" x14ac:dyDescent="0.3">
      <c r="A190" s="1" t="s">
        <v>11</v>
      </c>
      <c r="B190" s="1" t="s">
        <v>11</v>
      </c>
      <c r="G190" s="1">
        <v>218.5</v>
      </c>
      <c r="H190" s="1">
        <v>0.15</v>
      </c>
      <c r="J190" s="1">
        <v>5.5</v>
      </c>
      <c r="K190" s="1">
        <v>343</v>
      </c>
      <c r="M190" s="1">
        <v>40</v>
      </c>
      <c r="N190" s="1">
        <f t="shared" si="31"/>
        <v>2.021276595744681</v>
      </c>
    </row>
    <row r="191" spans="1:14" ht="34.5" customHeight="1" x14ac:dyDescent="0.3">
      <c r="A191" s="1" t="s">
        <v>11</v>
      </c>
      <c r="B191" s="1" t="s">
        <v>11</v>
      </c>
      <c r="G191" s="1">
        <v>218.5</v>
      </c>
      <c r="H191" s="1">
        <v>0.15</v>
      </c>
      <c r="J191" s="1">
        <v>5.5</v>
      </c>
      <c r="K191" s="1">
        <v>343</v>
      </c>
      <c r="M191" s="1">
        <v>60</v>
      </c>
      <c r="N191" s="1">
        <f t="shared" si="31"/>
        <v>2.4568965517241383</v>
      </c>
    </row>
    <row r="192" spans="1:14" ht="34.5" customHeight="1" x14ac:dyDescent="0.3">
      <c r="A192" s="1" t="s">
        <v>11</v>
      </c>
      <c r="B192" s="1" t="s">
        <v>11</v>
      </c>
      <c r="G192" s="1">
        <v>218.5</v>
      </c>
      <c r="H192" s="1">
        <v>0.15</v>
      </c>
      <c r="J192" s="1">
        <v>5.5</v>
      </c>
      <c r="K192" s="1">
        <v>343</v>
      </c>
      <c r="M192" s="1">
        <v>80</v>
      </c>
      <c r="N192" s="1">
        <f t="shared" si="31"/>
        <v>2.7536231884057973</v>
      </c>
    </row>
    <row r="193" spans="1:14" ht="34.5" customHeight="1" x14ac:dyDescent="0.3">
      <c r="A193" s="1" t="s">
        <v>11</v>
      </c>
      <c r="B193" s="1" t="s">
        <v>11</v>
      </c>
      <c r="G193" s="1">
        <v>218.5</v>
      </c>
      <c r="H193" s="1">
        <v>0.15</v>
      </c>
      <c r="J193" s="1">
        <v>5.5</v>
      </c>
      <c r="K193" s="1">
        <v>343</v>
      </c>
      <c r="M193" s="1">
        <v>100</v>
      </c>
      <c r="N193" s="1">
        <f t="shared" si="31"/>
        <v>2.9687500000000004</v>
      </c>
    </row>
    <row r="194" spans="1:14" ht="34.5" customHeight="1" x14ac:dyDescent="0.3">
      <c r="A194" s="1" t="s">
        <v>11</v>
      </c>
      <c r="B194" s="1" t="s">
        <v>11</v>
      </c>
      <c r="G194" s="1">
        <v>218.5</v>
      </c>
      <c r="H194" s="1">
        <v>0.15</v>
      </c>
      <c r="J194" s="1">
        <v>5.5</v>
      </c>
      <c r="K194" s="1">
        <v>353</v>
      </c>
      <c r="M194" s="1">
        <v>10</v>
      </c>
      <c r="N194" s="1">
        <f t="shared" ref="N194:N199" si="32">(0.66*M194)/(1+0.014*M194)</f>
        <v>5.7894736842105265</v>
      </c>
    </row>
    <row r="195" spans="1:14" ht="34.5" customHeight="1" x14ac:dyDescent="0.3">
      <c r="A195" s="1" t="s">
        <v>11</v>
      </c>
      <c r="B195" s="1" t="s">
        <v>11</v>
      </c>
      <c r="G195" s="1">
        <v>218.5</v>
      </c>
      <c r="H195" s="1">
        <v>0.15</v>
      </c>
      <c r="J195" s="1">
        <v>5.5</v>
      </c>
      <c r="K195" s="1">
        <v>353</v>
      </c>
      <c r="M195" s="1">
        <v>20</v>
      </c>
      <c r="N195" s="1">
        <f t="shared" si="32"/>
        <v>10.3125</v>
      </c>
    </row>
    <row r="196" spans="1:14" ht="34.5" customHeight="1" x14ac:dyDescent="0.3">
      <c r="A196" s="1" t="s">
        <v>11</v>
      </c>
      <c r="B196" s="1" t="s">
        <v>11</v>
      </c>
      <c r="G196" s="1">
        <v>218.5</v>
      </c>
      <c r="H196" s="1">
        <v>0.15</v>
      </c>
      <c r="J196" s="1">
        <v>5.5</v>
      </c>
      <c r="K196" s="1">
        <v>353</v>
      </c>
      <c r="M196" s="1">
        <v>40</v>
      </c>
      <c r="N196" s="1">
        <f t="shared" si="32"/>
        <v>16.923076923076923</v>
      </c>
    </row>
    <row r="197" spans="1:14" ht="34.5" customHeight="1" x14ac:dyDescent="0.3">
      <c r="A197" s="1" t="s">
        <v>11</v>
      </c>
      <c r="B197" s="1" t="s">
        <v>11</v>
      </c>
      <c r="G197" s="1">
        <v>218.5</v>
      </c>
      <c r="H197" s="1">
        <v>0.15</v>
      </c>
      <c r="J197" s="1">
        <v>5.5</v>
      </c>
      <c r="K197" s="1">
        <v>353</v>
      </c>
      <c r="M197" s="1">
        <v>60</v>
      </c>
      <c r="N197" s="1">
        <f t="shared" si="32"/>
        <v>21.521739130434785</v>
      </c>
    </row>
    <row r="198" spans="1:14" ht="34.5" customHeight="1" x14ac:dyDescent="0.3">
      <c r="A198" s="1" t="s">
        <v>11</v>
      </c>
      <c r="B198" s="1" t="s">
        <v>11</v>
      </c>
      <c r="G198" s="1">
        <v>218.5</v>
      </c>
      <c r="H198" s="1">
        <v>0.15</v>
      </c>
      <c r="J198" s="1">
        <v>5.5</v>
      </c>
      <c r="K198" s="1">
        <v>353</v>
      </c>
      <c r="M198" s="1">
        <v>80</v>
      </c>
      <c r="N198" s="1">
        <f t="shared" si="32"/>
        <v>24.90566037735849</v>
      </c>
    </row>
    <row r="199" spans="1:14" ht="34.5" customHeight="1" x14ac:dyDescent="0.3">
      <c r="A199" s="1" t="s">
        <v>11</v>
      </c>
      <c r="B199" s="1" t="s">
        <v>11</v>
      </c>
      <c r="G199" s="1">
        <v>218.5</v>
      </c>
      <c r="H199" s="1">
        <v>0.15</v>
      </c>
      <c r="J199" s="1">
        <v>5.5</v>
      </c>
      <c r="K199" s="1">
        <v>353</v>
      </c>
      <c r="M199" s="1">
        <v>100</v>
      </c>
      <c r="N199" s="1">
        <f t="shared" si="32"/>
        <v>27.499999999999996</v>
      </c>
    </row>
    <row r="200" spans="1:14" ht="34.5" customHeight="1" x14ac:dyDescent="0.3">
      <c r="A200" s="1">
        <v>18.98</v>
      </c>
      <c r="C200" s="1">
        <v>2.4670000000000001</v>
      </c>
      <c r="G200" s="1">
        <v>1326</v>
      </c>
      <c r="I200" s="1">
        <v>1.8</v>
      </c>
      <c r="J200" s="1">
        <v>7</v>
      </c>
      <c r="K200" s="1">
        <v>298</v>
      </c>
      <c r="M200" s="1">
        <v>2</v>
      </c>
      <c r="N200" s="1">
        <f t="shared" ref="N200:N205" si="33">(29.44*8.6*M200)/(1+8.6*M200)</f>
        <v>27.822417582417582</v>
      </c>
    </row>
    <row r="201" spans="1:14" ht="34.5" customHeight="1" x14ac:dyDescent="0.3">
      <c r="A201" s="1">
        <v>18.98</v>
      </c>
      <c r="C201" s="1">
        <v>2.4670000000000001</v>
      </c>
      <c r="G201" s="1">
        <v>1326</v>
      </c>
      <c r="I201" s="1">
        <v>1.8</v>
      </c>
      <c r="J201" s="1">
        <v>7</v>
      </c>
      <c r="K201" s="1">
        <v>298</v>
      </c>
      <c r="M201" s="1">
        <v>3</v>
      </c>
      <c r="N201" s="1">
        <f t="shared" si="33"/>
        <v>28.341492537313435</v>
      </c>
    </row>
    <row r="202" spans="1:14" ht="34.5" customHeight="1" x14ac:dyDescent="0.3">
      <c r="A202" s="1">
        <v>18.98</v>
      </c>
      <c r="C202" s="1">
        <v>2.4670000000000001</v>
      </c>
      <c r="G202" s="1">
        <v>1326</v>
      </c>
      <c r="I202" s="1">
        <v>1.8</v>
      </c>
      <c r="J202" s="1">
        <v>7</v>
      </c>
      <c r="K202" s="1">
        <v>298</v>
      </c>
      <c r="M202" s="1">
        <v>5</v>
      </c>
      <c r="N202" s="1">
        <f t="shared" si="33"/>
        <v>28.770909090909093</v>
      </c>
    </row>
    <row r="203" spans="1:14" ht="34.5" customHeight="1" x14ac:dyDescent="0.3">
      <c r="A203" s="1">
        <v>18.98</v>
      </c>
      <c r="C203" s="1">
        <v>2.4670000000000001</v>
      </c>
      <c r="G203" s="1">
        <v>1326</v>
      </c>
      <c r="I203" s="1">
        <v>1.8</v>
      </c>
      <c r="J203" s="1">
        <v>7</v>
      </c>
      <c r="K203" s="1">
        <v>298</v>
      </c>
      <c r="M203" s="1">
        <v>12</v>
      </c>
      <c r="N203" s="1">
        <f t="shared" si="33"/>
        <v>29.157466410748565</v>
      </c>
    </row>
    <row r="204" spans="1:14" ht="34.5" customHeight="1" x14ac:dyDescent="0.3">
      <c r="A204" s="1">
        <v>18.98</v>
      </c>
      <c r="C204" s="1">
        <v>2.4670000000000001</v>
      </c>
      <c r="G204" s="1">
        <v>1326</v>
      </c>
      <c r="I204" s="1">
        <v>1.8</v>
      </c>
      <c r="J204" s="1">
        <v>7</v>
      </c>
      <c r="K204" s="1">
        <v>298</v>
      </c>
      <c r="M204" s="1">
        <v>15</v>
      </c>
      <c r="N204" s="1">
        <f t="shared" si="33"/>
        <v>29.213538461538459</v>
      </c>
    </row>
    <row r="205" spans="1:14" ht="34.5" customHeight="1" x14ac:dyDescent="0.3">
      <c r="A205" s="1">
        <v>18.98</v>
      </c>
      <c r="C205" s="1">
        <v>2.4670000000000001</v>
      </c>
      <c r="G205" s="1">
        <v>1326</v>
      </c>
      <c r="I205" s="1">
        <v>1.8</v>
      </c>
      <c r="J205" s="1">
        <v>7</v>
      </c>
      <c r="K205" s="1">
        <v>298</v>
      </c>
      <c r="M205" s="1">
        <v>25</v>
      </c>
      <c r="N205" s="1">
        <f t="shared" si="33"/>
        <v>29.303703703703704</v>
      </c>
    </row>
    <row r="206" spans="1:14" ht="34.5" customHeight="1" x14ac:dyDescent="0.3">
      <c r="A206" s="1">
        <v>12.1</v>
      </c>
      <c r="G206" s="1">
        <v>8.11</v>
      </c>
      <c r="H206" s="1">
        <v>3.73</v>
      </c>
      <c r="J206" s="1">
        <v>7</v>
      </c>
      <c r="K206" s="1">
        <v>298</v>
      </c>
      <c r="M206" s="1">
        <v>5</v>
      </c>
      <c r="N206" s="1">
        <f t="shared" ref="N206:N211" si="34">(36.062*0.215*M206)/(1+0.215*M206)</f>
        <v>18.682722891566264</v>
      </c>
    </row>
    <row r="207" spans="1:14" ht="34.5" customHeight="1" x14ac:dyDescent="0.3">
      <c r="A207" s="1">
        <v>12.1</v>
      </c>
      <c r="G207" s="1">
        <v>8.11</v>
      </c>
      <c r="H207" s="1">
        <v>3.73</v>
      </c>
      <c r="J207" s="1">
        <v>7</v>
      </c>
      <c r="K207" s="1">
        <v>298</v>
      </c>
      <c r="M207" s="1">
        <v>30</v>
      </c>
      <c r="N207" s="1">
        <f t="shared" si="34"/>
        <v>31.221463087248317</v>
      </c>
    </row>
    <row r="208" spans="1:14" ht="34.5" customHeight="1" x14ac:dyDescent="0.3">
      <c r="A208" s="1">
        <v>12.1</v>
      </c>
      <c r="G208" s="1">
        <v>8.11</v>
      </c>
      <c r="H208" s="1">
        <v>3.73</v>
      </c>
      <c r="J208" s="1">
        <v>7</v>
      </c>
      <c r="K208" s="1">
        <v>298</v>
      </c>
      <c r="M208" s="1">
        <v>50</v>
      </c>
      <c r="N208" s="1">
        <f t="shared" si="34"/>
        <v>32.992893617021274</v>
      </c>
    </row>
    <row r="209" spans="1:14" ht="34.5" customHeight="1" x14ac:dyDescent="0.3">
      <c r="A209" s="1">
        <v>12.1</v>
      </c>
      <c r="G209" s="1">
        <v>8.11</v>
      </c>
      <c r="H209" s="1">
        <v>3.73</v>
      </c>
      <c r="J209" s="1">
        <v>7</v>
      </c>
      <c r="K209" s="1">
        <v>298</v>
      </c>
      <c r="M209" s="1">
        <v>100</v>
      </c>
      <c r="N209" s="1">
        <f t="shared" si="34"/>
        <v>34.459244444444444</v>
      </c>
    </row>
    <row r="210" spans="1:14" ht="34.5" customHeight="1" x14ac:dyDescent="0.3">
      <c r="A210" s="1">
        <v>12.1</v>
      </c>
      <c r="G210" s="1">
        <v>8.11</v>
      </c>
      <c r="H210" s="1">
        <v>3.73</v>
      </c>
      <c r="J210" s="1">
        <v>7</v>
      </c>
      <c r="K210" s="1">
        <v>298</v>
      </c>
      <c r="M210" s="1">
        <v>200</v>
      </c>
      <c r="N210" s="1">
        <f t="shared" si="34"/>
        <v>35.242409090909092</v>
      </c>
    </row>
    <row r="211" spans="1:14" ht="34.5" customHeight="1" x14ac:dyDescent="0.3">
      <c r="A211" s="1">
        <v>12.1</v>
      </c>
      <c r="G211" s="1">
        <v>8.11</v>
      </c>
      <c r="H211" s="1">
        <v>3.73</v>
      </c>
      <c r="J211" s="1">
        <v>7</v>
      </c>
      <c r="K211" s="1">
        <v>298</v>
      </c>
      <c r="M211" s="1">
        <v>450</v>
      </c>
      <c r="N211" s="1">
        <f t="shared" si="34"/>
        <v>35.693079283887464</v>
      </c>
    </row>
    <row r="212" spans="1:14" ht="34.5" customHeight="1" x14ac:dyDescent="0.3">
      <c r="A212" s="1">
        <v>12.1</v>
      </c>
      <c r="G212" s="1">
        <v>8.11</v>
      </c>
      <c r="H212" s="1">
        <v>3.73</v>
      </c>
      <c r="J212" s="1">
        <v>7</v>
      </c>
      <c r="K212" s="1">
        <v>308</v>
      </c>
      <c r="M212" s="1">
        <v>5</v>
      </c>
      <c r="N212" s="1">
        <f t="shared" ref="N212:N217" si="35">(36.219*0.325*M212)/(1+0.325*M212)</f>
        <v>22.421285714285716</v>
      </c>
    </row>
    <row r="213" spans="1:14" ht="34.5" customHeight="1" x14ac:dyDescent="0.3">
      <c r="A213" s="1">
        <v>12.1</v>
      </c>
      <c r="G213" s="1">
        <v>8.11</v>
      </c>
      <c r="H213" s="1">
        <v>3.73</v>
      </c>
      <c r="J213" s="1">
        <v>7</v>
      </c>
      <c r="K213" s="1">
        <v>308</v>
      </c>
      <c r="M213" s="1">
        <v>30</v>
      </c>
      <c r="N213" s="1">
        <f t="shared" si="35"/>
        <v>32.849790697674422</v>
      </c>
    </row>
    <row r="214" spans="1:14" ht="34.5" customHeight="1" x14ac:dyDescent="0.3">
      <c r="A214" s="1">
        <v>12.1</v>
      </c>
      <c r="G214" s="1">
        <v>8.11</v>
      </c>
      <c r="H214" s="1">
        <v>3.73</v>
      </c>
      <c r="J214" s="1">
        <v>7</v>
      </c>
      <c r="K214" s="1">
        <v>308</v>
      </c>
      <c r="M214" s="1">
        <v>50</v>
      </c>
      <c r="N214" s="1">
        <f t="shared" si="35"/>
        <v>34.119347826086958</v>
      </c>
    </row>
    <row r="215" spans="1:14" ht="34.5" customHeight="1" x14ac:dyDescent="0.3">
      <c r="A215" s="1">
        <v>12.1</v>
      </c>
      <c r="G215" s="1">
        <v>8.11</v>
      </c>
      <c r="H215" s="1">
        <v>3.73</v>
      </c>
      <c r="J215" s="1">
        <v>7</v>
      </c>
      <c r="K215" s="1">
        <v>308</v>
      </c>
      <c r="M215" s="1">
        <v>100</v>
      </c>
      <c r="N215" s="1">
        <f t="shared" si="35"/>
        <v>35.137835820895525</v>
      </c>
    </row>
    <row r="216" spans="1:14" ht="34.5" customHeight="1" x14ac:dyDescent="0.3">
      <c r="A216" s="1">
        <v>12.1</v>
      </c>
      <c r="G216" s="1">
        <v>8.11</v>
      </c>
      <c r="H216" s="1">
        <v>3.73</v>
      </c>
      <c r="J216" s="1">
        <v>7</v>
      </c>
      <c r="K216" s="1">
        <v>308</v>
      </c>
      <c r="M216" s="1">
        <v>200</v>
      </c>
      <c r="N216" s="1">
        <f t="shared" si="35"/>
        <v>35.670227272727274</v>
      </c>
    </row>
    <row r="217" spans="1:14" ht="34.5" customHeight="1" x14ac:dyDescent="0.3">
      <c r="A217" s="1">
        <v>12.1</v>
      </c>
      <c r="G217" s="1">
        <v>8.11</v>
      </c>
      <c r="H217" s="1">
        <v>3.73</v>
      </c>
      <c r="J217" s="1">
        <v>7</v>
      </c>
      <c r="K217" s="1">
        <v>308</v>
      </c>
      <c r="M217" s="1">
        <v>450</v>
      </c>
      <c r="N217" s="1">
        <f t="shared" si="35"/>
        <v>35.973030560271653</v>
      </c>
    </row>
    <row r="218" spans="1:14" ht="34.5" customHeight="1" x14ac:dyDescent="0.3">
      <c r="A218" s="1">
        <v>12.1</v>
      </c>
      <c r="G218" s="1">
        <v>8.11</v>
      </c>
      <c r="H218" s="1">
        <v>3.73</v>
      </c>
      <c r="J218" s="1">
        <v>7</v>
      </c>
      <c r="K218" s="1">
        <v>318</v>
      </c>
      <c r="M218" s="1">
        <v>5</v>
      </c>
      <c r="N218" s="1">
        <f t="shared" ref="N218:N223" si="36">(36.657*0.344*M218)/(1+0.344*M218)</f>
        <v>23.180161764705879</v>
      </c>
    </row>
    <row r="219" spans="1:14" ht="34.5" customHeight="1" x14ac:dyDescent="0.3">
      <c r="A219" s="1">
        <v>12.1</v>
      </c>
      <c r="G219" s="1">
        <v>8.11</v>
      </c>
      <c r="H219" s="1">
        <v>3.73</v>
      </c>
      <c r="J219" s="1">
        <v>7</v>
      </c>
      <c r="K219" s="1">
        <v>318</v>
      </c>
      <c r="M219" s="1">
        <v>30</v>
      </c>
      <c r="N219" s="1">
        <f t="shared" si="36"/>
        <v>33.418749116607771</v>
      </c>
    </row>
    <row r="220" spans="1:14" ht="34.5" customHeight="1" x14ac:dyDescent="0.3">
      <c r="A220" s="1">
        <v>12.1</v>
      </c>
      <c r="G220" s="1">
        <v>8.11</v>
      </c>
      <c r="H220" s="1">
        <v>3.73</v>
      </c>
      <c r="J220" s="1">
        <v>7</v>
      </c>
      <c r="K220" s="1">
        <v>318</v>
      </c>
      <c r="M220" s="1">
        <v>50</v>
      </c>
      <c r="N220" s="1">
        <f t="shared" si="36"/>
        <v>34.642879120879115</v>
      </c>
    </row>
    <row r="221" spans="1:14" ht="34.5" customHeight="1" x14ac:dyDescent="0.3">
      <c r="A221" s="1">
        <v>12.1</v>
      </c>
      <c r="G221" s="1">
        <v>8.11</v>
      </c>
      <c r="H221" s="1">
        <v>3.73</v>
      </c>
      <c r="J221" s="1">
        <v>7</v>
      </c>
      <c r="K221" s="1">
        <v>318</v>
      </c>
      <c r="M221" s="1">
        <v>100</v>
      </c>
      <c r="N221" s="1">
        <f t="shared" si="36"/>
        <v>35.621491525423721</v>
      </c>
    </row>
    <row r="222" spans="1:14" ht="34.5" customHeight="1" x14ac:dyDescent="0.3">
      <c r="A222" s="1">
        <v>12.1</v>
      </c>
      <c r="G222" s="1">
        <v>8.11</v>
      </c>
      <c r="H222" s="1">
        <v>3.73</v>
      </c>
      <c r="J222" s="1">
        <v>7</v>
      </c>
      <c r="K222" s="1">
        <v>318</v>
      </c>
      <c r="M222" s="1">
        <v>200</v>
      </c>
      <c r="N222" s="1">
        <f t="shared" si="36"/>
        <v>36.131828080229219</v>
      </c>
    </row>
    <row r="223" spans="1:14" ht="34.5" customHeight="1" x14ac:dyDescent="0.3">
      <c r="A223" s="1">
        <v>12.1</v>
      </c>
      <c r="G223" s="1">
        <v>8.11</v>
      </c>
      <c r="H223" s="1">
        <v>3.73</v>
      </c>
      <c r="J223" s="1">
        <v>7</v>
      </c>
      <c r="K223" s="1">
        <v>318</v>
      </c>
      <c r="M223" s="1">
        <v>450</v>
      </c>
      <c r="N223" s="1">
        <f t="shared" si="36"/>
        <v>36.42171758664955</v>
      </c>
    </row>
    <row r="224" spans="1:14" ht="34.5" customHeight="1" x14ac:dyDescent="0.3">
      <c r="A224" s="1" t="s">
        <v>11</v>
      </c>
      <c r="B224" s="1" t="s">
        <v>11</v>
      </c>
      <c r="F224" s="1" t="s">
        <v>11</v>
      </c>
      <c r="G224" s="1">
        <v>65.209999999999994</v>
      </c>
      <c r="H224" s="1">
        <v>0.121</v>
      </c>
      <c r="I224" s="1">
        <v>3.6749999999999998</v>
      </c>
      <c r="J224" s="1">
        <v>7</v>
      </c>
      <c r="K224" s="1">
        <v>288</v>
      </c>
      <c r="M224" s="1">
        <v>1</v>
      </c>
      <c r="N224" s="1">
        <f t="shared" ref="N224:N229" si="37">(64.41*7.673*M224)/(1+7.673*M224)</f>
        <v>56.983503977862327</v>
      </c>
    </row>
    <row r="225" spans="1:14" ht="34.5" customHeight="1" x14ac:dyDescent="0.3">
      <c r="A225" s="1" t="s">
        <v>11</v>
      </c>
      <c r="B225" s="1" t="s">
        <v>11</v>
      </c>
      <c r="F225" s="1" t="s">
        <v>11</v>
      </c>
      <c r="G225" s="1">
        <v>65.209999999999994</v>
      </c>
      <c r="H225" s="1">
        <v>0.121</v>
      </c>
      <c r="I225" s="1">
        <v>3.6749999999999998</v>
      </c>
      <c r="J225" s="1">
        <v>7</v>
      </c>
      <c r="K225" s="1">
        <v>288</v>
      </c>
      <c r="M225" s="1">
        <v>3</v>
      </c>
      <c r="N225" s="1">
        <f t="shared" si="37"/>
        <v>61.72837295474416</v>
      </c>
    </row>
    <row r="226" spans="1:14" ht="34.5" customHeight="1" x14ac:dyDescent="0.3">
      <c r="A226" s="1" t="s">
        <v>11</v>
      </c>
      <c r="B226" s="1" t="s">
        <v>11</v>
      </c>
      <c r="F226" s="1" t="s">
        <v>11</v>
      </c>
      <c r="G226" s="1">
        <v>65.209999999999994</v>
      </c>
      <c r="H226" s="1">
        <v>0.121</v>
      </c>
      <c r="I226" s="1">
        <v>3.6749999999999998</v>
      </c>
      <c r="J226" s="1">
        <v>7</v>
      </c>
      <c r="K226" s="1">
        <v>288</v>
      </c>
      <c r="M226" s="1">
        <v>7</v>
      </c>
      <c r="N226" s="1">
        <f t="shared" si="37"/>
        <v>63.232723035586993</v>
      </c>
    </row>
    <row r="227" spans="1:14" ht="34.5" customHeight="1" x14ac:dyDescent="0.3">
      <c r="A227" s="1" t="s">
        <v>11</v>
      </c>
      <c r="B227" s="1" t="s">
        <v>11</v>
      </c>
      <c r="F227" s="1" t="s">
        <v>11</v>
      </c>
      <c r="G227" s="1">
        <v>65.209999999999994</v>
      </c>
      <c r="H227" s="1">
        <v>0.121</v>
      </c>
      <c r="I227" s="1">
        <v>3.6749999999999998</v>
      </c>
      <c r="J227" s="1">
        <v>7</v>
      </c>
      <c r="K227" s="1">
        <v>288</v>
      </c>
      <c r="M227" s="1">
        <v>11</v>
      </c>
      <c r="N227" s="1">
        <f t="shared" si="37"/>
        <v>63.655811037082998</v>
      </c>
    </row>
    <row r="228" spans="1:14" ht="34.5" customHeight="1" x14ac:dyDescent="0.3">
      <c r="A228" s="1" t="s">
        <v>11</v>
      </c>
      <c r="B228" s="1" t="s">
        <v>11</v>
      </c>
      <c r="F228" s="1" t="s">
        <v>11</v>
      </c>
      <c r="G228" s="1">
        <v>65.209999999999994</v>
      </c>
      <c r="H228" s="1">
        <v>0.121</v>
      </c>
      <c r="I228" s="1">
        <v>3.6749999999999998</v>
      </c>
      <c r="J228" s="1">
        <v>7</v>
      </c>
      <c r="K228" s="1">
        <v>288</v>
      </c>
      <c r="M228" s="1">
        <v>16</v>
      </c>
      <c r="N228" s="1">
        <f t="shared" si="37"/>
        <v>63.889590847391887</v>
      </c>
    </row>
    <row r="229" spans="1:14" ht="34.5" customHeight="1" x14ac:dyDescent="0.3">
      <c r="A229" s="1" t="s">
        <v>11</v>
      </c>
      <c r="B229" s="1" t="s">
        <v>11</v>
      </c>
      <c r="F229" s="1" t="s">
        <v>11</v>
      </c>
      <c r="G229" s="1">
        <v>65.209999999999994</v>
      </c>
      <c r="H229" s="1">
        <v>0.121</v>
      </c>
      <c r="I229" s="1">
        <v>3.6749999999999998</v>
      </c>
      <c r="J229" s="1">
        <v>7</v>
      </c>
      <c r="K229" s="1">
        <v>288</v>
      </c>
      <c r="M229" s="1">
        <v>22</v>
      </c>
      <c r="N229" s="1">
        <f t="shared" si="37"/>
        <v>64.030684781456472</v>
      </c>
    </row>
    <row r="230" spans="1:14" ht="34.5" customHeight="1" x14ac:dyDescent="0.3">
      <c r="A230" s="1" t="s">
        <v>11</v>
      </c>
      <c r="B230" s="1" t="s">
        <v>11</v>
      </c>
      <c r="F230" s="1" t="s">
        <v>11</v>
      </c>
      <c r="G230" s="1">
        <v>65.209999999999994</v>
      </c>
      <c r="H230" s="1">
        <v>0.121</v>
      </c>
      <c r="I230" s="1">
        <v>3.6749999999999998</v>
      </c>
      <c r="J230" s="1">
        <v>7</v>
      </c>
      <c r="K230" s="1">
        <v>293</v>
      </c>
      <c r="M230" s="1">
        <v>1</v>
      </c>
      <c r="N230" s="1">
        <f t="shared" ref="N230:N235" si="38">(67.05*6.177*M230)/(1+6.177*M230)</f>
        <v>57.707656402396537</v>
      </c>
    </row>
    <row r="231" spans="1:14" ht="34.5" customHeight="1" x14ac:dyDescent="0.3">
      <c r="A231" s="1" t="s">
        <v>11</v>
      </c>
      <c r="B231" s="1" t="s">
        <v>11</v>
      </c>
      <c r="F231" s="1" t="s">
        <v>11</v>
      </c>
      <c r="G231" s="1">
        <v>65.209999999999994</v>
      </c>
      <c r="H231" s="1">
        <v>0.121</v>
      </c>
      <c r="I231" s="1">
        <v>3.6749999999999998</v>
      </c>
      <c r="J231" s="1">
        <v>7</v>
      </c>
      <c r="K231" s="1">
        <v>293</v>
      </c>
      <c r="M231" s="1">
        <v>3</v>
      </c>
      <c r="N231" s="1">
        <f t="shared" si="38"/>
        <v>63.616996057549535</v>
      </c>
    </row>
    <row r="232" spans="1:14" ht="34.5" customHeight="1" x14ac:dyDescent="0.3">
      <c r="A232" s="1" t="s">
        <v>11</v>
      </c>
      <c r="B232" s="1" t="s">
        <v>11</v>
      </c>
      <c r="F232" s="1" t="s">
        <v>11</v>
      </c>
      <c r="G232" s="1">
        <v>65.209999999999994</v>
      </c>
      <c r="H232" s="1">
        <v>0.121</v>
      </c>
      <c r="I232" s="1">
        <v>3.6749999999999998</v>
      </c>
      <c r="J232" s="1">
        <v>7</v>
      </c>
      <c r="K232" s="1">
        <v>293</v>
      </c>
      <c r="M232" s="1">
        <v>7</v>
      </c>
      <c r="N232" s="1">
        <f t="shared" si="38"/>
        <v>65.534368995682541</v>
      </c>
    </row>
    <row r="233" spans="1:14" ht="34.5" customHeight="1" x14ac:dyDescent="0.3">
      <c r="A233" s="1" t="s">
        <v>11</v>
      </c>
      <c r="B233" s="1" t="s">
        <v>11</v>
      </c>
      <c r="F233" s="1" t="s">
        <v>11</v>
      </c>
      <c r="G233" s="1">
        <v>65.209999999999994</v>
      </c>
      <c r="H233" s="1">
        <v>0.121</v>
      </c>
      <c r="I233" s="1">
        <v>3.6749999999999998</v>
      </c>
      <c r="J233" s="1">
        <v>7</v>
      </c>
      <c r="K233" s="1">
        <v>293</v>
      </c>
      <c r="M233" s="1">
        <v>11</v>
      </c>
      <c r="N233" s="1">
        <f t="shared" si="38"/>
        <v>66.077513887478773</v>
      </c>
    </row>
    <row r="234" spans="1:14" ht="34.5" customHeight="1" x14ac:dyDescent="0.3">
      <c r="A234" s="1" t="s">
        <v>11</v>
      </c>
      <c r="B234" s="1" t="s">
        <v>11</v>
      </c>
      <c r="F234" s="1" t="s">
        <v>11</v>
      </c>
      <c r="G234" s="1">
        <v>65.209999999999994</v>
      </c>
      <c r="H234" s="1">
        <v>0.121</v>
      </c>
      <c r="I234" s="1">
        <v>3.6749999999999998</v>
      </c>
      <c r="J234" s="1">
        <v>7</v>
      </c>
      <c r="K234" s="1">
        <v>293</v>
      </c>
      <c r="M234" s="1">
        <v>16</v>
      </c>
      <c r="N234" s="1">
        <f t="shared" si="38"/>
        <v>66.378371664396184</v>
      </c>
    </row>
    <row r="235" spans="1:14" ht="34.5" customHeight="1" x14ac:dyDescent="0.3">
      <c r="A235" s="1" t="s">
        <v>11</v>
      </c>
      <c r="B235" s="1" t="s">
        <v>11</v>
      </c>
      <c r="F235" s="1" t="s">
        <v>11</v>
      </c>
      <c r="G235" s="1">
        <v>65.209999999999994</v>
      </c>
      <c r="H235" s="1">
        <v>0.121</v>
      </c>
      <c r="I235" s="1">
        <v>3.6749999999999998</v>
      </c>
      <c r="J235" s="1">
        <v>7</v>
      </c>
      <c r="K235" s="1">
        <v>293</v>
      </c>
      <c r="M235" s="1">
        <v>22</v>
      </c>
      <c r="N235" s="1">
        <f t="shared" si="38"/>
        <v>66.560204976112885</v>
      </c>
    </row>
    <row r="236" spans="1:14" ht="34.5" customHeight="1" x14ac:dyDescent="0.3">
      <c r="A236" s="1" t="s">
        <v>11</v>
      </c>
      <c r="B236" s="1" t="s">
        <v>11</v>
      </c>
      <c r="F236" s="1" t="s">
        <v>11</v>
      </c>
      <c r="G236" s="1">
        <v>65.209999999999994</v>
      </c>
      <c r="H236" s="1">
        <v>0.121</v>
      </c>
      <c r="I236" s="1">
        <v>3.6749999999999998</v>
      </c>
      <c r="J236" s="1">
        <v>7</v>
      </c>
      <c r="K236" s="1">
        <v>298</v>
      </c>
      <c r="M236" s="1">
        <v>1</v>
      </c>
      <c r="N236" s="1">
        <f t="shared" ref="N236:N241" si="39">(70.39*5.274*M236)/(1+5.274*M236)</f>
        <v>59.170682180427157</v>
      </c>
    </row>
    <row r="237" spans="1:14" ht="34.5" customHeight="1" x14ac:dyDescent="0.3">
      <c r="A237" s="1" t="s">
        <v>11</v>
      </c>
      <c r="B237" s="1" t="s">
        <v>11</v>
      </c>
      <c r="F237" s="1" t="s">
        <v>11</v>
      </c>
      <c r="G237" s="1">
        <v>65.209999999999994</v>
      </c>
      <c r="H237" s="1">
        <v>0.121</v>
      </c>
      <c r="I237" s="1">
        <v>3.6749999999999998</v>
      </c>
      <c r="J237" s="1">
        <v>7</v>
      </c>
      <c r="K237" s="1">
        <v>298</v>
      </c>
      <c r="M237" s="1">
        <v>3</v>
      </c>
      <c r="N237" s="1">
        <f t="shared" si="39"/>
        <v>66.20559862085365</v>
      </c>
    </row>
    <row r="238" spans="1:14" ht="34.5" customHeight="1" x14ac:dyDescent="0.3">
      <c r="A238" s="1" t="s">
        <v>11</v>
      </c>
      <c r="B238" s="1" t="s">
        <v>11</v>
      </c>
      <c r="F238" s="1" t="s">
        <v>11</v>
      </c>
      <c r="G238" s="1">
        <v>65.209999999999994</v>
      </c>
      <c r="H238" s="1">
        <v>0.121</v>
      </c>
      <c r="I238" s="1">
        <v>3.6749999999999998</v>
      </c>
      <c r="J238" s="1">
        <v>7</v>
      </c>
      <c r="K238" s="1">
        <v>298</v>
      </c>
      <c r="M238" s="1">
        <v>7</v>
      </c>
      <c r="N238" s="1">
        <f t="shared" si="39"/>
        <v>68.53362571865604</v>
      </c>
    </row>
    <row r="239" spans="1:14" ht="34.5" customHeight="1" x14ac:dyDescent="0.3">
      <c r="A239" s="1" t="s">
        <v>11</v>
      </c>
      <c r="B239" s="1" t="s">
        <v>11</v>
      </c>
      <c r="F239" s="1" t="s">
        <v>11</v>
      </c>
      <c r="G239" s="1">
        <v>65.209999999999994</v>
      </c>
      <c r="H239" s="1">
        <v>0.121</v>
      </c>
      <c r="I239" s="1">
        <v>3.6749999999999998</v>
      </c>
      <c r="J239" s="1">
        <v>7</v>
      </c>
      <c r="K239" s="1">
        <v>298</v>
      </c>
      <c r="M239" s="1">
        <v>11</v>
      </c>
      <c r="N239" s="1">
        <f t="shared" si="39"/>
        <v>69.197232182194043</v>
      </c>
    </row>
    <row r="240" spans="1:14" ht="34.5" customHeight="1" x14ac:dyDescent="0.3">
      <c r="A240" s="1" t="s">
        <v>11</v>
      </c>
      <c r="B240" s="1" t="s">
        <v>11</v>
      </c>
      <c r="F240" s="1" t="s">
        <v>11</v>
      </c>
      <c r="G240" s="1">
        <v>65.209999999999994</v>
      </c>
      <c r="H240" s="1">
        <v>0.121</v>
      </c>
      <c r="I240" s="1">
        <v>3.6749999999999998</v>
      </c>
      <c r="J240" s="1">
        <v>7</v>
      </c>
      <c r="K240" s="1">
        <v>298</v>
      </c>
      <c r="M240" s="1">
        <v>16</v>
      </c>
      <c r="N240" s="1">
        <f t="shared" si="39"/>
        <v>69.565606671039063</v>
      </c>
    </row>
    <row r="241" spans="1:14" ht="34.5" customHeight="1" x14ac:dyDescent="0.3">
      <c r="A241" s="1" t="s">
        <v>11</v>
      </c>
      <c r="B241" s="1" t="s">
        <v>11</v>
      </c>
      <c r="F241" s="1" t="s">
        <v>11</v>
      </c>
      <c r="G241" s="1">
        <v>65.209999999999994</v>
      </c>
      <c r="H241" s="1">
        <v>0.121</v>
      </c>
      <c r="I241" s="1">
        <v>3.6749999999999998</v>
      </c>
      <c r="J241" s="1">
        <v>7</v>
      </c>
      <c r="K241" s="1">
        <v>298</v>
      </c>
      <c r="M241" s="1">
        <v>22</v>
      </c>
      <c r="N241" s="1">
        <f t="shared" si="39"/>
        <v>69.788520012304744</v>
      </c>
    </row>
    <row r="242" spans="1:14" ht="34.5" customHeight="1" x14ac:dyDescent="0.3">
      <c r="A242" s="1" t="s">
        <v>11</v>
      </c>
      <c r="B242" s="1" t="s">
        <v>11</v>
      </c>
      <c r="F242" s="1" t="s">
        <v>11</v>
      </c>
      <c r="G242" s="1">
        <v>65.209999999999994</v>
      </c>
      <c r="H242" s="1">
        <v>0.121</v>
      </c>
      <c r="I242" s="1">
        <v>3.6749999999999998</v>
      </c>
      <c r="J242" s="1">
        <v>7</v>
      </c>
      <c r="K242" s="1">
        <v>303</v>
      </c>
      <c r="M242" s="1">
        <v>1</v>
      </c>
      <c r="N242" s="1">
        <f t="shared" ref="N242:N247" si="40">(79.33*2.513*M242)/(1+2.513*M242)</f>
        <v>56.748161115855396</v>
      </c>
    </row>
    <row r="243" spans="1:14" ht="34.5" customHeight="1" x14ac:dyDescent="0.3">
      <c r="A243" s="1" t="s">
        <v>11</v>
      </c>
      <c r="B243" s="1" t="s">
        <v>11</v>
      </c>
      <c r="F243" s="1" t="s">
        <v>11</v>
      </c>
      <c r="G243" s="1">
        <v>65.209999999999994</v>
      </c>
      <c r="H243" s="1">
        <v>0.121</v>
      </c>
      <c r="I243" s="1">
        <v>3.6749999999999998</v>
      </c>
      <c r="J243" s="1">
        <v>7</v>
      </c>
      <c r="K243" s="1">
        <v>303</v>
      </c>
      <c r="M243" s="1">
        <v>3</v>
      </c>
      <c r="N243" s="1">
        <f t="shared" si="40"/>
        <v>70.039684974821412</v>
      </c>
    </row>
    <row r="244" spans="1:14" ht="34.5" customHeight="1" x14ac:dyDescent="0.3">
      <c r="A244" s="1" t="s">
        <v>11</v>
      </c>
      <c r="B244" s="1" t="s">
        <v>11</v>
      </c>
      <c r="F244" s="1" t="s">
        <v>11</v>
      </c>
      <c r="G244" s="1">
        <v>65.209999999999994</v>
      </c>
      <c r="H244" s="1">
        <v>0.121</v>
      </c>
      <c r="I244" s="1">
        <v>3.6749999999999998</v>
      </c>
      <c r="J244" s="1">
        <v>7</v>
      </c>
      <c r="K244" s="1">
        <v>303</v>
      </c>
      <c r="M244" s="1">
        <v>7</v>
      </c>
      <c r="N244" s="1">
        <f t="shared" si="40"/>
        <v>75.06288150180194</v>
      </c>
    </row>
    <row r="245" spans="1:14" ht="34.5" customHeight="1" x14ac:dyDescent="0.3">
      <c r="A245" s="1" t="s">
        <v>11</v>
      </c>
      <c r="B245" s="1" t="s">
        <v>11</v>
      </c>
      <c r="F245" s="1" t="s">
        <v>11</v>
      </c>
      <c r="G245" s="1">
        <v>65.209999999999994</v>
      </c>
      <c r="H245" s="1">
        <v>0.121</v>
      </c>
      <c r="I245" s="1">
        <v>3.6749999999999998</v>
      </c>
      <c r="J245" s="1">
        <v>7</v>
      </c>
      <c r="K245" s="1">
        <v>303</v>
      </c>
      <c r="M245" s="1">
        <v>11</v>
      </c>
      <c r="N245" s="1">
        <f t="shared" si="40"/>
        <v>76.560387878364693</v>
      </c>
    </row>
    <row r="246" spans="1:14" ht="34.5" customHeight="1" x14ac:dyDescent="0.3">
      <c r="A246" s="1" t="s">
        <v>11</v>
      </c>
      <c r="B246" s="1" t="s">
        <v>11</v>
      </c>
      <c r="F246" s="1" t="s">
        <v>11</v>
      </c>
      <c r="G246" s="1">
        <v>65.209999999999994</v>
      </c>
      <c r="H246" s="1">
        <v>0.121</v>
      </c>
      <c r="I246" s="1">
        <v>3.6749999999999998</v>
      </c>
      <c r="J246" s="1">
        <v>7</v>
      </c>
      <c r="K246" s="1">
        <v>303</v>
      </c>
      <c r="M246" s="1">
        <v>16</v>
      </c>
      <c r="N246" s="1">
        <f t="shared" si="40"/>
        <v>77.404888371190069</v>
      </c>
    </row>
    <row r="247" spans="1:14" ht="34.5" customHeight="1" x14ac:dyDescent="0.3">
      <c r="A247" s="1" t="s">
        <v>11</v>
      </c>
      <c r="B247" s="1" t="s">
        <v>11</v>
      </c>
      <c r="F247" s="1" t="s">
        <v>11</v>
      </c>
      <c r="G247" s="1">
        <v>65.209999999999994</v>
      </c>
      <c r="H247" s="1">
        <v>0.121</v>
      </c>
      <c r="I247" s="1">
        <v>3.6749999999999998</v>
      </c>
      <c r="J247" s="1">
        <v>7</v>
      </c>
      <c r="K247" s="1">
        <v>303</v>
      </c>
      <c r="M247" s="1">
        <v>22</v>
      </c>
      <c r="N247" s="1">
        <f t="shared" si="40"/>
        <v>77.920590910706039</v>
      </c>
    </row>
    <row r="248" spans="1:14" ht="34.5" customHeight="1" x14ac:dyDescent="0.3">
      <c r="A248" s="1">
        <v>13.4</v>
      </c>
      <c r="C248" s="1">
        <v>9.11</v>
      </c>
      <c r="F248" s="1">
        <v>4.37</v>
      </c>
      <c r="G248" s="1">
        <v>158.80000000000001</v>
      </c>
      <c r="I248" s="1">
        <v>4.0199999999999996</v>
      </c>
      <c r="J248" s="1">
        <v>5</v>
      </c>
      <c r="K248" s="1">
        <v>298</v>
      </c>
      <c r="M248" s="1">
        <v>5</v>
      </c>
      <c r="N248" s="1">
        <f t="shared" ref="N248:N253" si="41">(27.68*0.5324*M248)/(1+0.5324*M248)</f>
        <v>20.121288913162203</v>
      </c>
    </row>
    <row r="249" spans="1:14" ht="34.5" customHeight="1" x14ac:dyDescent="0.3">
      <c r="A249" s="1">
        <v>13.4</v>
      </c>
      <c r="C249" s="1">
        <v>9.11</v>
      </c>
      <c r="F249" s="1">
        <v>4.37</v>
      </c>
      <c r="G249" s="1">
        <v>158.80000000000001</v>
      </c>
      <c r="I249" s="1">
        <v>4.0199999999999996</v>
      </c>
      <c r="J249" s="1">
        <v>5</v>
      </c>
      <c r="K249" s="1">
        <v>298</v>
      </c>
      <c r="M249" s="1">
        <v>8</v>
      </c>
      <c r="N249" s="1">
        <f t="shared" si="41"/>
        <v>22.416842105263157</v>
      </c>
    </row>
    <row r="250" spans="1:14" ht="34.5" customHeight="1" x14ac:dyDescent="0.3">
      <c r="A250" s="1">
        <v>13.4</v>
      </c>
      <c r="C250" s="1">
        <v>9.11</v>
      </c>
      <c r="F250" s="1">
        <v>4.37</v>
      </c>
      <c r="G250" s="1">
        <v>158.80000000000001</v>
      </c>
      <c r="I250" s="1">
        <v>4.0199999999999996</v>
      </c>
      <c r="J250" s="1">
        <v>5</v>
      </c>
      <c r="K250" s="1">
        <v>298</v>
      </c>
      <c r="M250" s="1">
        <v>12</v>
      </c>
      <c r="N250" s="1">
        <f t="shared" si="41"/>
        <v>23.933789519272413</v>
      </c>
    </row>
    <row r="251" spans="1:14" ht="34.5" customHeight="1" x14ac:dyDescent="0.3">
      <c r="A251" s="1">
        <v>13.4</v>
      </c>
      <c r="C251" s="1">
        <v>9.11</v>
      </c>
      <c r="F251" s="1">
        <v>4.37</v>
      </c>
      <c r="G251" s="1">
        <v>158.80000000000001</v>
      </c>
      <c r="I251" s="1">
        <v>4.0199999999999996</v>
      </c>
      <c r="J251" s="1">
        <v>5</v>
      </c>
      <c r="K251" s="1">
        <v>298</v>
      </c>
      <c r="M251" s="1">
        <v>19</v>
      </c>
      <c r="N251" s="1">
        <f t="shared" si="41"/>
        <v>25.189806038360498</v>
      </c>
    </row>
    <row r="252" spans="1:14" ht="34.5" customHeight="1" x14ac:dyDescent="0.3">
      <c r="A252" s="1">
        <v>13.4</v>
      </c>
      <c r="C252" s="1">
        <v>9.11</v>
      </c>
      <c r="F252" s="1">
        <v>4.37</v>
      </c>
      <c r="G252" s="1">
        <v>158.80000000000001</v>
      </c>
      <c r="I252" s="1">
        <v>4.0199999999999996</v>
      </c>
      <c r="J252" s="1">
        <v>5</v>
      </c>
      <c r="K252" s="1">
        <v>298</v>
      </c>
      <c r="M252" s="1">
        <v>27</v>
      </c>
      <c r="N252" s="1">
        <f t="shared" si="41"/>
        <v>25.879651377578892</v>
      </c>
    </row>
    <row r="253" spans="1:14" ht="34.5" customHeight="1" x14ac:dyDescent="0.3">
      <c r="A253" s="1">
        <v>13.4</v>
      </c>
      <c r="C253" s="1">
        <v>9.11</v>
      </c>
      <c r="F253" s="1">
        <v>4.37</v>
      </c>
      <c r="G253" s="1">
        <v>158.80000000000001</v>
      </c>
      <c r="I253" s="1">
        <v>4.0199999999999996</v>
      </c>
      <c r="J253" s="1">
        <v>5</v>
      </c>
      <c r="K253" s="1">
        <v>298</v>
      </c>
      <c r="M253" s="1">
        <v>40</v>
      </c>
      <c r="N253" s="1">
        <f t="shared" si="41"/>
        <v>26.43852170792967</v>
      </c>
    </row>
    <row r="254" spans="1:14" ht="34.5" customHeight="1" x14ac:dyDescent="0.3">
      <c r="A254" s="1" t="s">
        <v>11</v>
      </c>
      <c r="C254" s="1" t="s">
        <v>11</v>
      </c>
      <c r="F254" s="1" t="s">
        <v>11</v>
      </c>
      <c r="G254" s="1">
        <v>26.58</v>
      </c>
      <c r="I254" s="1">
        <v>14.4</v>
      </c>
      <c r="J254" s="1">
        <v>5</v>
      </c>
      <c r="K254" s="1">
        <v>298</v>
      </c>
      <c r="M254" s="1">
        <v>5</v>
      </c>
      <c r="N254" s="1">
        <f t="shared" ref="N254:N259" si="42">(12.29*0.2702*M254)/(1+0.2702*M254)</f>
        <v>7.0624372607401096</v>
      </c>
    </row>
    <row r="255" spans="1:14" ht="34.5" customHeight="1" x14ac:dyDescent="0.3">
      <c r="A255" s="1" t="s">
        <v>11</v>
      </c>
      <c r="C255" s="1" t="s">
        <v>11</v>
      </c>
      <c r="F255" s="1" t="s">
        <v>11</v>
      </c>
      <c r="G255" s="1">
        <v>26.58</v>
      </c>
      <c r="I255" s="1">
        <v>14.4</v>
      </c>
      <c r="J255" s="1">
        <v>5</v>
      </c>
      <c r="K255" s="1">
        <v>298</v>
      </c>
      <c r="M255" s="1">
        <v>8</v>
      </c>
      <c r="N255" s="1">
        <f t="shared" si="42"/>
        <v>8.4027277327935224</v>
      </c>
    </row>
    <row r="256" spans="1:14" ht="34.5" customHeight="1" x14ac:dyDescent="0.3">
      <c r="A256" s="1" t="s">
        <v>11</v>
      </c>
      <c r="C256" s="1" t="s">
        <v>11</v>
      </c>
      <c r="F256" s="1" t="s">
        <v>11</v>
      </c>
      <c r="G256" s="1">
        <v>26.58</v>
      </c>
      <c r="I256" s="1">
        <v>14.4</v>
      </c>
      <c r="J256" s="1">
        <v>5</v>
      </c>
      <c r="K256" s="1">
        <v>298</v>
      </c>
      <c r="M256" s="1">
        <v>12</v>
      </c>
      <c r="N256" s="1">
        <f t="shared" si="42"/>
        <v>9.393054874599283</v>
      </c>
    </row>
    <row r="257" spans="1:14" ht="34.5" customHeight="1" x14ac:dyDescent="0.3">
      <c r="A257" s="1" t="s">
        <v>11</v>
      </c>
      <c r="C257" s="1" t="s">
        <v>11</v>
      </c>
      <c r="F257" s="1" t="s">
        <v>11</v>
      </c>
      <c r="G257" s="1">
        <v>26.58</v>
      </c>
      <c r="I257" s="1">
        <v>14.4</v>
      </c>
      <c r="J257" s="1">
        <v>5</v>
      </c>
      <c r="K257" s="1">
        <v>298</v>
      </c>
      <c r="M257" s="1">
        <v>19</v>
      </c>
      <c r="N257" s="1">
        <f t="shared" si="42"/>
        <v>10.286348103948612</v>
      </c>
    </row>
    <row r="258" spans="1:14" ht="34.5" customHeight="1" x14ac:dyDescent="0.3">
      <c r="A258" s="1" t="s">
        <v>11</v>
      </c>
      <c r="C258" s="1" t="s">
        <v>11</v>
      </c>
      <c r="F258" s="1" t="s">
        <v>11</v>
      </c>
      <c r="G258" s="1">
        <v>26.58</v>
      </c>
      <c r="I258" s="1">
        <v>14.4</v>
      </c>
      <c r="J258" s="1">
        <v>5</v>
      </c>
      <c r="K258" s="1">
        <v>298</v>
      </c>
      <c r="M258" s="1">
        <v>27</v>
      </c>
      <c r="N258" s="1">
        <f t="shared" si="42"/>
        <v>10.808456011765553</v>
      </c>
    </row>
    <row r="259" spans="1:14" ht="34.5" customHeight="1" x14ac:dyDescent="0.3">
      <c r="A259" s="1" t="s">
        <v>11</v>
      </c>
      <c r="C259" s="1" t="s">
        <v>11</v>
      </c>
      <c r="F259" s="1" t="s">
        <v>11</v>
      </c>
      <c r="G259" s="1">
        <v>26.58</v>
      </c>
      <c r="I259" s="1">
        <v>14.4</v>
      </c>
      <c r="J259" s="1">
        <v>5</v>
      </c>
      <c r="K259" s="1">
        <v>298</v>
      </c>
      <c r="M259" s="1">
        <v>40</v>
      </c>
      <c r="N259" s="1">
        <f t="shared" si="42"/>
        <v>11.249180216802166</v>
      </c>
    </row>
    <row r="260" spans="1:14" ht="34.5" customHeight="1" x14ac:dyDescent="0.3">
      <c r="A260" s="1" t="s">
        <v>11</v>
      </c>
      <c r="G260" s="1">
        <v>276.60000000000002</v>
      </c>
      <c r="I260" s="1">
        <v>1.32</v>
      </c>
      <c r="J260" s="1">
        <v>5</v>
      </c>
      <c r="K260" s="1">
        <v>298</v>
      </c>
      <c r="M260" s="1">
        <v>5</v>
      </c>
      <c r="N260" s="1">
        <f t="shared" ref="N260:N265" si="43">7.06*(M260)^0.1174</f>
        <v>8.5283257331928048</v>
      </c>
    </row>
    <row r="261" spans="1:14" ht="34.5" customHeight="1" x14ac:dyDescent="0.3">
      <c r="A261" s="1" t="s">
        <v>11</v>
      </c>
      <c r="G261" s="1">
        <v>276.60000000000002</v>
      </c>
      <c r="I261" s="1">
        <v>1.32</v>
      </c>
      <c r="J261" s="1">
        <v>5</v>
      </c>
      <c r="K261" s="1">
        <v>298</v>
      </c>
      <c r="M261" s="1">
        <v>8</v>
      </c>
      <c r="N261" s="1">
        <f t="shared" si="43"/>
        <v>9.0121303678893714</v>
      </c>
    </row>
    <row r="262" spans="1:14" ht="34.5" customHeight="1" x14ac:dyDescent="0.3">
      <c r="A262" s="1" t="s">
        <v>11</v>
      </c>
      <c r="G262" s="1">
        <v>276.60000000000002</v>
      </c>
      <c r="I262" s="1">
        <v>1.32</v>
      </c>
      <c r="J262" s="1">
        <v>5</v>
      </c>
      <c r="K262" s="1">
        <v>298</v>
      </c>
      <c r="M262" s="1">
        <v>12</v>
      </c>
      <c r="N262" s="1">
        <f t="shared" si="43"/>
        <v>9.4514965324549127</v>
      </c>
    </row>
    <row r="263" spans="1:14" ht="34.5" customHeight="1" x14ac:dyDescent="0.3">
      <c r="A263" s="1" t="s">
        <v>11</v>
      </c>
      <c r="G263" s="1">
        <v>276.60000000000002</v>
      </c>
      <c r="I263" s="1">
        <v>1.32</v>
      </c>
      <c r="J263" s="1">
        <v>5</v>
      </c>
      <c r="K263" s="1">
        <v>298</v>
      </c>
      <c r="M263" s="1">
        <v>19</v>
      </c>
      <c r="N263" s="1">
        <f t="shared" si="43"/>
        <v>9.9754012512816406</v>
      </c>
    </row>
    <row r="264" spans="1:14" ht="34.5" customHeight="1" x14ac:dyDescent="0.3">
      <c r="A264" s="1" t="s">
        <v>11</v>
      </c>
      <c r="G264" s="1">
        <v>276.60000000000002</v>
      </c>
      <c r="I264" s="1">
        <v>1.32</v>
      </c>
      <c r="J264" s="1">
        <v>5</v>
      </c>
      <c r="K264" s="1">
        <v>298</v>
      </c>
      <c r="M264" s="1">
        <v>27</v>
      </c>
      <c r="N264" s="1">
        <f t="shared" si="43"/>
        <v>10.39553409077535</v>
      </c>
    </row>
    <row r="265" spans="1:14" ht="34.5" customHeight="1" x14ac:dyDescent="0.3">
      <c r="A265" s="1" t="s">
        <v>11</v>
      </c>
      <c r="G265" s="1">
        <v>276.60000000000002</v>
      </c>
      <c r="I265" s="1">
        <v>1.32</v>
      </c>
      <c r="J265" s="1">
        <v>5</v>
      </c>
      <c r="K265" s="1">
        <v>298</v>
      </c>
      <c r="M265" s="1">
        <v>40</v>
      </c>
      <c r="N265" s="1">
        <f t="shared" si="43"/>
        <v>10.886456561948908</v>
      </c>
    </row>
    <row r="266" spans="1:14" ht="34.5" customHeight="1" x14ac:dyDescent="0.3">
      <c r="A266" s="1" t="s">
        <v>11</v>
      </c>
      <c r="G266" s="1">
        <v>757</v>
      </c>
      <c r="H266" s="1">
        <v>2.89</v>
      </c>
      <c r="I266" s="1">
        <v>0.55000000000000004</v>
      </c>
      <c r="J266" s="1">
        <v>4</v>
      </c>
      <c r="K266" s="1">
        <v>298</v>
      </c>
      <c r="M266" s="1">
        <v>5</v>
      </c>
      <c r="N266" s="1">
        <f t="shared" ref="N266:N271" si="44">(37.715*0.027*M266)/(1+0.027*M266)</f>
        <v>4.4859251101321584</v>
      </c>
    </row>
    <row r="267" spans="1:14" ht="34.5" customHeight="1" x14ac:dyDescent="0.3">
      <c r="A267" s="1" t="s">
        <v>11</v>
      </c>
      <c r="G267" s="1">
        <v>757</v>
      </c>
      <c r="H267" s="1">
        <v>2.89</v>
      </c>
      <c r="I267" s="1">
        <v>0.55000000000000004</v>
      </c>
      <c r="J267" s="1">
        <v>4</v>
      </c>
      <c r="K267" s="1">
        <v>298</v>
      </c>
      <c r="M267" s="1">
        <v>10</v>
      </c>
      <c r="N267" s="1">
        <f t="shared" si="44"/>
        <v>8.0181496062992128</v>
      </c>
    </row>
    <row r="268" spans="1:14" ht="34.5" customHeight="1" x14ac:dyDescent="0.3">
      <c r="A268" s="1" t="s">
        <v>11</v>
      </c>
      <c r="G268" s="1">
        <v>757</v>
      </c>
      <c r="H268" s="1">
        <v>2.89</v>
      </c>
      <c r="I268" s="1">
        <v>0.55000000000000004</v>
      </c>
      <c r="J268" s="1">
        <v>4</v>
      </c>
      <c r="K268" s="1">
        <v>298</v>
      </c>
      <c r="M268" s="1">
        <v>20</v>
      </c>
      <c r="N268" s="1">
        <f t="shared" si="44"/>
        <v>13.224740259740258</v>
      </c>
    </row>
    <row r="269" spans="1:14" ht="34.5" customHeight="1" x14ac:dyDescent="0.3">
      <c r="A269" s="1" t="s">
        <v>11</v>
      </c>
      <c r="G269" s="1">
        <v>757</v>
      </c>
      <c r="H269" s="1">
        <v>2.89</v>
      </c>
      <c r="I269" s="1">
        <v>0.55000000000000004</v>
      </c>
      <c r="J269" s="1">
        <v>4</v>
      </c>
      <c r="K269" s="1">
        <v>298</v>
      </c>
      <c r="M269" s="1">
        <v>40</v>
      </c>
      <c r="N269" s="1">
        <f t="shared" si="44"/>
        <v>19.58278846153846</v>
      </c>
    </row>
    <row r="270" spans="1:14" ht="34.5" customHeight="1" x14ac:dyDescent="0.3">
      <c r="A270" s="1" t="s">
        <v>11</v>
      </c>
      <c r="G270" s="1">
        <v>757</v>
      </c>
      <c r="H270" s="1">
        <v>2.89</v>
      </c>
      <c r="I270" s="1">
        <v>0.55000000000000004</v>
      </c>
      <c r="J270" s="1">
        <v>4</v>
      </c>
      <c r="K270" s="1">
        <v>298</v>
      </c>
      <c r="M270" s="1">
        <v>60</v>
      </c>
      <c r="N270" s="1">
        <f t="shared" si="44"/>
        <v>23.319961832061068</v>
      </c>
    </row>
    <row r="271" spans="1:14" ht="34.5" customHeight="1" x14ac:dyDescent="0.3">
      <c r="A271" s="1" t="s">
        <v>11</v>
      </c>
      <c r="G271" s="1">
        <v>757</v>
      </c>
      <c r="H271" s="1">
        <v>2.89</v>
      </c>
      <c r="I271" s="1">
        <v>0.55000000000000004</v>
      </c>
      <c r="J271" s="1">
        <v>4</v>
      </c>
      <c r="K271" s="1">
        <v>298</v>
      </c>
      <c r="M271" s="1">
        <v>100</v>
      </c>
      <c r="N271" s="1">
        <f t="shared" si="44"/>
        <v>27.521756756756755</v>
      </c>
    </row>
    <row r="272" spans="1:14" ht="34.5" customHeight="1" x14ac:dyDescent="0.3">
      <c r="A272" s="1" t="s">
        <v>11</v>
      </c>
      <c r="G272" s="1">
        <v>675</v>
      </c>
      <c r="H272" s="1">
        <v>3.14</v>
      </c>
      <c r="I272" s="1">
        <v>0.53</v>
      </c>
      <c r="J272" s="1">
        <v>4</v>
      </c>
      <c r="K272" s="1">
        <v>298</v>
      </c>
      <c r="M272" s="1">
        <v>5</v>
      </c>
      <c r="N272" s="1">
        <f t="shared" ref="N272:N277" si="45">(65.081*0.489*M272)/(1+0.489*M272)</f>
        <v>46.189563134978236</v>
      </c>
    </row>
    <row r="273" spans="1:14" ht="34.5" customHeight="1" x14ac:dyDescent="0.3">
      <c r="A273" s="1" t="s">
        <v>11</v>
      </c>
      <c r="G273" s="1">
        <v>675</v>
      </c>
      <c r="H273" s="1">
        <v>3.14</v>
      </c>
      <c r="I273" s="1">
        <v>0.53</v>
      </c>
      <c r="J273" s="1">
        <v>4</v>
      </c>
      <c r="K273" s="1">
        <v>298</v>
      </c>
      <c r="M273" s="1">
        <v>10</v>
      </c>
      <c r="N273" s="1">
        <f t="shared" si="45"/>
        <v>54.031594227504257</v>
      </c>
    </row>
    <row r="274" spans="1:14" ht="34.5" customHeight="1" x14ac:dyDescent="0.3">
      <c r="A274" s="1" t="s">
        <v>11</v>
      </c>
      <c r="G274" s="1">
        <v>675</v>
      </c>
      <c r="H274" s="1">
        <v>3.14</v>
      </c>
      <c r="I274" s="1">
        <v>0.53</v>
      </c>
      <c r="J274" s="1">
        <v>4</v>
      </c>
      <c r="K274" s="1">
        <v>298</v>
      </c>
      <c r="M274" s="1">
        <v>20</v>
      </c>
      <c r="N274" s="1">
        <f t="shared" si="45"/>
        <v>59.043801484230066</v>
      </c>
    </row>
    <row r="275" spans="1:14" ht="34.5" customHeight="1" x14ac:dyDescent="0.3">
      <c r="A275" s="1" t="s">
        <v>11</v>
      </c>
      <c r="G275" s="1">
        <v>675</v>
      </c>
      <c r="H275" s="1">
        <v>3.14</v>
      </c>
      <c r="I275" s="1">
        <v>0.53</v>
      </c>
      <c r="J275" s="1">
        <v>4</v>
      </c>
      <c r="K275" s="1">
        <v>298</v>
      </c>
      <c r="M275" s="1">
        <v>40</v>
      </c>
      <c r="N275" s="1">
        <f t="shared" si="45"/>
        <v>61.91558171206227</v>
      </c>
    </row>
    <row r="276" spans="1:14" ht="34.5" customHeight="1" x14ac:dyDescent="0.3">
      <c r="A276" s="1" t="s">
        <v>11</v>
      </c>
      <c r="G276" s="1">
        <v>675</v>
      </c>
      <c r="H276" s="1">
        <v>3.14</v>
      </c>
      <c r="I276" s="1">
        <v>0.53</v>
      </c>
      <c r="J276" s="1">
        <v>4</v>
      </c>
      <c r="K276" s="1">
        <v>298</v>
      </c>
      <c r="M276" s="1">
        <v>60</v>
      </c>
      <c r="N276" s="1">
        <f t="shared" si="45"/>
        <v>62.935943968358607</v>
      </c>
    </row>
    <row r="277" spans="1:14" ht="34.5" customHeight="1" x14ac:dyDescent="0.3">
      <c r="A277" s="1" t="s">
        <v>11</v>
      </c>
      <c r="G277" s="1">
        <v>675</v>
      </c>
      <c r="H277" s="1">
        <v>3.14</v>
      </c>
      <c r="I277" s="1">
        <v>0.53</v>
      </c>
      <c r="J277" s="1">
        <v>4</v>
      </c>
      <c r="K277" s="1">
        <v>298</v>
      </c>
      <c r="M277" s="1">
        <v>100</v>
      </c>
      <c r="N277" s="1">
        <f t="shared" si="45"/>
        <v>63.776771543086177</v>
      </c>
    </row>
    <row r="278" spans="1:14" ht="34.5" customHeight="1" x14ac:dyDescent="0.3">
      <c r="A278" s="1" t="s">
        <v>11</v>
      </c>
      <c r="G278" s="1">
        <v>597</v>
      </c>
      <c r="H278" s="1">
        <v>2.81</v>
      </c>
      <c r="I278" s="1">
        <v>0.42</v>
      </c>
      <c r="J278" s="1">
        <v>4</v>
      </c>
      <c r="K278" s="1">
        <v>298</v>
      </c>
      <c r="M278" s="1">
        <v>5</v>
      </c>
      <c r="N278" s="1">
        <f t="shared" ref="N278:N283" si="46">(72.155*0.035*M278)/(1+0.035*M278)</f>
        <v>10.746489361702128</v>
      </c>
    </row>
    <row r="279" spans="1:14" ht="34.5" customHeight="1" x14ac:dyDescent="0.3">
      <c r="A279" s="1" t="s">
        <v>11</v>
      </c>
      <c r="G279" s="1">
        <v>597</v>
      </c>
      <c r="H279" s="1">
        <v>2.81</v>
      </c>
      <c r="I279" s="1">
        <v>0.42</v>
      </c>
      <c r="J279" s="1">
        <v>4</v>
      </c>
      <c r="K279" s="1">
        <v>298</v>
      </c>
      <c r="M279" s="1">
        <v>10</v>
      </c>
      <c r="N279" s="1">
        <f t="shared" si="46"/>
        <v>18.706851851851852</v>
      </c>
    </row>
    <row r="280" spans="1:14" ht="34.5" customHeight="1" x14ac:dyDescent="0.3">
      <c r="A280" s="1" t="s">
        <v>11</v>
      </c>
      <c r="G280" s="1">
        <v>597</v>
      </c>
      <c r="H280" s="1">
        <v>2.81</v>
      </c>
      <c r="I280" s="1">
        <v>0.42</v>
      </c>
      <c r="J280" s="1">
        <v>4</v>
      </c>
      <c r="K280" s="1">
        <v>298</v>
      </c>
      <c r="M280" s="1">
        <v>20</v>
      </c>
      <c r="N280" s="1">
        <f t="shared" si="46"/>
        <v>29.710882352941177</v>
      </c>
    </row>
    <row r="281" spans="1:14" ht="34.5" customHeight="1" x14ac:dyDescent="0.3">
      <c r="A281" s="1" t="s">
        <v>11</v>
      </c>
      <c r="G281" s="1">
        <v>597</v>
      </c>
      <c r="H281" s="1">
        <v>2.81</v>
      </c>
      <c r="I281" s="1">
        <v>0.42</v>
      </c>
      <c r="J281" s="1">
        <v>4</v>
      </c>
      <c r="K281" s="1">
        <v>298</v>
      </c>
      <c r="M281" s="1">
        <v>40</v>
      </c>
      <c r="N281" s="1">
        <f t="shared" si="46"/>
        <v>42.090416666666663</v>
      </c>
    </row>
    <row r="282" spans="1:14" ht="34.5" customHeight="1" x14ac:dyDescent="0.3">
      <c r="A282" s="1" t="s">
        <v>11</v>
      </c>
      <c r="G282" s="1">
        <v>597</v>
      </c>
      <c r="H282" s="1">
        <v>2.81</v>
      </c>
      <c r="I282" s="1">
        <v>0.42</v>
      </c>
      <c r="J282" s="1">
        <v>4</v>
      </c>
      <c r="K282" s="1">
        <v>298</v>
      </c>
      <c r="M282" s="1">
        <v>60</v>
      </c>
      <c r="N282" s="1">
        <f t="shared" si="46"/>
        <v>48.8791935483871</v>
      </c>
    </row>
    <row r="283" spans="1:14" ht="34.5" customHeight="1" x14ac:dyDescent="0.3">
      <c r="A283" s="1" t="s">
        <v>11</v>
      </c>
      <c r="G283" s="1">
        <v>597</v>
      </c>
      <c r="H283" s="1">
        <v>2.81</v>
      </c>
      <c r="I283" s="1">
        <v>0.42</v>
      </c>
      <c r="J283" s="1">
        <v>4</v>
      </c>
      <c r="K283" s="1">
        <v>298</v>
      </c>
      <c r="M283" s="1">
        <v>100</v>
      </c>
      <c r="N283" s="1">
        <f t="shared" si="46"/>
        <v>56.120555555555562</v>
      </c>
    </row>
    <row r="284" spans="1:14" ht="34.5" customHeight="1" x14ac:dyDescent="0.3">
      <c r="A284" s="1">
        <v>1.02</v>
      </c>
      <c r="B284" s="1">
        <v>3.25</v>
      </c>
      <c r="E284" s="1">
        <v>6.82</v>
      </c>
      <c r="G284" s="1">
        <v>56.07</v>
      </c>
      <c r="H284" s="1">
        <v>0.14000000000000001</v>
      </c>
      <c r="I284" s="1">
        <v>10.073</v>
      </c>
      <c r="J284" s="1">
        <v>4</v>
      </c>
      <c r="K284" s="1">
        <v>298</v>
      </c>
      <c r="M284" s="1">
        <v>1</v>
      </c>
      <c r="N284" s="1">
        <f t="shared" ref="N284:N289" si="47">18.693*(M284)^0.182</f>
        <v>18.693000000000001</v>
      </c>
    </row>
    <row r="285" spans="1:14" ht="34.5" customHeight="1" x14ac:dyDescent="0.3">
      <c r="A285" s="1">
        <v>1.02</v>
      </c>
      <c r="B285" s="1">
        <v>3.25</v>
      </c>
      <c r="E285" s="1">
        <v>6.82</v>
      </c>
      <c r="G285" s="1">
        <v>56.07</v>
      </c>
      <c r="H285" s="1">
        <v>0.14000000000000001</v>
      </c>
      <c r="I285" s="1">
        <v>10.073</v>
      </c>
      <c r="J285" s="1">
        <v>4</v>
      </c>
      <c r="K285" s="1">
        <v>298</v>
      </c>
      <c r="M285" s="1">
        <v>3</v>
      </c>
      <c r="N285" s="1">
        <f t="shared" si="47"/>
        <v>22.83048167758281</v>
      </c>
    </row>
    <row r="286" spans="1:14" ht="34.5" customHeight="1" x14ac:dyDescent="0.3">
      <c r="A286" s="1">
        <v>1.02</v>
      </c>
      <c r="B286" s="1">
        <v>3.25</v>
      </c>
      <c r="E286" s="1">
        <v>6.82</v>
      </c>
      <c r="G286" s="1">
        <v>56.07</v>
      </c>
      <c r="H286" s="1">
        <v>0.14000000000000001</v>
      </c>
      <c r="I286" s="1">
        <v>10.073</v>
      </c>
      <c r="J286" s="1">
        <v>4</v>
      </c>
      <c r="K286" s="1">
        <v>298</v>
      </c>
      <c r="M286" s="1">
        <v>5</v>
      </c>
      <c r="N286" s="1">
        <f t="shared" si="47"/>
        <v>25.054834985344712</v>
      </c>
    </row>
    <row r="287" spans="1:14" ht="34.5" customHeight="1" x14ac:dyDescent="0.3">
      <c r="A287" s="1">
        <v>1.02</v>
      </c>
      <c r="B287" s="1">
        <v>3.25</v>
      </c>
      <c r="E287" s="1">
        <v>6.82</v>
      </c>
      <c r="G287" s="1">
        <v>56.07</v>
      </c>
      <c r="H287" s="1">
        <v>0.14000000000000001</v>
      </c>
      <c r="I287" s="1">
        <v>10.073</v>
      </c>
      <c r="J287" s="1">
        <v>4</v>
      </c>
      <c r="K287" s="1">
        <v>298</v>
      </c>
      <c r="M287" s="1">
        <v>10</v>
      </c>
      <c r="N287" s="1">
        <f t="shared" si="47"/>
        <v>28.423594973289546</v>
      </c>
    </row>
    <row r="288" spans="1:14" ht="34.5" customHeight="1" x14ac:dyDescent="0.3">
      <c r="A288" s="1">
        <v>1.02</v>
      </c>
      <c r="B288" s="1">
        <v>3.25</v>
      </c>
      <c r="E288" s="1">
        <v>6.82</v>
      </c>
      <c r="G288" s="1">
        <v>56.07</v>
      </c>
      <c r="H288" s="1">
        <v>0.14000000000000001</v>
      </c>
      <c r="I288" s="1">
        <v>10.073</v>
      </c>
      <c r="J288" s="1">
        <v>4</v>
      </c>
      <c r="K288" s="1">
        <v>298</v>
      </c>
      <c r="M288" s="1">
        <v>15</v>
      </c>
      <c r="N288" s="1">
        <f t="shared" si="47"/>
        <v>30.600436049204145</v>
      </c>
    </row>
    <row r="289" spans="1:14" ht="34.5" customHeight="1" x14ac:dyDescent="0.3">
      <c r="A289" s="1">
        <v>1.02</v>
      </c>
      <c r="B289" s="1">
        <v>3.25</v>
      </c>
      <c r="E289" s="1">
        <v>6.82</v>
      </c>
      <c r="G289" s="1">
        <v>56.07</v>
      </c>
      <c r="H289" s="1">
        <v>0.14000000000000001</v>
      </c>
      <c r="I289" s="1">
        <v>10.073</v>
      </c>
      <c r="J289" s="1">
        <v>4</v>
      </c>
      <c r="K289" s="1">
        <v>298</v>
      </c>
      <c r="M289" s="1">
        <v>25</v>
      </c>
      <c r="N289" s="1">
        <f t="shared" si="47"/>
        <v>33.581809027061112</v>
      </c>
    </row>
    <row r="290" spans="1:14" ht="34.5" customHeight="1" x14ac:dyDescent="0.3">
      <c r="A290" s="1" t="s">
        <v>11</v>
      </c>
      <c r="G290" s="1">
        <v>73.319999999999993</v>
      </c>
      <c r="H290" s="1">
        <v>0.215</v>
      </c>
      <c r="J290" s="1">
        <v>6.5</v>
      </c>
      <c r="K290" s="1">
        <v>298</v>
      </c>
      <c r="M290" s="1">
        <v>50</v>
      </c>
      <c r="N290" s="1">
        <f t="shared" ref="N290:N295" si="48">32.17*(M290)^(1/5.15)</f>
        <v>68.761944443067136</v>
      </c>
    </row>
    <row r="291" spans="1:14" ht="34.5" customHeight="1" x14ac:dyDescent="0.3">
      <c r="A291" s="1" t="s">
        <v>11</v>
      </c>
      <c r="G291" s="1">
        <v>73.319999999999993</v>
      </c>
      <c r="H291" s="1">
        <v>0.215</v>
      </c>
      <c r="J291" s="1">
        <v>6.5</v>
      </c>
      <c r="K291" s="1">
        <v>298</v>
      </c>
      <c r="M291" s="1">
        <v>75</v>
      </c>
      <c r="N291" s="1">
        <f t="shared" si="48"/>
        <v>74.39446528660774</v>
      </c>
    </row>
    <row r="292" spans="1:14" ht="34.5" customHeight="1" x14ac:dyDescent="0.3">
      <c r="A292" s="1" t="s">
        <v>11</v>
      </c>
      <c r="G292" s="1">
        <v>73.319999999999993</v>
      </c>
      <c r="H292" s="1">
        <v>0.215</v>
      </c>
      <c r="J292" s="1">
        <v>6.5</v>
      </c>
      <c r="K292" s="1">
        <v>298</v>
      </c>
      <c r="M292" s="1">
        <v>100</v>
      </c>
      <c r="N292" s="1">
        <f t="shared" si="48"/>
        <v>78.668446755976106</v>
      </c>
    </row>
    <row r="293" spans="1:14" ht="34.5" customHeight="1" x14ac:dyDescent="0.3">
      <c r="A293" s="1" t="s">
        <v>11</v>
      </c>
      <c r="G293" s="1">
        <v>73.319999999999993</v>
      </c>
      <c r="H293" s="1">
        <v>0.215</v>
      </c>
      <c r="J293" s="1">
        <v>6.5</v>
      </c>
      <c r="K293" s="1">
        <v>298</v>
      </c>
      <c r="M293" s="1">
        <v>200</v>
      </c>
      <c r="N293" s="1">
        <f t="shared" si="48"/>
        <v>90.002174387635705</v>
      </c>
    </row>
    <row r="294" spans="1:14" ht="34.5" customHeight="1" x14ac:dyDescent="0.3">
      <c r="A294" s="1" t="s">
        <v>11</v>
      </c>
      <c r="G294" s="1">
        <v>73.319999999999993</v>
      </c>
      <c r="H294" s="1">
        <v>0.215</v>
      </c>
      <c r="J294" s="1">
        <v>6.5</v>
      </c>
      <c r="K294" s="1">
        <v>298</v>
      </c>
      <c r="M294" s="1">
        <v>300</v>
      </c>
      <c r="N294" s="1">
        <f t="shared" si="48"/>
        <v>97.374553503849711</v>
      </c>
    </row>
    <row r="295" spans="1:14" ht="34.5" customHeight="1" x14ac:dyDescent="0.3">
      <c r="A295" s="1" t="s">
        <v>11</v>
      </c>
      <c r="G295" s="1">
        <v>73.319999999999993</v>
      </c>
      <c r="H295" s="1">
        <v>0.215</v>
      </c>
      <c r="J295" s="1">
        <v>6.5</v>
      </c>
      <c r="K295" s="1">
        <v>298</v>
      </c>
      <c r="M295" s="1">
        <v>400</v>
      </c>
      <c r="N295" s="1">
        <f t="shared" si="48"/>
        <v>102.96874704580381</v>
      </c>
    </row>
    <row r="296" spans="1:14" ht="34.5" customHeight="1" x14ac:dyDescent="0.3">
      <c r="A296" s="1">
        <v>7.53</v>
      </c>
      <c r="G296" s="1">
        <v>763.2</v>
      </c>
      <c r="H296" s="1">
        <v>0.8</v>
      </c>
      <c r="I296" s="1">
        <v>3.6</v>
      </c>
      <c r="J296" s="1">
        <v>7</v>
      </c>
      <c r="K296" s="1">
        <v>298</v>
      </c>
      <c r="M296" s="1">
        <v>10</v>
      </c>
      <c r="N296" s="1">
        <f t="shared" ref="N296:N301" si="49">(22*0.493*M296)/(1+0.493*M296)</f>
        <v>18.290050590219227</v>
      </c>
    </row>
    <row r="297" spans="1:14" ht="34.5" customHeight="1" x14ac:dyDescent="0.3">
      <c r="A297" s="1">
        <v>7.53</v>
      </c>
      <c r="G297" s="1">
        <v>763.2</v>
      </c>
      <c r="H297" s="1">
        <v>0.8</v>
      </c>
      <c r="I297" s="1">
        <v>3.6</v>
      </c>
      <c r="J297" s="1">
        <v>7</v>
      </c>
      <c r="K297" s="1">
        <v>298</v>
      </c>
      <c r="M297" s="1">
        <v>20</v>
      </c>
      <c r="N297" s="1">
        <f t="shared" si="49"/>
        <v>19.97421731123389</v>
      </c>
    </row>
    <row r="298" spans="1:14" ht="34.5" customHeight="1" x14ac:dyDescent="0.3">
      <c r="A298" s="1">
        <v>7.53</v>
      </c>
      <c r="G298" s="1">
        <v>763.2</v>
      </c>
      <c r="H298" s="1">
        <v>0.8</v>
      </c>
      <c r="I298" s="1">
        <v>3.6</v>
      </c>
      <c r="J298" s="1">
        <v>7</v>
      </c>
      <c r="K298" s="1">
        <v>298</v>
      </c>
      <c r="M298" s="1">
        <v>30</v>
      </c>
      <c r="N298" s="1">
        <f t="shared" si="49"/>
        <v>20.606713109563014</v>
      </c>
    </row>
    <row r="299" spans="1:14" ht="34.5" customHeight="1" x14ac:dyDescent="0.3">
      <c r="A299" s="1">
        <v>7.53</v>
      </c>
      <c r="G299" s="1">
        <v>763.2</v>
      </c>
      <c r="H299" s="1">
        <v>0.8</v>
      </c>
      <c r="I299" s="1">
        <v>3.6</v>
      </c>
      <c r="J299" s="1">
        <v>7</v>
      </c>
      <c r="K299" s="1">
        <v>298</v>
      </c>
      <c r="M299" s="1">
        <v>50</v>
      </c>
      <c r="N299" s="1">
        <f t="shared" si="49"/>
        <v>21.142300194931774</v>
      </c>
    </row>
    <row r="300" spans="1:14" ht="34.5" customHeight="1" x14ac:dyDescent="0.3">
      <c r="A300" s="1">
        <v>7.53</v>
      </c>
      <c r="G300" s="1">
        <v>763.2</v>
      </c>
      <c r="H300" s="1">
        <v>0.8</v>
      </c>
      <c r="I300" s="1">
        <v>3.6</v>
      </c>
      <c r="J300" s="1">
        <v>7</v>
      </c>
      <c r="K300" s="1">
        <v>298</v>
      </c>
      <c r="M300" s="1">
        <v>70</v>
      </c>
      <c r="N300" s="1">
        <f t="shared" si="49"/>
        <v>21.380456209518446</v>
      </c>
    </row>
    <row r="301" spans="1:14" ht="34.5" customHeight="1" x14ac:dyDescent="0.3">
      <c r="A301" s="1">
        <v>7.53</v>
      </c>
      <c r="G301" s="1">
        <v>763.2</v>
      </c>
      <c r="H301" s="1">
        <v>0.8</v>
      </c>
      <c r="I301" s="1">
        <v>3.6</v>
      </c>
      <c r="J301" s="1">
        <v>7</v>
      </c>
      <c r="K301" s="1">
        <v>298</v>
      </c>
      <c r="M301" s="1">
        <v>100</v>
      </c>
      <c r="N301" s="1">
        <f t="shared" si="49"/>
        <v>21.56262425447316</v>
      </c>
    </row>
    <row r="302" spans="1:14" ht="34.5" customHeight="1" x14ac:dyDescent="0.3">
      <c r="A302" s="1">
        <v>7.53</v>
      </c>
      <c r="G302" s="1">
        <v>763.2</v>
      </c>
      <c r="H302" s="1">
        <v>0.8</v>
      </c>
      <c r="I302" s="1">
        <v>3.6</v>
      </c>
      <c r="J302" s="1">
        <v>7</v>
      </c>
      <c r="K302" s="1">
        <v>308</v>
      </c>
      <c r="M302" s="1">
        <v>10</v>
      </c>
      <c r="N302" s="1">
        <f t="shared" ref="N302:N307" si="50">23.9*0.44*M302/(1+0.44*M302)</f>
        <v>19.474074074074071</v>
      </c>
    </row>
    <row r="303" spans="1:14" ht="34.5" customHeight="1" x14ac:dyDescent="0.3">
      <c r="A303" s="1">
        <v>7.53</v>
      </c>
      <c r="G303" s="1">
        <v>763.2</v>
      </c>
      <c r="H303" s="1">
        <v>0.8</v>
      </c>
      <c r="I303" s="1">
        <v>3.6</v>
      </c>
      <c r="J303" s="1">
        <v>7</v>
      </c>
      <c r="K303" s="1">
        <v>308</v>
      </c>
      <c r="M303" s="1">
        <v>20</v>
      </c>
      <c r="N303" s="1">
        <f t="shared" si="50"/>
        <v>21.461224489795917</v>
      </c>
    </row>
    <row r="304" spans="1:14" ht="34.5" customHeight="1" x14ac:dyDescent="0.3">
      <c r="A304" s="1">
        <v>7.53</v>
      </c>
      <c r="G304" s="1">
        <v>763.2</v>
      </c>
      <c r="H304" s="1">
        <v>0.8</v>
      </c>
      <c r="I304" s="1">
        <v>3.6</v>
      </c>
      <c r="J304" s="1">
        <v>7</v>
      </c>
      <c r="K304" s="1">
        <v>308</v>
      </c>
      <c r="M304" s="1">
        <v>30</v>
      </c>
      <c r="N304" s="1">
        <f t="shared" si="50"/>
        <v>22.216901408450706</v>
      </c>
    </row>
    <row r="305" spans="1:14" ht="34.5" customHeight="1" x14ac:dyDescent="0.3">
      <c r="A305" s="1">
        <v>7.53</v>
      </c>
      <c r="G305" s="1">
        <v>763.2</v>
      </c>
      <c r="H305" s="1">
        <v>0.8</v>
      </c>
      <c r="I305" s="1">
        <v>3.6</v>
      </c>
      <c r="J305" s="1">
        <v>7</v>
      </c>
      <c r="K305" s="1">
        <v>308</v>
      </c>
      <c r="M305" s="1">
        <v>50</v>
      </c>
      <c r="N305" s="1">
        <f t="shared" si="50"/>
        <v>22.860869565217389</v>
      </c>
    </row>
    <row r="306" spans="1:14" ht="34.5" customHeight="1" x14ac:dyDescent="0.3">
      <c r="A306" s="1">
        <v>7.53</v>
      </c>
      <c r="G306" s="1">
        <v>763.2</v>
      </c>
      <c r="H306" s="1">
        <v>0.8</v>
      </c>
      <c r="I306" s="1">
        <v>3.6</v>
      </c>
      <c r="J306" s="1">
        <v>7</v>
      </c>
      <c r="K306" s="1">
        <v>308</v>
      </c>
      <c r="M306" s="1">
        <v>70</v>
      </c>
      <c r="N306" s="1">
        <f t="shared" si="50"/>
        <v>23.148427672955975</v>
      </c>
    </row>
    <row r="307" spans="1:14" ht="34.5" customHeight="1" x14ac:dyDescent="0.3">
      <c r="A307" s="1">
        <v>7.53</v>
      </c>
      <c r="G307" s="1">
        <v>763.2</v>
      </c>
      <c r="H307" s="1">
        <v>0.8</v>
      </c>
      <c r="I307" s="1">
        <v>3.6</v>
      </c>
      <c r="J307" s="1">
        <v>7</v>
      </c>
      <c r="K307" s="1">
        <v>308</v>
      </c>
      <c r="M307" s="1">
        <v>100</v>
      </c>
      <c r="N307" s="1">
        <f t="shared" si="50"/>
        <v>23.368888888888886</v>
      </c>
    </row>
    <row r="308" spans="1:14" ht="34.5" customHeight="1" x14ac:dyDescent="0.3">
      <c r="A308" s="1">
        <v>7.53</v>
      </c>
      <c r="G308" s="1">
        <v>763.2</v>
      </c>
      <c r="H308" s="1">
        <v>0.8</v>
      </c>
      <c r="I308" s="1">
        <v>3.6</v>
      </c>
      <c r="J308" s="1">
        <v>7</v>
      </c>
      <c r="K308" s="1">
        <v>318</v>
      </c>
      <c r="M308" s="1">
        <v>10</v>
      </c>
      <c r="N308" s="1">
        <f t="shared" ref="N308:N313" si="51">26.7*0.561*M308/(1+0.561*M308)</f>
        <v>22.660665658093798</v>
      </c>
    </row>
    <row r="309" spans="1:14" ht="34.5" customHeight="1" x14ac:dyDescent="0.3">
      <c r="A309" s="1">
        <v>7.53</v>
      </c>
      <c r="G309" s="1">
        <v>763.2</v>
      </c>
      <c r="H309" s="1">
        <v>0.8</v>
      </c>
      <c r="I309" s="1">
        <v>3.6</v>
      </c>
      <c r="J309" s="1">
        <v>7</v>
      </c>
      <c r="K309" s="1">
        <v>318</v>
      </c>
      <c r="M309" s="1">
        <v>20</v>
      </c>
      <c r="N309" s="1">
        <f t="shared" si="51"/>
        <v>24.51505728314239</v>
      </c>
    </row>
    <row r="310" spans="1:14" ht="34.5" customHeight="1" x14ac:dyDescent="0.3">
      <c r="A310" s="1">
        <v>7.53</v>
      </c>
      <c r="G310" s="1">
        <v>763.2</v>
      </c>
      <c r="H310" s="1">
        <v>0.8</v>
      </c>
      <c r="I310" s="1">
        <v>3.6</v>
      </c>
      <c r="J310" s="1">
        <v>7</v>
      </c>
      <c r="K310" s="1">
        <v>318</v>
      </c>
      <c r="M310" s="1">
        <v>30</v>
      </c>
      <c r="N310" s="1">
        <f t="shared" si="51"/>
        <v>25.20252383623107</v>
      </c>
    </row>
    <row r="311" spans="1:14" ht="34.5" customHeight="1" x14ac:dyDescent="0.3">
      <c r="A311" s="1">
        <v>7.53</v>
      </c>
      <c r="G311" s="1">
        <v>763.2</v>
      </c>
      <c r="H311" s="1">
        <v>0.8</v>
      </c>
      <c r="I311" s="1">
        <v>3.6</v>
      </c>
      <c r="J311" s="1">
        <v>7</v>
      </c>
      <c r="K311" s="1">
        <v>318</v>
      </c>
      <c r="M311" s="1">
        <v>50</v>
      </c>
      <c r="N311" s="1">
        <f t="shared" si="51"/>
        <v>25.780895008605849</v>
      </c>
    </row>
    <row r="312" spans="1:14" ht="34.5" customHeight="1" x14ac:dyDescent="0.3">
      <c r="A312" s="1">
        <v>7.53</v>
      </c>
      <c r="G312" s="1">
        <v>763.2</v>
      </c>
      <c r="H312" s="1">
        <v>0.8</v>
      </c>
      <c r="I312" s="1">
        <v>3.6</v>
      </c>
      <c r="J312" s="1">
        <v>7</v>
      </c>
      <c r="K312" s="1">
        <v>318</v>
      </c>
      <c r="M312" s="1">
        <v>70</v>
      </c>
      <c r="N312" s="1">
        <f t="shared" si="51"/>
        <v>26.036975415942386</v>
      </c>
    </row>
    <row r="313" spans="1:14" ht="34.5" customHeight="1" x14ac:dyDescent="0.3">
      <c r="A313" s="1">
        <v>7.53</v>
      </c>
      <c r="G313" s="1">
        <v>763.2</v>
      </c>
      <c r="H313" s="1">
        <v>0.8</v>
      </c>
      <c r="I313" s="1">
        <v>3.6</v>
      </c>
      <c r="J313" s="1">
        <v>7</v>
      </c>
      <c r="K313" s="1">
        <v>318</v>
      </c>
      <c r="M313" s="1">
        <v>100</v>
      </c>
      <c r="N313" s="1">
        <f t="shared" si="51"/>
        <v>26.232399299474604</v>
      </c>
    </row>
    <row r="314" spans="1:14" ht="34.5" customHeight="1" x14ac:dyDescent="0.3">
      <c r="A314" s="1">
        <v>7.5529999999999999</v>
      </c>
      <c r="G314" s="1">
        <v>52.75</v>
      </c>
      <c r="H314" s="1">
        <v>7.5999999999999998E-2</v>
      </c>
      <c r="I314" s="1">
        <v>5.78</v>
      </c>
      <c r="J314" s="1">
        <v>6</v>
      </c>
      <c r="K314" s="1">
        <v>293</v>
      </c>
      <c r="M314" s="1">
        <v>5</v>
      </c>
      <c r="N314" s="1">
        <f t="shared" ref="N314:N319" si="52">14.8*0.38*M314/(1+0.38*M314)</f>
        <v>9.6965517241379331</v>
      </c>
    </row>
    <row r="315" spans="1:14" ht="34.5" customHeight="1" x14ac:dyDescent="0.3">
      <c r="A315" s="1">
        <v>7.5529999999999999</v>
      </c>
      <c r="G315" s="1">
        <v>52.75</v>
      </c>
      <c r="H315" s="1">
        <v>7.5999999999999998E-2</v>
      </c>
      <c r="I315" s="1">
        <v>5.78</v>
      </c>
      <c r="J315" s="1">
        <v>6</v>
      </c>
      <c r="K315" s="1">
        <v>293</v>
      </c>
      <c r="M315" s="1">
        <v>7</v>
      </c>
      <c r="N315" s="1">
        <f t="shared" si="52"/>
        <v>10.756284153005465</v>
      </c>
    </row>
    <row r="316" spans="1:14" ht="34.5" customHeight="1" x14ac:dyDescent="0.3">
      <c r="A316" s="1">
        <v>7.5529999999999999</v>
      </c>
      <c r="G316" s="1">
        <v>52.75</v>
      </c>
      <c r="H316" s="1">
        <v>7.5999999999999998E-2</v>
      </c>
      <c r="I316" s="1">
        <v>5.78</v>
      </c>
      <c r="J316" s="1">
        <v>6</v>
      </c>
      <c r="K316" s="1">
        <v>293</v>
      </c>
      <c r="M316" s="1">
        <v>10</v>
      </c>
      <c r="N316" s="1">
        <f t="shared" si="52"/>
        <v>11.716666666666669</v>
      </c>
    </row>
    <row r="317" spans="1:14" ht="34.5" customHeight="1" x14ac:dyDescent="0.3">
      <c r="A317" s="1">
        <v>7.5529999999999999</v>
      </c>
      <c r="G317" s="1">
        <v>52.75</v>
      </c>
      <c r="H317" s="1">
        <v>7.5999999999999998E-2</v>
      </c>
      <c r="I317" s="1">
        <v>5.78</v>
      </c>
      <c r="J317" s="1">
        <v>6</v>
      </c>
      <c r="K317" s="1">
        <v>293</v>
      </c>
      <c r="M317" s="1">
        <v>15</v>
      </c>
      <c r="N317" s="1">
        <f t="shared" si="52"/>
        <v>12.591044776119405</v>
      </c>
    </row>
    <row r="318" spans="1:14" ht="34.5" customHeight="1" x14ac:dyDescent="0.3">
      <c r="A318" s="1">
        <v>7.5529999999999999</v>
      </c>
      <c r="G318" s="1">
        <v>52.75</v>
      </c>
      <c r="H318" s="1">
        <v>7.5999999999999998E-2</v>
      </c>
      <c r="I318" s="1">
        <v>5.78</v>
      </c>
      <c r="J318" s="1">
        <v>6</v>
      </c>
      <c r="K318" s="1">
        <v>293</v>
      </c>
      <c r="M318" s="1">
        <v>22</v>
      </c>
      <c r="N318" s="1">
        <f t="shared" si="52"/>
        <v>13.21880341880342</v>
      </c>
    </row>
    <row r="319" spans="1:14" ht="34.5" customHeight="1" x14ac:dyDescent="0.3">
      <c r="A319" s="1">
        <v>7.5529999999999999</v>
      </c>
      <c r="G319" s="1">
        <v>52.75</v>
      </c>
      <c r="H319" s="1">
        <v>7.5999999999999998E-2</v>
      </c>
      <c r="I319" s="1">
        <v>5.78</v>
      </c>
      <c r="J319" s="1">
        <v>6</v>
      </c>
      <c r="K319" s="1">
        <v>293</v>
      </c>
      <c r="M319" s="1">
        <v>30</v>
      </c>
      <c r="N319" s="1">
        <f t="shared" si="52"/>
        <v>13.606451612903228</v>
      </c>
    </row>
    <row r="320" spans="1:14" ht="34.5" customHeight="1" x14ac:dyDescent="0.3">
      <c r="A320" s="1">
        <v>7.5529999999999999</v>
      </c>
      <c r="G320" s="1">
        <v>52.75</v>
      </c>
      <c r="H320" s="1">
        <v>7.5999999999999998E-2</v>
      </c>
      <c r="I320" s="1">
        <v>5.78</v>
      </c>
      <c r="J320" s="1">
        <v>6</v>
      </c>
      <c r="K320" s="1">
        <v>303</v>
      </c>
      <c r="M320" s="1">
        <v>5</v>
      </c>
      <c r="N320" s="1">
        <f t="shared" ref="N320:N325" si="53">15.8*0.26*M320/(1+0.26*M320)</f>
        <v>8.9304347826086978</v>
      </c>
    </row>
    <row r="321" spans="1:14" ht="34.5" customHeight="1" x14ac:dyDescent="0.3">
      <c r="A321" s="1">
        <v>7.5529999999999999</v>
      </c>
      <c r="G321" s="1">
        <v>52.75</v>
      </c>
      <c r="H321" s="1">
        <v>7.5999999999999998E-2</v>
      </c>
      <c r="I321" s="1">
        <v>5.78</v>
      </c>
      <c r="J321" s="1">
        <v>6</v>
      </c>
      <c r="K321" s="1">
        <v>303</v>
      </c>
      <c r="M321" s="1">
        <v>7</v>
      </c>
      <c r="N321" s="1">
        <f t="shared" si="53"/>
        <v>10.197163120567376</v>
      </c>
    </row>
    <row r="322" spans="1:14" ht="34.5" customHeight="1" x14ac:dyDescent="0.3">
      <c r="A322" s="1">
        <v>7.5529999999999999</v>
      </c>
      <c r="G322" s="1">
        <v>52.75</v>
      </c>
      <c r="H322" s="1">
        <v>7.5999999999999998E-2</v>
      </c>
      <c r="I322" s="1">
        <v>5.78</v>
      </c>
      <c r="J322" s="1">
        <v>6</v>
      </c>
      <c r="K322" s="1">
        <v>303</v>
      </c>
      <c r="M322" s="1">
        <v>10</v>
      </c>
      <c r="N322" s="1">
        <f t="shared" si="53"/>
        <v>11.411111111111113</v>
      </c>
    </row>
    <row r="323" spans="1:14" ht="34.5" customHeight="1" x14ac:dyDescent="0.3">
      <c r="A323" s="1">
        <v>7.5529999999999999</v>
      </c>
      <c r="G323" s="1">
        <v>52.75</v>
      </c>
      <c r="H323" s="1">
        <v>7.5999999999999998E-2</v>
      </c>
      <c r="I323" s="1">
        <v>5.78</v>
      </c>
      <c r="J323" s="1">
        <v>6</v>
      </c>
      <c r="K323" s="1">
        <v>303</v>
      </c>
      <c r="M323" s="1">
        <v>15</v>
      </c>
      <c r="N323" s="1">
        <f t="shared" si="53"/>
        <v>12.575510204081633</v>
      </c>
    </row>
    <row r="324" spans="1:14" ht="34.5" customHeight="1" x14ac:dyDescent="0.3">
      <c r="A324" s="1">
        <v>7.5529999999999999</v>
      </c>
      <c r="G324" s="1">
        <v>52.75</v>
      </c>
      <c r="H324" s="1">
        <v>7.5999999999999998E-2</v>
      </c>
      <c r="I324" s="1">
        <v>5.78</v>
      </c>
      <c r="J324" s="1">
        <v>6</v>
      </c>
      <c r="K324" s="1">
        <v>303</v>
      </c>
      <c r="M324" s="1">
        <v>22</v>
      </c>
      <c r="N324" s="1">
        <f t="shared" si="53"/>
        <v>13.448809523809523</v>
      </c>
    </row>
    <row r="325" spans="1:14" ht="34.5" customHeight="1" x14ac:dyDescent="0.3">
      <c r="A325" s="1">
        <v>7.5529999999999999</v>
      </c>
      <c r="G325" s="1">
        <v>52.75</v>
      </c>
      <c r="H325" s="1">
        <v>7.5999999999999998E-2</v>
      </c>
      <c r="I325" s="1">
        <v>5.78</v>
      </c>
      <c r="J325" s="1">
        <v>6</v>
      </c>
      <c r="K325" s="1">
        <v>303</v>
      </c>
      <c r="M325" s="1">
        <v>30</v>
      </c>
      <c r="N325" s="1">
        <f t="shared" si="53"/>
        <v>14.004545454545454</v>
      </c>
    </row>
    <row r="326" spans="1:14" ht="34.5" customHeight="1" x14ac:dyDescent="0.3">
      <c r="A326" s="1">
        <v>7.5529999999999999</v>
      </c>
      <c r="G326" s="1">
        <v>52.75</v>
      </c>
      <c r="H326" s="1">
        <v>7.5999999999999998E-2</v>
      </c>
      <c r="I326" s="1">
        <v>5.78</v>
      </c>
      <c r="J326" s="1">
        <v>6</v>
      </c>
      <c r="K326" s="1">
        <v>313</v>
      </c>
      <c r="M326" s="1">
        <v>5</v>
      </c>
      <c r="N326" s="1">
        <f t="shared" ref="N326:N331" si="54">17.2*0.19*M326/(1+0.19*M326)</f>
        <v>8.3794871794871799</v>
      </c>
    </row>
    <row r="327" spans="1:14" ht="34.5" customHeight="1" x14ac:dyDescent="0.3">
      <c r="A327" s="1">
        <v>7.5529999999999999</v>
      </c>
      <c r="G327" s="1">
        <v>52.75</v>
      </c>
      <c r="H327" s="1">
        <v>7.5999999999999998E-2</v>
      </c>
      <c r="I327" s="1">
        <v>5.78</v>
      </c>
      <c r="J327" s="1">
        <v>6</v>
      </c>
      <c r="K327" s="1">
        <v>313</v>
      </c>
      <c r="M327" s="1">
        <v>7</v>
      </c>
      <c r="N327" s="1">
        <f t="shared" si="54"/>
        <v>9.8180257510729607</v>
      </c>
    </row>
    <row r="328" spans="1:14" ht="34.5" customHeight="1" x14ac:dyDescent="0.3">
      <c r="A328" s="1">
        <v>7.5529999999999999</v>
      </c>
      <c r="G328" s="1">
        <v>52.75</v>
      </c>
      <c r="H328" s="1">
        <v>7.5999999999999998E-2</v>
      </c>
      <c r="I328" s="1">
        <v>5.78</v>
      </c>
      <c r="J328" s="1">
        <v>6</v>
      </c>
      <c r="K328" s="1">
        <v>313</v>
      </c>
      <c r="M328" s="1">
        <v>10</v>
      </c>
      <c r="N328" s="1">
        <f t="shared" si="54"/>
        <v>11.26896551724138</v>
      </c>
    </row>
    <row r="329" spans="1:14" ht="34.5" customHeight="1" x14ac:dyDescent="0.3">
      <c r="A329" s="1">
        <v>7.5529999999999999</v>
      </c>
      <c r="G329" s="1">
        <v>52.75</v>
      </c>
      <c r="H329" s="1">
        <v>7.5999999999999998E-2</v>
      </c>
      <c r="I329" s="1">
        <v>5.78</v>
      </c>
      <c r="J329" s="1">
        <v>6</v>
      </c>
      <c r="K329" s="1">
        <v>313</v>
      </c>
      <c r="M329" s="1">
        <v>15</v>
      </c>
      <c r="N329" s="1">
        <f t="shared" si="54"/>
        <v>12.732467532467531</v>
      </c>
    </row>
    <row r="330" spans="1:14" ht="34.5" customHeight="1" x14ac:dyDescent="0.3">
      <c r="A330" s="1">
        <v>7.5529999999999999</v>
      </c>
      <c r="G330" s="1">
        <v>52.75</v>
      </c>
      <c r="H330" s="1">
        <v>7.5999999999999998E-2</v>
      </c>
      <c r="I330" s="1">
        <v>5.78</v>
      </c>
      <c r="J330" s="1">
        <v>6</v>
      </c>
      <c r="K330" s="1">
        <v>313</v>
      </c>
      <c r="M330" s="1">
        <v>22</v>
      </c>
      <c r="N330" s="1">
        <f t="shared" si="54"/>
        <v>13.879536679536681</v>
      </c>
    </row>
    <row r="331" spans="1:14" ht="34.5" customHeight="1" x14ac:dyDescent="0.3">
      <c r="A331" s="1">
        <v>7.5529999999999999</v>
      </c>
      <c r="G331" s="1">
        <v>52.75</v>
      </c>
      <c r="H331" s="1">
        <v>7.5999999999999998E-2</v>
      </c>
      <c r="I331" s="1">
        <v>5.78</v>
      </c>
      <c r="J331" s="1">
        <v>6</v>
      </c>
      <c r="K331" s="1">
        <v>313</v>
      </c>
      <c r="M331" s="1">
        <v>30</v>
      </c>
      <c r="N331" s="1">
        <f t="shared" si="54"/>
        <v>14.63283582089552</v>
      </c>
    </row>
    <row r="332" spans="1:14" ht="34.5" customHeight="1" x14ac:dyDescent="0.3">
      <c r="A332" s="1" t="s">
        <v>11</v>
      </c>
      <c r="G332" s="1">
        <v>134</v>
      </c>
      <c r="H332" s="1">
        <v>0.1</v>
      </c>
      <c r="I332" s="1">
        <v>2.61</v>
      </c>
      <c r="J332" s="1">
        <v>7</v>
      </c>
      <c r="K332" s="1">
        <v>298</v>
      </c>
      <c r="M332" s="1">
        <v>10</v>
      </c>
      <c r="N332" s="1">
        <f t="shared" ref="N332:N337" si="55">54.3*0.065*M332/(1+0.065*M332)</f>
        <v>21.390909090909094</v>
      </c>
    </row>
    <row r="333" spans="1:14" ht="34.5" customHeight="1" x14ac:dyDescent="0.3">
      <c r="A333" s="1" t="s">
        <v>11</v>
      </c>
      <c r="G333" s="1">
        <v>134</v>
      </c>
      <c r="H333" s="1">
        <v>0.1</v>
      </c>
      <c r="I333" s="1">
        <v>2.61</v>
      </c>
      <c r="J333" s="1">
        <v>7</v>
      </c>
      <c r="K333" s="1">
        <v>298</v>
      </c>
      <c r="M333" s="1">
        <v>50</v>
      </c>
      <c r="N333" s="1">
        <f t="shared" si="55"/>
        <v>41.523529411764706</v>
      </c>
    </row>
    <row r="334" spans="1:14" ht="34.5" customHeight="1" x14ac:dyDescent="0.3">
      <c r="A334" s="1" t="s">
        <v>11</v>
      </c>
      <c r="G334" s="1">
        <v>134</v>
      </c>
      <c r="H334" s="1">
        <v>0.1</v>
      </c>
      <c r="I334" s="1">
        <v>2.61</v>
      </c>
      <c r="J334" s="1">
        <v>7</v>
      </c>
      <c r="K334" s="1">
        <v>298</v>
      </c>
      <c r="M334" s="1">
        <v>110</v>
      </c>
      <c r="N334" s="1">
        <f t="shared" si="55"/>
        <v>47.637423312883435</v>
      </c>
    </row>
    <row r="335" spans="1:14" ht="34.5" customHeight="1" x14ac:dyDescent="0.3">
      <c r="A335" s="1" t="s">
        <v>11</v>
      </c>
      <c r="G335" s="1">
        <v>134</v>
      </c>
      <c r="H335" s="1">
        <v>0.1</v>
      </c>
      <c r="I335" s="1">
        <v>2.61</v>
      </c>
      <c r="J335" s="1">
        <v>7</v>
      </c>
      <c r="K335" s="1">
        <v>298</v>
      </c>
      <c r="M335" s="1">
        <v>160</v>
      </c>
      <c r="N335" s="1">
        <f t="shared" si="55"/>
        <v>49.536842105263162</v>
      </c>
    </row>
    <row r="336" spans="1:14" ht="34.5" customHeight="1" x14ac:dyDescent="0.3">
      <c r="A336" s="1" t="s">
        <v>11</v>
      </c>
      <c r="G336" s="1">
        <v>134</v>
      </c>
      <c r="H336" s="1">
        <v>0.1</v>
      </c>
      <c r="I336" s="1">
        <v>2.61</v>
      </c>
      <c r="J336" s="1">
        <v>7</v>
      </c>
      <c r="K336" s="1">
        <v>298</v>
      </c>
      <c r="M336" s="1">
        <v>220</v>
      </c>
      <c r="N336" s="1">
        <f t="shared" si="55"/>
        <v>50.750980392156862</v>
      </c>
    </row>
    <row r="337" spans="1:14" ht="34.5" customHeight="1" x14ac:dyDescent="0.3">
      <c r="A337" s="1" t="s">
        <v>11</v>
      </c>
      <c r="G337" s="1">
        <v>134</v>
      </c>
      <c r="H337" s="1">
        <v>0.1</v>
      </c>
      <c r="I337" s="1">
        <v>2.61</v>
      </c>
      <c r="J337" s="1">
        <v>7</v>
      </c>
      <c r="K337" s="1">
        <v>298</v>
      </c>
      <c r="M337" s="1">
        <v>310</v>
      </c>
      <c r="N337" s="1">
        <f t="shared" si="55"/>
        <v>51.732624113475168</v>
      </c>
    </row>
    <row r="338" spans="1:14" ht="34.5" customHeight="1" x14ac:dyDescent="0.3">
      <c r="A338" s="1" t="s">
        <v>11</v>
      </c>
      <c r="G338" s="1">
        <v>134</v>
      </c>
      <c r="H338" s="1">
        <v>0.1</v>
      </c>
      <c r="I338" s="1">
        <v>2.61</v>
      </c>
      <c r="J338" s="1">
        <v>7</v>
      </c>
      <c r="K338" s="1">
        <v>308</v>
      </c>
      <c r="M338" s="1">
        <v>10</v>
      </c>
      <c r="N338" s="1">
        <f t="shared" ref="N338:N343" si="56">51.8*0.092*M338/(1+0.092*M338)</f>
        <v>24.820833333333333</v>
      </c>
    </row>
    <row r="339" spans="1:14" ht="34.5" customHeight="1" x14ac:dyDescent="0.3">
      <c r="A339" s="1" t="s">
        <v>11</v>
      </c>
      <c r="G339" s="1">
        <v>134</v>
      </c>
      <c r="H339" s="1">
        <v>0.1</v>
      </c>
      <c r="I339" s="1">
        <v>2.61</v>
      </c>
      <c r="J339" s="1">
        <v>7</v>
      </c>
      <c r="K339" s="1">
        <v>308</v>
      </c>
      <c r="M339" s="1">
        <v>50</v>
      </c>
      <c r="N339" s="1">
        <f t="shared" si="56"/>
        <v>42.550000000000004</v>
      </c>
    </row>
    <row r="340" spans="1:14" ht="34.5" customHeight="1" x14ac:dyDescent="0.3">
      <c r="A340" s="1" t="s">
        <v>11</v>
      </c>
      <c r="G340" s="1">
        <v>134</v>
      </c>
      <c r="H340" s="1">
        <v>0.1</v>
      </c>
      <c r="I340" s="1">
        <v>2.61</v>
      </c>
      <c r="J340" s="1">
        <v>7</v>
      </c>
      <c r="K340" s="1">
        <v>308</v>
      </c>
      <c r="M340" s="1">
        <v>110</v>
      </c>
      <c r="N340" s="1">
        <f t="shared" si="56"/>
        <v>47.141726618705043</v>
      </c>
    </row>
    <row r="341" spans="1:14" ht="34.5" customHeight="1" x14ac:dyDescent="0.3">
      <c r="A341" s="1" t="s">
        <v>11</v>
      </c>
      <c r="G341" s="1">
        <v>134</v>
      </c>
      <c r="H341" s="1">
        <v>0.1</v>
      </c>
      <c r="I341" s="1">
        <v>2.61</v>
      </c>
      <c r="J341" s="1">
        <v>7</v>
      </c>
      <c r="K341" s="1">
        <v>308</v>
      </c>
      <c r="M341" s="1">
        <v>160</v>
      </c>
      <c r="N341" s="1">
        <f t="shared" si="56"/>
        <v>48.504834605597964</v>
      </c>
    </row>
    <row r="342" spans="1:14" ht="34.5" customHeight="1" x14ac:dyDescent="0.3">
      <c r="A342" s="1" t="s">
        <v>11</v>
      </c>
      <c r="G342" s="1">
        <v>134</v>
      </c>
      <c r="H342" s="1">
        <v>0.1</v>
      </c>
      <c r="I342" s="1">
        <v>2.61</v>
      </c>
      <c r="J342" s="1">
        <v>7</v>
      </c>
      <c r="K342" s="1">
        <v>308</v>
      </c>
      <c r="M342" s="1">
        <v>220</v>
      </c>
      <c r="N342" s="1">
        <f t="shared" si="56"/>
        <v>49.361205273069686</v>
      </c>
    </row>
    <row r="343" spans="1:14" ht="34.5" customHeight="1" x14ac:dyDescent="0.3">
      <c r="A343" s="1" t="s">
        <v>11</v>
      </c>
      <c r="G343" s="1">
        <v>134</v>
      </c>
      <c r="H343" s="1">
        <v>0.1</v>
      </c>
      <c r="I343" s="1">
        <v>2.61</v>
      </c>
      <c r="J343" s="1">
        <v>7</v>
      </c>
      <c r="K343" s="1">
        <v>308</v>
      </c>
      <c r="M343" s="1">
        <v>310</v>
      </c>
      <c r="N343" s="1">
        <f t="shared" si="56"/>
        <v>50.045257452574525</v>
      </c>
    </row>
    <row r="344" spans="1:14" ht="34.5" customHeight="1" x14ac:dyDescent="0.3">
      <c r="A344" s="1" t="s">
        <v>11</v>
      </c>
      <c r="G344" s="1">
        <v>134</v>
      </c>
      <c r="H344" s="1">
        <v>0.1</v>
      </c>
      <c r="I344" s="1">
        <v>2.61</v>
      </c>
      <c r="J344" s="1">
        <v>7</v>
      </c>
      <c r="K344" s="1">
        <v>318</v>
      </c>
      <c r="M344" s="1">
        <v>10</v>
      </c>
      <c r="N344" s="1">
        <f t="shared" ref="N344:N349" si="57">50.3*0.138*M344/(1+0.138*M344)</f>
        <v>29.165546218487396</v>
      </c>
    </row>
    <row r="345" spans="1:14" ht="34.5" customHeight="1" x14ac:dyDescent="0.3">
      <c r="A345" s="1" t="s">
        <v>11</v>
      </c>
      <c r="G345" s="1">
        <v>134</v>
      </c>
      <c r="H345" s="1">
        <v>0.1</v>
      </c>
      <c r="I345" s="1">
        <v>2.61</v>
      </c>
      <c r="J345" s="1">
        <v>7</v>
      </c>
      <c r="K345" s="1">
        <v>318</v>
      </c>
      <c r="M345" s="1">
        <v>50</v>
      </c>
      <c r="N345" s="1">
        <f t="shared" si="57"/>
        <v>43.93291139240506</v>
      </c>
    </row>
    <row r="346" spans="1:14" ht="34.5" customHeight="1" x14ac:dyDescent="0.3">
      <c r="A346" s="1" t="s">
        <v>11</v>
      </c>
      <c r="G346" s="1">
        <v>134</v>
      </c>
      <c r="H346" s="1">
        <v>0.1</v>
      </c>
      <c r="I346" s="1">
        <v>2.61</v>
      </c>
      <c r="J346" s="1">
        <v>7</v>
      </c>
      <c r="K346" s="1">
        <v>318</v>
      </c>
      <c r="M346" s="1">
        <v>110</v>
      </c>
      <c r="N346" s="1">
        <f t="shared" si="57"/>
        <v>47.19122373300371</v>
      </c>
    </row>
    <row r="347" spans="1:14" ht="34.5" customHeight="1" x14ac:dyDescent="0.3">
      <c r="A347" s="1" t="s">
        <v>11</v>
      </c>
      <c r="G347" s="1">
        <v>134</v>
      </c>
      <c r="H347" s="1">
        <v>0.1</v>
      </c>
      <c r="I347" s="1">
        <v>2.61</v>
      </c>
      <c r="J347" s="1">
        <v>7</v>
      </c>
      <c r="K347" s="1">
        <v>318</v>
      </c>
      <c r="M347" s="1">
        <v>160</v>
      </c>
      <c r="N347" s="1">
        <f t="shared" si="57"/>
        <v>48.120623916811091</v>
      </c>
    </row>
    <row r="348" spans="1:14" ht="34.5" customHeight="1" x14ac:dyDescent="0.3">
      <c r="A348" s="1" t="s">
        <v>11</v>
      </c>
      <c r="G348" s="1">
        <v>134</v>
      </c>
      <c r="H348" s="1">
        <v>0.1</v>
      </c>
      <c r="I348" s="1">
        <v>2.61</v>
      </c>
      <c r="J348" s="1">
        <v>7</v>
      </c>
      <c r="K348" s="1">
        <v>318</v>
      </c>
      <c r="M348" s="1">
        <v>220</v>
      </c>
      <c r="N348" s="1">
        <f t="shared" si="57"/>
        <v>48.696045918367339</v>
      </c>
    </row>
    <row r="349" spans="1:14" ht="34.5" customHeight="1" x14ac:dyDescent="0.3">
      <c r="A349" s="1" t="s">
        <v>11</v>
      </c>
      <c r="G349" s="1">
        <v>134</v>
      </c>
      <c r="H349" s="1">
        <v>0.1</v>
      </c>
      <c r="I349" s="1">
        <v>2.61</v>
      </c>
      <c r="J349" s="1">
        <v>7</v>
      </c>
      <c r="K349" s="1">
        <v>318</v>
      </c>
      <c r="M349" s="1">
        <v>310</v>
      </c>
      <c r="N349" s="1">
        <f t="shared" si="57"/>
        <v>49.151073549566007</v>
      </c>
    </row>
    <row r="350" spans="1:14" ht="34.5" customHeight="1" x14ac:dyDescent="0.3">
      <c r="A350" s="1" t="s">
        <v>11</v>
      </c>
      <c r="B350" s="1" t="s">
        <v>11</v>
      </c>
      <c r="C350" s="1" t="s">
        <v>11</v>
      </c>
      <c r="E350" s="1" t="s">
        <v>11</v>
      </c>
      <c r="F350" s="1" t="s">
        <v>11</v>
      </c>
      <c r="G350" s="1">
        <v>39.299999999999997</v>
      </c>
      <c r="H350" s="1">
        <v>0.17100000000000001</v>
      </c>
      <c r="I350" s="1">
        <v>22000</v>
      </c>
      <c r="J350" s="1">
        <v>7</v>
      </c>
      <c r="K350" s="1">
        <v>283</v>
      </c>
      <c r="M350" s="1">
        <v>1</v>
      </c>
      <c r="N350" s="1">
        <f t="shared" ref="N350:N355" si="58">9.54*15.4*M350/(1+15.4*M350)</f>
        <v>8.9582926829268299</v>
      </c>
    </row>
    <row r="351" spans="1:14" ht="34.5" customHeight="1" x14ac:dyDescent="0.3">
      <c r="A351" s="1" t="s">
        <v>11</v>
      </c>
      <c r="B351" s="1" t="s">
        <v>11</v>
      </c>
      <c r="C351" s="1" t="s">
        <v>11</v>
      </c>
      <c r="E351" s="1" t="s">
        <v>11</v>
      </c>
      <c r="F351" s="1" t="s">
        <v>11</v>
      </c>
      <c r="G351" s="1">
        <v>39.299999999999997</v>
      </c>
      <c r="H351" s="1">
        <v>0.17100000000000001</v>
      </c>
      <c r="I351" s="1">
        <v>22000</v>
      </c>
      <c r="J351" s="1">
        <v>7</v>
      </c>
      <c r="K351" s="1">
        <v>283</v>
      </c>
      <c r="M351" s="1">
        <v>2</v>
      </c>
      <c r="N351" s="1">
        <f t="shared" si="58"/>
        <v>9.24</v>
      </c>
    </row>
    <row r="352" spans="1:14" ht="34.5" customHeight="1" x14ac:dyDescent="0.3">
      <c r="A352" s="1" t="s">
        <v>11</v>
      </c>
      <c r="B352" s="1" t="s">
        <v>11</v>
      </c>
      <c r="C352" s="1" t="s">
        <v>11</v>
      </c>
      <c r="E352" s="1" t="s">
        <v>11</v>
      </c>
      <c r="F352" s="1" t="s">
        <v>11</v>
      </c>
      <c r="G352" s="1">
        <v>39.299999999999997</v>
      </c>
      <c r="H352" s="1">
        <v>0.17100000000000001</v>
      </c>
      <c r="I352" s="1">
        <v>22000</v>
      </c>
      <c r="J352" s="1">
        <v>7</v>
      </c>
      <c r="K352" s="1">
        <v>283</v>
      </c>
      <c r="M352" s="1">
        <v>3</v>
      </c>
      <c r="N352" s="1">
        <f t="shared" si="58"/>
        <v>9.3378813559322023</v>
      </c>
    </row>
    <row r="353" spans="1:14" ht="34.5" customHeight="1" x14ac:dyDescent="0.3">
      <c r="A353" s="1" t="s">
        <v>11</v>
      </c>
      <c r="B353" s="1" t="s">
        <v>11</v>
      </c>
      <c r="C353" s="1" t="s">
        <v>11</v>
      </c>
      <c r="E353" s="1" t="s">
        <v>11</v>
      </c>
      <c r="F353" s="1" t="s">
        <v>11</v>
      </c>
      <c r="G353" s="1">
        <v>39.299999999999997</v>
      </c>
      <c r="H353" s="1">
        <v>0.17100000000000001</v>
      </c>
      <c r="I353" s="1">
        <v>22000</v>
      </c>
      <c r="J353" s="1">
        <v>7</v>
      </c>
      <c r="K353" s="1">
        <v>283</v>
      </c>
      <c r="M353" s="1">
        <v>4</v>
      </c>
      <c r="N353" s="1">
        <f t="shared" si="58"/>
        <v>9.3876038338658141</v>
      </c>
    </row>
    <row r="354" spans="1:14" ht="34.5" customHeight="1" x14ac:dyDescent="0.3">
      <c r="A354" s="1" t="s">
        <v>11</v>
      </c>
      <c r="B354" s="1" t="s">
        <v>11</v>
      </c>
      <c r="C354" s="1" t="s">
        <v>11</v>
      </c>
      <c r="E354" s="1" t="s">
        <v>11</v>
      </c>
      <c r="F354" s="1" t="s">
        <v>11</v>
      </c>
      <c r="G354" s="1">
        <v>39.299999999999997</v>
      </c>
      <c r="H354" s="1">
        <v>0.17100000000000001</v>
      </c>
      <c r="I354" s="1">
        <v>22000</v>
      </c>
      <c r="J354" s="1">
        <v>7</v>
      </c>
      <c r="K354" s="1">
        <v>283</v>
      </c>
      <c r="M354" s="1">
        <v>5</v>
      </c>
      <c r="N354" s="1">
        <f t="shared" si="58"/>
        <v>9.417692307692306</v>
      </c>
    </row>
    <row r="355" spans="1:14" ht="34.5" customHeight="1" x14ac:dyDescent="0.3">
      <c r="A355" s="1" t="s">
        <v>11</v>
      </c>
      <c r="B355" s="1" t="s">
        <v>11</v>
      </c>
      <c r="C355" s="1" t="s">
        <v>11</v>
      </c>
      <c r="E355" s="1" t="s">
        <v>11</v>
      </c>
      <c r="F355" s="1" t="s">
        <v>11</v>
      </c>
      <c r="G355" s="1">
        <v>39.299999999999997</v>
      </c>
      <c r="H355" s="1">
        <v>0.17100000000000001</v>
      </c>
      <c r="I355" s="1">
        <v>22000</v>
      </c>
      <c r="J355" s="1">
        <v>7</v>
      </c>
      <c r="K355" s="1">
        <v>283</v>
      </c>
      <c r="M355" s="1">
        <v>6</v>
      </c>
      <c r="N355" s="1">
        <f t="shared" si="58"/>
        <v>9.4378586723768727</v>
      </c>
    </row>
    <row r="356" spans="1:14" ht="34.5" customHeight="1" x14ac:dyDescent="0.3">
      <c r="A356" s="1" t="s">
        <v>11</v>
      </c>
      <c r="B356" s="1" t="s">
        <v>11</v>
      </c>
      <c r="C356" s="1" t="s">
        <v>11</v>
      </c>
      <c r="E356" s="1" t="s">
        <v>11</v>
      </c>
      <c r="F356" s="1" t="s">
        <v>11</v>
      </c>
      <c r="G356" s="1">
        <v>39.299999999999997</v>
      </c>
      <c r="H356" s="1">
        <v>0.17100000000000001</v>
      </c>
      <c r="I356" s="1">
        <v>22000</v>
      </c>
      <c r="J356" s="1">
        <v>7</v>
      </c>
      <c r="K356" s="1">
        <v>296</v>
      </c>
      <c r="M356" s="1">
        <v>1</v>
      </c>
      <c r="N356" s="1">
        <f t="shared" ref="N356:N361" si="59">10.19*18.9*M356/(1+18.9*M356)</f>
        <v>9.6779396984924624</v>
      </c>
    </row>
    <row r="357" spans="1:14" ht="34.5" customHeight="1" x14ac:dyDescent="0.3">
      <c r="A357" s="1" t="s">
        <v>11</v>
      </c>
      <c r="B357" s="1" t="s">
        <v>11</v>
      </c>
      <c r="C357" s="1" t="s">
        <v>11</v>
      </c>
      <c r="E357" s="1" t="s">
        <v>11</v>
      </c>
      <c r="F357" s="1" t="s">
        <v>11</v>
      </c>
      <c r="G357" s="1">
        <v>39.299999999999997</v>
      </c>
      <c r="H357" s="1">
        <v>0.17100000000000001</v>
      </c>
      <c r="I357" s="1">
        <v>22000</v>
      </c>
      <c r="J357" s="1">
        <v>7</v>
      </c>
      <c r="K357" s="1">
        <v>296</v>
      </c>
      <c r="M357" s="1">
        <v>2</v>
      </c>
      <c r="N357" s="1">
        <f t="shared" si="59"/>
        <v>9.9273711340206177</v>
      </c>
    </row>
    <row r="358" spans="1:14" ht="34.5" customHeight="1" x14ac:dyDescent="0.3">
      <c r="A358" s="1" t="s">
        <v>11</v>
      </c>
      <c r="B358" s="1" t="s">
        <v>11</v>
      </c>
      <c r="C358" s="1" t="s">
        <v>11</v>
      </c>
      <c r="E358" s="1" t="s">
        <v>11</v>
      </c>
      <c r="F358" s="1" t="s">
        <v>11</v>
      </c>
      <c r="G358" s="1">
        <v>39.299999999999997</v>
      </c>
      <c r="H358" s="1">
        <v>0.17100000000000001</v>
      </c>
      <c r="I358" s="1">
        <v>22000</v>
      </c>
      <c r="J358" s="1">
        <v>7</v>
      </c>
      <c r="K358" s="1">
        <v>296</v>
      </c>
      <c r="M358" s="1">
        <v>3</v>
      </c>
      <c r="N358" s="1">
        <f t="shared" si="59"/>
        <v>10.013396880415943</v>
      </c>
    </row>
    <row r="359" spans="1:14" ht="34.5" customHeight="1" x14ac:dyDescent="0.3">
      <c r="A359" s="1" t="s">
        <v>11</v>
      </c>
      <c r="B359" s="1" t="s">
        <v>11</v>
      </c>
      <c r="C359" s="1" t="s">
        <v>11</v>
      </c>
      <c r="E359" s="1" t="s">
        <v>11</v>
      </c>
      <c r="F359" s="1" t="s">
        <v>11</v>
      </c>
      <c r="G359" s="1">
        <v>39.299999999999997</v>
      </c>
      <c r="H359" s="1">
        <v>0.17100000000000001</v>
      </c>
      <c r="I359" s="1">
        <v>22000</v>
      </c>
      <c r="J359" s="1">
        <v>7</v>
      </c>
      <c r="K359" s="1">
        <v>296</v>
      </c>
      <c r="M359" s="1">
        <v>4</v>
      </c>
      <c r="N359" s="1">
        <f t="shared" si="59"/>
        <v>10.056971279373368</v>
      </c>
    </row>
    <row r="360" spans="1:14" ht="34.5" customHeight="1" x14ac:dyDescent="0.3">
      <c r="A360" s="1" t="s">
        <v>11</v>
      </c>
      <c r="B360" s="1" t="s">
        <v>11</v>
      </c>
      <c r="C360" s="1" t="s">
        <v>11</v>
      </c>
      <c r="E360" s="1" t="s">
        <v>11</v>
      </c>
      <c r="F360" s="1" t="s">
        <v>11</v>
      </c>
      <c r="G360" s="1">
        <v>39.299999999999997</v>
      </c>
      <c r="H360" s="1">
        <v>0.17100000000000001</v>
      </c>
      <c r="I360" s="1">
        <v>22000</v>
      </c>
      <c r="J360" s="1">
        <v>7</v>
      </c>
      <c r="K360" s="1">
        <v>296</v>
      </c>
      <c r="M360" s="1">
        <v>5</v>
      </c>
      <c r="N360" s="1">
        <f t="shared" si="59"/>
        <v>10.08329842931937</v>
      </c>
    </row>
    <row r="361" spans="1:14" ht="34.5" customHeight="1" x14ac:dyDescent="0.3">
      <c r="A361" s="1" t="s">
        <v>11</v>
      </c>
      <c r="B361" s="1" t="s">
        <v>11</v>
      </c>
      <c r="C361" s="1" t="s">
        <v>11</v>
      </c>
      <c r="E361" s="1" t="s">
        <v>11</v>
      </c>
      <c r="F361" s="1" t="s">
        <v>11</v>
      </c>
      <c r="G361" s="1">
        <v>39.299999999999997</v>
      </c>
      <c r="H361" s="1">
        <v>0.17100000000000001</v>
      </c>
      <c r="I361" s="1">
        <v>22000</v>
      </c>
      <c r="J361" s="1">
        <v>7</v>
      </c>
      <c r="K361" s="1">
        <v>296</v>
      </c>
      <c r="M361" s="1">
        <v>6</v>
      </c>
      <c r="N361" s="1">
        <f t="shared" si="59"/>
        <v>10.100926573426573</v>
      </c>
    </row>
    <row r="362" spans="1:14" ht="34.5" customHeight="1" x14ac:dyDescent="0.3">
      <c r="A362" s="1" t="s">
        <v>11</v>
      </c>
      <c r="B362" s="1" t="s">
        <v>11</v>
      </c>
      <c r="C362" s="1" t="s">
        <v>11</v>
      </c>
      <c r="E362" s="1" t="s">
        <v>11</v>
      </c>
      <c r="F362" s="1" t="s">
        <v>11</v>
      </c>
      <c r="G362" s="1">
        <v>39.299999999999997</v>
      </c>
      <c r="H362" s="1">
        <v>0.17100000000000001</v>
      </c>
      <c r="I362" s="1">
        <v>22000</v>
      </c>
      <c r="J362" s="1">
        <v>7</v>
      </c>
      <c r="K362" s="1">
        <v>308</v>
      </c>
      <c r="M362" s="1">
        <v>1</v>
      </c>
      <c r="N362" s="1">
        <f t="shared" ref="N362:N367" si="60">10.54*45.2*M362/(1+45.2*M362)</f>
        <v>10.311861471861471</v>
      </c>
    </row>
    <row r="363" spans="1:14" ht="34.5" customHeight="1" x14ac:dyDescent="0.3">
      <c r="A363" s="1" t="s">
        <v>11</v>
      </c>
      <c r="B363" s="1" t="s">
        <v>11</v>
      </c>
      <c r="C363" s="1" t="s">
        <v>11</v>
      </c>
      <c r="E363" s="1" t="s">
        <v>11</v>
      </c>
      <c r="F363" s="1" t="s">
        <v>11</v>
      </c>
      <c r="G363" s="1">
        <v>39.299999999999997</v>
      </c>
      <c r="H363" s="1">
        <v>0.17100000000000001</v>
      </c>
      <c r="I363" s="1">
        <v>22000</v>
      </c>
      <c r="J363" s="1">
        <v>7</v>
      </c>
      <c r="K363" s="1">
        <v>308</v>
      </c>
      <c r="M363" s="1">
        <v>2</v>
      </c>
      <c r="N363" s="1">
        <f t="shared" si="60"/>
        <v>10.42468271334792</v>
      </c>
    </row>
    <row r="364" spans="1:14" ht="34.5" customHeight="1" x14ac:dyDescent="0.3">
      <c r="A364" s="1" t="s">
        <v>11</v>
      </c>
      <c r="B364" s="1" t="s">
        <v>11</v>
      </c>
      <c r="C364" s="1" t="s">
        <v>11</v>
      </c>
      <c r="E364" s="1" t="s">
        <v>11</v>
      </c>
      <c r="F364" s="1" t="s">
        <v>11</v>
      </c>
      <c r="G364" s="1">
        <v>39.299999999999997</v>
      </c>
      <c r="H364" s="1">
        <v>0.17100000000000001</v>
      </c>
      <c r="I364" s="1">
        <v>22000</v>
      </c>
      <c r="J364" s="1">
        <v>7</v>
      </c>
      <c r="K364" s="1">
        <v>308</v>
      </c>
      <c r="M364" s="1">
        <v>3</v>
      </c>
      <c r="N364" s="1">
        <f t="shared" si="60"/>
        <v>10.462840409956076</v>
      </c>
    </row>
    <row r="365" spans="1:14" ht="34.5" customHeight="1" x14ac:dyDescent="0.3">
      <c r="A365" s="1" t="s">
        <v>11</v>
      </c>
      <c r="B365" s="1" t="s">
        <v>11</v>
      </c>
      <c r="C365" s="1" t="s">
        <v>11</v>
      </c>
      <c r="E365" s="1" t="s">
        <v>11</v>
      </c>
      <c r="F365" s="1" t="s">
        <v>11</v>
      </c>
      <c r="G365" s="1">
        <v>39.299999999999997</v>
      </c>
      <c r="H365" s="1">
        <v>0.17100000000000001</v>
      </c>
      <c r="I365" s="1">
        <v>22000</v>
      </c>
      <c r="J365" s="1">
        <v>7</v>
      </c>
      <c r="K365" s="1">
        <v>308</v>
      </c>
      <c r="M365" s="1">
        <v>4</v>
      </c>
      <c r="N365" s="1">
        <f t="shared" si="60"/>
        <v>10.482024202420241</v>
      </c>
    </row>
    <row r="366" spans="1:14" ht="34.5" customHeight="1" x14ac:dyDescent="0.3">
      <c r="A366" s="1" t="s">
        <v>11</v>
      </c>
      <c r="B366" s="1" t="s">
        <v>11</v>
      </c>
      <c r="C366" s="1" t="s">
        <v>11</v>
      </c>
      <c r="E366" s="1" t="s">
        <v>11</v>
      </c>
      <c r="F366" s="1" t="s">
        <v>11</v>
      </c>
      <c r="G366" s="1">
        <v>39.299999999999997</v>
      </c>
      <c r="H366" s="1">
        <v>0.17100000000000001</v>
      </c>
      <c r="I366" s="1">
        <v>22000</v>
      </c>
      <c r="J366" s="1">
        <v>7</v>
      </c>
      <c r="K366" s="1">
        <v>308</v>
      </c>
      <c r="M366" s="1">
        <v>5</v>
      </c>
      <c r="N366" s="1">
        <f t="shared" si="60"/>
        <v>10.493568281938327</v>
      </c>
    </row>
    <row r="367" spans="1:14" ht="34.5" customHeight="1" x14ac:dyDescent="0.3">
      <c r="A367" s="1" t="s">
        <v>11</v>
      </c>
      <c r="B367" s="1" t="s">
        <v>11</v>
      </c>
      <c r="C367" s="1" t="s">
        <v>11</v>
      </c>
      <c r="E367" s="1" t="s">
        <v>11</v>
      </c>
      <c r="F367" s="1" t="s">
        <v>11</v>
      </c>
      <c r="G367" s="1">
        <v>39.299999999999997</v>
      </c>
      <c r="H367" s="1">
        <v>0.17100000000000001</v>
      </c>
      <c r="I367" s="1">
        <v>22000</v>
      </c>
      <c r="J367" s="1">
        <v>7</v>
      </c>
      <c r="K367" s="1">
        <v>308</v>
      </c>
      <c r="M367" s="1">
        <v>6</v>
      </c>
      <c r="N367" s="1">
        <f t="shared" si="60"/>
        <v>10.501278471711975</v>
      </c>
    </row>
    <row r="368" spans="1:14" ht="34.5" customHeight="1" x14ac:dyDescent="0.3">
      <c r="A368" s="1" t="s">
        <v>11</v>
      </c>
      <c r="G368" s="1">
        <v>8.18</v>
      </c>
      <c r="H368" s="1">
        <v>0.08</v>
      </c>
      <c r="I368" s="1">
        <v>39.1</v>
      </c>
      <c r="J368" s="1">
        <v>6.5</v>
      </c>
      <c r="M368" s="1">
        <v>2</v>
      </c>
      <c r="N368" s="1">
        <f t="shared" ref="N368:N373" si="61">20.36*M368^0.25</f>
        <v>24.212256861455398</v>
      </c>
    </row>
    <row r="369" spans="1:14" ht="34.5" customHeight="1" x14ac:dyDescent="0.3">
      <c r="A369" s="1" t="s">
        <v>11</v>
      </c>
      <c r="G369" s="1">
        <v>8.18</v>
      </c>
      <c r="H369" s="1">
        <v>0.08</v>
      </c>
      <c r="I369" s="1">
        <v>39.1</v>
      </c>
      <c r="J369" s="1">
        <v>6.5</v>
      </c>
      <c r="M369" s="1">
        <v>5</v>
      </c>
      <c r="N369" s="1">
        <f t="shared" si="61"/>
        <v>30.44530118566405</v>
      </c>
    </row>
    <row r="370" spans="1:14" ht="34.5" customHeight="1" x14ac:dyDescent="0.3">
      <c r="A370" s="1" t="s">
        <v>11</v>
      </c>
      <c r="G370" s="1">
        <v>8.18</v>
      </c>
      <c r="H370" s="1">
        <v>0.08</v>
      </c>
      <c r="I370" s="1">
        <v>39.1</v>
      </c>
      <c r="J370" s="1">
        <v>6.5</v>
      </c>
      <c r="M370" s="1">
        <v>10</v>
      </c>
      <c r="N370" s="1">
        <f t="shared" si="61"/>
        <v>36.205768788392469</v>
      </c>
    </row>
    <row r="371" spans="1:14" ht="34.5" customHeight="1" x14ac:dyDescent="0.3">
      <c r="A371" s="1" t="s">
        <v>11</v>
      </c>
      <c r="G371" s="1">
        <v>8.18</v>
      </c>
      <c r="H371" s="1">
        <v>0.08</v>
      </c>
      <c r="I371" s="1">
        <v>39.1</v>
      </c>
      <c r="J371" s="1">
        <v>6.5</v>
      </c>
      <c r="M371" s="1">
        <v>20</v>
      </c>
      <c r="N371" s="1">
        <f t="shared" si="61"/>
        <v>43.056157847299765</v>
      </c>
    </row>
    <row r="372" spans="1:14" ht="34.5" customHeight="1" x14ac:dyDescent="0.3">
      <c r="A372" s="1" t="s">
        <v>11</v>
      </c>
      <c r="G372" s="1">
        <v>8.18</v>
      </c>
      <c r="H372" s="1">
        <v>0.08</v>
      </c>
      <c r="I372" s="1">
        <v>39.1</v>
      </c>
      <c r="J372" s="1">
        <v>6.5</v>
      </c>
      <c r="M372" s="1">
        <v>30</v>
      </c>
      <c r="N372" s="1">
        <f t="shared" si="61"/>
        <v>47.649471421369775</v>
      </c>
    </row>
    <row r="373" spans="1:14" ht="34.5" customHeight="1" x14ac:dyDescent="0.3">
      <c r="A373" s="1" t="s">
        <v>11</v>
      </c>
      <c r="G373" s="1">
        <v>8.18</v>
      </c>
      <c r="H373" s="1">
        <v>0.08</v>
      </c>
      <c r="I373" s="1">
        <v>39.1</v>
      </c>
      <c r="J373" s="1">
        <v>6.5</v>
      </c>
      <c r="M373" s="1">
        <v>50</v>
      </c>
      <c r="N373" s="1">
        <f t="shared" si="61"/>
        <v>54.140252230899982</v>
      </c>
    </row>
    <row r="374" spans="1:14" ht="34.5" customHeight="1" x14ac:dyDescent="0.3">
      <c r="A374" s="1" t="s">
        <v>11</v>
      </c>
      <c r="G374" s="1">
        <v>86.52</v>
      </c>
      <c r="H374" s="1">
        <v>0.28000000000000003</v>
      </c>
      <c r="I374" s="1">
        <v>13</v>
      </c>
      <c r="J374" s="1">
        <v>6.5</v>
      </c>
      <c r="M374" s="1">
        <v>2</v>
      </c>
      <c r="N374" s="1">
        <f t="shared" ref="N374:N379" si="62">108.3*0.072*M374/(1+0.072*M374)</f>
        <v>13.632167832167832</v>
      </c>
    </row>
    <row r="375" spans="1:14" ht="34.5" customHeight="1" x14ac:dyDescent="0.3">
      <c r="A375" s="1" t="s">
        <v>11</v>
      </c>
      <c r="G375" s="1">
        <v>86.52</v>
      </c>
      <c r="H375" s="1">
        <v>0.28000000000000003</v>
      </c>
      <c r="I375" s="1">
        <v>13</v>
      </c>
      <c r="J375" s="1">
        <v>6.5</v>
      </c>
      <c r="M375" s="1">
        <v>5</v>
      </c>
      <c r="N375" s="1">
        <f t="shared" si="62"/>
        <v>28.667647058823533</v>
      </c>
    </row>
    <row r="376" spans="1:14" ht="34.5" customHeight="1" x14ac:dyDescent="0.3">
      <c r="A376" s="1" t="s">
        <v>11</v>
      </c>
      <c r="G376" s="1">
        <v>86.52</v>
      </c>
      <c r="H376" s="1">
        <v>0.28000000000000003</v>
      </c>
      <c r="I376" s="1">
        <v>13</v>
      </c>
      <c r="J376" s="1">
        <v>6.5</v>
      </c>
      <c r="M376" s="1">
        <v>10</v>
      </c>
      <c r="N376" s="1">
        <f t="shared" si="62"/>
        <v>45.334883720930236</v>
      </c>
    </row>
    <row r="377" spans="1:14" ht="34.5" customHeight="1" x14ac:dyDescent="0.3">
      <c r="A377" s="1" t="s">
        <v>11</v>
      </c>
      <c r="G377" s="1">
        <v>86.52</v>
      </c>
      <c r="H377" s="1">
        <v>0.28000000000000003</v>
      </c>
      <c r="I377" s="1">
        <v>13</v>
      </c>
      <c r="J377" s="1">
        <v>6.5</v>
      </c>
      <c r="M377" s="1">
        <v>20</v>
      </c>
      <c r="N377" s="1">
        <f t="shared" si="62"/>
        <v>63.914754098360653</v>
      </c>
    </row>
    <row r="378" spans="1:14" ht="34.5" customHeight="1" x14ac:dyDescent="0.3">
      <c r="A378" s="1" t="s">
        <v>11</v>
      </c>
      <c r="G378" s="1">
        <v>86.52</v>
      </c>
      <c r="H378" s="1">
        <v>0.28000000000000003</v>
      </c>
      <c r="I378" s="1">
        <v>13</v>
      </c>
      <c r="J378" s="1">
        <v>6.5</v>
      </c>
      <c r="M378" s="1">
        <v>30</v>
      </c>
      <c r="N378" s="1">
        <f t="shared" si="62"/>
        <v>74.027848101265818</v>
      </c>
    </row>
    <row r="379" spans="1:14" ht="34.5" customHeight="1" x14ac:dyDescent="0.3">
      <c r="A379" s="1" t="s">
        <v>11</v>
      </c>
      <c r="G379" s="1">
        <v>86.52</v>
      </c>
      <c r="H379" s="1">
        <v>0.28000000000000003</v>
      </c>
      <c r="I379" s="1">
        <v>13</v>
      </c>
      <c r="J379" s="1">
        <v>6.5</v>
      </c>
      <c r="M379" s="1">
        <v>50</v>
      </c>
      <c r="N379" s="1">
        <f t="shared" si="62"/>
        <v>84.756521739130434</v>
      </c>
    </row>
    <row r="380" spans="1:14" ht="34.5" customHeight="1" x14ac:dyDescent="0.3">
      <c r="A380" s="1" t="s">
        <v>11</v>
      </c>
      <c r="G380" s="1">
        <v>56.02</v>
      </c>
      <c r="H380" s="1">
        <v>0.23</v>
      </c>
      <c r="I380" s="1">
        <v>16.3</v>
      </c>
      <c r="J380" s="1">
        <v>6.5</v>
      </c>
      <c r="M380" s="1">
        <v>2</v>
      </c>
      <c r="N380" s="1">
        <f t="shared" ref="N380:N385" si="63">(56.3*2.34*M380)/(1+2.34*M380)+(50.83*0.015*M380)/(1+0.015*M380)</f>
        <v>47.868513605907289</v>
      </c>
    </row>
    <row r="381" spans="1:14" ht="34.5" customHeight="1" x14ac:dyDescent="0.3">
      <c r="A381" s="1" t="s">
        <v>11</v>
      </c>
      <c r="G381" s="1">
        <v>56.02</v>
      </c>
      <c r="H381" s="1">
        <v>0.23</v>
      </c>
      <c r="I381" s="1">
        <v>16.3</v>
      </c>
      <c r="J381" s="1">
        <v>6.5</v>
      </c>
      <c r="M381" s="1">
        <v>5</v>
      </c>
      <c r="N381" s="1">
        <f t="shared" si="63"/>
        <v>55.413208203625707</v>
      </c>
    </row>
    <row r="382" spans="1:14" ht="34.5" customHeight="1" x14ac:dyDescent="0.3">
      <c r="A382" s="1" t="s">
        <v>11</v>
      </c>
      <c r="G382" s="1">
        <v>56.02</v>
      </c>
      <c r="H382" s="1">
        <v>0.23</v>
      </c>
      <c r="I382" s="1">
        <v>16.3</v>
      </c>
      <c r="J382" s="1">
        <v>6.5</v>
      </c>
      <c r="M382" s="1">
        <v>10</v>
      </c>
      <c r="N382" s="1">
        <f t="shared" si="63"/>
        <v>60.622622950819668</v>
      </c>
    </row>
    <row r="383" spans="1:14" ht="34.5" customHeight="1" x14ac:dyDescent="0.3">
      <c r="A383" s="1" t="s">
        <v>11</v>
      </c>
      <c r="G383" s="1">
        <v>56.02</v>
      </c>
      <c r="H383" s="1">
        <v>0.23</v>
      </c>
      <c r="I383" s="1">
        <v>16.3</v>
      </c>
      <c r="J383" s="1">
        <v>6.5</v>
      </c>
      <c r="M383" s="1">
        <v>20</v>
      </c>
      <c r="N383" s="1">
        <f t="shared" si="63"/>
        <v>66.852175732217574</v>
      </c>
    </row>
    <row r="384" spans="1:14" ht="34.5" customHeight="1" x14ac:dyDescent="0.3">
      <c r="A384" s="1" t="s">
        <v>11</v>
      </c>
      <c r="G384" s="1">
        <v>56.02</v>
      </c>
      <c r="H384" s="1">
        <v>0.23</v>
      </c>
      <c r="I384" s="1">
        <v>16.3</v>
      </c>
      <c r="J384" s="1">
        <v>6.5</v>
      </c>
      <c r="M384" s="1">
        <v>30</v>
      </c>
      <c r="N384" s="1">
        <f t="shared" si="63"/>
        <v>71.284097249128251</v>
      </c>
    </row>
    <row r="385" spans="1:14" ht="34.5" customHeight="1" x14ac:dyDescent="0.3">
      <c r="A385" s="1" t="s">
        <v>11</v>
      </c>
      <c r="G385" s="1">
        <v>56.02</v>
      </c>
      <c r="H385" s="1">
        <v>0.23</v>
      </c>
      <c r="I385" s="1">
        <v>16.3</v>
      </c>
      <c r="J385" s="1">
        <v>6.5</v>
      </c>
      <c r="M385" s="1">
        <v>50</v>
      </c>
      <c r="N385" s="1">
        <f t="shared" si="63"/>
        <v>77.607167070217912</v>
      </c>
    </row>
    <row r="386" spans="1:14" ht="34.5" customHeight="1" x14ac:dyDescent="0.3">
      <c r="A386" s="1" t="s">
        <v>11</v>
      </c>
      <c r="B386" s="1" t="s">
        <v>11</v>
      </c>
      <c r="E386" s="1" t="s">
        <v>11</v>
      </c>
      <c r="G386" s="1">
        <v>153.30000000000001</v>
      </c>
      <c r="J386" s="1">
        <v>7</v>
      </c>
      <c r="K386" s="1">
        <v>298</v>
      </c>
      <c r="M386" s="1">
        <v>10</v>
      </c>
      <c r="N386" s="1">
        <f t="shared" ref="N386:N391" si="64">(107.53*0.084*M386)/(1+0.084*M386)</f>
        <v>49.08978260869565</v>
      </c>
    </row>
    <row r="387" spans="1:14" ht="34.5" customHeight="1" x14ac:dyDescent="0.3">
      <c r="A387" s="1" t="s">
        <v>11</v>
      </c>
      <c r="B387" s="1" t="s">
        <v>11</v>
      </c>
      <c r="E387" s="1" t="s">
        <v>11</v>
      </c>
      <c r="G387" s="1">
        <v>153.30000000000001</v>
      </c>
      <c r="J387" s="1">
        <v>7</v>
      </c>
      <c r="K387" s="1">
        <v>298</v>
      </c>
      <c r="M387" s="1">
        <v>20</v>
      </c>
      <c r="N387" s="1">
        <f t="shared" si="64"/>
        <v>67.406865671641782</v>
      </c>
    </row>
    <row r="388" spans="1:14" ht="34.5" customHeight="1" x14ac:dyDescent="0.3">
      <c r="A388" s="1" t="s">
        <v>11</v>
      </c>
      <c r="B388" s="1" t="s">
        <v>11</v>
      </c>
      <c r="E388" s="1" t="s">
        <v>11</v>
      </c>
      <c r="G388" s="1">
        <v>153.30000000000001</v>
      </c>
      <c r="J388" s="1">
        <v>7</v>
      </c>
      <c r="K388" s="1">
        <v>298</v>
      </c>
      <c r="M388" s="1">
        <v>50</v>
      </c>
      <c r="N388" s="1">
        <f t="shared" si="64"/>
        <v>86.851153846153835</v>
      </c>
    </row>
    <row r="389" spans="1:14" ht="34.5" customHeight="1" x14ac:dyDescent="0.3">
      <c r="A389" s="1" t="s">
        <v>11</v>
      </c>
      <c r="B389" s="1" t="s">
        <v>11</v>
      </c>
      <c r="E389" s="1" t="s">
        <v>11</v>
      </c>
      <c r="G389" s="1">
        <v>153.30000000000001</v>
      </c>
      <c r="J389" s="1">
        <v>7</v>
      </c>
      <c r="K389" s="1">
        <v>298</v>
      </c>
      <c r="M389" s="1">
        <v>100</v>
      </c>
      <c r="N389" s="1">
        <f t="shared" si="64"/>
        <v>96.090638297872331</v>
      </c>
    </row>
    <row r="390" spans="1:14" ht="34.5" customHeight="1" x14ac:dyDescent="0.3">
      <c r="A390" s="1" t="s">
        <v>11</v>
      </c>
      <c r="B390" s="1" t="s">
        <v>11</v>
      </c>
      <c r="E390" s="1" t="s">
        <v>11</v>
      </c>
      <c r="G390" s="1">
        <v>153.30000000000001</v>
      </c>
      <c r="J390" s="1">
        <v>7</v>
      </c>
      <c r="K390" s="1">
        <v>298</v>
      </c>
      <c r="M390" s="1">
        <v>150</v>
      </c>
      <c r="N390" s="1">
        <f t="shared" si="64"/>
        <v>99.623382352941164</v>
      </c>
    </row>
    <row r="391" spans="1:14" ht="34.5" customHeight="1" x14ac:dyDescent="0.3">
      <c r="A391" s="1" t="s">
        <v>11</v>
      </c>
      <c r="B391" s="1" t="s">
        <v>11</v>
      </c>
      <c r="E391" s="1" t="s">
        <v>11</v>
      </c>
      <c r="G391" s="1">
        <v>153.30000000000001</v>
      </c>
      <c r="J391" s="1">
        <v>7</v>
      </c>
      <c r="K391" s="1">
        <v>298</v>
      </c>
      <c r="M391" s="1">
        <v>250</v>
      </c>
      <c r="N391" s="1">
        <f t="shared" si="64"/>
        <v>102.64227272727273</v>
      </c>
    </row>
    <row r="392" spans="1:14" ht="34.5" customHeight="1" x14ac:dyDescent="0.3">
      <c r="A392" s="1">
        <v>4.25</v>
      </c>
      <c r="G392" s="1">
        <v>278.2</v>
      </c>
      <c r="H392" s="1">
        <v>0.64</v>
      </c>
      <c r="I392" s="1">
        <v>7.95</v>
      </c>
      <c r="J392" s="1">
        <v>5</v>
      </c>
      <c r="K392" s="1">
        <v>298</v>
      </c>
      <c r="M392" s="1">
        <v>2</v>
      </c>
      <c r="N392" s="1">
        <f t="shared" ref="N392:N397" si="65">9.72*0.465*M392/(1+0.465*M392)</f>
        <v>4.683730569948187</v>
      </c>
    </row>
    <row r="393" spans="1:14" ht="34.5" customHeight="1" x14ac:dyDescent="0.3">
      <c r="A393" s="1">
        <v>4.25</v>
      </c>
      <c r="G393" s="1">
        <v>278.2</v>
      </c>
      <c r="H393" s="1">
        <v>0.64</v>
      </c>
      <c r="I393" s="1">
        <v>7.95</v>
      </c>
      <c r="J393" s="1">
        <v>5</v>
      </c>
      <c r="K393" s="1">
        <v>298</v>
      </c>
      <c r="M393" s="1">
        <v>5</v>
      </c>
      <c r="N393" s="1">
        <f t="shared" si="65"/>
        <v>6.7966917293233093</v>
      </c>
    </row>
    <row r="394" spans="1:14" ht="34.5" customHeight="1" x14ac:dyDescent="0.3">
      <c r="A394" s="1">
        <v>4.25</v>
      </c>
      <c r="G394" s="1">
        <v>278.2</v>
      </c>
      <c r="H394" s="1">
        <v>0.64</v>
      </c>
      <c r="I394" s="1">
        <v>7.95</v>
      </c>
      <c r="J394" s="1">
        <v>5</v>
      </c>
      <c r="K394" s="1">
        <v>298</v>
      </c>
      <c r="M394" s="1">
        <v>10</v>
      </c>
      <c r="N394" s="1">
        <f t="shared" si="65"/>
        <v>7.9996460176991162</v>
      </c>
    </row>
    <row r="395" spans="1:14" ht="34.5" customHeight="1" x14ac:dyDescent="0.3">
      <c r="A395" s="1">
        <v>4.25</v>
      </c>
      <c r="G395" s="1">
        <v>278.2</v>
      </c>
      <c r="H395" s="1">
        <v>0.64</v>
      </c>
      <c r="I395" s="1">
        <v>7.95</v>
      </c>
      <c r="J395" s="1">
        <v>5</v>
      </c>
      <c r="K395" s="1">
        <v>298</v>
      </c>
      <c r="M395" s="1">
        <v>20</v>
      </c>
      <c r="N395" s="1">
        <f t="shared" si="65"/>
        <v>8.776310679611651</v>
      </c>
    </row>
    <row r="396" spans="1:14" ht="34.5" customHeight="1" x14ac:dyDescent="0.3">
      <c r="A396" s="1">
        <v>4.25</v>
      </c>
      <c r="G396" s="1">
        <v>278.2</v>
      </c>
      <c r="H396" s="1">
        <v>0.64</v>
      </c>
      <c r="I396" s="1">
        <v>7.95</v>
      </c>
      <c r="J396" s="1">
        <v>5</v>
      </c>
      <c r="K396" s="1">
        <v>298</v>
      </c>
      <c r="M396" s="1">
        <v>30</v>
      </c>
      <c r="N396" s="1">
        <f t="shared" si="65"/>
        <v>9.0698327759197337</v>
      </c>
    </row>
    <row r="397" spans="1:14" ht="34.5" customHeight="1" x14ac:dyDescent="0.3">
      <c r="A397" s="1">
        <v>4.25</v>
      </c>
      <c r="G397" s="1">
        <v>278.2</v>
      </c>
      <c r="H397" s="1">
        <v>0.64</v>
      </c>
      <c r="I397" s="1">
        <v>7.95</v>
      </c>
      <c r="J397" s="1">
        <v>5</v>
      </c>
      <c r="K397" s="1">
        <v>298</v>
      </c>
      <c r="M397" s="1">
        <v>50</v>
      </c>
      <c r="N397" s="1">
        <f t="shared" si="65"/>
        <v>9.3191752577319598</v>
      </c>
    </row>
    <row r="398" spans="1:14" ht="34.5" customHeight="1" x14ac:dyDescent="0.3">
      <c r="A398" s="1">
        <v>6.7</v>
      </c>
      <c r="G398" s="1">
        <v>231.2</v>
      </c>
      <c r="H398" s="1">
        <v>0.54</v>
      </c>
      <c r="I398" s="1">
        <v>8.3000000000000007</v>
      </c>
      <c r="J398" s="1">
        <v>5</v>
      </c>
      <c r="K398" s="1">
        <v>298</v>
      </c>
      <c r="M398" s="1">
        <v>2</v>
      </c>
      <c r="N398" s="1">
        <f t="shared" ref="N398:N403" si="66">(14.74*0.317*M398)/(1+0.317*M398)</f>
        <v>5.719192166462669</v>
      </c>
    </row>
    <row r="399" spans="1:14" ht="34.5" customHeight="1" x14ac:dyDescent="0.3">
      <c r="A399" s="1">
        <v>6.7</v>
      </c>
      <c r="G399" s="1">
        <v>231.2</v>
      </c>
      <c r="H399" s="1">
        <v>0.54</v>
      </c>
      <c r="I399" s="1">
        <v>8.3000000000000007</v>
      </c>
      <c r="J399" s="1">
        <v>5</v>
      </c>
      <c r="K399" s="1">
        <v>298</v>
      </c>
      <c r="M399" s="1">
        <v>5</v>
      </c>
      <c r="N399" s="1">
        <f t="shared" si="66"/>
        <v>9.0378723404255314</v>
      </c>
    </row>
    <row r="400" spans="1:14" ht="34.5" customHeight="1" x14ac:dyDescent="0.3">
      <c r="A400" s="1">
        <v>6.7</v>
      </c>
      <c r="G400" s="1">
        <v>231.2</v>
      </c>
      <c r="H400" s="1">
        <v>0.54</v>
      </c>
      <c r="I400" s="1">
        <v>8.3000000000000007</v>
      </c>
      <c r="J400" s="1">
        <v>5</v>
      </c>
      <c r="K400" s="1">
        <v>298</v>
      </c>
      <c r="M400" s="1">
        <v>10</v>
      </c>
      <c r="N400" s="1">
        <f t="shared" si="66"/>
        <v>11.205227817745804</v>
      </c>
    </row>
    <row r="401" spans="1:14" ht="34.5" customHeight="1" x14ac:dyDescent="0.3">
      <c r="A401" s="1">
        <v>6.7</v>
      </c>
      <c r="G401" s="1">
        <v>231.2</v>
      </c>
      <c r="H401" s="1">
        <v>0.54</v>
      </c>
      <c r="I401" s="1">
        <v>8.3000000000000007</v>
      </c>
      <c r="J401" s="1">
        <v>5</v>
      </c>
      <c r="K401" s="1">
        <v>298</v>
      </c>
      <c r="M401" s="1">
        <v>20</v>
      </c>
      <c r="N401" s="1">
        <f t="shared" si="66"/>
        <v>12.731825613079019</v>
      </c>
    </row>
    <row r="402" spans="1:14" ht="34.5" customHeight="1" x14ac:dyDescent="0.3">
      <c r="A402" s="1">
        <v>6.7</v>
      </c>
      <c r="G402" s="1">
        <v>231.2</v>
      </c>
      <c r="H402" s="1">
        <v>0.54</v>
      </c>
      <c r="I402" s="1">
        <v>8.3000000000000007</v>
      </c>
      <c r="J402" s="1">
        <v>5</v>
      </c>
      <c r="K402" s="1">
        <v>298</v>
      </c>
      <c r="M402" s="1">
        <v>30</v>
      </c>
      <c r="N402" s="1">
        <f t="shared" si="66"/>
        <v>13.337526165556614</v>
      </c>
    </row>
    <row r="403" spans="1:14" ht="34.5" customHeight="1" x14ac:dyDescent="0.3">
      <c r="A403" s="1">
        <v>6.7</v>
      </c>
      <c r="G403" s="1">
        <v>231.2</v>
      </c>
      <c r="H403" s="1">
        <v>0.54</v>
      </c>
      <c r="I403" s="1">
        <v>8.3000000000000007</v>
      </c>
      <c r="J403" s="1">
        <v>5</v>
      </c>
      <c r="K403" s="1">
        <v>298</v>
      </c>
      <c r="M403" s="1">
        <v>50</v>
      </c>
      <c r="N403" s="1">
        <f t="shared" si="66"/>
        <v>13.865222551928781</v>
      </c>
    </row>
    <row r="404" spans="1:14" ht="34.5" customHeight="1" x14ac:dyDescent="0.3">
      <c r="A404" s="1">
        <v>16.559999999999999</v>
      </c>
      <c r="G404" s="1">
        <v>102.6</v>
      </c>
      <c r="H404" s="1">
        <v>0.32</v>
      </c>
      <c r="I404" s="1">
        <v>13.02</v>
      </c>
      <c r="J404" s="1">
        <v>5</v>
      </c>
      <c r="K404" s="1">
        <v>298</v>
      </c>
      <c r="M404" s="1">
        <v>2</v>
      </c>
      <c r="N404" s="1">
        <f t="shared" ref="N404:N409" si="67">42.76*0.35*M404/(1+0.35*M404)</f>
        <v>17.60705882352941</v>
      </c>
    </row>
    <row r="405" spans="1:14" ht="34.5" customHeight="1" x14ac:dyDescent="0.3">
      <c r="A405" s="1">
        <v>16.559999999999999</v>
      </c>
      <c r="G405" s="1">
        <v>102.6</v>
      </c>
      <c r="H405" s="1">
        <v>0.32</v>
      </c>
      <c r="I405" s="1">
        <v>13.02</v>
      </c>
      <c r="J405" s="1">
        <v>5</v>
      </c>
      <c r="K405" s="1">
        <v>298</v>
      </c>
      <c r="M405" s="1">
        <v>5</v>
      </c>
      <c r="N405" s="1">
        <f t="shared" si="67"/>
        <v>27.210909090909084</v>
      </c>
    </row>
    <row r="406" spans="1:14" ht="34.5" customHeight="1" x14ac:dyDescent="0.3">
      <c r="A406" s="1">
        <v>16.559999999999999</v>
      </c>
      <c r="G406" s="1">
        <v>102.6</v>
      </c>
      <c r="H406" s="1">
        <v>0.32</v>
      </c>
      <c r="I406" s="1">
        <v>13.02</v>
      </c>
      <c r="J406" s="1">
        <v>5</v>
      </c>
      <c r="K406" s="1">
        <v>298</v>
      </c>
      <c r="M406" s="1">
        <v>10</v>
      </c>
      <c r="N406" s="1">
        <f t="shared" si="67"/>
        <v>33.257777777777768</v>
      </c>
    </row>
    <row r="407" spans="1:14" ht="34.5" customHeight="1" x14ac:dyDescent="0.3">
      <c r="A407" s="1">
        <v>16.559999999999999</v>
      </c>
      <c r="G407" s="1">
        <v>102.6</v>
      </c>
      <c r="H407" s="1">
        <v>0.32</v>
      </c>
      <c r="I407" s="1">
        <v>13.02</v>
      </c>
      <c r="J407" s="1">
        <v>5</v>
      </c>
      <c r="K407" s="1">
        <v>298</v>
      </c>
      <c r="M407" s="1">
        <v>20</v>
      </c>
      <c r="N407" s="1">
        <f t="shared" si="67"/>
        <v>37.414999999999992</v>
      </c>
    </row>
    <row r="408" spans="1:14" ht="34.5" customHeight="1" x14ac:dyDescent="0.3">
      <c r="A408" s="1">
        <v>16.559999999999999</v>
      </c>
      <c r="G408" s="1">
        <v>102.6</v>
      </c>
      <c r="H408" s="1">
        <v>0.32</v>
      </c>
      <c r="I408" s="1">
        <v>13.02</v>
      </c>
      <c r="J408" s="1">
        <v>5</v>
      </c>
      <c r="K408" s="1">
        <v>298</v>
      </c>
      <c r="M408" s="1">
        <v>30</v>
      </c>
      <c r="N408" s="1">
        <f t="shared" si="67"/>
        <v>39.041739130434777</v>
      </c>
    </row>
    <row r="409" spans="1:14" ht="34.5" customHeight="1" x14ac:dyDescent="0.3">
      <c r="A409" s="1">
        <v>16.559999999999999</v>
      </c>
      <c r="G409" s="1">
        <v>102.6</v>
      </c>
      <c r="H409" s="1">
        <v>0.32</v>
      </c>
      <c r="I409" s="1">
        <v>13.02</v>
      </c>
      <c r="J409" s="1">
        <v>5</v>
      </c>
      <c r="K409" s="1">
        <v>298</v>
      </c>
      <c r="M409" s="1">
        <v>50</v>
      </c>
      <c r="N409" s="1">
        <f t="shared" si="67"/>
        <v>40.448648648648643</v>
      </c>
    </row>
    <row r="410" spans="1:14" ht="34.5" customHeight="1" x14ac:dyDescent="0.3">
      <c r="A410" s="1">
        <v>30.02</v>
      </c>
      <c r="G410" s="1">
        <v>67.400000000000006</v>
      </c>
      <c r="H410" s="1">
        <v>0.27</v>
      </c>
      <c r="I410" s="1">
        <v>15.02</v>
      </c>
      <c r="J410" s="1">
        <v>5</v>
      </c>
      <c r="K410" s="1">
        <v>298</v>
      </c>
      <c r="M410" s="1">
        <v>2</v>
      </c>
      <c r="N410" s="1">
        <f t="shared" ref="N410:N415" si="68">(44.82*0.386*M410)/(1+0.386*M410)</f>
        <v>19.526546275395031</v>
      </c>
    </row>
    <row r="411" spans="1:14" ht="34.5" customHeight="1" x14ac:dyDescent="0.3">
      <c r="A411" s="1">
        <v>30.02</v>
      </c>
      <c r="G411" s="1">
        <v>67.400000000000006</v>
      </c>
      <c r="H411" s="1">
        <v>0.27</v>
      </c>
      <c r="I411" s="1">
        <v>15.02</v>
      </c>
      <c r="J411" s="1">
        <v>5</v>
      </c>
      <c r="K411" s="1">
        <v>298</v>
      </c>
      <c r="M411" s="1">
        <v>5</v>
      </c>
      <c r="N411" s="1">
        <f t="shared" si="68"/>
        <v>29.523071672354948</v>
      </c>
    </row>
    <row r="412" spans="1:14" ht="34.5" customHeight="1" x14ac:dyDescent="0.3">
      <c r="A412" s="1">
        <v>30.02</v>
      </c>
      <c r="G412" s="1">
        <v>67.400000000000006</v>
      </c>
      <c r="H412" s="1">
        <v>0.27</v>
      </c>
      <c r="I412" s="1">
        <v>15.02</v>
      </c>
      <c r="J412" s="1">
        <v>5</v>
      </c>
      <c r="K412" s="1">
        <v>298</v>
      </c>
      <c r="M412" s="1">
        <v>10</v>
      </c>
      <c r="N412" s="1">
        <f t="shared" si="68"/>
        <v>35.597777777777779</v>
      </c>
    </row>
    <row r="413" spans="1:14" ht="34.5" customHeight="1" x14ac:dyDescent="0.3">
      <c r="A413" s="1">
        <v>30.02</v>
      </c>
      <c r="G413" s="1">
        <v>67.400000000000006</v>
      </c>
      <c r="H413" s="1">
        <v>0.27</v>
      </c>
      <c r="I413" s="1">
        <v>15.02</v>
      </c>
      <c r="J413" s="1">
        <v>5</v>
      </c>
      <c r="K413" s="1">
        <v>298</v>
      </c>
      <c r="M413" s="1">
        <v>20</v>
      </c>
      <c r="N413" s="1">
        <f t="shared" si="68"/>
        <v>39.680091743119263</v>
      </c>
    </row>
    <row r="414" spans="1:14" ht="34.5" customHeight="1" x14ac:dyDescent="0.3">
      <c r="A414" s="1">
        <v>30.02</v>
      </c>
      <c r="G414" s="1">
        <v>67.400000000000006</v>
      </c>
      <c r="H414" s="1">
        <v>0.27</v>
      </c>
      <c r="I414" s="1">
        <v>15.02</v>
      </c>
      <c r="J414" s="1">
        <v>5</v>
      </c>
      <c r="K414" s="1">
        <v>298</v>
      </c>
      <c r="M414" s="1">
        <v>30</v>
      </c>
      <c r="N414" s="1">
        <f t="shared" si="68"/>
        <v>41.25720190779014</v>
      </c>
    </row>
    <row r="415" spans="1:14" ht="34.5" customHeight="1" x14ac:dyDescent="0.3">
      <c r="A415" s="1">
        <v>30.02</v>
      </c>
      <c r="G415" s="1">
        <v>67.400000000000006</v>
      </c>
      <c r="H415" s="1">
        <v>0.27</v>
      </c>
      <c r="I415" s="1">
        <v>15.02</v>
      </c>
      <c r="J415" s="1">
        <v>5</v>
      </c>
      <c r="K415" s="1">
        <v>298</v>
      </c>
      <c r="M415" s="1">
        <v>50</v>
      </c>
      <c r="N415" s="1">
        <f t="shared" si="68"/>
        <v>42.612118226600984</v>
      </c>
    </row>
    <row r="416" spans="1:14" ht="34.5" customHeight="1" x14ac:dyDescent="0.3">
      <c r="A416" s="1">
        <v>4.5999999999999996</v>
      </c>
      <c r="G416" s="1">
        <v>8</v>
      </c>
      <c r="H416" s="1">
        <v>4.2000000000000003E-2</v>
      </c>
      <c r="I416" s="1">
        <v>20.38</v>
      </c>
      <c r="J416" s="1">
        <v>5.3</v>
      </c>
      <c r="K416" s="1">
        <v>298</v>
      </c>
      <c r="M416" s="1">
        <v>5</v>
      </c>
      <c r="N416" s="1">
        <f t="shared" ref="N416:N421" si="69">(25.49*0.296*M416)/(1+0.296*M416)</f>
        <v>15.211774193548385</v>
      </c>
    </row>
    <row r="417" spans="1:14" ht="34.5" customHeight="1" x14ac:dyDescent="0.3">
      <c r="A417" s="1">
        <v>4.5999999999999996</v>
      </c>
      <c r="G417" s="1">
        <v>8</v>
      </c>
      <c r="H417" s="1">
        <v>4.2000000000000003E-2</v>
      </c>
      <c r="I417" s="1">
        <v>20.38</v>
      </c>
      <c r="J417" s="1">
        <v>5.3</v>
      </c>
      <c r="K417" s="1">
        <v>298</v>
      </c>
      <c r="M417" s="1">
        <v>7</v>
      </c>
      <c r="N417" s="1">
        <f t="shared" si="69"/>
        <v>17.192473958333331</v>
      </c>
    </row>
    <row r="418" spans="1:14" ht="34.5" customHeight="1" x14ac:dyDescent="0.3">
      <c r="A418" s="1">
        <v>4.5999999999999996</v>
      </c>
      <c r="G418" s="1">
        <v>8</v>
      </c>
      <c r="H418" s="1">
        <v>4.2000000000000003E-2</v>
      </c>
      <c r="I418" s="1">
        <v>20.38</v>
      </c>
      <c r="J418" s="1">
        <v>5.3</v>
      </c>
      <c r="K418" s="1">
        <v>298</v>
      </c>
      <c r="M418" s="1">
        <v>10</v>
      </c>
      <c r="N418" s="1">
        <f t="shared" si="69"/>
        <v>19.05313131313131</v>
      </c>
    </row>
    <row r="419" spans="1:14" ht="34.5" customHeight="1" x14ac:dyDescent="0.3">
      <c r="A419" s="1">
        <v>4.5999999999999996</v>
      </c>
      <c r="G419" s="1">
        <v>8</v>
      </c>
      <c r="H419" s="1">
        <v>4.2000000000000003E-2</v>
      </c>
      <c r="I419" s="1">
        <v>20.38</v>
      </c>
      <c r="J419" s="1">
        <v>5.3</v>
      </c>
      <c r="K419" s="1">
        <v>298</v>
      </c>
      <c r="M419" s="1">
        <v>17</v>
      </c>
      <c r="N419" s="1">
        <f t="shared" si="69"/>
        <v>21.264204244031827</v>
      </c>
    </row>
    <row r="420" spans="1:14" ht="34.5" customHeight="1" x14ac:dyDescent="0.3">
      <c r="A420" s="1">
        <v>4.5999999999999996</v>
      </c>
      <c r="G420" s="1">
        <v>8</v>
      </c>
      <c r="H420" s="1">
        <v>4.2000000000000003E-2</v>
      </c>
      <c r="I420" s="1">
        <v>20.38</v>
      </c>
      <c r="J420" s="1">
        <v>5.3</v>
      </c>
      <c r="K420" s="1">
        <v>298</v>
      </c>
      <c r="M420" s="1">
        <v>30</v>
      </c>
      <c r="N420" s="1">
        <f t="shared" si="69"/>
        <v>22.91004048582996</v>
      </c>
    </row>
    <row r="421" spans="1:14" ht="34.5" customHeight="1" x14ac:dyDescent="0.3">
      <c r="A421" s="1">
        <v>4.5999999999999996</v>
      </c>
      <c r="G421" s="1">
        <v>8</v>
      </c>
      <c r="H421" s="1">
        <v>4.2000000000000003E-2</v>
      </c>
      <c r="I421" s="1">
        <v>20.38</v>
      </c>
      <c r="J421" s="1">
        <v>5.3</v>
      </c>
      <c r="K421" s="1">
        <v>298</v>
      </c>
      <c r="M421" s="1">
        <v>58</v>
      </c>
      <c r="N421" s="1">
        <f t="shared" si="69"/>
        <v>24.086983707617787</v>
      </c>
    </row>
    <row r="422" spans="1:14" ht="34.5" customHeight="1" x14ac:dyDescent="0.3">
      <c r="A422" s="1">
        <v>9.5</v>
      </c>
      <c r="G422" s="1">
        <v>58</v>
      </c>
      <c r="H422" s="1">
        <v>5.1999999999999998E-2</v>
      </c>
      <c r="I422" s="1">
        <v>11.45</v>
      </c>
      <c r="J422" s="1">
        <v>5.3</v>
      </c>
      <c r="K422" s="1">
        <v>298</v>
      </c>
      <c r="M422" s="1">
        <v>3</v>
      </c>
      <c r="N422" s="1">
        <f t="shared" ref="N422:N427" si="70">(18.95*0.14*M422)/(1+0.14*M422)</f>
        <v>5.6049295774647891</v>
      </c>
    </row>
    <row r="423" spans="1:14" ht="34.5" customHeight="1" x14ac:dyDescent="0.3">
      <c r="A423" s="1">
        <v>9.5</v>
      </c>
      <c r="G423" s="1">
        <v>58</v>
      </c>
      <c r="H423" s="1">
        <v>5.1999999999999998E-2</v>
      </c>
      <c r="I423" s="1">
        <v>11.45</v>
      </c>
      <c r="J423" s="1">
        <v>5.3</v>
      </c>
      <c r="K423" s="1">
        <v>298</v>
      </c>
      <c r="M423" s="1">
        <v>7</v>
      </c>
      <c r="N423" s="1">
        <f t="shared" si="70"/>
        <v>9.3792929292929301</v>
      </c>
    </row>
    <row r="424" spans="1:14" ht="34.5" customHeight="1" x14ac:dyDescent="0.3">
      <c r="A424" s="1">
        <v>9.5</v>
      </c>
      <c r="G424" s="1">
        <v>58</v>
      </c>
      <c r="H424" s="1">
        <v>5.1999999999999998E-2</v>
      </c>
      <c r="I424" s="1">
        <v>11.45</v>
      </c>
      <c r="J424" s="1">
        <v>5.3</v>
      </c>
      <c r="K424" s="1">
        <v>298</v>
      </c>
      <c r="M424" s="1">
        <v>10</v>
      </c>
      <c r="N424" s="1">
        <f t="shared" si="70"/>
        <v>11.054166666666665</v>
      </c>
    </row>
    <row r="425" spans="1:14" ht="34.5" customHeight="1" x14ac:dyDescent="0.3">
      <c r="A425" s="1">
        <v>9.5</v>
      </c>
      <c r="G425" s="1">
        <v>58</v>
      </c>
      <c r="H425" s="1">
        <v>5.1999999999999998E-2</v>
      </c>
      <c r="I425" s="1">
        <v>11.45</v>
      </c>
      <c r="J425" s="1">
        <v>5.3</v>
      </c>
      <c r="K425" s="1">
        <v>298</v>
      </c>
      <c r="M425" s="1">
        <v>13</v>
      </c>
      <c r="N425" s="1">
        <f t="shared" si="70"/>
        <v>12.230141843971628</v>
      </c>
    </row>
    <row r="426" spans="1:14" ht="34.5" customHeight="1" x14ac:dyDescent="0.3">
      <c r="A426" s="1">
        <v>9.5</v>
      </c>
      <c r="G426" s="1">
        <v>58</v>
      </c>
      <c r="H426" s="1">
        <v>5.1999999999999998E-2</v>
      </c>
      <c r="I426" s="1">
        <v>11.45</v>
      </c>
      <c r="J426" s="1">
        <v>5.3</v>
      </c>
      <c r="K426" s="1">
        <v>298</v>
      </c>
      <c r="M426" s="1">
        <v>20</v>
      </c>
      <c r="N426" s="1">
        <f t="shared" si="70"/>
        <v>13.963157894736842</v>
      </c>
    </row>
    <row r="427" spans="1:14" ht="34.5" customHeight="1" x14ac:dyDescent="0.3">
      <c r="A427" s="1">
        <v>9.5</v>
      </c>
      <c r="G427" s="1">
        <v>58</v>
      </c>
      <c r="H427" s="1">
        <v>5.1999999999999998E-2</v>
      </c>
      <c r="I427" s="1">
        <v>11.45</v>
      </c>
      <c r="J427" s="1">
        <v>5.3</v>
      </c>
      <c r="K427" s="1">
        <v>298</v>
      </c>
      <c r="M427" s="1">
        <v>25</v>
      </c>
      <c r="N427" s="1">
        <f t="shared" si="70"/>
        <v>14.738888888888889</v>
      </c>
    </row>
    <row r="428" spans="1:14" ht="34.5" customHeight="1" x14ac:dyDescent="0.3">
      <c r="A428" s="1">
        <v>16</v>
      </c>
      <c r="G428" s="1">
        <v>88</v>
      </c>
      <c r="H428" s="1">
        <v>0.307</v>
      </c>
      <c r="I428" s="1">
        <v>13.38</v>
      </c>
      <c r="J428" s="1">
        <v>5.3</v>
      </c>
      <c r="K428" s="1">
        <v>298</v>
      </c>
      <c r="M428" s="1">
        <v>2</v>
      </c>
      <c r="N428" s="1">
        <f t="shared" ref="N428:N433" si="71">(61.12*0.333*M428)/(1+0.333*M428)</f>
        <v>24.433325330132053</v>
      </c>
    </row>
    <row r="429" spans="1:14" ht="34.5" customHeight="1" x14ac:dyDescent="0.3">
      <c r="A429" s="1">
        <v>16</v>
      </c>
      <c r="G429" s="1">
        <v>88</v>
      </c>
      <c r="H429" s="1">
        <v>0.307</v>
      </c>
      <c r="I429" s="1">
        <v>13.38</v>
      </c>
      <c r="J429" s="1">
        <v>5.3</v>
      </c>
      <c r="K429" s="1">
        <v>298</v>
      </c>
      <c r="M429" s="1">
        <v>4</v>
      </c>
      <c r="N429" s="1">
        <f t="shared" si="71"/>
        <v>34.910737564322474</v>
      </c>
    </row>
    <row r="430" spans="1:14" ht="34.5" customHeight="1" x14ac:dyDescent="0.3">
      <c r="A430" s="1">
        <v>16</v>
      </c>
      <c r="G430" s="1">
        <v>88</v>
      </c>
      <c r="H430" s="1">
        <v>0.307</v>
      </c>
      <c r="I430" s="1">
        <v>13.38</v>
      </c>
      <c r="J430" s="1">
        <v>5.3</v>
      </c>
      <c r="K430" s="1">
        <v>298</v>
      </c>
      <c r="M430" s="1">
        <v>7</v>
      </c>
      <c r="N430" s="1">
        <f t="shared" si="71"/>
        <v>42.77115580906635</v>
      </c>
    </row>
    <row r="431" spans="1:14" ht="34.5" customHeight="1" x14ac:dyDescent="0.3">
      <c r="A431" s="1">
        <v>16</v>
      </c>
      <c r="G431" s="1">
        <v>88</v>
      </c>
      <c r="H431" s="1">
        <v>0.307</v>
      </c>
      <c r="I431" s="1">
        <v>13.38</v>
      </c>
      <c r="J431" s="1">
        <v>5.3</v>
      </c>
      <c r="K431" s="1">
        <v>298</v>
      </c>
      <c r="M431" s="1">
        <v>15</v>
      </c>
      <c r="N431" s="1">
        <f t="shared" si="71"/>
        <v>50.924837364470392</v>
      </c>
    </row>
    <row r="432" spans="1:14" ht="34.5" customHeight="1" x14ac:dyDescent="0.3">
      <c r="A432" s="1">
        <v>16</v>
      </c>
      <c r="G432" s="1">
        <v>88</v>
      </c>
      <c r="H432" s="1">
        <v>0.307</v>
      </c>
      <c r="I432" s="1">
        <v>13.38</v>
      </c>
      <c r="J432" s="1">
        <v>5.3</v>
      </c>
      <c r="K432" s="1">
        <v>298</v>
      </c>
      <c r="M432" s="1">
        <v>22</v>
      </c>
      <c r="N432" s="1">
        <f t="shared" si="71"/>
        <v>53.779140043238044</v>
      </c>
    </row>
    <row r="433" spans="1:14" ht="34.5" customHeight="1" x14ac:dyDescent="0.3">
      <c r="A433" s="1">
        <v>16</v>
      </c>
      <c r="G433" s="1">
        <v>88</v>
      </c>
      <c r="H433" s="1">
        <v>0.307</v>
      </c>
      <c r="I433" s="1">
        <v>13.38</v>
      </c>
      <c r="J433" s="1">
        <v>5.3</v>
      </c>
      <c r="K433" s="1">
        <v>298</v>
      </c>
      <c r="M433" s="1">
        <v>40</v>
      </c>
      <c r="N433" s="1">
        <f t="shared" si="71"/>
        <v>56.851843575418989</v>
      </c>
    </row>
    <row r="434" spans="1:14" ht="34.5" customHeight="1" x14ac:dyDescent="0.3">
      <c r="A434" s="1">
        <v>2</v>
      </c>
      <c r="B434" s="1" t="s">
        <v>11</v>
      </c>
      <c r="C434" s="1" t="s">
        <v>11</v>
      </c>
      <c r="E434" s="1" t="s">
        <v>11</v>
      </c>
      <c r="F434" s="1" t="s">
        <v>11</v>
      </c>
      <c r="G434" s="1">
        <v>4.55</v>
      </c>
      <c r="H434" s="1">
        <v>4.8000000000000001E-2</v>
      </c>
      <c r="J434" s="1">
        <v>7</v>
      </c>
      <c r="M434" s="1">
        <v>2</v>
      </c>
      <c r="N434" s="1">
        <f t="shared" ref="N434:N439" si="72">2.719*4.413*M434/(1+4.413*M434)</f>
        <v>2.4422851618155912</v>
      </c>
    </row>
    <row r="435" spans="1:14" ht="34.5" customHeight="1" x14ac:dyDescent="0.3">
      <c r="A435" s="1">
        <v>2</v>
      </c>
      <c r="B435" s="1" t="s">
        <v>11</v>
      </c>
      <c r="C435" s="1" t="s">
        <v>11</v>
      </c>
      <c r="E435" s="1" t="s">
        <v>11</v>
      </c>
      <c r="F435" s="1" t="s">
        <v>11</v>
      </c>
      <c r="G435" s="1">
        <v>4.55</v>
      </c>
      <c r="H435" s="1">
        <v>4.8000000000000001E-2</v>
      </c>
      <c r="J435" s="1">
        <v>7</v>
      </c>
      <c r="M435" s="1">
        <v>4</v>
      </c>
      <c r="N435" s="1">
        <f t="shared" si="72"/>
        <v>2.5732247480162984</v>
      </c>
    </row>
    <row r="436" spans="1:14" ht="34.5" customHeight="1" x14ac:dyDescent="0.3">
      <c r="A436" s="1">
        <v>2</v>
      </c>
      <c r="B436" s="1" t="s">
        <v>11</v>
      </c>
      <c r="C436" s="1" t="s">
        <v>11</v>
      </c>
      <c r="E436" s="1" t="s">
        <v>11</v>
      </c>
      <c r="F436" s="1" t="s">
        <v>11</v>
      </c>
      <c r="G436" s="1">
        <v>4.55</v>
      </c>
      <c r="H436" s="1">
        <v>4.8000000000000001E-2</v>
      </c>
      <c r="J436" s="1">
        <v>7</v>
      </c>
      <c r="M436" s="1">
        <v>6</v>
      </c>
      <c r="N436" s="1">
        <f t="shared" si="72"/>
        <v>2.6200481112162453</v>
      </c>
    </row>
    <row r="437" spans="1:14" ht="34.5" customHeight="1" x14ac:dyDescent="0.3">
      <c r="A437" s="1">
        <v>2</v>
      </c>
      <c r="B437" s="1" t="s">
        <v>11</v>
      </c>
      <c r="C437" s="1" t="s">
        <v>11</v>
      </c>
      <c r="E437" s="1" t="s">
        <v>11</v>
      </c>
      <c r="F437" s="1" t="s">
        <v>11</v>
      </c>
      <c r="G437" s="1">
        <v>4.55</v>
      </c>
      <c r="H437" s="1">
        <v>4.8000000000000001E-2</v>
      </c>
      <c r="J437" s="1">
        <v>7</v>
      </c>
      <c r="M437" s="1">
        <v>10</v>
      </c>
      <c r="N437" s="1">
        <f t="shared" si="72"/>
        <v>2.658751828052293</v>
      </c>
    </row>
    <row r="438" spans="1:14" ht="34.5" customHeight="1" x14ac:dyDescent="0.3">
      <c r="A438" s="1">
        <v>2</v>
      </c>
      <c r="B438" s="1" t="s">
        <v>11</v>
      </c>
      <c r="C438" s="1" t="s">
        <v>11</v>
      </c>
      <c r="E438" s="1" t="s">
        <v>11</v>
      </c>
      <c r="F438" s="1" t="s">
        <v>11</v>
      </c>
      <c r="G438" s="1">
        <v>4.55</v>
      </c>
      <c r="H438" s="1">
        <v>4.8000000000000001E-2</v>
      </c>
      <c r="J438" s="1">
        <v>7</v>
      </c>
      <c r="M438" s="1">
        <v>20</v>
      </c>
      <c r="N438" s="1">
        <f t="shared" si="72"/>
        <v>2.688538427066995</v>
      </c>
    </row>
    <row r="439" spans="1:14" ht="34.5" customHeight="1" x14ac:dyDescent="0.3">
      <c r="A439" s="1">
        <v>2</v>
      </c>
      <c r="B439" s="1" t="s">
        <v>11</v>
      </c>
      <c r="C439" s="1" t="s">
        <v>11</v>
      </c>
      <c r="E439" s="1" t="s">
        <v>11</v>
      </c>
      <c r="F439" s="1" t="s">
        <v>11</v>
      </c>
      <c r="G439" s="1">
        <v>4.55</v>
      </c>
      <c r="H439" s="1">
        <v>4.8000000000000001E-2</v>
      </c>
      <c r="J439" s="1">
        <v>7</v>
      </c>
      <c r="M439" s="1">
        <v>35</v>
      </c>
      <c r="N439" s="1">
        <f t="shared" si="72"/>
        <v>2.7015094078672282</v>
      </c>
    </row>
    <row r="440" spans="1:14" ht="34.5" customHeight="1" x14ac:dyDescent="0.3">
      <c r="A440" s="1" t="s">
        <v>11</v>
      </c>
      <c r="G440" s="1">
        <v>31.22</v>
      </c>
      <c r="I440" s="1">
        <v>5.04</v>
      </c>
      <c r="J440" s="1">
        <v>7</v>
      </c>
      <c r="K440" s="1">
        <v>298</v>
      </c>
      <c r="M440" s="1">
        <v>2</v>
      </c>
      <c r="N440" s="1">
        <f t="shared" ref="N440:N445" si="73">141.58*477.2*M440/(1+477.2*M440)</f>
        <v>141.43181075989116</v>
      </c>
    </row>
    <row r="441" spans="1:14" ht="34.5" customHeight="1" x14ac:dyDescent="0.3">
      <c r="A441" s="1" t="s">
        <v>11</v>
      </c>
      <c r="G441" s="1">
        <v>31.22</v>
      </c>
      <c r="I441" s="1">
        <v>5.04</v>
      </c>
      <c r="J441" s="1">
        <v>7</v>
      </c>
      <c r="K441" s="1">
        <v>298</v>
      </c>
      <c r="M441" s="1">
        <v>3</v>
      </c>
      <c r="N441" s="1">
        <f t="shared" si="73"/>
        <v>141.48117269300573</v>
      </c>
    </row>
    <row r="442" spans="1:14" ht="34.5" customHeight="1" x14ac:dyDescent="0.3">
      <c r="A442" s="1" t="s">
        <v>11</v>
      </c>
      <c r="G442" s="1">
        <v>31.22</v>
      </c>
      <c r="I442" s="1">
        <v>5.04</v>
      </c>
      <c r="J442" s="1">
        <v>7</v>
      </c>
      <c r="K442" s="1">
        <v>298</v>
      </c>
      <c r="M442" s="1">
        <v>5</v>
      </c>
      <c r="N442" s="1">
        <f t="shared" si="73"/>
        <v>141.52068705488063</v>
      </c>
    </row>
    <row r="443" spans="1:14" ht="34.5" customHeight="1" x14ac:dyDescent="0.3">
      <c r="A443" s="1" t="s">
        <v>11</v>
      </c>
      <c r="G443" s="1">
        <v>31.22</v>
      </c>
      <c r="I443" s="1">
        <v>5.04</v>
      </c>
      <c r="J443" s="1">
        <v>7</v>
      </c>
      <c r="K443" s="1">
        <v>298</v>
      </c>
      <c r="M443" s="1">
        <v>8</v>
      </c>
      <c r="N443" s="1">
        <f t="shared" si="73"/>
        <v>141.54292358455982</v>
      </c>
    </row>
    <row r="444" spans="1:14" ht="34.5" customHeight="1" x14ac:dyDescent="0.3">
      <c r="A444" s="1" t="s">
        <v>11</v>
      </c>
      <c r="G444" s="1">
        <v>31.22</v>
      </c>
      <c r="I444" s="1">
        <v>5.04</v>
      </c>
      <c r="J444" s="1">
        <v>7</v>
      </c>
      <c r="K444" s="1">
        <v>298</v>
      </c>
      <c r="M444" s="1">
        <v>10</v>
      </c>
      <c r="N444" s="1">
        <f t="shared" si="73"/>
        <v>141.55033731405828</v>
      </c>
    </row>
    <row r="445" spans="1:14" ht="34.5" customHeight="1" x14ac:dyDescent="0.3">
      <c r="A445" s="1" t="s">
        <v>11</v>
      </c>
      <c r="G445" s="1">
        <v>31.22</v>
      </c>
      <c r="I445" s="1">
        <v>5.04</v>
      </c>
      <c r="J445" s="1">
        <v>7</v>
      </c>
      <c r="K445" s="1">
        <v>298</v>
      </c>
      <c r="M445" s="1">
        <v>20</v>
      </c>
      <c r="N445" s="1">
        <f t="shared" si="73"/>
        <v>141.56516710319542</v>
      </c>
    </row>
    <row r="446" spans="1:14" ht="34.5" customHeight="1" x14ac:dyDescent="0.3">
      <c r="A446" s="1" t="s">
        <v>11</v>
      </c>
      <c r="C446" s="1" t="s">
        <v>11</v>
      </c>
      <c r="G446" s="1">
        <v>25.07</v>
      </c>
      <c r="I446" s="1">
        <v>17.34</v>
      </c>
      <c r="J446" s="1">
        <v>7</v>
      </c>
      <c r="K446" s="1">
        <v>298</v>
      </c>
      <c r="M446" s="1">
        <v>2</v>
      </c>
      <c r="N446" s="1">
        <f t="shared" ref="N446:N451" si="74">111.1196*147.4921*M446/(1+147.4921*M446)</f>
        <v>110.74417590641663</v>
      </c>
    </row>
    <row r="447" spans="1:14" ht="34.5" customHeight="1" x14ac:dyDescent="0.3">
      <c r="A447" s="1" t="s">
        <v>11</v>
      </c>
      <c r="C447" s="1" t="s">
        <v>11</v>
      </c>
      <c r="G447" s="1">
        <v>25.07</v>
      </c>
      <c r="I447" s="1">
        <v>17.34</v>
      </c>
      <c r="J447" s="1">
        <v>7</v>
      </c>
      <c r="K447" s="1">
        <v>298</v>
      </c>
      <c r="M447" s="1">
        <v>3</v>
      </c>
      <c r="N447" s="1">
        <f t="shared" si="74"/>
        <v>110.86903508818847</v>
      </c>
    </row>
    <row r="448" spans="1:14" ht="34.5" customHeight="1" x14ac:dyDescent="0.3">
      <c r="A448" s="1" t="s">
        <v>11</v>
      </c>
      <c r="C448" s="1" t="s">
        <v>11</v>
      </c>
      <c r="G448" s="1">
        <v>25.07</v>
      </c>
      <c r="I448" s="1">
        <v>17.34</v>
      </c>
      <c r="J448" s="1">
        <v>7</v>
      </c>
      <c r="K448" s="1">
        <v>298</v>
      </c>
      <c r="M448" s="1">
        <v>5</v>
      </c>
      <c r="N448" s="1">
        <f t="shared" si="74"/>
        <v>110.96912533006167</v>
      </c>
    </row>
    <row r="449" spans="1:14" ht="34.5" customHeight="1" x14ac:dyDescent="0.3">
      <c r="A449" s="1" t="s">
        <v>11</v>
      </c>
      <c r="C449" s="1" t="s">
        <v>11</v>
      </c>
      <c r="G449" s="1">
        <v>25.07</v>
      </c>
      <c r="I449" s="1">
        <v>17.34</v>
      </c>
      <c r="J449" s="1">
        <v>7</v>
      </c>
      <c r="K449" s="1">
        <v>298</v>
      </c>
      <c r="M449" s="1">
        <v>8</v>
      </c>
      <c r="N449" s="1">
        <f t="shared" si="74"/>
        <v>111.02550554888289</v>
      </c>
    </row>
    <row r="450" spans="1:14" ht="34.5" customHeight="1" x14ac:dyDescent="0.3">
      <c r="A450" s="1" t="s">
        <v>11</v>
      </c>
      <c r="C450" s="1" t="s">
        <v>11</v>
      </c>
      <c r="G450" s="1">
        <v>25.07</v>
      </c>
      <c r="I450" s="1">
        <v>17.34</v>
      </c>
      <c r="J450" s="1">
        <v>7</v>
      </c>
      <c r="K450" s="1">
        <v>298</v>
      </c>
      <c r="M450" s="1">
        <v>10</v>
      </c>
      <c r="N450" s="1">
        <f t="shared" si="74"/>
        <v>111.04431168849825</v>
      </c>
    </row>
    <row r="451" spans="1:14" ht="34.5" customHeight="1" x14ac:dyDescent="0.3">
      <c r="A451" s="1" t="s">
        <v>11</v>
      </c>
      <c r="C451" s="1" t="s">
        <v>11</v>
      </c>
      <c r="G451" s="1">
        <v>25.07</v>
      </c>
      <c r="I451" s="1">
        <v>17.34</v>
      </c>
      <c r="J451" s="1">
        <v>7</v>
      </c>
      <c r="K451" s="1">
        <v>298</v>
      </c>
      <c r="M451" s="1">
        <v>20</v>
      </c>
      <c r="N451" s="1">
        <f t="shared" si="74"/>
        <v>111.08194308715954</v>
      </c>
    </row>
    <row r="452" spans="1:14" ht="34.5" customHeight="1" x14ac:dyDescent="0.3">
      <c r="A452" s="1">
        <v>7.71</v>
      </c>
      <c r="G452" s="1">
        <v>140</v>
      </c>
      <c r="H452" s="1">
        <v>0.6</v>
      </c>
      <c r="I452" s="1">
        <v>2.6379999999999999</v>
      </c>
      <c r="J452" s="1">
        <v>6</v>
      </c>
      <c r="K452" s="1">
        <v>298</v>
      </c>
      <c r="M452" s="1">
        <v>1</v>
      </c>
      <c r="N452" s="1">
        <f t="shared" ref="N452:N457" si="75">48.02*0.0276*M452/(1+0.0276*M452)</f>
        <v>1.2897547683923705</v>
      </c>
    </row>
    <row r="453" spans="1:14" ht="34.5" customHeight="1" x14ac:dyDescent="0.3">
      <c r="A453" s="1">
        <v>7.71</v>
      </c>
      <c r="G453" s="1">
        <v>140</v>
      </c>
      <c r="H453" s="1">
        <v>0.6</v>
      </c>
      <c r="I453" s="1">
        <v>2.6379999999999999</v>
      </c>
      <c r="J453" s="1">
        <v>6</v>
      </c>
      <c r="K453" s="1">
        <v>298</v>
      </c>
      <c r="M453" s="1">
        <v>2</v>
      </c>
      <c r="N453" s="1">
        <f t="shared" si="75"/>
        <v>2.5120394238059141</v>
      </c>
    </row>
    <row r="454" spans="1:14" ht="34.5" customHeight="1" x14ac:dyDescent="0.3">
      <c r="A454" s="1">
        <v>7.71</v>
      </c>
      <c r="G454" s="1">
        <v>140</v>
      </c>
      <c r="H454" s="1">
        <v>0.6</v>
      </c>
      <c r="I454" s="1">
        <v>2.6379999999999999</v>
      </c>
      <c r="J454" s="1">
        <v>6</v>
      </c>
      <c r="K454" s="1">
        <v>298</v>
      </c>
      <c r="M454" s="1">
        <v>5</v>
      </c>
      <c r="N454" s="1">
        <f t="shared" si="75"/>
        <v>5.8231634446397198</v>
      </c>
    </row>
    <row r="455" spans="1:14" ht="34.5" customHeight="1" x14ac:dyDescent="0.3">
      <c r="A455" s="1">
        <v>7.71</v>
      </c>
      <c r="G455" s="1">
        <v>140</v>
      </c>
      <c r="H455" s="1">
        <v>0.6</v>
      </c>
      <c r="I455" s="1">
        <v>2.6379999999999999</v>
      </c>
      <c r="J455" s="1">
        <v>6</v>
      </c>
      <c r="K455" s="1">
        <v>298</v>
      </c>
      <c r="M455" s="1">
        <v>7</v>
      </c>
      <c r="N455" s="1">
        <f t="shared" si="75"/>
        <v>7.7752799195440829</v>
      </c>
    </row>
    <row r="456" spans="1:14" ht="34.5" customHeight="1" x14ac:dyDescent="0.3">
      <c r="A456" s="1">
        <v>7.71</v>
      </c>
      <c r="G456" s="1">
        <v>140</v>
      </c>
      <c r="H456" s="1">
        <v>0.6</v>
      </c>
      <c r="I456" s="1">
        <v>2.6379999999999999</v>
      </c>
      <c r="J456" s="1">
        <v>6</v>
      </c>
      <c r="K456" s="1">
        <v>298</v>
      </c>
      <c r="M456" s="1">
        <v>10</v>
      </c>
      <c r="N456" s="1">
        <f t="shared" si="75"/>
        <v>10.386771159874609</v>
      </c>
    </row>
    <row r="457" spans="1:14" ht="34.5" customHeight="1" x14ac:dyDescent="0.3">
      <c r="A457" s="1">
        <v>7.71</v>
      </c>
      <c r="G457" s="1">
        <v>140</v>
      </c>
      <c r="H457" s="1">
        <v>0.6</v>
      </c>
      <c r="I457" s="1">
        <v>2.6379999999999999</v>
      </c>
      <c r="J457" s="1">
        <v>6</v>
      </c>
      <c r="K457" s="1">
        <v>298</v>
      </c>
      <c r="M457" s="1">
        <v>15</v>
      </c>
      <c r="N457" s="1">
        <f t="shared" si="75"/>
        <v>14.059603960396043</v>
      </c>
    </row>
    <row r="458" spans="1:14" ht="34.5" customHeight="1" x14ac:dyDescent="0.3">
      <c r="A458" s="1" t="s">
        <v>11</v>
      </c>
      <c r="G458" s="1">
        <v>348.3</v>
      </c>
      <c r="H458" s="1">
        <v>1.05</v>
      </c>
      <c r="J458" s="1">
        <v>7</v>
      </c>
      <c r="K458" s="1">
        <v>301</v>
      </c>
      <c r="M458" s="1">
        <v>1</v>
      </c>
      <c r="N458" s="1">
        <f t="shared" ref="N458:N463" si="76">109.41*63.47*M458/(1+63.47*M458)</f>
        <v>107.71293159609121</v>
      </c>
    </row>
    <row r="459" spans="1:14" ht="34.5" customHeight="1" x14ac:dyDescent="0.3">
      <c r="A459" s="1" t="s">
        <v>11</v>
      </c>
      <c r="G459" s="1">
        <v>348.3</v>
      </c>
      <c r="H459" s="1">
        <v>1.05</v>
      </c>
      <c r="J459" s="1">
        <v>7</v>
      </c>
      <c r="K459" s="1">
        <v>301</v>
      </c>
      <c r="M459" s="1">
        <v>2</v>
      </c>
      <c r="N459" s="1">
        <f t="shared" si="76"/>
        <v>108.55483351571048</v>
      </c>
    </row>
    <row r="460" spans="1:14" ht="34.5" customHeight="1" x14ac:dyDescent="0.3">
      <c r="A460" s="1" t="s">
        <v>11</v>
      </c>
      <c r="G460" s="1">
        <v>348.3</v>
      </c>
      <c r="H460" s="1">
        <v>1.05</v>
      </c>
      <c r="J460" s="1">
        <v>7</v>
      </c>
      <c r="K460" s="1">
        <v>301</v>
      </c>
      <c r="M460" s="1">
        <v>3</v>
      </c>
      <c r="N460" s="1">
        <f t="shared" si="76"/>
        <v>108.83839977012695</v>
      </c>
    </row>
    <row r="461" spans="1:14" ht="34.5" customHeight="1" x14ac:dyDescent="0.3">
      <c r="A461" s="1" t="s">
        <v>11</v>
      </c>
      <c r="G461" s="1">
        <v>348.3</v>
      </c>
      <c r="H461" s="1">
        <v>1.05</v>
      </c>
      <c r="J461" s="1">
        <v>7</v>
      </c>
      <c r="K461" s="1">
        <v>301</v>
      </c>
      <c r="M461" s="1">
        <v>5</v>
      </c>
      <c r="N461" s="1">
        <f t="shared" si="76"/>
        <v>109.0663216585519</v>
      </c>
    </row>
    <row r="462" spans="1:14" ht="34.5" customHeight="1" x14ac:dyDescent="0.3">
      <c r="A462" s="1" t="s">
        <v>11</v>
      </c>
      <c r="G462" s="1">
        <v>348.3</v>
      </c>
      <c r="H462" s="1">
        <v>1.05</v>
      </c>
      <c r="J462" s="1">
        <v>7</v>
      </c>
      <c r="K462" s="1">
        <v>301</v>
      </c>
      <c r="M462" s="1">
        <v>10</v>
      </c>
      <c r="N462" s="1">
        <f t="shared" si="76"/>
        <v>109.23789051439358</v>
      </c>
    </row>
    <row r="463" spans="1:14" ht="34.5" customHeight="1" x14ac:dyDescent="0.3">
      <c r="A463" s="1" t="s">
        <v>11</v>
      </c>
      <c r="G463" s="1">
        <v>348.3</v>
      </c>
      <c r="H463" s="1">
        <v>1.05</v>
      </c>
      <c r="J463" s="1">
        <v>7</v>
      </c>
      <c r="K463" s="1">
        <v>301</v>
      </c>
      <c r="M463" s="1">
        <v>18</v>
      </c>
      <c r="N463" s="1">
        <f t="shared" si="76"/>
        <v>109.31431672292865</v>
      </c>
    </row>
    <row r="464" spans="1:14" ht="34.5" customHeight="1" x14ac:dyDescent="0.3">
      <c r="A464" s="1" t="s">
        <v>11</v>
      </c>
      <c r="G464" s="1">
        <v>241.7</v>
      </c>
      <c r="H464" s="1">
        <v>0.74</v>
      </c>
      <c r="J464" s="1">
        <v>7</v>
      </c>
      <c r="K464" s="1">
        <v>301</v>
      </c>
      <c r="M464" s="1">
        <v>1</v>
      </c>
      <c r="N464" s="1">
        <f t="shared" ref="N464:N469" si="77">93.9*11.13*M464/(1+11.13*M464)</f>
        <v>86.158862324814521</v>
      </c>
    </row>
    <row r="465" spans="1:14" ht="34.5" customHeight="1" x14ac:dyDescent="0.3">
      <c r="A465" s="1" t="s">
        <v>11</v>
      </c>
      <c r="G465" s="1">
        <v>241.7</v>
      </c>
      <c r="H465" s="1">
        <v>0.74</v>
      </c>
      <c r="J465" s="1">
        <v>7</v>
      </c>
      <c r="K465" s="1">
        <v>301</v>
      </c>
      <c r="M465" s="1">
        <v>2</v>
      </c>
      <c r="N465" s="1">
        <f t="shared" si="77"/>
        <v>89.863026655202077</v>
      </c>
    </row>
    <row r="466" spans="1:14" ht="34.5" customHeight="1" x14ac:dyDescent="0.3">
      <c r="A466" s="1" t="s">
        <v>11</v>
      </c>
      <c r="G466" s="1">
        <v>241.7</v>
      </c>
      <c r="H466" s="1">
        <v>0.74</v>
      </c>
      <c r="J466" s="1">
        <v>7</v>
      </c>
      <c r="K466" s="1">
        <v>301</v>
      </c>
      <c r="M466" s="1">
        <v>3</v>
      </c>
      <c r="N466" s="1">
        <f t="shared" si="77"/>
        <v>91.169555103227708</v>
      </c>
    </row>
    <row r="467" spans="1:14" ht="34.5" customHeight="1" x14ac:dyDescent="0.3">
      <c r="A467" s="1" t="s">
        <v>11</v>
      </c>
      <c r="G467" s="1">
        <v>241.7</v>
      </c>
      <c r="H467" s="1">
        <v>0.74</v>
      </c>
      <c r="J467" s="1">
        <v>7</v>
      </c>
      <c r="K467" s="1">
        <v>301</v>
      </c>
      <c r="M467" s="1">
        <v>5</v>
      </c>
      <c r="N467" s="1">
        <f t="shared" si="77"/>
        <v>92.24245366284201</v>
      </c>
    </row>
    <row r="468" spans="1:14" ht="34.5" customHeight="1" x14ac:dyDescent="0.3">
      <c r="A468" s="1" t="s">
        <v>11</v>
      </c>
      <c r="G468" s="1">
        <v>241.7</v>
      </c>
      <c r="H468" s="1">
        <v>0.74</v>
      </c>
      <c r="J468" s="1">
        <v>7</v>
      </c>
      <c r="K468" s="1">
        <v>301</v>
      </c>
      <c r="M468" s="1">
        <v>10</v>
      </c>
      <c r="N468" s="1">
        <f t="shared" si="77"/>
        <v>93.063846838824588</v>
      </c>
    </row>
    <row r="469" spans="1:14" ht="34.5" customHeight="1" x14ac:dyDescent="0.3">
      <c r="A469" s="1" t="s">
        <v>11</v>
      </c>
      <c r="G469" s="1">
        <v>241.7</v>
      </c>
      <c r="H469" s="1">
        <v>0.74</v>
      </c>
      <c r="J469" s="1">
        <v>7</v>
      </c>
      <c r="K469" s="1">
        <v>301</v>
      </c>
      <c r="M469" s="1">
        <v>18</v>
      </c>
      <c r="N469" s="1">
        <f t="shared" si="77"/>
        <v>93.43362471441344</v>
      </c>
    </row>
    <row r="470" spans="1:14" ht="34.5" customHeight="1" x14ac:dyDescent="0.3">
      <c r="A470" s="1" t="s">
        <v>11</v>
      </c>
      <c r="G470" s="1">
        <v>221.3</v>
      </c>
      <c r="H470" s="1">
        <v>0.62</v>
      </c>
      <c r="J470" s="1">
        <v>7</v>
      </c>
      <c r="K470" s="1">
        <v>301</v>
      </c>
      <c r="M470" s="1">
        <v>1</v>
      </c>
      <c r="N470" s="1">
        <f t="shared" ref="N470:N475" si="78">90.91*3.81*M470/(1+3.81*M470)</f>
        <v>72.009792099792094</v>
      </c>
    </row>
    <row r="471" spans="1:14" ht="34.5" customHeight="1" x14ac:dyDescent="0.3">
      <c r="A471" s="1" t="s">
        <v>11</v>
      </c>
      <c r="G471" s="1">
        <v>221.3</v>
      </c>
      <c r="H471" s="1">
        <v>0.62</v>
      </c>
      <c r="J471" s="1">
        <v>7</v>
      </c>
      <c r="K471" s="1">
        <v>301</v>
      </c>
      <c r="M471" s="1">
        <v>2</v>
      </c>
      <c r="N471" s="1">
        <f t="shared" si="78"/>
        <v>80.363596287703004</v>
      </c>
    </row>
    <row r="472" spans="1:14" ht="34.5" customHeight="1" x14ac:dyDescent="0.3">
      <c r="A472" s="1" t="s">
        <v>11</v>
      </c>
      <c r="G472" s="1">
        <v>221.3</v>
      </c>
      <c r="H472" s="1">
        <v>0.62</v>
      </c>
      <c r="J472" s="1">
        <v>7</v>
      </c>
      <c r="K472" s="1">
        <v>301</v>
      </c>
      <c r="M472" s="1">
        <v>3</v>
      </c>
      <c r="N472" s="1">
        <f t="shared" si="78"/>
        <v>83.596242960579247</v>
      </c>
    </row>
    <row r="473" spans="1:14" ht="34.5" customHeight="1" x14ac:dyDescent="0.3">
      <c r="A473" s="1" t="s">
        <v>11</v>
      </c>
      <c r="G473" s="1">
        <v>221.3</v>
      </c>
      <c r="H473" s="1">
        <v>0.62</v>
      </c>
      <c r="J473" s="1">
        <v>7</v>
      </c>
      <c r="K473" s="1">
        <v>301</v>
      </c>
      <c r="M473" s="1">
        <v>5</v>
      </c>
      <c r="N473" s="1">
        <f t="shared" si="78"/>
        <v>86.375835411471314</v>
      </c>
    </row>
    <row r="474" spans="1:14" ht="34.5" customHeight="1" x14ac:dyDescent="0.3">
      <c r="A474" s="1" t="s">
        <v>11</v>
      </c>
      <c r="G474" s="1">
        <v>221.3</v>
      </c>
      <c r="H474" s="1">
        <v>0.62</v>
      </c>
      <c r="J474" s="1">
        <v>7</v>
      </c>
      <c r="K474" s="1">
        <v>301</v>
      </c>
      <c r="M474" s="1">
        <v>10</v>
      </c>
      <c r="N474" s="1">
        <f t="shared" si="78"/>
        <v>88.584936061381072</v>
      </c>
    </row>
    <row r="475" spans="1:14" ht="34.5" customHeight="1" x14ac:dyDescent="0.3">
      <c r="A475" s="1" t="s">
        <v>11</v>
      </c>
      <c r="G475" s="1">
        <v>221.3</v>
      </c>
      <c r="H475" s="1">
        <v>0.62</v>
      </c>
      <c r="J475" s="1">
        <v>7</v>
      </c>
      <c r="K475" s="1">
        <v>301</v>
      </c>
      <c r="M475" s="1">
        <v>18</v>
      </c>
      <c r="N475" s="1">
        <f t="shared" si="78"/>
        <v>89.603446392641558</v>
      </c>
    </row>
    <row r="476" spans="1:14" ht="34.5" customHeight="1" x14ac:dyDescent="0.3">
      <c r="A476" s="1" t="s">
        <v>11</v>
      </c>
      <c r="B476" s="1" t="s">
        <v>11</v>
      </c>
      <c r="C476" s="1" t="s">
        <v>11</v>
      </c>
      <c r="G476" s="1">
        <v>47.73</v>
      </c>
      <c r="J476" s="1">
        <v>6.59</v>
      </c>
      <c r="K476" s="1">
        <v>298</v>
      </c>
      <c r="M476" s="1">
        <v>8</v>
      </c>
      <c r="N476" s="1">
        <f t="shared" ref="N476:N481" si="79">27.8*0.22*M476/(1+0.22*M476)</f>
        <v>17.727536231884059</v>
      </c>
    </row>
    <row r="477" spans="1:14" ht="34.5" customHeight="1" x14ac:dyDescent="0.3">
      <c r="A477" s="1" t="s">
        <v>11</v>
      </c>
      <c r="B477" s="1" t="s">
        <v>11</v>
      </c>
      <c r="C477" s="1" t="s">
        <v>11</v>
      </c>
      <c r="G477" s="1">
        <v>47.73</v>
      </c>
      <c r="J477" s="1">
        <v>6.59</v>
      </c>
      <c r="K477" s="1">
        <v>298</v>
      </c>
      <c r="M477" s="1">
        <v>10</v>
      </c>
      <c r="N477" s="1">
        <f t="shared" si="79"/>
        <v>19.112500000000001</v>
      </c>
    </row>
    <row r="478" spans="1:14" ht="34.5" customHeight="1" x14ac:dyDescent="0.3">
      <c r="A478" s="1" t="s">
        <v>11</v>
      </c>
      <c r="B478" s="1" t="s">
        <v>11</v>
      </c>
      <c r="C478" s="1" t="s">
        <v>11</v>
      </c>
      <c r="G478" s="1">
        <v>47.73</v>
      </c>
      <c r="J478" s="1">
        <v>6.59</v>
      </c>
      <c r="K478" s="1">
        <v>298</v>
      </c>
      <c r="M478" s="1">
        <v>30</v>
      </c>
      <c r="N478" s="1">
        <f t="shared" si="79"/>
        <v>24.142105263157898</v>
      </c>
    </row>
    <row r="479" spans="1:14" ht="34.5" customHeight="1" x14ac:dyDescent="0.3">
      <c r="A479" s="1" t="s">
        <v>11</v>
      </c>
      <c r="B479" s="1" t="s">
        <v>11</v>
      </c>
      <c r="C479" s="1" t="s">
        <v>11</v>
      </c>
      <c r="G479" s="1">
        <v>47.73</v>
      </c>
      <c r="J479" s="1">
        <v>6.59</v>
      </c>
      <c r="K479" s="1">
        <v>298</v>
      </c>
      <c r="M479" s="1">
        <v>50</v>
      </c>
      <c r="N479" s="1">
        <f t="shared" si="79"/>
        <v>25.483333333333334</v>
      </c>
    </row>
    <row r="480" spans="1:14" ht="34.5" customHeight="1" x14ac:dyDescent="0.3">
      <c r="A480" s="1" t="s">
        <v>11</v>
      </c>
      <c r="B480" s="1" t="s">
        <v>11</v>
      </c>
      <c r="C480" s="1" t="s">
        <v>11</v>
      </c>
      <c r="G480" s="1">
        <v>47.73</v>
      </c>
      <c r="J480" s="1">
        <v>6.59</v>
      </c>
      <c r="K480" s="1">
        <v>298</v>
      </c>
      <c r="M480" s="1">
        <v>80</v>
      </c>
      <c r="N480" s="1">
        <f t="shared" si="79"/>
        <v>26.305376344086021</v>
      </c>
    </row>
    <row r="481" spans="1:14" ht="34.5" customHeight="1" x14ac:dyDescent="0.3">
      <c r="A481" s="1" t="s">
        <v>11</v>
      </c>
      <c r="B481" s="1" t="s">
        <v>11</v>
      </c>
      <c r="C481" s="1" t="s">
        <v>11</v>
      </c>
      <c r="G481" s="1">
        <v>47.73</v>
      </c>
      <c r="J481" s="1">
        <v>6.59</v>
      </c>
      <c r="K481" s="1">
        <v>298</v>
      </c>
      <c r="M481" s="1">
        <v>140</v>
      </c>
      <c r="N481" s="1">
        <f t="shared" si="79"/>
        <v>26.925786163522016</v>
      </c>
    </row>
    <row r="482" spans="1:14" ht="34.5" customHeight="1" x14ac:dyDescent="0.3">
      <c r="B482" s="1" t="s">
        <v>11</v>
      </c>
      <c r="C482" s="1" t="s">
        <v>11</v>
      </c>
      <c r="G482" s="1">
        <v>62.14</v>
      </c>
      <c r="J482" s="1">
        <v>6.87</v>
      </c>
      <c r="K482" s="1">
        <v>298</v>
      </c>
      <c r="M482" s="1">
        <v>1</v>
      </c>
      <c r="N482" s="1">
        <f t="shared" ref="N482:N487" si="80">(1.2*2.47*M482)/(1+2.47*M482)</f>
        <v>0.85417867435158501</v>
      </c>
    </row>
    <row r="483" spans="1:14" ht="34.5" customHeight="1" x14ac:dyDescent="0.3">
      <c r="B483" s="1" t="s">
        <v>11</v>
      </c>
      <c r="C483" s="1" t="s">
        <v>11</v>
      </c>
      <c r="G483" s="1">
        <v>62.14</v>
      </c>
      <c r="J483" s="1">
        <v>6.87</v>
      </c>
      <c r="K483" s="1">
        <v>298</v>
      </c>
      <c r="M483" s="1">
        <v>3</v>
      </c>
      <c r="N483" s="1">
        <f t="shared" si="80"/>
        <v>1.0573127229488704</v>
      </c>
    </row>
    <row r="484" spans="1:14" ht="34.5" customHeight="1" x14ac:dyDescent="0.3">
      <c r="B484" s="1" t="s">
        <v>11</v>
      </c>
      <c r="C484" s="1" t="s">
        <v>11</v>
      </c>
      <c r="G484" s="1">
        <v>62.14</v>
      </c>
      <c r="J484" s="1">
        <v>6.87</v>
      </c>
      <c r="K484" s="1">
        <v>298</v>
      </c>
      <c r="M484" s="1">
        <v>5</v>
      </c>
      <c r="N484" s="1">
        <f t="shared" si="80"/>
        <v>1.1101123595505618</v>
      </c>
    </row>
    <row r="485" spans="1:14" ht="34.5" customHeight="1" x14ac:dyDescent="0.3">
      <c r="B485" s="1" t="s">
        <v>11</v>
      </c>
      <c r="C485" s="1" t="s">
        <v>11</v>
      </c>
      <c r="G485" s="1">
        <v>62.14</v>
      </c>
      <c r="J485" s="1">
        <v>6.87</v>
      </c>
      <c r="K485" s="1">
        <v>298</v>
      </c>
      <c r="M485" s="1">
        <v>12</v>
      </c>
      <c r="N485" s="1">
        <f t="shared" si="80"/>
        <v>1.1608355091383811</v>
      </c>
    </row>
    <row r="486" spans="1:14" ht="34.5" customHeight="1" x14ac:dyDescent="0.3">
      <c r="B486" s="1" t="s">
        <v>11</v>
      </c>
      <c r="C486" s="1" t="s">
        <v>11</v>
      </c>
      <c r="G486" s="1">
        <v>62.14</v>
      </c>
      <c r="J486" s="1">
        <v>6.87</v>
      </c>
      <c r="K486" s="1">
        <v>298</v>
      </c>
      <c r="M486" s="1">
        <v>15</v>
      </c>
      <c r="N486" s="1">
        <f t="shared" si="80"/>
        <v>1.1684625492772667</v>
      </c>
    </row>
    <row r="487" spans="1:14" ht="34.5" customHeight="1" x14ac:dyDescent="0.3">
      <c r="B487" s="1" t="s">
        <v>11</v>
      </c>
      <c r="C487" s="1" t="s">
        <v>11</v>
      </c>
      <c r="G487" s="1">
        <v>62.14</v>
      </c>
      <c r="J487" s="1">
        <v>6.87</v>
      </c>
      <c r="K487" s="1">
        <v>298</v>
      </c>
      <c r="M487" s="1">
        <v>20</v>
      </c>
      <c r="N487" s="1">
        <f t="shared" si="80"/>
        <v>1.176190476190476</v>
      </c>
    </row>
    <row r="488" spans="1:14" ht="34.5" customHeight="1" x14ac:dyDescent="0.3">
      <c r="C488" s="1" t="s">
        <v>11</v>
      </c>
      <c r="G488" s="1">
        <v>65.78</v>
      </c>
      <c r="J488" s="1">
        <v>6.87</v>
      </c>
      <c r="K488" s="1">
        <v>298</v>
      </c>
      <c r="M488" s="1">
        <v>5</v>
      </c>
      <c r="N488" s="1">
        <f t="shared" ref="N488:N493" si="81">11.2*0.12*M488/(1+0.12*M488)</f>
        <v>4.1999999999999993</v>
      </c>
    </row>
    <row r="489" spans="1:14" ht="34.5" customHeight="1" x14ac:dyDescent="0.3">
      <c r="C489" s="1" t="s">
        <v>11</v>
      </c>
      <c r="G489" s="1">
        <v>65.78</v>
      </c>
      <c r="J489" s="1">
        <v>6.87</v>
      </c>
      <c r="K489" s="1">
        <v>298</v>
      </c>
      <c r="M489" s="1">
        <v>10</v>
      </c>
      <c r="N489" s="1">
        <f t="shared" si="81"/>
        <v>6.1090909090909076</v>
      </c>
    </row>
    <row r="490" spans="1:14" ht="34.5" customHeight="1" x14ac:dyDescent="0.3">
      <c r="C490" s="1" t="s">
        <v>11</v>
      </c>
      <c r="G490" s="1">
        <v>65.78</v>
      </c>
      <c r="J490" s="1">
        <v>6.87</v>
      </c>
      <c r="K490" s="1">
        <v>298</v>
      </c>
      <c r="M490" s="1">
        <v>20</v>
      </c>
      <c r="N490" s="1">
        <f t="shared" si="81"/>
        <v>7.905882352941175</v>
      </c>
    </row>
    <row r="491" spans="1:14" ht="34.5" customHeight="1" x14ac:dyDescent="0.3">
      <c r="C491" s="1" t="s">
        <v>11</v>
      </c>
      <c r="G491" s="1">
        <v>65.78</v>
      </c>
      <c r="J491" s="1">
        <v>6.87</v>
      </c>
      <c r="K491" s="1">
        <v>298</v>
      </c>
      <c r="M491" s="1">
        <v>40</v>
      </c>
      <c r="N491" s="1">
        <f t="shared" si="81"/>
        <v>9.2689655172413783</v>
      </c>
    </row>
    <row r="492" spans="1:14" ht="34.5" customHeight="1" x14ac:dyDescent="0.3">
      <c r="C492" s="1" t="s">
        <v>11</v>
      </c>
      <c r="G492" s="1">
        <v>65.78</v>
      </c>
      <c r="J492" s="1">
        <v>6.87</v>
      </c>
      <c r="K492" s="1">
        <v>298</v>
      </c>
      <c r="M492" s="1">
        <v>60</v>
      </c>
      <c r="N492" s="1">
        <f t="shared" si="81"/>
        <v>9.8341463414634145</v>
      </c>
    </row>
    <row r="493" spans="1:14" ht="34.5" customHeight="1" x14ac:dyDescent="0.3">
      <c r="C493" s="1" t="s">
        <v>11</v>
      </c>
      <c r="G493" s="1">
        <v>65.78</v>
      </c>
      <c r="J493" s="1">
        <v>6.87</v>
      </c>
      <c r="K493" s="1">
        <v>298</v>
      </c>
      <c r="M493" s="1">
        <v>80</v>
      </c>
      <c r="N493" s="1">
        <f t="shared" si="81"/>
        <v>10.143396226415092</v>
      </c>
    </row>
    <row r="494" spans="1:14" ht="34.5" customHeight="1" x14ac:dyDescent="0.3">
      <c r="A494" s="1">
        <v>15.7</v>
      </c>
      <c r="B494" s="1" t="s">
        <v>11</v>
      </c>
      <c r="C494" s="1" t="s">
        <v>11</v>
      </c>
      <c r="G494" s="1">
        <v>85.8</v>
      </c>
      <c r="J494" s="1">
        <v>6.28</v>
      </c>
      <c r="K494" s="1">
        <v>298</v>
      </c>
      <c r="M494" s="1">
        <v>5</v>
      </c>
      <c r="N494" s="1">
        <f t="shared" ref="N494:N499" si="82">(44.8*0.42*M494)/(1+0.42*M494)</f>
        <v>30.348387096774193</v>
      </c>
    </row>
    <row r="495" spans="1:14" ht="34.5" customHeight="1" x14ac:dyDescent="0.3">
      <c r="A495" s="1">
        <v>15.7</v>
      </c>
      <c r="B495" s="1" t="s">
        <v>11</v>
      </c>
      <c r="C495" s="1" t="s">
        <v>11</v>
      </c>
      <c r="G495" s="1">
        <v>85.8</v>
      </c>
      <c r="J495" s="1">
        <v>6.28</v>
      </c>
      <c r="K495" s="1">
        <v>298</v>
      </c>
      <c r="M495" s="1">
        <v>7</v>
      </c>
      <c r="N495" s="1">
        <f t="shared" si="82"/>
        <v>33.429441624365481</v>
      </c>
    </row>
    <row r="496" spans="1:14" ht="34.5" customHeight="1" x14ac:dyDescent="0.3">
      <c r="A496" s="1">
        <v>15.7</v>
      </c>
      <c r="B496" s="1" t="s">
        <v>11</v>
      </c>
      <c r="C496" s="1" t="s">
        <v>11</v>
      </c>
      <c r="G496" s="1">
        <v>85.8</v>
      </c>
      <c r="J496" s="1">
        <v>6.28</v>
      </c>
      <c r="K496" s="1">
        <v>298</v>
      </c>
      <c r="M496" s="1">
        <v>15</v>
      </c>
      <c r="N496" s="1">
        <f t="shared" si="82"/>
        <v>38.663013698630138</v>
      </c>
    </row>
    <row r="497" spans="1:14" ht="34.5" customHeight="1" x14ac:dyDescent="0.3">
      <c r="A497" s="1">
        <v>15.7</v>
      </c>
      <c r="B497" s="1" t="s">
        <v>11</v>
      </c>
      <c r="C497" s="1" t="s">
        <v>11</v>
      </c>
      <c r="G497" s="1">
        <v>85.8</v>
      </c>
      <c r="J497" s="1">
        <v>6.28</v>
      </c>
      <c r="K497" s="1">
        <v>298</v>
      </c>
      <c r="M497" s="1">
        <v>20</v>
      </c>
      <c r="N497" s="1">
        <f t="shared" si="82"/>
        <v>40.03404255319149</v>
      </c>
    </row>
    <row r="498" spans="1:14" ht="34.5" customHeight="1" x14ac:dyDescent="0.3">
      <c r="A498" s="1">
        <v>15.7</v>
      </c>
      <c r="B498" s="1" t="s">
        <v>11</v>
      </c>
      <c r="C498" s="1" t="s">
        <v>11</v>
      </c>
      <c r="G498" s="1">
        <v>85.8</v>
      </c>
      <c r="J498" s="1">
        <v>6.28</v>
      </c>
      <c r="K498" s="1">
        <v>298</v>
      </c>
      <c r="M498" s="1">
        <v>45</v>
      </c>
      <c r="N498" s="1">
        <f t="shared" si="82"/>
        <v>42.548743718592966</v>
      </c>
    </row>
    <row r="499" spans="1:14" ht="34.5" customHeight="1" x14ac:dyDescent="0.3">
      <c r="A499" s="1">
        <v>15.7</v>
      </c>
      <c r="B499" s="1" t="s">
        <v>11</v>
      </c>
      <c r="C499" s="1" t="s">
        <v>11</v>
      </c>
      <c r="G499" s="1">
        <v>85.8</v>
      </c>
      <c r="J499" s="1">
        <v>6.28</v>
      </c>
      <c r="K499" s="1">
        <v>298</v>
      </c>
      <c r="M499" s="1">
        <v>70</v>
      </c>
      <c r="N499" s="1">
        <f t="shared" si="82"/>
        <v>43.326315789473682</v>
      </c>
    </row>
    <row r="500" spans="1:14" ht="34.5" customHeight="1" x14ac:dyDescent="0.3">
      <c r="B500" s="1" t="s">
        <v>11</v>
      </c>
      <c r="C500" s="1" t="s">
        <v>11</v>
      </c>
      <c r="G500" s="1">
        <v>94.7</v>
      </c>
      <c r="J500" s="1">
        <v>6.28</v>
      </c>
      <c r="K500" s="1">
        <v>298</v>
      </c>
      <c r="M500" s="1">
        <v>1</v>
      </c>
      <c r="N500" s="1">
        <f t="shared" ref="N500:N505" si="83">9.08*2.34*M500/(1+2.34*M500)</f>
        <v>6.3614371257485027</v>
      </c>
    </row>
    <row r="501" spans="1:14" ht="34.5" customHeight="1" x14ac:dyDescent="0.3">
      <c r="B501" s="1" t="s">
        <v>11</v>
      </c>
      <c r="C501" s="1" t="s">
        <v>11</v>
      </c>
      <c r="G501" s="1">
        <v>94.7</v>
      </c>
      <c r="J501" s="1">
        <v>6.28</v>
      </c>
      <c r="K501" s="1">
        <v>298</v>
      </c>
      <c r="M501" s="1">
        <v>3</v>
      </c>
      <c r="N501" s="1">
        <f t="shared" si="83"/>
        <v>7.9478304239401503</v>
      </c>
    </row>
    <row r="502" spans="1:14" ht="34.5" customHeight="1" x14ac:dyDescent="0.3">
      <c r="B502" s="1" t="s">
        <v>11</v>
      </c>
      <c r="C502" s="1" t="s">
        <v>11</v>
      </c>
      <c r="G502" s="1">
        <v>94.7</v>
      </c>
      <c r="J502" s="1">
        <v>6.28</v>
      </c>
      <c r="K502" s="1">
        <v>298</v>
      </c>
      <c r="M502" s="1">
        <v>5</v>
      </c>
      <c r="N502" s="1">
        <f t="shared" si="83"/>
        <v>8.3650393700787404</v>
      </c>
    </row>
    <row r="503" spans="1:14" ht="34.5" customHeight="1" x14ac:dyDescent="0.3">
      <c r="B503" s="1" t="s">
        <v>11</v>
      </c>
      <c r="C503" s="1" t="s">
        <v>11</v>
      </c>
      <c r="G503" s="1">
        <v>94.7</v>
      </c>
      <c r="J503" s="1">
        <v>6.28</v>
      </c>
      <c r="K503" s="1">
        <v>298</v>
      </c>
      <c r="M503" s="1">
        <v>7</v>
      </c>
      <c r="N503" s="1">
        <f t="shared" si="83"/>
        <v>8.5575604142692754</v>
      </c>
    </row>
    <row r="504" spans="1:14" ht="34.5" customHeight="1" x14ac:dyDescent="0.3">
      <c r="B504" s="1" t="s">
        <v>11</v>
      </c>
      <c r="C504" s="1" t="s">
        <v>11</v>
      </c>
      <c r="G504" s="1">
        <v>94.7</v>
      </c>
      <c r="J504" s="1">
        <v>6.28</v>
      </c>
      <c r="K504" s="1">
        <v>298</v>
      </c>
      <c r="M504" s="1">
        <v>10</v>
      </c>
      <c r="N504" s="1">
        <f t="shared" si="83"/>
        <v>8.7078688524590167</v>
      </c>
    </row>
    <row r="505" spans="1:14" ht="34.5" customHeight="1" x14ac:dyDescent="0.3">
      <c r="B505" s="1" t="s">
        <v>11</v>
      </c>
      <c r="C505" s="1" t="s">
        <v>11</v>
      </c>
      <c r="G505" s="1">
        <v>94.7</v>
      </c>
      <c r="J505" s="1">
        <v>6.28</v>
      </c>
      <c r="K505" s="1">
        <v>298</v>
      </c>
      <c r="M505" s="1">
        <v>20</v>
      </c>
      <c r="N505" s="1">
        <f t="shared" si="83"/>
        <v>8.8900418410041837</v>
      </c>
    </row>
    <row r="506" spans="1:14" ht="34.5" customHeight="1" x14ac:dyDescent="0.3">
      <c r="B506" s="1" t="s">
        <v>11</v>
      </c>
      <c r="C506" s="1" t="s">
        <v>11</v>
      </c>
      <c r="G506" s="1">
        <v>1.6</v>
      </c>
      <c r="J506" s="1">
        <v>6.28</v>
      </c>
      <c r="K506" s="1">
        <v>298</v>
      </c>
      <c r="M506" s="1">
        <v>1</v>
      </c>
      <c r="N506" s="1">
        <f t="shared" ref="N506:N511" si="84">1.59*0.456*M506/(1+0.456*M506)</f>
        <v>0.49796703296703299</v>
      </c>
    </row>
    <row r="507" spans="1:14" ht="34.5" customHeight="1" x14ac:dyDescent="0.3">
      <c r="B507" s="1" t="s">
        <v>11</v>
      </c>
      <c r="C507" s="1" t="s">
        <v>11</v>
      </c>
      <c r="G507" s="1">
        <v>1.6</v>
      </c>
      <c r="J507" s="1">
        <v>6.28</v>
      </c>
      <c r="K507" s="1">
        <v>298</v>
      </c>
      <c r="M507" s="1">
        <v>3</v>
      </c>
      <c r="N507" s="1">
        <f t="shared" si="84"/>
        <v>0.91854729729729723</v>
      </c>
    </row>
    <row r="508" spans="1:14" ht="34.5" customHeight="1" x14ac:dyDescent="0.3">
      <c r="B508" s="1" t="s">
        <v>11</v>
      </c>
      <c r="C508" s="1" t="s">
        <v>11</v>
      </c>
      <c r="G508" s="1">
        <v>1.6</v>
      </c>
      <c r="J508" s="1">
        <v>6.28</v>
      </c>
      <c r="K508" s="1">
        <v>298</v>
      </c>
      <c r="M508" s="1">
        <v>5</v>
      </c>
      <c r="N508" s="1">
        <f t="shared" si="84"/>
        <v>1.1052439024390244</v>
      </c>
    </row>
    <row r="509" spans="1:14" ht="34.5" customHeight="1" x14ac:dyDescent="0.3">
      <c r="B509" s="1" t="s">
        <v>11</v>
      </c>
      <c r="C509" s="1" t="s">
        <v>11</v>
      </c>
      <c r="G509" s="1">
        <v>1.6</v>
      </c>
      <c r="J509" s="1">
        <v>6.28</v>
      </c>
      <c r="K509" s="1">
        <v>298</v>
      </c>
      <c r="M509" s="1">
        <v>7</v>
      </c>
      <c r="N509" s="1">
        <f t="shared" si="84"/>
        <v>1.2107061068702289</v>
      </c>
    </row>
    <row r="510" spans="1:14" ht="34.5" customHeight="1" x14ac:dyDescent="0.3">
      <c r="B510" s="1" t="s">
        <v>11</v>
      </c>
      <c r="C510" s="1" t="s">
        <v>11</v>
      </c>
      <c r="G510" s="1">
        <v>1.6</v>
      </c>
      <c r="J510" s="1">
        <v>6.28</v>
      </c>
      <c r="K510" s="1">
        <v>298</v>
      </c>
      <c r="M510" s="1">
        <v>10</v>
      </c>
      <c r="N510" s="1">
        <f t="shared" si="84"/>
        <v>1.3040287769784171</v>
      </c>
    </row>
    <row r="511" spans="1:14" ht="34.5" customHeight="1" x14ac:dyDescent="0.3">
      <c r="B511" s="1" t="s">
        <v>11</v>
      </c>
      <c r="C511" s="1" t="s">
        <v>11</v>
      </c>
      <c r="G511" s="1">
        <v>1.6</v>
      </c>
      <c r="J511" s="1">
        <v>6.28</v>
      </c>
      <c r="K511" s="1">
        <v>298</v>
      </c>
      <c r="M511" s="1">
        <v>15</v>
      </c>
      <c r="N511" s="1">
        <f t="shared" si="84"/>
        <v>1.3871938775510204</v>
      </c>
    </row>
    <row r="512" spans="1:14" ht="34.5" customHeight="1" x14ac:dyDescent="0.3">
      <c r="B512" s="1" t="s">
        <v>11</v>
      </c>
      <c r="G512" s="1">
        <v>298.3</v>
      </c>
      <c r="J512" s="1">
        <v>6.9</v>
      </c>
      <c r="K512" s="1">
        <v>298</v>
      </c>
      <c r="M512" s="1">
        <v>5</v>
      </c>
      <c r="N512" s="1">
        <f t="shared" ref="N512:N517" si="85">20.7*0.171*M512/(1+0.171*M512)</f>
        <v>9.5409703504043151</v>
      </c>
    </row>
    <row r="513" spans="1:14" ht="34.5" customHeight="1" x14ac:dyDescent="0.3">
      <c r="B513" s="1" t="s">
        <v>11</v>
      </c>
      <c r="G513" s="1">
        <v>298.3</v>
      </c>
      <c r="J513" s="1">
        <v>6.9</v>
      </c>
      <c r="K513" s="1">
        <v>298</v>
      </c>
      <c r="M513" s="1">
        <v>10</v>
      </c>
      <c r="N513" s="1">
        <f t="shared" si="85"/>
        <v>13.061623616236165</v>
      </c>
    </row>
    <row r="514" spans="1:14" ht="34.5" customHeight="1" x14ac:dyDescent="0.3">
      <c r="B514" s="1" t="s">
        <v>11</v>
      </c>
      <c r="G514" s="1">
        <v>298.3</v>
      </c>
      <c r="J514" s="1">
        <v>6.9</v>
      </c>
      <c r="K514" s="1">
        <v>298</v>
      </c>
      <c r="M514" s="1">
        <v>15</v>
      </c>
      <c r="N514" s="1">
        <f t="shared" si="85"/>
        <v>14.893548387096773</v>
      </c>
    </row>
    <row r="515" spans="1:14" ht="34.5" customHeight="1" x14ac:dyDescent="0.3">
      <c r="B515" s="1" t="s">
        <v>11</v>
      </c>
      <c r="G515" s="1">
        <v>298.3</v>
      </c>
      <c r="J515" s="1">
        <v>6.9</v>
      </c>
      <c r="K515" s="1">
        <v>298</v>
      </c>
      <c r="M515" s="1">
        <v>25</v>
      </c>
      <c r="N515" s="1">
        <f t="shared" si="85"/>
        <v>16.775829383886258</v>
      </c>
    </row>
    <row r="516" spans="1:14" ht="34.5" customHeight="1" x14ac:dyDescent="0.3">
      <c r="B516" s="1" t="s">
        <v>11</v>
      </c>
      <c r="G516" s="1">
        <v>298.3</v>
      </c>
      <c r="J516" s="1">
        <v>6.9</v>
      </c>
      <c r="K516" s="1">
        <v>298</v>
      </c>
      <c r="M516" s="1">
        <v>50</v>
      </c>
      <c r="N516" s="1">
        <f t="shared" si="85"/>
        <v>18.532460732984294</v>
      </c>
    </row>
    <row r="517" spans="1:14" ht="34.5" customHeight="1" x14ac:dyDescent="0.3">
      <c r="B517" s="1" t="s">
        <v>11</v>
      </c>
      <c r="G517" s="1">
        <v>298.3</v>
      </c>
      <c r="J517" s="1">
        <v>6.9</v>
      </c>
      <c r="K517" s="1">
        <v>298</v>
      </c>
      <c r="M517" s="1">
        <v>125</v>
      </c>
      <c r="N517" s="1">
        <f t="shared" si="85"/>
        <v>19.774860335195534</v>
      </c>
    </row>
    <row r="518" spans="1:14" ht="34.5" customHeight="1" x14ac:dyDescent="0.3">
      <c r="A518" s="1" t="s">
        <v>11</v>
      </c>
      <c r="G518" s="1">
        <v>12</v>
      </c>
      <c r="J518" s="1">
        <v>9.5</v>
      </c>
      <c r="K518" s="1">
        <v>298</v>
      </c>
      <c r="M518" s="1">
        <v>10</v>
      </c>
      <c r="N518" s="1">
        <f t="shared" ref="N518:N523" si="86">46.95*0.052*M518/(1+0.052*M518)</f>
        <v>16.06184210526316</v>
      </c>
    </row>
    <row r="519" spans="1:14" ht="34.5" customHeight="1" x14ac:dyDescent="0.3">
      <c r="A519" s="1" t="s">
        <v>11</v>
      </c>
      <c r="G519" s="1">
        <v>12</v>
      </c>
      <c r="J519" s="1">
        <v>9.5</v>
      </c>
      <c r="K519" s="1">
        <v>298</v>
      </c>
      <c r="M519" s="1">
        <v>25</v>
      </c>
      <c r="N519" s="1">
        <f t="shared" si="86"/>
        <v>26.536956521739135</v>
      </c>
    </row>
    <row r="520" spans="1:14" ht="34.5" customHeight="1" x14ac:dyDescent="0.3">
      <c r="A520" s="1" t="s">
        <v>11</v>
      </c>
      <c r="G520" s="1">
        <v>12</v>
      </c>
      <c r="J520" s="1">
        <v>9.5</v>
      </c>
      <c r="K520" s="1">
        <v>298</v>
      </c>
      <c r="M520" s="1">
        <v>50</v>
      </c>
      <c r="N520" s="1">
        <f t="shared" si="86"/>
        <v>33.908333333333331</v>
      </c>
    </row>
    <row r="521" spans="1:14" ht="34.5" customHeight="1" x14ac:dyDescent="0.3">
      <c r="A521" s="1" t="s">
        <v>11</v>
      </c>
      <c r="G521" s="1">
        <v>12</v>
      </c>
      <c r="J521" s="1">
        <v>9.5</v>
      </c>
      <c r="K521" s="1">
        <v>298</v>
      </c>
      <c r="M521" s="1">
        <v>80</v>
      </c>
      <c r="N521" s="1">
        <f t="shared" si="86"/>
        <v>37.851162790697678</v>
      </c>
    </row>
    <row r="522" spans="1:14" ht="34.5" customHeight="1" x14ac:dyDescent="0.3">
      <c r="A522" s="1" t="s">
        <v>11</v>
      </c>
      <c r="G522" s="1">
        <v>12</v>
      </c>
      <c r="J522" s="1">
        <v>9.5</v>
      </c>
      <c r="K522" s="1">
        <v>298</v>
      </c>
      <c r="M522" s="1">
        <v>125</v>
      </c>
      <c r="N522" s="1">
        <f t="shared" si="86"/>
        <v>40.690000000000005</v>
      </c>
    </row>
    <row r="523" spans="1:14" ht="34.5" customHeight="1" x14ac:dyDescent="0.3">
      <c r="A523" s="1" t="s">
        <v>11</v>
      </c>
      <c r="G523" s="1">
        <v>12</v>
      </c>
      <c r="J523" s="1">
        <v>9.5</v>
      </c>
      <c r="K523" s="1">
        <v>298</v>
      </c>
      <c r="M523" s="1">
        <v>160</v>
      </c>
      <c r="N523" s="1">
        <f t="shared" si="86"/>
        <v>41.91244635193133</v>
      </c>
    </row>
    <row r="524" spans="1:14" ht="34.5" customHeight="1" x14ac:dyDescent="0.3">
      <c r="A524" s="1" t="s">
        <v>11</v>
      </c>
      <c r="G524" s="1">
        <v>19.66</v>
      </c>
      <c r="H524" s="1">
        <v>4.5999999999999999E-2</v>
      </c>
      <c r="J524" s="1">
        <v>5</v>
      </c>
      <c r="K524" s="1">
        <v>298</v>
      </c>
      <c r="M524" s="1">
        <v>2</v>
      </c>
      <c r="N524" s="1">
        <f t="shared" ref="N524:N529" si="87">312.8*1.33*M524/(1+1.33*M524)</f>
        <v>227.33551912568308</v>
      </c>
    </row>
    <row r="525" spans="1:14" ht="34.5" customHeight="1" x14ac:dyDescent="0.3">
      <c r="A525" s="1" t="s">
        <v>11</v>
      </c>
      <c r="G525" s="1">
        <v>19.66</v>
      </c>
      <c r="H525" s="1">
        <v>4.5999999999999999E-2</v>
      </c>
      <c r="J525" s="1">
        <v>5</v>
      </c>
      <c r="K525" s="1">
        <v>298</v>
      </c>
      <c r="M525" s="1">
        <v>4</v>
      </c>
      <c r="N525" s="1">
        <f t="shared" si="87"/>
        <v>263.30632911392405</v>
      </c>
    </row>
    <row r="526" spans="1:14" ht="34.5" customHeight="1" x14ac:dyDescent="0.3">
      <c r="A526" s="1" t="s">
        <v>11</v>
      </c>
      <c r="G526" s="1">
        <v>19.66</v>
      </c>
      <c r="H526" s="1">
        <v>4.5999999999999999E-2</v>
      </c>
      <c r="J526" s="1">
        <v>5</v>
      </c>
      <c r="K526" s="1">
        <v>298</v>
      </c>
      <c r="M526" s="1">
        <v>5</v>
      </c>
      <c r="N526" s="1">
        <f t="shared" si="87"/>
        <v>271.91111111111115</v>
      </c>
    </row>
    <row r="527" spans="1:14" ht="34.5" customHeight="1" x14ac:dyDescent="0.3">
      <c r="A527" s="1" t="s">
        <v>11</v>
      </c>
      <c r="G527" s="1">
        <v>19.66</v>
      </c>
      <c r="H527" s="1">
        <v>4.5999999999999999E-2</v>
      </c>
      <c r="J527" s="1">
        <v>5</v>
      </c>
      <c r="K527" s="1">
        <v>298</v>
      </c>
      <c r="M527" s="1">
        <v>20</v>
      </c>
      <c r="N527" s="1">
        <f t="shared" si="87"/>
        <v>301.4666666666667</v>
      </c>
    </row>
    <row r="528" spans="1:14" ht="34.5" customHeight="1" x14ac:dyDescent="0.3">
      <c r="A528" s="1" t="s">
        <v>11</v>
      </c>
      <c r="G528" s="1">
        <v>19.66</v>
      </c>
      <c r="H528" s="1">
        <v>4.5999999999999999E-2</v>
      </c>
      <c r="J528" s="1">
        <v>5</v>
      </c>
      <c r="K528" s="1">
        <v>298</v>
      </c>
      <c r="M528" s="1">
        <v>40</v>
      </c>
      <c r="N528" s="1">
        <f t="shared" si="87"/>
        <v>307.02878228782293</v>
      </c>
    </row>
    <row r="529" spans="1:14" ht="34.5" customHeight="1" x14ac:dyDescent="0.3">
      <c r="A529" s="1" t="s">
        <v>11</v>
      </c>
      <c r="G529" s="1">
        <v>19.66</v>
      </c>
      <c r="H529" s="1">
        <v>4.5999999999999999E-2</v>
      </c>
      <c r="J529" s="1">
        <v>5</v>
      </c>
      <c r="K529" s="1">
        <v>298</v>
      </c>
      <c r="M529" s="1">
        <v>60</v>
      </c>
      <c r="N529" s="1">
        <f t="shared" si="87"/>
        <v>308.92871287128713</v>
      </c>
    </row>
    <row r="530" spans="1:14" ht="34.5" customHeight="1" x14ac:dyDescent="0.3">
      <c r="A530" s="1" t="s">
        <v>11</v>
      </c>
      <c r="G530" s="1">
        <v>19.66</v>
      </c>
      <c r="H530" s="1">
        <v>4.5999999999999999E-2</v>
      </c>
      <c r="J530" s="1">
        <v>7</v>
      </c>
      <c r="K530" s="1">
        <v>298</v>
      </c>
      <c r="M530" s="1">
        <v>1</v>
      </c>
      <c r="N530" s="1">
        <f t="shared" ref="N530:N535" si="88">303.03*0.44*M530/(1+0.44*M530)</f>
        <v>92.592499999999987</v>
      </c>
    </row>
    <row r="531" spans="1:14" ht="34.5" customHeight="1" x14ac:dyDescent="0.3">
      <c r="A531" s="1" t="s">
        <v>11</v>
      </c>
      <c r="G531" s="1">
        <v>19.66</v>
      </c>
      <c r="H531" s="1">
        <v>4.5999999999999999E-2</v>
      </c>
      <c r="J531" s="1">
        <v>7</v>
      </c>
      <c r="K531" s="1">
        <v>298</v>
      </c>
      <c r="M531" s="1">
        <v>2</v>
      </c>
      <c r="N531" s="1">
        <f t="shared" si="88"/>
        <v>141.84382978723403</v>
      </c>
    </row>
    <row r="532" spans="1:14" ht="34.5" customHeight="1" x14ac:dyDescent="0.3">
      <c r="A532" s="1" t="s">
        <v>11</v>
      </c>
      <c r="G532" s="1">
        <v>19.66</v>
      </c>
      <c r="H532" s="1">
        <v>4.5999999999999999E-2</v>
      </c>
      <c r="J532" s="1">
        <v>7</v>
      </c>
      <c r="K532" s="1">
        <v>298</v>
      </c>
      <c r="M532" s="1">
        <v>5</v>
      </c>
      <c r="N532" s="1">
        <f t="shared" si="88"/>
        <v>208.33312499999997</v>
      </c>
    </row>
    <row r="533" spans="1:14" ht="34.5" customHeight="1" x14ac:dyDescent="0.3">
      <c r="A533" s="1" t="s">
        <v>11</v>
      </c>
      <c r="G533" s="1">
        <v>19.66</v>
      </c>
      <c r="H533" s="1">
        <v>4.5999999999999999E-2</v>
      </c>
      <c r="J533" s="1">
        <v>7</v>
      </c>
      <c r="K533" s="1">
        <v>298</v>
      </c>
      <c r="M533" s="1">
        <v>18</v>
      </c>
      <c r="N533" s="1">
        <f t="shared" si="88"/>
        <v>269.05802690582954</v>
      </c>
    </row>
    <row r="534" spans="1:14" ht="34.5" customHeight="1" x14ac:dyDescent="0.3">
      <c r="A534" s="1" t="s">
        <v>11</v>
      </c>
      <c r="G534" s="1">
        <v>19.66</v>
      </c>
      <c r="H534" s="1">
        <v>4.5999999999999999E-2</v>
      </c>
      <c r="J534" s="1">
        <v>7</v>
      </c>
      <c r="K534" s="1">
        <v>298</v>
      </c>
      <c r="M534" s="1">
        <v>40</v>
      </c>
      <c r="N534" s="1">
        <f t="shared" si="88"/>
        <v>286.73806451612899</v>
      </c>
    </row>
    <row r="535" spans="1:14" ht="34.5" customHeight="1" x14ac:dyDescent="0.3">
      <c r="A535" s="1" t="s">
        <v>11</v>
      </c>
      <c r="G535" s="1">
        <v>19.66</v>
      </c>
      <c r="H535" s="1">
        <v>4.5999999999999999E-2</v>
      </c>
      <c r="J535" s="1">
        <v>7</v>
      </c>
      <c r="K535" s="1">
        <v>298</v>
      </c>
      <c r="M535" s="1">
        <v>75</v>
      </c>
      <c r="N535" s="1">
        <f t="shared" si="88"/>
        <v>294.11735294117642</v>
      </c>
    </row>
    <row r="536" spans="1:14" ht="34.5" customHeight="1" x14ac:dyDescent="0.3">
      <c r="A536" s="1">
        <v>4.1900000000000004</v>
      </c>
      <c r="G536" s="1">
        <v>987.48</v>
      </c>
      <c r="H536" s="1">
        <v>0.55000000000000004</v>
      </c>
      <c r="I536" s="1">
        <v>2.84</v>
      </c>
      <c r="J536" s="1">
        <v>5.07</v>
      </c>
      <c r="K536" s="1">
        <v>298</v>
      </c>
      <c r="M536" s="1">
        <v>2</v>
      </c>
      <c r="N536" s="1">
        <f t="shared" ref="N536:N541" si="89">9.56*5.038*M536/(1+5.038*M536)</f>
        <v>8.6968725171542083</v>
      </c>
    </row>
    <row r="537" spans="1:14" ht="34.5" customHeight="1" x14ac:dyDescent="0.3">
      <c r="A537" s="1">
        <v>4.1900000000000004</v>
      </c>
      <c r="G537" s="1">
        <v>987.48</v>
      </c>
      <c r="H537" s="1">
        <v>0.55000000000000004</v>
      </c>
      <c r="I537" s="1">
        <v>2.84</v>
      </c>
      <c r="J537" s="1">
        <v>5.07</v>
      </c>
      <c r="K537" s="1">
        <v>298</v>
      </c>
      <c r="M537" s="1">
        <v>3</v>
      </c>
      <c r="N537" s="1">
        <f t="shared" si="89"/>
        <v>8.9667270696288952</v>
      </c>
    </row>
    <row r="538" spans="1:14" ht="34.5" customHeight="1" x14ac:dyDescent="0.3">
      <c r="A538" s="1">
        <v>4.1900000000000004</v>
      </c>
      <c r="G538" s="1">
        <v>987.48</v>
      </c>
      <c r="H538" s="1">
        <v>0.55000000000000004</v>
      </c>
      <c r="I538" s="1">
        <v>2.84</v>
      </c>
      <c r="J538" s="1">
        <v>5.07</v>
      </c>
      <c r="K538" s="1">
        <v>298</v>
      </c>
      <c r="M538" s="1">
        <v>5</v>
      </c>
      <c r="N538" s="1">
        <f t="shared" si="89"/>
        <v>9.1949751813669351</v>
      </c>
    </row>
    <row r="539" spans="1:14" ht="34.5" customHeight="1" x14ac:dyDescent="0.3">
      <c r="A539" s="1">
        <v>4.1900000000000004</v>
      </c>
      <c r="G539" s="1">
        <v>987.48</v>
      </c>
      <c r="H539" s="1">
        <v>0.55000000000000004</v>
      </c>
      <c r="I539" s="1">
        <v>2.84</v>
      </c>
      <c r="J539" s="1">
        <v>5.07</v>
      </c>
      <c r="K539" s="1">
        <v>298</v>
      </c>
      <c r="M539" s="1">
        <v>10</v>
      </c>
      <c r="N539" s="1">
        <f t="shared" si="89"/>
        <v>9.373935383417674</v>
      </c>
    </row>
    <row r="540" spans="1:14" ht="34.5" customHeight="1" x14ac:dyDescent="0.3">
      <c r="A540" s="1">
        <v>4.1900000000000004</v>
      </c>
      <c r="G540" s="1">
        <v>987.48</v>
      </c>
      <c r="H540" s="1">
        <v>0.55000000000000004</v>
      </c>
      <c r="I540" s="1">
        <v>2.84</v>
      </c>
      <c r="J540" s="1">
        <v>5.07</v>
      </c>
      <c r="K540" s="1">
        <v>298</v>
      </c>
      <c r="M540" s="1">
        <v>20</v>
      </c>
      <c r="N540" s="1">
        <f t="shared" si="89"/>
        <v>9.4660534591194985</v>
      </c>
    </row>
    <row r="541" spans="1:14" ht="34.5" customHeight="1" x14ac:dyDescent="0.3">
      <c r="A541" s="1">
        <v>4.1900000000000004</v>
      </c>
      <c r="G541" s="1">
        <v>987.48</v>
      </c>
      <c r="H541" s="1">
        <v>0.55000000000000004</v>
      </c>
      <c r="I541" s="1">
        <v>2.84</v>
      </c>
      <c r="J541" s="1">
        <v>5.07</v>
      </c>
      <c r="K541" s="1">
        <v>298</v>
      </c>
      <c r="M541" s="1">
        <v>50</v>
      </c>
      <c r="N541" s="1">
        <f t="shared" si="89"/>
        <v>9.5221984974298142</v>
      </c>
    </row>
    <row r="542" spans="1:14" ht="34.5" customHeight="1" x14ac:dyDescent="0.3">
      <c r="A542" s="1">
        <v>7.09</v>
      </c>
      <c r="G542" s="1">
        <v>849.36</v>
      </c>
      <c r="H542" s="1">
        <v>0.44</v>
      </c>
      <c r="I542" s="1">
        <v>2.8</v>
      </c>
      <c r="J542" s="1">
        <v>5.07</v>
      </c>
      <c r="K542" s="1">
        <v>298</v>
      </c>
      <c r="M542" s="1">
        <v>2</v>
      </c>
      <c r="N542" s="1">
        <f t="shared" ref="N542:N547" si="90">15.27*1.002*M542/(1+1.002*M542)</f>
        <v>10.186777629826897</v>
      </c>
    </row>
    <row r="543" spans="1:14" ht="34.5" customHeight="1" x14ac:dyDescent="0.3">
      <c r="A543" s="1">
        <v>7.09</v>
      </c>
      <c r="G543" s="1">
        <v>849.36</v>
      </c>
      <c r="H543" s="1">
        <v>0.44</v>
      </c>
      <c r="I543" s="1">
        <v>2.8</v>
      </c>
      <c r="J543" s="1">
        <v>5.07</v>
      </c>
      <c r="K543" s="1">
        <v>298</v>
      </c>
      <c r="M543" s="1">
        <v>3</v>
      </c>
      <c r="N543" s="1">
        <f t="shared" si="90"/>
        <v>11.458217673489765</v>
      </c>
    </row>
    <row r="544" spans="1:14" ht="34.5" customHeight="1" x14ac:dyDescent="0.3">
      <c r="A544" s="1">
        <v>7.09</v>
      </c>
      <c r="G544" s="1">
        <v>849.36</v>
      </c>
      <c r="H544" s="1">
        <v>0.44</v>
      </c>
      <c r="I544" s="1">
        <v>2.8</v>
      </c>
      <c r="J544" s="1">
        <v>5.07</v>
      </c>
      <c r="K544" s="1">
        <v>298</v>
      </c>
      <c r="M544" s="1">
        <v>5</v>
      </c>
      <c r="N544" s="1">
        <f t="shared" si="90"/>
        <v>12.729234608985026</v>
      </c>
    </row>
    <row r="545" spans="1:14" ht="34.5" customHeight="1" x14ac:dyDescent="0.3">
      <c r="A545" s="1">
        <v>7.09</v>
      </c>
      <c r="G545" s="1">
        <v>849.36</v>
      </c>
      <c r="H545" s="1">
        <v>0.44</v>
      </c>
      <c r="I545" s="1">
        <v>2.8</v>
      </c>
      <c r="J545" s="1">
        <v>5.07</v>
      </c>
      <c r="K545" s="1">
        <v>298</v>
      </c>
      <c r="M545" s="1">
        <v>10</v>
      </c>
      <c r="N545" s="1">
        <f t="shared" si="90"/>
        <v>13.884337568058077</v>
      </c>
    </row>
    <row r="546" spans="1:14" ht="34.5" customHeight="1" x14ac:dyDescent="0.3">
      <c r="A546" s="1">
        <v>7.09</v>
      </c>
      <c r="G546" s="1">
        <v>849.36</v>
      </c>
      <c r="H546" s="1">
        <v>0.44</v>
      </c>
      <c r="I546" s="1">
        <v>2.8</v>
      </c>
      <c r="J546" s="1">
        <v>5.07</v>
      </c>
      <c r="K546" s="1">
        <v>298</v>
      </c>
      <c r="M546" s="1">
        <v>20</v>
      </c>
      <c r="N546" s="1">
        <f t="shared" si="90"/>
        <v>14.544239543726237</v>
      </c>
    </row>
    <row r="547" spans="1:14" ht="34.5" customHeight="1" x14ac:dyDescent="0.3">
      <c r="A547" s="1">
        <v>7.09</v>
      </c>
      <c r="G547" s="1">
        <v>849.36</v>
      </c>
      <c r="H547" s="1">
        <v>0.44</v>
      </c>
      <c r="I547" s="1">
        <v>2.8</v>
      </c>
      <c r="J547" s="1">
        <v>5.07</v>
      </c>
      <c r="K547" s="1">
        <v>298</v>
      </c>
      <c r="M547" s="1">
        <v>50</v>
      </c>
      <c r="N547" s="1">
        <f t="shared" si="90"/>
        <v>14.971174168297457</v>
      </c>
    </row>
    <row r="548" spans="1:14" ht="34.5" customHeight="1" x14ac:dyDescent="0.3">
      <c r="A548" s="1">
        <v>17.8</v>
      </c>
      <c r="G548" s="1">
        <v>538.08000000000004</v>
      </c>
      <c r="H548" s="1">
        <v>0.31</v>
      </c>
      <c r="I548" s="1">
        <v>2.74</v>
      </c>
      <c r="J548" s="1">
        <v>5.07</v>
      </c>
      <c r="K548" s="1">
        <v>298</v>
      </c>
      <c r="M548" s="1">
        <v>2</v>
      </c>
      <c r="N548" s="1">
        <f t="shared" ref="N548:N553" si="91">35.35*0.522*M548/(1+0.522*M548)</f>
        <v>18.055479452054794</v>
      </c>
    </row>
    <row r="549" spans="1:14" ht="34.5" customHeight="1" x14ac:dyDescent="0.3">
      <c r="A549" s="1">
        <v>17.8</v>
      </c>
      <c r="G549" s="1">
        <v>538.08000000000004</v>
      </c>
      <c r="H549" s="1">
        <v>0.31</v>
      </c>
      <c r="I549" s="1">
        <v>2.74</v>
      </c>
      <c r="J549" s="1">
        <v>5.07</v>
      </c>
      <c r="K549" s="1">
        <v>298</v>
      </c>
      <c r="M549" s="1">
        <v>3</v>
      </c>
      <c r="N549" s="1">
        <f t="shared" si="91"/>
        <v>21.573694466095091</v>
      </c>
    </row>
    <row r="550" spans="1:14" ht="34.5" customHeight="1" x14ac:dyDescent="0.3">
      <c r="A550" s="1">
        <v>17.8</v>
      </c>
      <c r="G550" s="1">
        <v>538.08000000000004</v>
      </c>
      <c r="H550" s="1">
        <v>0.31</v>
      </c>
      <c r="I550" s="1">
        <v>2.74</v>
      </c>
      <c r="J550" s="1">
        <v>5.07</v>
      </c>
      <c r="K550" s="1">
        <v>298</v>
      </c>
      <c r="M550" s="1">
        <v>5</v>
      </c>
      <c r="N550" s="1">
        <f t="shared" si="91"/>
        <v>25.557756232686977</v>
      </c>
    </row>
    <row r="551" spans="1:14" ht="34.5" customHeight="1" x14ac:dyDescent="0.3">
      <c r="A551" s="1">
        <v>17.8</v>
      </c>
      <c r="G551" s="1">
        <v>538.08000000000004</v>
      </c>
      <c r="H551" s="1">
        <v>0.31</v>
      </c>
      <c r="I551" s="1">
        <v>2.74</v>
      </c>
      <c r="J551" s="1">
        <v>5.07</v>
      </c>
      <c r="K551" s="1">
        <v>298</v>
      </c>
      <c r="M551" s="1">
        <v>10</v>
      </c>
      <c r="N551" s="1">
        <f t="shared" si="91"/>
        <v>29.666720257234722</v>
      </c>
    </row>
    <row r="552" spans="1:14" ht="34.5" customHeight="1" x14ac:dyDescent="0.3">
      <c r="A552" s="1">
        <v>17.8</v>
      </c>
      <c r="G552" s="1">
        <v>538.08000000000004</v>
      </c>
      <c r="H552" s="1">
        <v>0.31</v>
      </c>
      <c r="I552" s="1">
        <v>2.74</v>
      </c>
      <c r="J552" s="1">
        <v>5.07</v>
      </c>
      <c r="K552" s="1">
        <v>298</v>
      </c>
      <c r="M552" s="1">
        <v>20</v>
      </c>
      <c r="N552" s="1">
        <f t="shared" si="91"/>
        <v>32.259965034965028</v>
      </c>
    </row>
    <row r="553" spans="1:14" ht="34.5" customHeight="1" x14ac:dyDescent="0.3">
      <c r="A553" s="1">
        <v>17.8</v>
      </c>
      <c r="G553" s="1">
        <v>538.08000000000004</v>
      </c>
      <c r="H553" s="1">
        <v>0.31</v>
      </c>
      <c r="I553" s="1">
        <v>2.74</v>
      </c>
      <c r="J553" s="1">
        <v>5.07</v>
      </c>
      <c r="K553" s="1">
        <v>298</v>
      </c>
      <c r="M553" s="1">
        <v>50</v>
      </c>
      <c r="N553" s="1">
        <f t="shared" si="91"/>
        <v>34.045571955719552</v>
      </c>
    </row>
    <row r="554" spans="1:14" ht="34.5" customHeight="1" x14ac:dyDescent="0.3">
      <c r="A554" s="1">
        <v>22.44</v>
      </c>
      <c r="G554" s="1">
        <v>420.38</v>
      </c>
      <c r="H554" s="1">
        <v>0.26</v>
      </c>
      <c r="I554" s="1">
        <v>2.46</v>
      </c>
      <c r="J554" s="1">
        <v>5.07</v>
      </c>
      <c r="K554" s="1">
        <v>298</v>
      </c>
      <c r="M554" s="1">
        <v>2</v>
      </c>
      <c r="N554" s="1">
        <f t="shared" ref="N554:N559" si="92">47.89*1.337*M554/(1+1.337*M554)</f>
        <v>34.85516058791508</v>
      </c>
    </row>
    <row r="555" spans="1:14" ht="34.5" customHeight="1" x14ac:dyDescent="0.3">
      <c r="A555" s="1">
        <v>22.44</v>
      </c>
      <c r="G555" s="1">
        <v>420.38</v>
      </c>
      <c r="H555" s="1">
        <v>0.26</v>
      </c>
      <c r="I555" s="1">
        <v>2.46</v>
      </c>
      <c r="J555" s="1">
        <v>5.07</v>
      </c>
      <c r="K555" s="1">
        <v>298</v>
      </c>
      <c r="M555" s="1">
        <v>3</v>
      </c>
      <c r="N555" s="1">
        <f t="shared" si="92"/>
        <v>38.333025344242664</v>
      </c>
    </row>
    <row r="556" spans="1:14" ht="34.5" customHeight="1" x14ac:dyDescent="0.3">
      <c r="A556" s="1">
        <v>22.44</v>
      </c>
      <c r="G556" s="1">
        <v>420.38</v>
      </c>
      <c r="H556" s="1">
        <v>0.26</v>
      </c>
      <c r="I556" s="1">
        <v>2.46</v>
      </c>
      <c r="J556" s="1">
        <v>5.07</v>
      </c>
      <c r="K556" s="1">
        <v>298</v>
      </c>
      <c r="M556" s="1">
        <v>5</v>
      </c>
      <c r="N556" s="1">
        <f t="shared" si="92"/>
        <v>41.658379960962918</v>
      </c>
    </row>
    <row r="557" spans="1:14" ht="34.5" customHeight="1" x14ac:dyDescent="0.3">
      <c r="A557" s="1">
        <v>22.44</v>
      </c>
      <c r="G557" s="1">
        <v>420.38</v>
      </c>
      <c r="H557" s="1">
        <v>0.26</v>
      </c>
      <c r="I557" s="1">
        <v>2.46</v>
      </c>
      <c r="J557" s="1">
        <v>5.07</v>
      </c>
      <c r="K557" s="1">
        <v>298</v>
      </c>
      <c r="M557" s="1">
        <v>10</v>
      </c>
      <c r="N557" s="1">
        <f t="shared" si="92"/>
        <v>44.557362560890752</v>
      </c>
    </row>
    <row r="558" spans="1:14" ht="34.5" customHeight="1" x14ac:dyDescent="0.3">
      <c r="A558" s="1">
        <v>22.44</v>
      </c>
      <c r="G558" s="1">
        <v>420.38</v>
      </c>
      <c r="H558" s="1">
        <v>0.26</v>
      </c>
      <c r="I558" s="1">
        <v>2.46</v>
      </c>
      <c r="J558" s="1">
        <v>5.07</v>
      </c>
      <c r="K558" s="1">
        <v>298</v>
      </c>
      <c r="M558" s="1">
        <v>20</v>
      </c>
      <c r="N558" s="1">
        <f t="shared" si="92"/>
        <v>46.163612112472968</v>
      </c>
    </row>
    <row r="559" spans="1:14" ht="34.5" customHeight="1" x14ac:dyDescent="0.3">
      <c r="A559" s="1">
        <v>22.44</v>
      </c>
      <c r="G559" s="1">
        <v>420.38</v>
      </c>
      <c r="H559" s="1">
        <v>0.26</v>
      </c>
      <c r="I559" s="1">
        <v>2.46</v>
      </c>
      <c r="J559" s="1">
        <v>5.07</v>
      </c>
      <c r="K559" s="1">
        <v>298</v>
      </c>
      <c r="M559" s="1">
        <v>50</v>
      </c>
      <c r="N559" s="1">
        <f t="shared" si="92"/>
        <v>47.184178334561537</v>
      </c>
    </row>
    <row r="560" spans="1:14" ht="34.5" customHeight="1" x14ac:dyDescent="0.3">
      <c r="A560" s="1" t="s">
        <v>11</v>
      </c>
      <c r="G560" s="1">
        <v>10.78</v>
      </c>
      <c r="J560" s="1">
        <v>6</v>
      </c>
      <c r="K560" s="1">
        <v>297</v>
      </c>
      <c r="M560" s="1">
        <v>2</v>
      </c>
      <c r="N560" s="1">
        <f t="shared" ref="N560:N565" si="93">47.28*6.63*M560/(1+6.63*M560)</f>
        <v>43.964431977559613</v>
      </c>
    </row>
    <row r="561" spans="1:14" ht="34.5" customHeight="1" x14ac:dyDescent="0.3">
      <c r="A561" s="1" t="s">
        <v>11</v>
      </c>
      <c r="G561" s="1">
        <v>10.78</v>
      </c>
      <c r="J561" s="1">
        <v>6</v>
      </c>
      <c r="K561" s="1">
        <v>297</v>
      </c>
      <c r="M561" s="1">
        <v>3</v>
      </c>
      <c r="N561" s="1">
        <f t="shared" si="93"/>
        <v>45.016716132120635</v>
      </c>
    </row>
    <row r="562" spans="1:14" ht="34.5" customHeight="1" x14ac:dyDescent="0.3">
      <c r="A562" s="1" t="s">
        <v>11</v>
      </c>
      <c r="G562" s="1">
        <v>10.78</v>
      </c>
      <c r="J562" s="1">
        <v>6</v>
      </c>
      <c r="K562" s="1">
        <v>297</v>
      </c>
      <c r="M562" s="1">
        <v>4</v>
      </c>
      <c r="N562" s="1">
        <f t="shared" si="93"/>
        <v>45.561976744186047</v>
      </c>
    </row>
    <row r="563" spans="1:14" ht="34.5" customHeight="1" x14ac:dyDescent="0.3">
      <c r="A563" s="1" t="s">
        <v>11</v>
      </c>
      <c r="G563" s="1">
        <v>10.78</v>
      </c>
      <c r="J563" s="1">
        <v>6</v>
      </c>
      <c r="K563" s="1">
        <v>297</v>
      </c>
      <c r="M563" s="1">
        <v>5</v>
      </c>
      <c r="N563" s="1">
        <f t="shared" si="93"/>
        <v>45.895519765739387</v>
      </c>
    </row>
    <row r="564" spans="1:14" ht="34.5" customHeight="1" x14ac:dyDescent="0.3">
      <c r="A564" s="1" t="s">
        <v>11</v>
      </c>
      <c r="G564" s="1">
        <v>10.78</v>
      </c>
      <c r="J564" s="1">
        <v>6</v>
      </c>
      <c r="K564" s="1">
        <v>297</v>
      </c>
      <c r="M564" s="1">
        <v>10</v>
      </c>
      <c r="N564" s="1">
        <f t="shared" si="93"/>
        <v>46.577473997028235</v>
      </c>
    </row>
    <row r="565" spans="1:14" ht="34.5" customHeight="1" x14ac:dyDescent="0.3">
      <c r="A565" s="1" t="s">
        <v>11</v>
      </c>
      <c r="G565" s="1">
        <v>10.78</v>
      </c>
      <c r="J565" s="1">
        <v>6</v>
      </c>
      <c r="K565" s="1">
        <v>297</v>
      </c>
      <c r="M565" s="1">
        <v>20</v>
      </c>
      <c r="N565" s="1">
        <f t="shared" si="93"/>
        <v>46.926107784431146</v>
      </c>
    </row>
    <row r="566" spans="1:14" ht="34.5" customHeight="1" x14ac:dyDescent="0.3">
      <c r="A566" s="1" t="s">
        <v>11</v>
      </c>
      <c r="G566" s="1">
        <v>12.47</v>
      </c>
      <c r="J566" s="1">
        <v>6</v>
      </c>
      <c r="K566" s="1">
        <v>297</v>
      </c>
      <c r="M566" s="1">
        <v>2</v>
      </c>
      <c r="N566" s="1">
        <f t="shared" ref="N566:N571" si="94">57.84*6.404*M566/(1+6.404*M566)</f>
        <v>53.651123986095023</v>
      </c>
    </row>
    <row r="567" spans="1:14" ht="34.5" customHeight="1" x14ac:dyDescent="0.3">
      <c r="A567" s="1" t="s">
        <v>11</v>
      </c>
      <c r="G567" s="1">
        <v>12.47</v>
      </c>
      <c r="J567" s="1">
        <v>6</v>
      </c>
      <c r="K567" s="1">
        <v>297</v>
      </c>
      <c r="M567" s="1">
        <v>3</v>
      </c>
      <c r="N567" s="1">
        <f t="shared" si="94"/>
        <v>54.978333663170396</v>
      </c>
    </row>
    <row r="568" spans="1:14" ht="34.5" customHeight="1" x14ac:dyDescent="0.3">
      <c r="A568" s="1" t="s">
        <v>11</v>
      </c>
      <c r="G568" s="1">
        <v>12.47</v>
      </c>
      <c r="J568" s="1">
        <v>6</v>
      </c>
      <c r="K568" s="1">
        <v>297</v>
      </c>
      <c r="M568" s="1">
        <v>4</v>
      </c>
      <c r="N568" s="1">
        <f t="shared" si="94"/>
        <v>55.666871055004513</v>
      </c>
    </row>
    <row r="569" spans="1:14" ht="34.5" customHeight="1" x14ac:dyDescent="0.3">
      <c r="A569" s="1" t="s">
        <v>11</v>
      </c>
      <c r="G569" s="1">
        <v>12.47</v>
      </c>
      <c r="J569" s="1">
        <v>6</v>
      </c>
      <c r="K569" s="1">
        <v>297</v>
      </c>
      <c r="M569" s="1">
        <v>5</v>
      </c>
      <c r="N569" s="1">
        <f t="shared" si="94"/>
        <v>56.088334342822549</v>
      </c>
    </row>
    <row r="570" spans="1:14" ht="34.5" customHeight="1" x14ac:dyDescent="0.3">
      <c r="A570" s="1" t="s">
        <v>11</v>
      </c>
      <c r="G570" s="1">
        <v>12.47</v>
      </c>
      <c r="J570" s="1">
        <v>6</v>
      </c>
      <c r="K570" s="1">
        <v>297</v>
      </c>
      <c r="M570" s="1">
        <v>10</v>
      </c>
      <c r="N570" s="1">
        <f t="shared" si="94"/>
        <v>56.950701107011085</v>
      </c>
    </row>
    <row r="571" spans="1:14" ht="34.5" customHeight="1" x14ac:dyDescent="0.3">
      <c r="A571" s="1" t="s">
        <v>11</v>
      </c>
      <c r="G571" s="1">
        <v>12.47</v>
      </c>
      <c r="J571" s="1">
        <v>6</v>
      </c>
      <c r="K571" s="1">
        <v>297</v>
      </c>
      <c r="M571" s="1">
        <v>20</v>
      </c>
      <c r="N571" s="1">
        <f t="shared" si="94"/>
        <v>57.391905794855923</v>
      </c>
    </row>
    <row r="572" spans="1:14" ht="34.5" customHeight="1" x14ac:dyDescent="0.3">
      <c r="A572" s="1" t="s">
        <v>11</v>
      </c>
      <c r="G572" s="1">
        <v>10.16</v>
      </c>
      <c r="J572" s="1">
        <v>6</v>
      </c>
      <c r="K572" s="1">
        <v>297</v>
      </c>
      <c r="M572" s="1">
        <v>2</v>
      </c>
      <c r="N572" s="1">
        <f t="shared" ref="N572:N577" si="95">31.01*0.7769*M572/(1+0.7769*M572)</f>
        <v>18.867310674289296</v>
      </c>
    </row>
    <row r="573" spans="1:14" ht="34.5" customHeight="1" x14ac:dyDescent="0.3">
      <c r="A573" s="1" t="s">
        <v>11</v>
      </c>
      <c r="G573" s="1">
        <v>10.16</v>
      </c>
      <c r="J573" s="1">
        <v>6</v>
      </c>
      <c r="K573" s="1">
        <v>297</v>
      </c>
      <c r="M573" s="1">
        <v>5</v>
      </c>
      <c r="N573" s="1">
        <f t="shared" si="95"/>
        <v>24.661346094789643</v>
      </c>
    </row>
    <row r="574" spans="1:14" ht="34.5" customHeight="1" x14ac:dyDescent="0.3">
      <c r="A574" s="1" t="s">
        <v>11</v>
      </c>
      <c r="G574" s="1">
        <v>10.16</v>
      </c>
      <c r="J574" s="1">
        <v>6</v>
      </c>
      <c r="K574" s="1">
        <v>297</v>
      </c>
      <c r="M574" s="1">
        <v>8</v>
      </c>
      <c r="N574" s="1">
        <f t="shared" si="95"/>
        <v>26.712128839117423</v>
      </c>
    </row>
    <row r="575" spans="1:14" ht="34.5" customHeight="1" x14ac:dyDescent="0.3">
      <c r="A575" s="1" t="s">
        <v>11</v>
      </c>
      <c r="G575" s="1">
        <v>10.16</v>
      </c>
      <c r="J575" s="1">
        <v>6</v>
      </c>
      <c r="K575" s="1">
        <v>297</v>
      </c>
      <c r="M575" s="1">
        <v>17</v>
      </c>
      <c r="N575" s="1">
        <f t="shared" si="95"/>
        <v>28.82731926544805</v>
      </c>
    </row>
    <row r="576" spans="1:14" ht="34.5" customHeight="1" x14ac:dyDescent="0.3">
      <c r="A576" s="1" t="s">
        <v>11</v>
      </c>
      <c r="G576" s="1">
        <v>10.16</v>
      </c>
      <c r="J576" s="1">
        <v>6</v>
      </c>
      <c r="K576" s="1">
        <v>297</v>
      </c>
      <c r="M576" s="1">
        <v>25</v>
      </c>
      <c r="N576" s="1">
        <f t="shared" si="95"/>
        <v>29.491576692373609</v>
      </c>
    </row>
    <row r="577" spans="1:14" ht="34.5" customHeight="1" x14ac:dyDescent="0.3">
      <c r="A577" s="1" t="s">
        <v>11</v>
      </c>
      <c r="G577" s="1">
        <v>10.16</v>
      </c>
      <c r="J577" s="1">
        <v>6</v>
      </c>
      <c r="K577" s="1">
        <v>297</v>
      </c>
      <c r="M577" s="1">
        <v>30</v>
      </c>
      <c r="N577" s="1">
        <f t="shared" si="95"/>
        <v>29.734235816842883</v>
      </c>
    </row>
    <row r="578" spans="1:14" ht="34.5" customHeight="1" x14ac:dyDescent="0.3">
      <c r="A578" s="1" t="s">
        <v>11</v>
      </c>
      <c r="B578" s="1" t="s">
        <v>11</v>
      </c>
      <c r="C578" s="1" t="s">
        <v>11</v>
      </c>
      <c r="E578" s="1" t="s">
        <v>11</v>
      </c>
      <c r="F578" s="1" t="s">
        <v>11</v>
      </c>
      <c r="G578" s="1">
        <v>29.5</v>
      </c>
      <c r="H578" s="1">
        <v>0.11</v>
      </c>
      <c r="J578" s="1">
        <v>4.5</v>
      </c>
      <c r="K578" s="1">
        <v>298</v>
      </c>
      <c r="M578" s="1">
        <v>50</v>
      </c>
      <c r="N578" s="1">
        <f t="shared" ref="N578:N583" si="96">130.4*0.006*M578/(1+0.006*M578)</f>
        <v>30.092307692307696</v>
      </c>
    </row>
    <row r="579" spans="1:14" ht="34.5" customHeight="1" x14ac:dyDescent="0.3">
      <c r="A579" s="1" t="s">
        <v>11</v>
      </c>
      <c r="B579" s="1" t="s">
        <v>11</v>
      </c>
      <c r="C579" s="1" t="s">
        <v>11</v>
      </c>
      <c r="E579" s="1" t="s">
        <v>11</v>
      </c>
      <c r="F579" s="1" t="s">
        <v>11</v>
      </c>
      <c r="G579" s="1">
        <v>29.5</v>
      </c>
      <c r="H579" s="1">
        <v>0.11</v>
      </c>
      <c r="J579" s="1">
        <v>4.5</v>
      </c>
      <c r="K579" s="1">
        <v>298</v>
      </c>
      <c r="M579" s="1">
        <v>100</v>
      </c>
      <c r="N579" s="1">
        <f t="shared" si="96"/>
        <v>48.900000000000006</v>
      </c>
    </row>
    <row r="580" spans="1:14" ht="34.5" customHeight="1" x14ac:dyDescent="0.3">
      <c r="A580" s="1" t="s">
        <v>11</v>
      </c>
      <c r="B580" s="1" t="s">
        <v>11</v>
      </c>
      <c r="C580" s="1" t="s">
        <v>11</v>
      </c>
      <c r="E580" s="1" t="s">
        <v>11</v>
      </c>
      <c r="F580" s="1" t="s">
        <v>11</v>
      </c>
      <c r="G580" s="1">
        <v>29.5</v>
      </c>
      <c r="H580" s="1">
        <v>0.11</v>
      </c>
      <c r="J580" s="1">
        <v>4.5</v>
      </c>
      <c r="K580" s="1">
        <v>298</v>
      </c>
      <c r="M580" s="1">
        <v>200</v>
      </c>
      <c r="N580" s="1">
        <f t="shared" si="96"/>
        <v>71.127272727272725</v>
      </c>
    </row>
    <row r="581" spans="1:14" ht="34.5" customHeight="1" x14ac:dyDescent="0.3">
      <c r="A581" s="1" t="s">
        <v>11</v>
      </c>
      <c r="B581" s="1" t="s">
        <v>11</v>
      </c>
      <c r="C581" s="1" t="s">
        <v>11</v>
      </c>
      <c r="E581" s="1" t="s">
        <v>11</v>
      </c>
      <c r="F581" s="1" t="s">
        <v>11</v>
      </c>
      <c r="G581" s="1">
        <v>29.5</v>
      </c>
      <c r="H581" s="1">
        <v>0.11</v>
      </c>
      <c r="J581" s="1">
        <v>4.5</v>
      </c>
      <c r="K581" s="1">
        <v>298</v>
      </c>
      <c r="M581" s="1">
        <v>300</v>
      </c>
      <c r="N581" s="1">
        <f t="shared" si="96"/>
        <v>83.82857142857145</v>
      </c>
    </row>
    <row r="582" spans="1:14" ht="34.5" customHeight="1" x14ac:dyDescent="0.3">
      <c r="A582" s="1" t="s">
        <v>11</v>
      </c>
      <c r="B582" s="1" t="s">
        <v>11</v>
      </c>
      <c r="C582" s="1" t="s">
        <v>11</v>
      </c>
      <c r="E582" s="1" t="s">
        <v>11</v>
      </c>
      <c r="F582" s="1" t="s">
        <v>11</v>
      </c>
      <c r="G582" s="1">
        <v>29.5</v>
      </c>
      <c r="H582" s="1">
        <v>0.11</v>
      </c>
      <c r="J582" s="1">
        <v>4.5</v>
      </c>
      <c r="K582" s="1">
        <v>298</v>
      </c>
      <c r="M582" s="1">
        <v>500</v>
      </c>
      <c r="N582" s="1">
        <f t="shared" si="96"/>
        <v>97.800000000000011</v>
      </c>
    </row>
    <row r="583" spans="1:14" ht="34.5" customHeight="1" x14ac:dyDescent="0.3">
      <c r="A583" s="1" t="s">
        <v>11</v>
      </c>
      <c r="B583" s="1" t="s">
        <v>11</v>
      </c>
      <c r="C583" s="1" t="s">
        <v>11</v>
      </c>
      <c r="E583" s="1" t="s">
        <v>11</v>
      </c>
      <c r="F583" s="1" t="s">
        <v>11</v>
      </c>
      <c r="G583" s="1">
        <v>29.5</v>
      </c>
      <c r="H583" s="1">
        <v>0.11</v>
      </c>
      <c r="J583" s="1">
        <v>4.5</v>
      </c>
      <c r="K583" s="1">
        <v>298</v>
      </c>
      <c r="M583" s="1">
        <v>700</v>
      </c>
      <c r="N583" s="1">
        <f t="shared" si="96"/>
        <v>105.32307692307693</v>
      </c>
    </row>
    <row r="584" spans="1:14" ht="34.5" customHeight="1" x14ac:dyDescent="0.3">
      <c r="A584" s="1" t="s">
        <v>11</v>
      </c>
      <c r="B584" s="1" t="s">
        <v>11</v>
      </c>
      <c r="E584" s="1" t="s">
        <v>11</v>
      </c>
      <c r="J584" s="1">
        <v>7</v>
      </c>
      <c r="K584" s="1">
        <v>293</v>
      </c>
      <c r="M584" s="1">
        <v>20</v>
      </c>
      <c r="N584" s="1">
        <f t="shared" ref="N584:N589" si="97">4.73*M584^0.205</f>
        <v>8.7412248125306213</v>
      </c>
    </row>
    <row r="585" spans="1:14" ht="34.5" customHeight="1" x14ac:dyDescent="0.3">
      <c r="A585" s="1" t="s">
        <v>11</v>
      </c>
      <c r="B585" s="1" t="s">
        <v>11</v>
      </c>
      <c r="E585" s="1" t="s">
        <v>11</v>
      </c>
      <c r="J585" s="1">
        <v>7</v>
      </c>
      <c r="K585" s="1">
        <v>293</v>
      </c>
      <c r="M585" s="1">
        <v>50</v>
      </c>
      <c r="N585" s="1">
        <f t="shared" si="97"/>
        <v>10.547511112854542</v>
      </c>
    </row>
    <row r="586" spans="1:14" ht="34.5" customHeight="1" x14ac:dyDescent="0.3">
      <c r="A586" s="1" t="s">
        <v>11</v>
      </c>
      <c r="B586" s="1" t="s">
        <v>11</v>
      </c>
      <c r="E586" s="1" t="s">
        <v>11</v>
      </c>
      <c r="J586" s="1">
        <v>7</v>
      </c>
      <c r="K586" s="1">
        <v>293</v>
      </c>
      <c r="M586" s="1">
        <v>100</v>
      </c>
      <c r="N586" s="1">
        <f t="shared" si="97"/>
        <v>12.157972052496728</v>
      </c>
    </row>
    <row r="587" spans="1:14" ht="34.5" customHeight="1" x14ac:dyDescent="0.3">
      <c r="A587" s="1" t="s">
        <v>11</v>
      </c>
      <c r="B587" s="1" t="s">
        <v>11</v>
      </c>
      <c r="E587" s="1" t="s">
        <v>11</v>
      </c>
      <c r="J587" s="1">
        <v>7</v>
      </c>
      <c r="K587" s="1">
        <v>293</v>
      </c>
      <c r="M587" s="1">
        <v>200</v>
      </c>
      <c r="N587" s="1">
        <f t="shared" si="97"/>
        <v>14.014328389675139</v>
      </c>
    </row>
    <row r="588" spans="1:14" ht="34.5" customHeight="1" x14ac:dyDescent="0.3">
      <c r="A588" s="1" t="s">
        <v>11</v>
      </c>
      <c r="B588" s="1" t="s">
        <v>11</v>
      </c>
      <c r="E588" s="1" t="s">
        <v>11</v>
      </c>
      <c r="J588" s="1">
        <v>7</v>
      </c>
      <c r="K588" s="1">
        <v>293</v>
      </c>
      <c r="M588" s="1">
        <v>300</v>
      </c>
      <c r="N588" s="1">
        <f t="shared" si="97"/>
        <v>15.228986369119221</v>
      </c>
    </row>
    <row r="589" spans="1:14" ht="34.5" customHeight="1" x14ac:dyDescent="0.3">
      <c r="A589" s="1" t="s">
        <v>11</v>
      </c>
      <c r="B589" s="1" t="s">
        <v>11</v>
      </c>
      <c r="E589" s="1" t="s">
        <v>11</v>
      </c>
      <c r="J589" s="1">
        <v>7</v>
      </c>
      <c r="K589" s="1">
        <v>293</v>
      </c>
      <c r="M589" s="1">
        <v>450</v>
      </c>
      <c r="N589" s="1">
        <f t="shared" si="97"/>
        <v>16.548921887807651</v>
      </c>
    </row>
    <row r="590" spans="1:14" ht="34.5" customHeight="1" x14ac:dyDescent="0.3">
      <c r="A590" s="1" t="s">
        <v>11</v>
      </c>
      <c r="B590" s="1" t="s">
        <v>11</v>
      </c>
      <c r="E590" s="1" t="s">
        <v>11</v>
      </c>
      <c r="J590" s="1">
        <v>7</v>
      </c>
      <c r="K590" s="1">
        <v>303</v>
      </c>
      <c r="M590" s="1">
        <v>20</v>
      </c>
      <c r="N590" s="1">
        <f t="shared" ref="N590:N595" si="98">5.21*M590^0.206</f>
        <v>9.6571705743781155</v>
      </c>
    </row>
    <row r="591" spans="1:14" ht="34.5" customHeight="1" x14ac:dyDescent="0.3">
      <c r="A591" s="1" t="s">
        <v>11</v>
      </c>
      <c r="B591" s="1" t="s">
        <v>11</v>
      </c>
      <c r="E591" s="1" t="s">
        <v>11</v>
      </c>
      <c r="J591" s="1">
        <v>7</v>
      </c>
      <c r="K591" s="1">
        <v>303</v>
      </c>
      <c r="M591" s="1">
        <v>50</v>
      </c>
      <c r="N591" s="1">
        <f t="shared" si="98"/>
        <v>11.663410045334876</v>
      </c>
    </row>
    <row r="592" spans="1:14" ht="34.5" customHeight="1" x14ac:dyDescent="0.3">
      <c r="A592" s="1" t="s">
        <v>11</v>
      </c>
      <c r="B592" s="1" t="s">
        <v>11</v>
      </c>
      <c r="E592" s="1" t="s">
        <v>11</v>
      </c>
      <c r="J592" s="1">
        <v>7</v>
      </c>
      <c r="K592" s="1">
        <v>303</v>
      </c>
      <c r="M592" s="1">
        <v>100</v>
      </c>
      <c r="N592" s="1">
        <f t="shared" si="98"/>
        <v>13.453575593206248</v>
      </c>
    </row>
    <row r="593" spans="1:14" ht="34.5" customHeight="1" x14ac:dyDescent="0.3">
      <c r="A593" s="1" t="s">
        <v>11</v>
      </c>
      <c r="B593" s="1" t="s">
        <v>11</v>
      </c>
      <c r="E593" s="1" t="s">
        <v>11</v>
      </c>
      <c r="J593" s="1">
        <v>7</v>
      </c>
      <c r="K593" s="1">
        <v>303</v>
      </c>
      <c r="M593" s="1">
        <v>200</v>
      </c>
      <c r="N593" s="1">
        <f t="shared" si="98"/>
        <v>15.518505783350257</v>
      </c>
    </row>
    <row r="594" spans="1:14" ht="34.5" customHeight="1" x14ac:dyDescent="0.3">
      <c r="A594" s="1" t="s">
        <v>11</v>
      </c>
      <c r="B594" s="1" t="s">
        <v>11</v>
      </c>
      <c r="E594" s="1" t="s">
        <v>11</v>
      </c>
      <c r="J594" s="1">
        <v>7</v>
      </c>
      <c r="K594" s="1">
        <v>303</v>
      </c>
      <c r="M594" s="1">
        <v>300</v>
      </c>
      <c r="N594" s="1">
        <f t="shared" si="98"/>
        <v>16.870373657541588</v>
      </c>
    </row>
    <row r="595" spans="1:14" ht="34.5" customHeight="1" x14ac:dyDescent="0.3">
      <c r="A595" s="1" t="s">
        <v>11</v>
      </c>
      <c r="B595" s="1" t="s">
        <v>11</v>
      </c>
      <c r="E595" s="1" t="s">
        <v>11</v>
      </c>
      <c r="J595" s="1">
        <v>7</v>
      </c>
      <c r="K595" s="1">
        <v>303</v>
      </c>
      <c r="M595" s="1">
        <v>450</v>
      </c>
      <c r="N595" s="1">
        <f t="shared" si="98"/>
        <v>18.340007170692271</v>
      </c>
    </row>
    <row r="596" spans="1:14" ht="34.5" customHeight="1" x14ac:dyDescent="0.3">
      <c r="A596" s="1" t="s">
        <v>11</v>
      </c>
      <c r="B596" s="1" t="s">
        <v>11</v>
      </c>
      <c r="E596" s="1" t="s">
        <v>11</v>
      </c>
      <c r="J596" s="1">
        <v>7</v>
      </c>
      <c r="K596" s="1">
        <v>313</v>
      </c>
      <c r="M596" s="1">
        <v>20</v>
      </c>
      <c r="N596" s="1">
        <f t="shared" ref="N596:N601" si="99">21.5*23.9*M596/(1+23.9*M596)</f>
        <v>21.455114822546975</v>
      </c>
    </row>
    <row r="597" spans="1:14" ht="34.5" customHeight="1" x14ac:dyDescent="0.3">
      <c r="A597" s="1" t="s">
        <v>11</v>
      </c>
      <c r="B597" s="1" t="s">
        <v>11</v>
      </c>
      <c r="E597" s="1" t="s">
        <v>11</v>
      </c>
      <c r="J597" s="1">
        <v>7</v>
      </c>
      <c r="K597" s="1">
        <v>313</v>
      </c>
      <c r="M597" s="1">
        <v>50</v>
      </c>
      <c r="N597" s="1">
        <f t="shared" si="99"/>
        <v>21.482023411371237</v>
      </c>
    </row>
    <row r="598" spans="1:14" ht="34.5" customHeight="1" x14ac:dyDescent="0.3">
      <c r="A598" s="1" t="s">
        <v>11</v>
      </c>
      <c r="B598" s="1" t="s">
        <v>11</v>
      </c>
      <c r="E598" s="1" t="s">
        <v>11</v>
      </c>
      <c r="J598" s="1">
        <v>7</v>
      </c>
      <c r="K598" s="1">
        <v>313</v>
      </c>
      <c r="M598" s="1">
        <v>100</v>
      </c>
      <c r="N598" s="1">
        <f t="shared" si="99"/>
        <v>21.491007946465913</v>
      </c>
    </row>
    <row r="599" spans="1:14" ht="34.5" customHeight="1" x14ac:dyDescent="0.3">
      <c r="A599" s="1" t="s">
        <v>11</v>
      </c>
      <c r="B599" s="1" t="s">
        <v>11</v>
      </c>
      <c r="E599" s="1" t="s">
        <v>11</v>
      </c>
      <c r="J599" s="1">
        <v>7</v>
      </c>
      <c r="K599" s="1">
        <v>313</v>
      </c>
      <c r="M599" s="1">
        <v>200</v>
      </c>
      <c r="N599" s="1">
        <f t="shared" si="99"/>
        <v>21.495503032838318</v>
      </c>
    </row>
    <row r="600" spans="1:14" ht="34.5" customHeight="1" x14ac:dyDescent="0.3">
      <c r="A600" s="1" t="s">
        <v>11</v>
      </c>
      <c r="B600" s="1" t="s">
        <v>11</v>
      </c>
      <c r="E600" s="1" t="s">
        <v>11</v>
      </c>
      <c r="J600" s="1">
        <v>7</v>
      </c>
      <c r="K600" s="1">
        <v>313</v>
      </c>
      <c r="M600" s="1">
        <v>300</v>
      </c>
      <c r="N600" s="1">
        <f t="shared" si="99"/>
        <v>21.497001812857341</v>
      </c>
    </row>
    <row r="601" spans="1:14" ht="34.5" customHeight="1" x14ac:dyDescent="0.3">
      <c r="A601" s="1" t="s">
        <v>11</v>
      </c>
      <c r="B601" s="1" t="s">
        <v>11</v>
      </c>
      <c r="E601" s="1" t="s">
        <v>11</v>
      </c>
      <c r="J601" s="1">
        <v>7</v>
      </c>
      <c r="K601" s="1">
        <v>313</v>
      </c>
      <c r="M601" s="1">
        <v>450</v>
      </c>
      <c r="N601" s="1">
        <f t="shared" si="99"/>
        <v>21.498001115656379</v>
      </c>
    </row>
    <row r="602" spans="1:14" ht="34.5" customHeight="1" x14ac:dyDescent="0.3">
      <c r="A602" s="1" t="s">
        <v>11</v>
      </c>
      <c r="J602" s="1">
        <v>4.5</v>
      </c>
      <c r="K602" s="1">
        <v>298</v>
      </c>
      <c r="M602" s="1">
        <v>5</v>
      </c>
      <c r="N602" s="1">
        <f t="shared" ref="N602:N607" si="100">61.567*12.593*M602/(1+12.593*M602)</f>
        <v>60.604489251934645</v>
      </c>
    </row>
    <row r="603" spans="1:14" ht="34.5" customHeight="1" x14ac:dyDescent="0.3">
      <c r="A603" s="1" t="s">
        <v>11</v>
      </c>
      <c r="J603" s="1">
        <v>4.5</v>
      </c>
      <c r="K603" s="1">
        <v>298</v>
      </c>
      <c r="M603" s="1">
        <v>10</v>
      </c>
      <c r="N603" s="1">
        <f t="shared" si="100"/>
        <v>61.081953123769004</v>
      </c>
    </row>
    <row r="604" spans="1:14" ht="34.5" customHeight="1" x14ac:dyDescent="0.3">
      <c r="A604" s="1" t="s">
        <v>11</v>
      </c>
      <c r="J604" s="1">
        <v>4.5</v>
      </c>
      <c r="K604" s="1">
        <v>298</v>
      </c>
      <c r="M604" s="1">
        <v>15</v>
      </c>
      <c r="N604" s="1">
        <f t="shared" si="100"/>
        <v>61.242783985886931</v>
      </c>
    </row>
    <row r="605" spans="1:14" ht="34.5" customHeight="1" x14ac:dyDescent="0.3">
      <c r="A605" s="1" t="s">
        <v>11</v>
      </c>
      <c r="J605" s="1">
        <v>4.5</v>
      </c>
      <c r="K605" s="1">
        <v>298</v>
      </c>
      <c r="M605" s="1">
        <v>25</v>
      </c>
      <c r="N605" s="1">
        <f t="shared" si="100"/>
        <v>61.372059764109871</v>
      </c>
    </row>
    <row r="606" spans="1:14" ht="34.5" customHeight="1" x14ac:dyDescent="0.3">
      <c r="A606" s="1" t="s">
        <v>11</v>
      </c>
      <c r="J606" s="1">
        <v>4.5</v>
      </c>
      <c r="K606" s="1">
        <v>298</v>
      </c>
      <c r="M606" s="1">
        <v>50</v>
      </c>
      <c r="N606" s="1">
        <f t="shared" si="100"/>
        <v>61.469375327043522</v>
      </c>
    </row>
    <row r="607" spans="1:14" ht="34.5" customHeight="1" x14ac:dyDescent="0.3">
      <c r="A607" s="1" t="s">
        <v>11</v>
      </c>
      <c r="J607" s="1">
        <v>4.5</v>
      </c>
      <c r="K607" s="1">
        <v>298</v>
      </c>
      <c r="M607" s="1">
        <v>100</v>
      </c>
      <c r="N607" s="1">
        <f t="shared" si="100"/>
        <v>61.518148932793778</v>
      </c>
    </row>
    <row r="608" spans="1:14" ht="34.5" customHeight="1" x14ac:dyDescent="0.3">
      <c r="A608" s="1" t="s">
        <v>11</v>
      </c>
      <c r="J608" s="1">
        <v>6.5</v>
      </c>
      <c r="K608" s="1">
        <v>298</v>
      </c>
      <c r="M608" s="1">
        <v>5</v>
      </c>
      <c r="N608" s="1">
        <f t="shared" ref="N608:N613" si="101">56.975*13.439*M608/(1+13.439*M608)</f>
        <v>56.139528191216378</v>
      </c>
    </row>
    <row r="609" spans="1:14" ht="34.5" customHeight="1" x14ac:dyDescent="0.3">
      <c r="A609" s="1" t="s">
        <v>11</v>
      </c>
      <c r="J609" s="1">
        <v>6.5</v>
      </c>
      <c r="K609" s="1">
        <v>298</v>
      </c>
      <c r="M609" s="1">
        <v>10</v>
      </c>
      <c r="N609" s="1">
        <f t="shared" si="101"/>
        <v>56.554178669030222</v>
      </c>
    </row>
    <row r="610" spans="1:14" ht="34.5" customHeight="1" x14ac:dyDescent="0.3">
      <c r="A610" s="1" t="s">
        <v>11</v>
      </c>
      <c r="J610" s="1">
        <v>6.5</v>
      </c>
      <c r="K610" s="1">
        <v>298</v>
      </c>
      <c r="M610" s="1">
        <v>15</v>
      </c>
      <c r="N610" s="1">
        <f t="shared" si="101"/>
        <v>56.693760026655482</v>
      </c>
    </row>
    <row r="611" spans="1:14" ht="34.5" customHeight="1" x14ac:dyDescent="0.3">
      <c r="A611" s="1" t="s">
        <v>11</v>
      </c>
      <c r="J611" s="1">
        <v>6.5</v>
      </c>
      <c r="K611" s="1">
        <v>298</v>
      </c>
      <c r="M611" s="1">
        <v>25</v>
      </c>
      <c r="N611" s="1">
        <f t="shared" si="101"/>
        <v>56.805922175235544</v>
      </c>
    </row>
    <row r="612" spans="1:14" ht="34.5" customHeight="1" x14ac:dyDescent="0.3">
      <c r="A612" s="1" t="s">
        <v>11</v>
      </c>
      <c r="J612" s="1">
        <v>6.5</v>
      </c>
      <c r="K612" s="1">
        <v>298</v>
      </c>
      <c r="M612" s="1">
        <v>50</v>
      </c>
      <c r="N612" s="1">
        <f t="shared" si="101"/>
        <v>56.890335463258779</v>
      </c>
    </row>
    <row r="613" spans="1:14" ht="34.5" customHeight="1" x14ac:dyDescent="0.3">
      <c r="A613" s="1" t="s">
        <v>11</v>
      </c>
      <c r="J613" s="1">
        <v>6.5</v>
      </c>
      <c r="K613" s="1">
        <v>298</v>
      </c>
      <c r="M613" s="1">
        <v>100</v>
      </c>
      <c r="N613" s="1">
        <f t="shared" si="101"/>
        <v>56.932636255483672</v>
      </c>
    </row>
    <row r="614" spans="1:14" ht="34.5" customHeight="1" x14ac:dyDescent="0.3">
      <c r="A614" s="1" t="s">
        <v>11</v>
      </c>
      <c r="J614" s="1">
        <v>8.5</v>
      </c>
      <c r="K614" s="1">
        <v>298</v>
      </c>
      <c r="M614" s="1">
        <v>5</v>
      </c>
      <c r="N614" s="1">
        <f t="shared" ref="N614:N619" si="102">55.398*11.639*M614/(1+11.639*M614)</f>
        <v>54.462143931075268</v>
      </c>
    </row>
    <row r="615" spans="1:14" ht="34.5" customHeight="1" x14ac:dyDescent="0.3">
      <c r="A615" s="1" t="s">
        <v>11</v>
      </c>
      <c r="J615" s="1">
        <v>8.5</v>
      </c>
      <c r="K615" s="1">
        <v>298</v>
      </c>
      <c r="M615" s="1">
        <v>10</v>
      </c>
      <c r="N615" s="1">
        <f t="shared" si="102"/>
        <v>54.926085867620756</v>
      </c>
    </row>
    <row r="616" spans="1:14" ht="34.5" customHeight="1" x14ac:dyDescent="0.3">
      <c r="A616" s="1" t="s">
        <v>11</v>
      </c>
      <c r="J616" s="1">
        <v>8.5</v>
      </c>
      <c r="K616" s="1">
        <v>298</v>
      </c>
      <c r="M616" s="1">
        <v>15</v>
      </c>
      <c r="N616" s="1">
        <f t="shared" si="102"/>
        <v>55.082494689181885</v>
      </c>
    </row>
    <row r="617" spans="1:14" ht="34.5" customHeight="1" x14ac:dyDescent="0.3">
      <c r="A617" s="1" t="s">
        <v>11</v>
      </c>
      <c r="J617" s="1">
        <v>8.5</v>
      </c>
      <c r="K617" s="1">
        <v>298</v>
      </c>
      <c r="M617" s="1">
        <v>25</v>
      </c>
      <c r="N617" s="1">
        <f t="shared" si="102"/>
        <v>55.208264577446712</v>
      </c>
    </row>
    <row r="618" spans="1:14" ht="34.5" customHeight="1" x14ac:dyDescent="0.3">
      <c r="A618" s="1" t="s">
        <v>11</v>
      </c>
      <c r="J618" s="1">
        <v>8.5</v>
      </c>
      <c r="K618" s="1">
        <v>298</v>
      </c>
      <c r="M618" s="1">
        <v>50</v>
      </c>
      <c r="N618" s="1">
        <f t="shared" si="102"/>
        <v>55.302969551419515</v>
      </c>
    </row>
    <row r="619" spans="1:14" ht="34.5" customHeight="1" x14ac:dyDescent="0.3">
      <c r="A619" s="1" t="s">
        <v>11</v>
      </c>
      <c r="J619" s="1">
        <v>8.5</v>
      </c>
      <c r="K619" s="1">
        <v>298</v>
      </c>
      <c r="M619" s="1">
        <v>100</v>
      </c>
      <c r="N619" s="1">
        <f t="shared" si="102"/>
        <v>55.350443986608305</v>
      </c>
    </row>
    <row r="620" spans="1:14" ht="34.5" customHeight="1" x14ac:dyDescent="0.3">
      <c r="A620" s="1" t="s">
        <v>11</v>
      </c>
      <c r="J620" s="1">
        <v>10.5</v>
      </c>
      <c r="K620" s="1">
        <v>298</v>
      </c>
      <c r="M620" s="1">
        <v>5</v>
      </c>
      <c r="N620" s="1">
        <f t="shared" ref="N620:N625" si="103">53.898*1.596*M620/(1+1.596*M620)</f>
        <v>47.895995545657023</v>
      </c>
    </row>
    <row r="621" spans="1:14" ht="34.5" customHeight="1" x14ac:dyDescent="0.3">
      <c r="A621" s="1" t="s">
        <v>11</v>
      </c>
      <c r="J621" s="1">
        <v>10.5</v>
      </c>
      <c r="K621" s="1">
        <v>298</v>
      </c>
      <c r="M621" s="1">
        <v>10</v>
      </c>
      <c r="N621" s="1">
        <f t="shared" si="103"/>
        <v>50.720051886792454</v>
      </c>
    </row>
    <row r="622" spans="1:14" ht="34.5" customHeight="1" x14ac:dyDescent="0.3">
      <c r="A622" s="1" t="s">
        <v>11</v>
      </c>
      <c r="J622" s="1">
        <v>10.5</v>
      </c>
      <c r="K622" s="1">
        <v>298</v>
      </c>
      <c r="M622" s="1">
        <v>15</v>
      </c>
      <c r="N622" s="1">
        <f t="shared" si="103"/>
        <v>51.736893344025667</v>
      </c>
    </row>
    <row r="623" spans="1:14" ht="34.5" customHeight="1" x14ac:dyDescent="0.3">
      <c r="A623" s="1" t="s">
        <v>11</v>
      </c>
      <c r="J623" s="1">
        <v>10.5</v>
      </c>
      <c r="K623" s="1">
        <v>298</v>
      </c>
      <c r="M623" s="1">
        <v>25</v>
      </c>
      <c r="N623" s="1">
        <f t="shared" si="103"/>
        <v>52.580200488997562</v>
      </c>
    </row>
    <row r="624" spans="1:14" ht="34.5" customHeight="1" x14ac:dyDescent="0.3">
      <c r="A624" s="1" t="s">
        <v>11</v>
      </c>
      <c r="J624" s="1">
        <v>10.5</v>
      </c>
      <c r="K624" s="1">
        <v>298</v>
      </c>
      <c r="M624" s="1">
        <v>50</v>
      </c>
      <c r="N624" s="1">
        <f t="shared" si="103"/>
        <v>53.230945544554466</v>
      </c>
    </row>
    <row r="625" spans="1:14" ht="34.5" customHeight="1" x14ac:dyDescent="0.3">
      <c r="A625" s="1" t="s">
        <v>11</v>
      </c>
      <c r="J625" s="1">
        <v>10.5</v>
      </c>
      <c r="K625" s="1">
        <v>298</v>
      </c>
      <c r="M625" s="1">
        <v>100</v>
      </c>
      <c r="N625" s="1">
        <f t="shared" si="103"/>
        <v>53.562396014943971</v>
      </c>
    </row>
    <row r="626" spans="1:14" ht="34.5" customHeight="1" x14ac:dyDescent="0.3">
      <c r="A626" s="1" t="s">
        <v>11</v>
      </c>
      <c r="C626" s="1" t="s">
        <v>11</v>
      </c>
      <c r="G626" s="1">
        <v>20.81</v>
      </c>
      <c r="H626" s="1">
        <v>0.05</v>
      </c>
      <c r="I626" s="1">
        <v>10.51</v>
      </c>
      <c r="J626" s="1">
        <v>7</v>
      </c>
      <c r="K626" s="1">
        <v>298</v>
      </c>
      <c r="M626" s="1">
        <v>1</v>
      </c>
      <c r="N626" s="1">
        <f t="shared" ref="N626:N631" si="104">25.938*M626^(0.2885)</f>
        <v>25.937999999999999</v>
      </c>
    </row>
    <row r="627" spans="1:14" ht="34.5" customHeight="1" x14ac:dyDescent="0.3">
      <c r="A627" s="1" t="s">
        <v>11</v>
      </c>
      <c r="C627" s="1" t="s">
        <v>11</v>
      </c>
      <c r="G627" s="1">
        <v>20.81</v>
      </c>
      <c r="H627" s="1">
        <v>0.05</v>
      </c>
      <c r="I627" s="1">
        <v>10.51</v>
      </c>
      <c r="J627" s="1">
        <v>7</v>
      </c>
      <c r="K627" s="1">
        <v>298</v>
      </c>
      <c r="M627" s="1">
        <v>3</v>
      </c>
      <c r="N627" s="1">
        <f t="shared" si="104"/>
        <v>35.611147476120671</v>
      </c>
    </row>
    <row r="628" spans="1:14" ht="34.5" customHeight="1" x14ac:dyDescent="0.3">
      <c r="A628" s="1" t="s">
        <v>11</v>
      </c>
      <c r="C628" s="1" t="s">
        <v>11</v>
      </c>
      <c r="G628" s="1">
        <v>20.81</v>
      </c>
      <c r="H628" s="1">
        <v>0.05</v>
      </c>
      <c r="I628" s="1">
        <v>10.51</v>
      </c>
      <c r="J628" s="1">
        <v>7</v>
      </c>
      <c r="K628" s="1">
        <v>298</v>
      </c>
      <c r="M628" s="1">
        <v>5</v>
      </c>
      <c r="N628" s="1">
        <f t="shared" si="104"/>
        <v>41.265710985822352</v>
      </c>
    </row>
    <row r="629" spans="1:14" ht="34.5" customHeight="1" x14ac:dyDescent="0.3">
      <c r="A629" s="1" t="s">
        <v>11</v>
      </c>
      <c r="C629" s="1" t="s">
        <v>11</v>
      </c>
      <c r="G629" s="1">
        <v>20.81</v>
      </c>
      <c r="H629" s="1">
        <v>0.05</v>
      </c>
      <c r="I629" s="1">
        <v>10.51</v>
      </c>
      <c r="J629" s="1">
        <v>7</v>
      </c>
      <c r="K629" s="1">
        <v>298</v>
      </c>
      <c r="M629" s="1">
        <v>7</v>
      </c>
      <c r="N629" s="1">
        <f t="shared" si="104"/>
        <v>45.472336539577263</v>
      </c>
    </row>
    <row r="630" spans="1:14" ht="34.5" customHeight="1" x14ac:dyDescent="0.3">
      <c r="A630" s="1" t="s">
        <v>11</v>
      </c>
      <c r="C630" s="1" t="s">
        <v>11</v>
      </c>
      <c r="G630" s="1">
        <v>20.81</v>
      </c>
      <c r="H630" s="1">
        <v>0.05</v>
      </c>
      <c r="I630" s="1">
        <v>10.51</v>
      </c>
      <c r="J630" s="1">
        <v>7</v>
      </c>
      <c r="K630" s="1">
        <v>298</v>
      </c>
      <c r="M630" s="1">
        <v>11</v>
      </c>
      <c r="N630" s="1">
        <f t="shared" si="104"/>
        <v>51.805786997084965</v>
      </c>
    </row>
    <row r="631" spans="1:14" ht="34.5" customHeight="1" x14ac:dyDescent="0.3">
      <c r="A631" s="1" t="s">
        <v>11</v>
      </c>
      <c r="C631" s="1" t="s">
        <v>11</v>
      </c>
      <c r="G631" s="1">
        <v>20.81</v>
      </c>
      <c r="H631" s="1">
        <v>0.05</v>
      </c>
      <c r="I631" s="1">
        <v>10.51</v>
      </c>
      <c r="J631" s="1">
        <v>7</v>
      </c>
      <c r="K631" s="1">
        <v>298</v>
      </c>
      <c r="M631" s="1">
        <v>14</v>
      </c>
      <c r="N631" s="1">
        <f t="shared" si="104"/>
        <v>55.53853557551561</v>
      </c>
    </row>
    <row r="632" spans="1:14" ht="34.5" customHeight="1" x14ac:dyDescent="0.3">
      <c r="A632" s="1" t="s">
        <v>11</v>
      </c>
      <c r="G632" s="1">
        <v>10.39</v>
      </c>
      <c r="J632" s="1">
        <v>7</v>
      </c>
      <c r="K632" s="1">
        <v>298</v>
      </c>
      <c r="M632" s="1">
        <v>3</v>
      </c>
      <c r="N632" s="1">
        <f t="shared" ref="N632:N637" si="105">142.7*0.0019*M632/(1+0.0019*M632)</f>
        <v>0.80877995426071381</v>
      </c>
    </row>
    <row r="633" spans="1:14" ht="34.5" customHeight="1" x14ac:dyDescent="0.3">
      <c r="A633" s="1" t="s">
        <v>11</v>
      </c>
      <c r="G633" s="1">
        <v>10.39</v>
      </c>
      <c r="J633" s="1">
        <v>7</v>
      </c>
      <c r="K633" s="1">
        <v>298</v>
      </c>
      <c r="M633" s="1">
        <v>50</v>
      </c>
      <c r="N633" s="1">
        <f t="shared" si="105"/>
        <v>12.380365296803653</v>
      </c>
    </row>
    <row r="634" spans="1:14" ht="34.5" customHeight="1" x14ac:dyDescent="0.3">
      <c r="A634" s="1" t="s">
        <v>11</v>
      </c>
      <c r="G634" s="1">
        <v>10.39</v>
      </c>
      <c r="J634" s="1">
        <v>7</v>
      </c>
      <c r="K634" s="1">
        <v>298</v>
      </c>
      <c r="M634" s="1">
        <v>100</v>
      </c>
      <c r="N634" s="1">
        <f t="shared" si="105"/>
        <v>22.784033613445377</v>
      </c>
    </row>
    <row r="635" spans="1:14" ht="34.5" customHeight="1" x14ac:dyDescent="0.3">
      <c r="A635" s="1" t="s">
        <v>11</v>
      </c>
      <c r="G635" s="1">
        <v>10.39</v>
      </c>
      <c r="J635" s="1">
        <v>7</v>
      </c>
      <c r="K635" s="1">
        <v>298</v>
      </c>
      <c r="M635" s="1">
        <v>300</v>
      </c>
      <c r="N635" s="1">
        <f t="shared" si="105"/>
        <v>51.808280254777074</v>
      </c>
    </row>
    <row r="636" spans="1:14" ht="34.5" customHeight="1" x14ac:dyDescent="0.3">
      <c r="A636" s="1" t="s">
        <v>11</v>
      </c>
      <c r="G636" s="1">
        <v>10.39</v>
      </c>
      <c r="J636" s="1">
        <v>7</v>
      </c>
      <c r="K636" s="1">
        <v>298</v>
      </c>
      <c r="M636" s="1">
        <v>600</v>
      </c>
      <c r="N636" s="1">
        <f t="shared" si="105"/>
        <v>76.0177570093458</v>
      </c>
    </row>
    <row r="637" spans="1:14" ht="34.5" customHeight="1" x14ac:dyDescent="0.3">
      <c r="A637" s="1" t="s">
        <v>11</v>
      </c>
      <c r="G637" s="1">
        <v>10.39</v>
      </c>
      <c r="J637" s="1">
        <v>7</v>
      </c>
      <c r="K637" s="1">
        <v>298</v>
      </c>
      <c r="M637" s="1">
        <v>1000</v>
      </c>
      <c r="N637" s="1">
        <f t="shared" si="105"/>
        <v>93.493103448275861</v>
      </c>
    </row>
    <row r="638" spans="1:14" ht="34.5" customHeight="1" x14ac:dyDescent="0.3">
      <c r="A638" s="1" t="s">
        <v>11</v>
      </c>
      <c r="C638" s="1" t="s">
        <v>11</v>
      </c>
      <c r="G638" s="1">
        <v>190.1</v>
      </c>
      <c r="J638" s="1">
        <v>7</v>
      </c>
      <c r="K638" s="1">
        <v>298</v>
      </c>
      <c r="L638" s="1" t="s">
        <v>8</v>
      </c>
      <c r="M638" s="1">
        <v>1</v>
      </c>
      <c r="N638" s="1">
        <f t="shared" ref="N638:N643" si="106">13.4*1*M638/(1+1*M638)</f>
        <v>6.7</v>
      </c>
    </row>
    <row r="639" spans="1:14" ht="34.5" customHeight="1" x14ac:dyDescent="0.3">
      <c r="A639" s="1" t="s">
        <v>11</v>
      </c>
      <c r="C639" s="1" t="s">
        <v>11</v>
      </c>
      <c r="G639" s="1">
        <v>190.1</v>
      </c>
      <c r="J639" s="1">
        <v>7</v>
      </c>
      <c r="K639" s="1">
        <v>298</v>
      </c>
      <c r="L639" s="1" t="s">
        <v>8</v>
      </c>
      <c r="M639" s="1">
        <v>2</v>
      </c>
      <c r="N639" s="1">
        <f t="shared" si="106"/>
        <v>8.9333333333333336</v>
      </c>
    </row>
    <row r="640" spans="1:14" ht="34.5" customHeight="1" x14ac:dyDescent="0.3">
      <c r="A640" s="1" t="s">
        <v>11</v>
      </c>
      <c r="C640" s="1" t="s">
        <v>11</v>
      </c>
      <c r="G640" s="1">
        <v>190.1</v>
      </c>
      <c r="J640" s="1">
        <v>7</v>
      </c>
      <c r="K640" s="1">
        <v>298</v>
      </c>
      <c r="L640" s="1" t="s">
        <v>8</v>
      </c>
      <c r="M640" s="1">
        <v>3</v>
      </c>
      <c r="N640" s="1">
        <f t="shared" si="106"/>
        <v>10.050000000000001</v>
      </c>
    </row>
    <row r="641" spans="1:14" ht="34.5" customHeight="1" x14ac:dyDescent="0.3">
      <c r="A641" s="1" t="s">
        <v>11</v>
      </c>
      <c r="C641" s="1" t="s">
        <v>11</v>
      </c>
      <c r="G641" s="1">
        <v>190.1</v>
      </c>
      <c r="J641" s="1">
        <v>7</v>
      </c>
      <c r="K641" s="1">
        <v>298</v>
      </c>
      <c r="L641" s="1" t="s">
        <v>8</v>
      </c>
      <c r="M641" s="1">
        <v>4</v>
      </c>
      <c r="N641" s="1">
        <f t="shared" si="106"/>
        <v>10.72</v>
      </c>
    </row>
    <row r="642" spans="1:14" ht="34.5" customHeight="1" x14ac:dyDescent="0.3">
      <c r="A642" s="1" t="s">
        <v>11</v>
      </c>
      <c r="C642" s="1" t="s">
        <v>11</v>
      </c>
      <c r="G642" s="1">
        <v>190.1</v>
      </c>
      <c r="J642" s="1">
        <v>7</v>
      </c>
      <c r="K642" s="1">
        <v>298</v>
      </c>
      <c r="L642" s="1" t="s">
        <v>8</v>
      </c>
      <c r="M642" s="1">
        <v>5</v>
      </c>
      <c r="N642" s="1">
        <f t="shared" si="106"/>
        <v>11.166666666666666</v>
      </c>
    </row>
    <row r="643" spans="1:14" ht="34.5" customHeight="1" x14ac:dyDescent="0.3">
      <c r="A643" s="1" t="s">
        <v>11</v>
      </c>
      <c r="C643" s="1" t="s">
        <v>11</v>
      </c>
      <c r="G643" s="1">
        <v>190.1</v>
      </c>
      <c r="J643" s="1">
        <v>7</v>
      </c>
      <c r="K643" s="1">
        <v>298</v>
      </c>
      <c r="L643" s="1" t="s">
        <v>8</v>
      </c>
      <c r="M643" s="1">
        <v>6</v>
      </c>
      <c r="N643" s="1">
        <f t="shared" si="106"/>
        <v>11.485714285714286</v>
      </c>
    </row>
    <row r="644" spans="1:14" ht="34.5" customHeight="1" x14ac:dyDescent="0.3">
      <c r="A644" s="1">
        <v>34.9</v>
      </c>
      <c r="C644" s="1" t="s">
        <v>11</v>
      </c>
      <c r="G644" s="1">
        <v>146.6</v>
      </c>
      <c r="J644" s="1">
        <v>7</v>
      </c>
      <c r="K644" s="1">
        <v>298</v>
      </c>
      <c r="L644" s="1" t="s">
        <v>8</v>
      </c>
      <c r="M644" s="1">
        <v>1</v>
      </c>
      <c r="N644" s="1">
        <f t="shared" ref="N644:N649" si="107">52.7*33.5*M644/(1+33.5*M644)</f>
        <v>51.172463768115946</v>
      </c>
    </row>
    <row r="645" spans="1:14" ht="34.5" customHeight="1" x14ac:dyDescent="0.3">
      <c r="A645" s="1">
        <v>34.9</v>
      </c>
      <c r="C645" s="1" t="s">
        <v>11</v>
      </c>
      <c r="G645" s="1">
        <v>146.6</v>
      </c>
      <c r="J645" s="1">
        <v>7</v>
      </c>
      <c r="K645" s="1">
        <v>298</v>
      </c>
      <c r="L645" s="1" t="s">
        <v>8</v>
      </c>
      <c r="M645" s="1">
        <v>2</v>
      </c>
      <c r="N645" s="1">
        <f t="shared" si="107"/>
        <v>51.925000000000004</v>
      </c>
    </row>
    <row r="646" spans="1:14" ht="34.5" customHeight="1" x14ac:dyDescent="0.3">
      <c r="A646" s="1">
        <v>34.9</v>
      </c>
      <c r="C646" s="1" t="s">
        <v>11</v>
      </c>
      <c r="G646" s="1">
        <v>146.6</v>
      </c>
      <c r="J646" s="1">
        <v>7</v>
      </c>
      <c r="K646" s="1">
        <v>298</v>
      </c>
      <c r="L646" s="1" t="s">
        <v>8</v>
      </c>
      <c r="M646" s="1">
        <v>3</v>
      </c>
      <c r="N646" s="1">
        <f t="shared" si="107"/>
        <v>52.180788177339906</v>
      </c>
    </row>
    <row r="647" spans="1:14" ht="34.5" customHeight="1" x14ac:dyDescent="0.3">
      <c r="A647" s="1">
        <v>34.9</v>
      </c>
      <c r="C647" s="1" t="s">
        <v>11</v>
      </c>
      <c r="G647" s="1">
        <v>146.6</v>
      </c>
      <c r="J647" s="1">
        <v>7</v>
      </c>
      <c r="K647" s="1">
        <v>298</v>
      </c>
      <c r="L647" s="1" t="s">
        <v>8</v>
      </c>
      <c r="M647" s="1">
        <v>4</v>
      </c>
      <c r="N647" s="1">
        <f t="shared" si="107"/>
        <v>52.309629629629633</v>
      </c>
    </row>
    <row r="648" spans="1:14" ht="34.5" customHeight="1" x14ac:dyDescent="0.3">
      <c r="A648" s="1">
        <v>34.9</v>
      </c>
      <c r="C648" s="1" t="s">
        <v>11</v>
      </c>
      <c r="G648" s="1">
        <v>146.6</v>
      </c>
      <c r="J648" s="1">
        <v>7</v>
      </c>
      <c r="K648" s="1">
        <v>298</v>
      </c>
      <c r="L648" s="1" t="s">
        <v>8</v>
      </c>
      <c r="M648" s="1">
        <v>5</v>
      </c>
      <c r="N648" s="1">
        <f t="shared" si="107"/>
        <v>52.387240356083083</v>
      </c>
    </row>
    <row r="649" spans="1:14" ht="34.5" customHeight="1" x14ac:dyDescent="0.3">
      <c r="A649" s="1">
        <v>34.9</v>
      </c>
      <c r="C649" s="1" t="s">
        <v>11</v>
      </c>
      <c r="G649" s="1">
        <v>146.6</v>
      </c>
      <c r="J649" s="1">
        <v>7</v>
      </c>
      <c r="K649" s="1">
        <v>298</v>
      </c>
      <c r="L649" s="1" t="s">
        <v>8</v>
      </c>
      <c r="M649" s="1">
        <v>6</v>
      </c>
      <c r="N649" s="1">
        <f t="shared" si="107"/>
        <v>52.439108910891093</v>
      </c>
    </row>
    <row r="650" spans="1:14" ht="34.5" customHeight="1" x14ac:dyDescent="0.3">
      <c r="A650" s="1" t="s">
        <v>11</v>
      </c>
      <c r="C650" s="1" t="s">
        <v>11</v>
      </c>
      <c r="G650" s="1">
        <v>98.4</v>
      </c>
      <c r="J650" s="1">
        <v>7</v>
      </c>
      <c r="K650" s="1">
        <v>298</v>
      </c>
      <c r="L650" s="1" t="s">
        <v>8</v>
      </c>
      <c r="M650" s="1">
        <v>1</v>
      </c>
      <c r="N650" s="1">
        <f t="shared" ref="N650:N655" si="108">52.9*23.4*M650/(1+234*M650)</f>
        <v>5.2674893617021272</v>
      </c>
    </row>
    <row r="651" spans="1:14" ht="34.5" customHeight="1" x14ac:dyDescent="0.3">
      <c r="A651" s="1" t="s">
        <v>11</v>
      </c>
      <c r="C651" s="1" t="s">
        <v>11</v>
      </c>
      <c r="G651" s="1">
        <v>98.4</v>
      </c>
      <c r="J651" s="1">
        <v>7</v>
      </c>
      <c r="K651" s="1">
        <v>298</v>
      </c>
      <c r="L651" s="1" t="s">
        <v>8</v>
      </c>
      <c r="M651" s="1">
        <v>2</v>
      </c>
      <c r="N651" s="1">
        <f t="shared" si="108"/>
        <v>5.2787206823027715</v>
      </c>
    </row>
    <row r="652" spans="1:14" ht="34.5" customHeight="1" x14ac:dyDescent="0.3">
      <c r="A652" s="1" t="s">
        <v>11</v>
      </c>
      <c r="C652" s="1" t="s">
        <v>11</v>
      </c>
      <c r="G652" s="1">
        <v>98.4</v>
      </c>
      <c r="J652" s="1">
        <v>7</v>
      </c>
      <c r="K652" s="1">
        <v>298</v>
      </c>
      <c r="L652" s="1" t="s">
        <v>8</v>
      </c>
      <c r="M652" s="1">
        <v>3</v>
      </c>
      <c r="N652" s="1">
        <f t="shared" si="108"/>
        <v>5.2824751066856326</v>
      </c>
    </row>
    <row r="653" spans="1:14" ht="34.5" customHeight="1" x14ac:dyDescent="0.3">
      <c r="A653" s="1" t="s">
        <v>11</v>
      </c>
      <c r="C653" s="1" t="s">
        <v>11</v>
      </c>
      <c r="G653" s="1">
        <v>98.4</v>
      </c>
      <c r="J653" s="1">
        <v>7</v>
      </c>
      <c r="K653" s="1">
        <v>298</v>
      </c>
      <c r="L653" s="1" t="s">
        <v>8</v>
      </c>
      <c r="M653" s="1">
        <v>4</v>
      </c>
      <c r="N653" s="1">
        <f t="shared" si="108"/>
        <v>5.2843543223052292</v>
      </c>
    </row>
    <row r="654" spans="1:14" ht="34.5" customHeight="1" x14ac:dyDescent="0.3">
      <c r="A654" s="1" t="s">
        <v>11</v>
      </c>
      <c r="C654" s="1" t="s">
        <v>11</v>
      </c>
      <c r="G654" s="1">
        <v>98.4</v>
      </c>
      <c r="J654" s="1">
        <v>7</v>
      </c>
      <c r="K654" s="1">
        <v>298</v>
      </c>
      <c r="L654" s="1" t="s">
        <v>8</v>
      </c>
      <c r="M654" s="1">
        <v>5</v>
      </c>
      <c r="N654" s="1">
        <f t="shared" si="108"/>
        <v>5.2854824935952172</v>
      </c>
    </row>
    <row r="655" spans="1:14" ht="34.5" customHeight="1" x14ac:dyDescent="0.3">
      <c r="A655" s="1" t="s">
        <v>11</v>
      </c>
      <c r="C655" s="1" t="s">
        <v>11</v>
      </c>
      <c r="G655" s="1">
        <v>98.4</v>
      </c>
      <c r="J655" s="1">
        <v>7</v>
      </c>
      <c r="K655" s="1">
        <v>298</v>
      </c>
      <c r="L655" s="1" t="s">
        <v>8</v>
      </c>
      <c r="M655" s="1">
        <v>6</v>
      </c>
      <c r="N655" s="1">
        <f t="shared" si="108"/>
        <v>5.2862348754448396</v>
      </c>
    </row>
    <row r="656" spans="1:14" ht="34.5" customHeight="1" x14ac:dyDescent="0.3">
      <c r="A656" s="1" t="s">
        <v>11</v>
      </c>
      <c r="G656" s="1">
        <v>20.7</v>
      </c>
      <c r="J656" s="1">
        <v>7</v>
      </c>
      <c r="K656" s="1">
        <v>298</v>
      </c>
      <c r="M656" s="1">
        <v>0.5</v>
      </c>
      <c r="N656" s="1">
        <f t="shared" ref="N656:N661" si="109">11.4*159.8*M656/(1+11.4*M656)</f>
        <v>135.9492537313433</v>
      </c>
    </row>
    <row r="657" spans="1:14" ht="34.5" customHeight="1" x14ac:dyDescent="0.3">
      <c r="A657" s="1" t="s">
        <v>11</v>
      </c>
      <c r="G657" s="1">
        <v>20.7</v>
      </c>
      <c r="J657" s="1">
        <v>7</v>
      </c>
      <c r="K657" s="1">
        <v>298</v>
      </c>
      <c r="M657" s="1">
        <v>1</v>
      </c>
      <c r="N657" s="1">
        <f t="shared" si="109"/>
        <v>146.91290322580647</v>
      </c>
    </row>
    <row r="658" spans="1:14" ht="34.5" customHeight="1" x14ac:dyDescent="0.3">
      <c r="A658" s="1" t="s">
        <v>11</v>
      </c>
      <c r="G658" s="1">
        <v>20.7</v>
      </c>
      <c r="J658" s="1">
        <v>7</v>
      </c>
      <c r="K658" s="1">
        <v>298</v>
      </c>
      <c r="M658" s="1">
        <v>2</v>
      </c>
      <c r="N658" s="1">
        <f t="shared" si="109"/>
        <v>153.08571428571429</v>
      </c>
    </row>
    <row r="659" spans="1:14" ht="34.5" customHeight="1" x14ac:dyDescent="0.3">
      <c r="A659" s="1" t="s">
        <v>11</v>
      </c>
      <c r="G659" s="1">
        <v>20.7</v>
      </c>
      <c r="J659" s="1">
        <v>7</v>
      </c>
      <c r="K659" s="1">
        <v>298</v>
      </c>
      <c r="M659" s="1">
        <v>4</v>
      </c>
      <c r="N659" s="1">
        <f t="shared" si="109"/>
        <v>156.37081545064379</v>
      </c>
    </row>
    <row r="660" spans="1:14" ht="34.5" customHeight="1" x14ac:dyDescent="0.3">
      <c r="A660" s="1" t="s">
        <v>11</v>
      </c>
      <c r="G660" s="1">
        <v>20.7</v>
      </c>
      <c r="J660" s="1">
        <v>7</v>
      </c>
      <c r="K660" s="1">
        <v>298</v>
      </c>
      <c r="M660" s="1">
        <v>6</v>
      </c>
      <c r="N660" s="1">
        <f t="shared" si="109"/>
        <v>157.49740634005764</v>
      </c>
    </row>
    <row r="661" spans="1:14" ht="34.5" customHeight="1" x14ac:dyDescent="0.3">
      <c r="A661" s="1" t="s">
        <v>11</v>
      </c>
      <c r="G661" s="1">
        <v>20.7</v>
      </c>
      <c r="J661" s="1">
        <v>7</v>
      </c>
      <c r="K661" s="1">
        <v>298</v>
      </c>
      <c r="M661" s="1">
        <v>10</v>
      </c>
      <c r="N661" s="1">
        <f t="shared" si="109"/>
        <v>158.41043478260875</v>
      </c>
    </row>
    <row r="662" spans="1:14" ht="34.5" customHeight="1" x14ac:dyDescent="0.3">
      <c r="A662" s="1" t="s">
        <v>11</v>
      </c>
      <c r="G662" s="1">
        <v>72.8</v>
      </c>
      <c r="J662" s="1">
        <v>7</v>
      </c>
      <c r="K662" s="1">
        <v>298</v>
      </c>
      <c r="M662" s="1">
        <v>0.5</v>
      </c>
      <c r="N662" s="1">
        <f t="shared" ref="N662:N667" si="110">162.6*21.7*M662/(1+21.7*M662)</f>
        <v>148.87848101265823</v>
      </c>
    </row>
    <row r="663" spans="1:14" ht="34.5" customHeight="1" x14ac:dyDescent="0.3">
      <c r="A663" s="1" t="s">
        <v>11</v>
      </c>
      <c r="G663" s="1">
        <v>72.8</v>
      </c>
      <c r="J663" s="1">
        <v>7</v>
      </c>
      <c r="K663" s="1">
        <v>298</v>
      </c>
      <c r="M663" s="1">
        <v>1</v>
      </c>
      <c r="N663" s="1">
        <f t="shared" si="110"/>
        <v>155.43700440528633</v>
      </c>
    </row>
    <row r="664" spans="1:14" ht="34.5" customHeight="1" x14ac:dyDescent="0.3">
      <c r="A664" s="1" t="s">
        <v>11</v>
      </c>
      <c r="G664" s="1">
        <v>72.8</v>
      </c>
      <c r="J664" s="1">
        <v>7</v>
      </c>
      <c r="K664" s="1">
        <v>298</v>
      </c>
      <c r="M664" s="1">
        <v>2</v>
      </c>
      <c r="N664" s="1">
        <f t="shared" si="110"/>
        <v>158.93783783783783</v>
      </c>
    </row>
    <row r="665" spans="1:14" ht="34.5" customHeight="1" x14ac:dyDescent="0.3">
      <c r="A665" s="1" t="s">
        <v>11</v>
      </c>
      <c r="G665" s="1">
        <v>72.8</v>
      </c>
      <c r="J665" s="1">
        <v>7</v>
      </c>
      <c r="K665" s="1">
        <v>298</v>
      </c>
      <c r="M665" s="1">
        <v>4</v>
      </c>
      <c r="N665" s="1">
        <f t="shared" si="110"/>
        <v>160.74806378132118</v>
      </c>
    </row>
    <row r="666" spans="1:14" ht="34.5" customHeight="1" x14ac:dyDescent="0.3">
      <c r="A666" s="1" t="s">
        <v>11</v>
      </c>
      <c r="G666" s="1">
        <v>72.8</v>
      </c>
      <c r="J666" s="1">
        <v>7</v>
      </c>
      <c r="K666" s="1">
        <v>298</v>
      </c>
      <c r="M666" s="1">
        <v>6</v>
      </c>
      <c r="N666" s="1">
        <f t="shared" si="110"/>
        <v>161.3606707317073</v>
      </c>
    </row>
    <row r="667" spans="1:14" ht="34.5" customHeight="1" x14ac:dyDescent="0.3">
      <c r="A667" s="1" t="s">
        <v>11</v>
      </c>
      <c r="G667" s="1">
        <v>72.8</v>
      </c>
      <c r="J667" s="1">
        <v>7</v>
      </c>
      <c r="K667" s="1">
        <v>298</v>
      </c>
      <c r="M667" s="1">
        <v>10</v>
      </c>
      <c r="N667" s="1">
        <f t="shared" si="110"/>
        <v>161.85412844036696</v>
      </c>
    </row>
    <row r="668" spans="1:14" ht="34.5" customHeight="1" x14ac:dyDescent="0.3">
      <c r="A668" s="1" t="s">
        <v>11</v>
      </c>
      <c r="G668" s="1">
        <v>73.8</v>
      </c>
      <c r="J668" s="1">
        <v>7</v>
      </c>
      <c r="K668" s="1">
        <v>298</v>
      </c>
      <c r="M668" s="1">
        <v>0.5</v>
      </c>
      <c r="N668" s="1">
        <f t="shared" ref="N668:N673" si="111">170.1*157.1*M668/(1+157.1*M668)</f>
        <v>167.96172218730359</v>
      </c>
    </row>
    <row r="669" spans="1:14" ht="34.5" customHeight="1" x14ac:dyDescent="0.3">
      <c r="A669" s="1" t="s">
        <v>11</v>
      </c>
      <c r="G669" s="1">
        <v>73.8</v>
      </c>
      <c r="J669" s="1">
        <v>7</v>
      </c>
      <c r="K669" s="1">
        <v>298</v>
      </c>
      <c r="M669" s="1">
        <v>1</v>
      </c>
      <c r="N669" s="1">
        <f t="shared" si="111"/>
        <v>169.02409867172676</v>
      </c>
    </row>
    <row r="670" spans="1:14" ht="34.5" customHeight="1" x14ac:dyDescent="0.3">
      <c r="A670" s="1" t="s">
        <v>11</v>
      </c>
      <c r="G670" s="1">
        <v>73.8</v>
      </c>
      <c r="J670" s="1">
        <v>7</v>
      </c>
      <c r="K670" s="1">
        <v>298</v>
      </c>
      <c r="M670" s="1">
        <v>2</v>
      </c>
      <c r="N670" s="1">
        <f t="shared" si="111"/>
        <v>169.5603426395939</v>
      </c>
    </row>
    <row r="671" spans="1:14" ht="34.5" customHeight="1" x14ac:dyDescent="0.3">
      <c r="A671" s="1" t="s">
        <v>11</v>
      </c>
      <c r="G671" s="1">
        <v>73.8</v>
      </c>
      <c r="J671" s="1">
        <v>7</v>
      </c>
      <c r="K671" s="1">
        <v>298</v>
      </c>
      <c r="M671" s="1">
        <v>4</v>
      </c>
      <c r="N671" s="1">
        <f t="shared" si="111"/>
        <v>169.82974261201144</v>
      </c>
    </row>
    <row r="672" spans="1:14" ht="34.5" customHeight="1" x14ac:dyDescent="0.3">
      <c r="A672" s="1" t="s">
        <v>11</v>
      </c>
      <c r="G672" s="1">
        <v>73.8</v>
      </c>
      <c r="J672" s="1">
        <v>7</v>
      </c>
      <c r="K672" s="1">
        <v>298</v>
      </c>
      <c r="M672" s="1">
        <v>6</v>
      </c>
      <c r="N672" s="1">
        <f t="shared" si="111"/>
        <v>169.9197329376855</v>
      </c>
    </row>
    <row r="673" spans="1:14" ht="34.5" customHeight="1" x14ac:dyDescent="0.3">
      <c r="A673" s="1" t="s">
        <v>11</v>
      </c>
      <c r="G673" s="1">
        <v>73.8</v>
      </c>
      <c r="J673" s="1">
        <v>7</v>
      </c>
      <c r="K673" s="1">
        <v>298</v>
      </c>
      <c r="M673" s="1">
        <v>10</v>
      </c>
      <c r="N673" s="1">
        <f t="shared" si="111"/>
        <v>169.99179389312977</v>
      </c>
    </row>
    <row r="674" spans="1:14" ht="34.5" customHeight="1" x14ac:dyDescent="0.3">
      <c r="A674" s="1" t="s">
        <v>11</v>
      </c>
      <c r="G674" s="1">
        <v>1047.8599999999999</v>
      </c>
      <c r="H674" s="1">
        <v>0.17499999999999999</v>
      </c>
      <c r="I674" s="1">
        <v>1.33</v>
      </c>
      <c r="K674" s="1">
        <v>303</v>
      </c>
      <c r="M674" s="1">
        <v>2</v>
      </c>
      <c r="N674" s="1">
        <f t="shared" ref="N674:N679" si="112">7.46*3.45*M674/(1+3.45*M674)</f>
        <v>6.5156962025316458</v>
      </c>
    </row>
    <row r="675" spans="1:14" ht="34.5" customHeight="1" x14ac:dyDescent="0.3">
      <c r="A675" s="1" t="s">
        <v>11</v>
      </c>
      <c r="G675" s="1">
        <v>1047.8599999999999</v>
      </c>
      <c r="H675" s="1">
        <v>0.17499999999999999</v>
      </c>
      <c r="I675" s="1">
        <v>1.33</v>
      </c>
      <c r="K675" s="1">
        <v>303</v>
      </c>
      <c r="M675" s="1">
        <v>5</v>
      </c>
      <c r="N675" s="1">
        <f t="shared" si="112"/>
        <v>7.0512328767123291</v>
      </c>
    </row>
    <row r="676" spans="1:14" ht="34.5" customHeight="1" x14ac:dyDescent="0.3">
      <c r="A676" s="1" t="s">
        <v>11</v>
      </c>
      <c r="G676" s="1">
        <v>1047.8599999999999</v>
      </c>
      <c r="H676" s="1">
        <v>0.17499999999999999</v>
      </c>
      <c r="I676" s="1">
        <v>1.33</v>
      </c>
      <c r="K676" s="1">
        <v>303</v>
      </c>
      <c r="M676" s="1">
        <v>7</v>
      </c>
      <c r="N676" s="1">
        <f t="shared" si="112"/>
        <v>7.1633797216699806</v>
      </c>
    </row>
    <row r="677" spans="1:14" ht="34.5" customHeight="1" x14ac:dyDescent="0.3">
      <c r="A677" s="1" t="s">
        <v>11</v>
      </c>
      <c r="G677" s="1">
        <v>1047.8599999999999</v>
      </c>
      <c r="H677" s="1">
        <v>0.17499999999999999</v>
      </c>
      <c r="I677" s="1">
        <v>1.33</v>
      </c>
      <c r="K677" s="1">
        <v>303</v>
      </c>
      <c r="M677" s="1">
        <v>10</v>
      </c>
      <c r="N677" s="1">
        <f t="shared" si="112"/>
        <v>7.2498591549295774</v>
      </c>
    </row>
    <row r="678" spans="1:14" ht="34.5" customHeight="1" x14ac:dyDescent="0.3">
      <c r="A678" s="1" t="s">
        <v>11</v>
      </c>
      <c r="G678" s="1">
        <v>1047.8599999999999</v>
      </c>
      <c r="H678" s="1">
        <v>0.17499999999999999</v>
      </c>
      <c r="I678" s="1">
        <v>1.33</v>
      </c>
      <c r="K678" s="1">
        <v>303</v>
      </c>
      <c r="M678" s="1">
        <v>15</v>
      </c>
      <c r="N678" s="1">
        <f t="shared" si="112"/>
        <v>7.3185781990521326</v>
      </c>
    </row>
    <row r="679" spans="1:14" ht="34.5" customHeight="1" x14ac:dyDescent="0.3">
      <c r="A679" s="1" t="s">
        <v>11</v>
      </c>
      <c r="G679" s="1">
        <v>1047.8599999999999</v>
      </c>
      <c r="H679" s="1">
        <v>0.17499999999999999</v>
      </c>
      <c r="I679" s="1">
        <v>1.33</v>
      </c>
      <c r="K679" s="1">
        <v>303</v>
      </c>
      <c r="M679" s="1">
        <v>20</v>
      </c>
      <c r="N679" s="1">
        <f t="shared" si="112"/>
        <v>7.3534285714285712</v>
      </c>
    </row>
    <row r="680" spans="1:14" ht="34.5" customHeight="1" x14ac:dyDescent="0.3">
      <c r="A680" s="1" t="s">
        <v>11</v>
      </c>
      <c r="J680" s="1">
        <v>3</v>
      </c>
      <c r="K680" s="1">
        <v>293</v>
      </c>
      <c r="M680" s="1">
        <v>2</v>
      </c>
      <c r="N680" s="1">
        <f t="shared" ref="N680:N685" si="113">26.1*0.319*M680/(1+0.319*M680)</f>
        <v>10.165934065934067</v>
      </c>
    </row>
    <row r="681" spans="1:14" ht="34.5" customHeight="1" x14ac:dyDescent="0.3">
      <c r="A681" s="1" t="s">
        <v>11</v>
      </c>
      <c r="J681" s="1">
        <v>3</v>
      </c>
      <c r="K681" s="1">
        <v>293</v>
      </c>
      <c r="M681" s="1">
        <v>5</v>
      </c>
      <c r="N681" s="1">
        <f t="shared" si="113"/>
        <v>16.042196531791912</v>
      </c>
    </row>
    <row r="682" spans="1:14" ht="34.5" customHeight="1" x14ac:dyDescent="0.3">
      <c r="A682" s="1" t="s">
        <v>11</v>
      </c>
      <c r="J682" s="1">
        <v>3</v>
      </c>
      <c r="K682" s="1">
        <v>293</v>
      </c>
      <c r="M682" s="1">
        <v>10</v>
      </c>
      <c r="N682" s="1">
        <f t="shared" si="113"/>
        <v>19.870883054892609</v>
      </c>
    </row>
    <row r="683" spans="1:14" ht="34.5" customHeight="1" x14ac:dyDescent="0.3">
      <c r="A683" s="1" t="s">
        <v>11</v>
      </c>
      <c r="J683" s="1">
        <v>3</v>
      </c>
      <c r="K683" s="1">
        <v>293</v>
      </c>
      <c r="M683" s="1">
        <v>20</v>
      </c>
      <c r="N683" s="1">
        <f t="shared" si="113"/>
        <v>22.563414634146344</v>
      </c>
    </row>
    <row r="684" spans="1:14" ht="34.5" customHeight="1" x14ac:dyDescent="0.3">
      <c r="A684" s="1" t="s">
        <v>11</v>
      </c>
      <c r="J684" s="1">
        <v>3</v>
      </c>
      <c r="K684" s="1">
        <v>293</v>
      </c>
      <c r="M684" s="1">
        <v>30</v>
      </c>
      <c r="N684" s="1">
        <f t="shared" si="113"/>
        <v>23.630747398297068</v>
      </c>
    </row>
    <row r="685" spans="1:14" ht="34.5" customHeight="1" x14ac:dyDescent="0.3">
      <c r="A685" s="1" t="s">
        <v>11</v>
      </c>
      <c r="J685" s="1">
        <v>3</v>
      </c>
      <c r="K685" s="1">
        <v>293</v>
      </c>
      <c r="M685" s="1">
        <v>50</v>
      </c>
      <c r="N685" s="1">
        <f t="shared" si="113"/>
        <v>24.560176991150438</v>
      </c>
    </row>
    <row r="686" spans="1:14" ht="34.5" customHeight="1" x14ac:dyDescent="0.3">
      <c r="A686" s="1" t="s">
        <v>11</v>
      </c>
      <c r="J686" s="1">
        <v>3</v>
      </c>
      <c r="K686" s="1">
        <v>303</v>
      </c>
      <c r="M686" s="1">
        <v>2</v>
      </c>
      <c r="N686" s="1">
        <f t="shared" ref="N686:N691" si="114">(23.4*0.319*M686)/(1+0.319*M686)</f>
        <v>9.1142857142857139</v>
      </c>
    </row>
    <row r="687" spans="1:14" ht="34.5" customHeight="1" x14ac:dyDescent="0.3">
      <c r="A687" s="1" t="s">
        <v>11</v>
      </c>
      <c r="J687" s="1">
        <v>3</v>
      </c>
      <c r="K687" s="1">
        <v>303</v>
      </c>
      <c r="M687" s="1">
        <v>5</v>
      </c>
      <c r="N687" s="1">
        <f t="shared" si="114"/>
        <v>14.382658959537574</v>
      </c>
    </row>
    <row r="688" spans="1:14" ht="34.5" customHeight="1" x14ac:dyDescent="0.3">
      <c r="A688" s="1" t="s">
        <v>11</v>
      </c>
      <c r="J688" s="1">
        <v>3</v>
      </c>
      <c r="K688" s="1">
        <v>303</v>
      </c>
      <c r="M688" s="1">
        <v>10</v>
      </c>
      <c r="N688" s="1">
        <f t="shared" si="114"/>
        <v>17.815274463007164</v>
      </c>
    </row>
    <row r="689" spans="1:14" ht="34.5" customHeight="1" x14ac:dyDescent="0.3">
      <c r="A689" s="1" t="s">
        <v>11</v>
      </c>
      <c r="J689" s="1">
        <v>3</v>
      </c>
      <c r="K689" s="1">
        <v>303</v>
      </c>
      <c r="M689" s="1">
        <v>20</v>
      </c>
      <c r="N689" s="1">
        <f t="shared" si="114"/>
        <v>20.229268292682928</v>
      </c>
    </row>
    <row r="690" spans="1:14" ht="34.5" customHeight="1" x14ac:dyDescent="0.3">
      <c r="A690" s="1" t="s">
        <v>11</v>
      </c>
      <c r="J690" s="1">
        <v>3</v>
      </c>
      <c r="K690" s="1">
        <v>303</v>
      </c>
      <c r="M690" s="1">
        <v>30</v>
      </c>
      <c r="N690" s="1">
        <f t="shared" si="114"/>
        <v>21.186187322611161</v>
      </c>
    </row>
    <row r="691" spans="1:14" ht="34.5" customHeight="1" x14ac:dyDescent="0.3">
      <c r="A691" s="1" t="s">
        <v>11</v>
      </c>
      <c r="J691" s="1">
        <v>3</v>
      </c>
      <c r="K691" s="1">
        <v>303</v>
      </c>
      <c r="M691" s="1">
        <v>50</v>
      </c>
      <c r="N691" s="1">
        <f t="shared" si="114"/>
        <v>22.01946902654867</v>
      </c>
    </row>
    <row r="692" spans="1:14" ht="34.5" customHeight="1" x14ac:dyDescent="0.3">
      <c r="A692" s="1" t="s">
        <v>11</v>
      </c>
      <c r="J692" s="1">
        <v>3</v>
      </c>
      <c r="K692" s="1">
        <v>313</v>
      </c>
      <c r="M692" s="1">
        <v>2</v>
      </c>
      <c r="N692" s="1">
        <f t="shared" ref="N692:N697" si="115">19.5*0.318*M692/(1+0.318*M692)</f>
        <v>7.5806845965770169</v>
      </c>
    </row>
    <row r="693" spans="1:14" ht="34.5" customHeight="1" x14ac:dyDescent="0.3">
      <c r="A693" s="1" t="s">
        <v>11</v>
      </c>
      <c r="J693" s="1">
        <v>3</v>
      </c>
      <c r="K693" s="1">
        <v>313</v>
      </c>
      <c r="M693" s="1">
        <v>5</v>
      </c>
      <c r="N693" s="1">
        <f t="shared" si="115"/>
        <v>11.971042471042473</v>
      </c>
    </row>
    <row r="694" spans="1:14" ht="34.5" customHeight="1" x14ac:dyDescent="0.3">
      <c r="A694" s="1" t="s">
        <v>11</v>
      </c>
      <c r="J694" s="1">
        <v>3</v>
      </c>
      <c r="K694" s="1">
        <v>313</v>
      </c>
      <c r="M694" s="1">
        <v>10</v>
      </c>
      <c r="N694" s="1">
        <f t="shared" si="115"/>
        <v>14.834928229665074</v>
      </c>
    </row>
    <row r="695" spans="1:14" ht="34.5" customHeight="1" x14ac:dyDescent="0.3">
      <c r="A695" s="1" t="s">
        <v>11</v>
      </c>
      <c r="J695" s="1">
        <v>3</v>
      </c>
      <c r="K695" s="1">
        <v>313</v>
      </c>
      <c r="M695" s="1">
        <v>20</v>
      </c>
      <c r="N695" s="1">
        <f t="shared" si="115"/>
        <v>16.850543478260871</v>
      </c>
    </row>
    <row r="696" spans="1:14" ht="34.5" customHeight="1" x14ac:dyDescent="0.3">
      <c r="A696" s="1" t="s">
        <v>11</v>
      </c>
      <c r="J696" s="1">
        <v>3</v>
      </c>
      <c r="K696" s="1">
        <v>313</v>
      </c>
      <c r="M696" s="1">
        <v>30</v>
      </c>
      <c r="N696" s="1">
        <f t="shared" si="115"/>
        <v>17.649905123339661</v>
      </c>
    </row>
    <row r="697" spans="1:14" ht="34.5" customHeight="1" x14ac:dyDescent="0.3">
      <c r="A697" s="1" t="s">
        <v>11</v>
      </c>
      <c r="J697" s="1">
        <v>3</v>
      </c>
      <c r="K697" s="1">
        <v>313</v>
      </c>
      <c r="M697" s="1">
        <v>50</v>
      </c>
      <c r="N697" s="1">
        <f t="shared" si="115"/>
        <v>18.346153846153847</v>
      </c>
    </row>
    <row r="698" spans="1:14" ht="34.5" customHeight="1" x14ac:dyDescent="0.3">
      <c r="A698" s="1" t="s">
        <v>11</v>
      </c>
      <c r="C698" s="1" t="s">
        <v>11</v>
      </c>
      <c r="G698" s="1">
        <v>80.89</v>
      </c>
      <c r="H698" s="1">
        <v>0.15</v>
      </c>
      <c r="I698" s="1">
        <v>5.43</v>
      </c>
      <c r="J698" s="1">
        <v>7</v>
      </c>
      <c r="K698" s="1">
        <v>298</v>
      </c>
      <c r="M698" s="1">
        <v>2</v>
      </c>
      <c r="N698" s="1">
        <f t="shared" ref="N698:N703" si="116">76.92*0.326*M698/(1+0.326*M698)</f>
        <v>30.358256658595639</v>
      </c>
    </row>
    <row r="699" spans="1:14" ht="34.5" customHeight="1" x14ac:dyDescent="0.3">
      <c r="A699" s="1" t="s">
        <v>11</v>
      </c>
      <c r="C699" s="1" t="s">
        <v>11</v>
      </c>
      <c r="G699" s="1">
        <v>80.89</v>
      </c>
      <c r="H699" s="1">
        <v>0.15</v>
      </c>
      <c r="I699" s="1">
        <v>5.43</v>
      </c>
      <c r="J699" s="1">
        <v>7</v>
      </c>
      <c r="K699" s="1">
        <v>298</v>
      </c>
      <c r="M699" s="1">
        <v>3</v>
      </c>
      <c r="N699" s="1">
        <f t="shared" si="116"/>
        <v>38.032234580384227</v>
      </c>
    </row>
    <row r="700" spans="1:14" ht="34.5" customHeight="1" x14ac:dyDescent="0.3">
      <c r="A700" s="1" t="s">
        <v>11</v>
      </c>
      <c r="C700" s="1" t="s">
        <v>11</v>
      </c>
      <c r="G700" s="1">
        <v>80.89</v>
      </c>
      <c r="H700" s="1">
        <v>0.15</v>
      </c>
      <c r="I700" s="1">
        <v>5.43</v>
      </c>
      <c r="J700" s="1">
        <v>7</v>
      </c>
      <c r="K700" s="1">
        <v>298</v>
      </c>
      <c r="M700" s="1">
        <v>5</v>
      </c>
      <c r="N700" s="1">
        <f t="shared" si="116"/>
        <v>47.672851711026617</v>
      </c>
    </row>
    <row r="701" spans="1:14" ht="34.5" customHeight="1" x14ac:dyDescent="0.3">
      <c r="A701" s="1" t="s">
        <v>11</v>
      </c>
      <c r="C701" s="1" t="s">
        <v>11</v>
      </c>
      <c r="G701" s="1">
        <v>80.89</v>
      </c>
      <c r="H701" s="1">
        <v>0.15</v>
      </c>
      <c r="I701" s="1">
        <v>5.43</v>
      </c>
      <c r="J701" s="1">
        <v>7</v>
      </c>
      <c r="K701" s="1">
        <v>298</v>
      </c>
      <c r="M701" s="1">
        <v>10</v>
      </c>
      <c r="N701" s="1">
        <f t="shared" si="116"/>
        <v>58.863661971830986</v>
      </c>
    </row>
    <row r="702" spans="1:14" ht="34.5" customHeight="1" x14ac:dyDescent="0.3">
      <c r="A702" s="1" t="s">
        <v>11</v>
      </c>
      <c r="C702" s="1" t="s">
        <v>11</v>
      </c>
      <c r="G702" s="1">
        <v>80.89</v>
      </c>
      <c r="H702" s="1">
        <v>0.15</v>
      </c>
      <c r="I702" s="1">
        <v>5.43</v>
      </c>
      <c r="J702" s="1">
        <v>7</v>
      </c>
      <c r="K702" s="1">
        <v>298</v>
      </c>
      <c r="M702" s="1">
        <v>20</v>
      </c>
      <c r="N702" s="1">
        <f t="shared" si="116"/>
        <v>66.691276595744668</v>
      </c>
    </row>
    <row r="703" spans="1:14" ht="34.5" customHeight="1" x14ac:dyDescent="0.3">
      <c r="A703" s="1" t="s">
        <v>11</v>
      </c>
      <c r="C703" s="1" t="s">
        <v>11</v>
      </c>
      <c r="G703" s="1">
        <v>80.89</v>
      </c>
      <c r="H703" s="1">
        <v>0.15</v>
      </c>
      <c r="I703" s="1">
        <v>5.43</v>
      </c>
      <c r="J703" s="1">
        <v>7</v>
      </c>
      <c r="K703" s="1">
        <v>298</v>
      </c>
      <c r="M703" s="1">
        <v>40</v>
      </c>
      <c r="N703" s="1">
        <f t="shared" si="116"/>
        <v>71.441367521367511</v>
      </c>
    </row>
    <row r="704" spans="1:14" ht="34.5" customHeight="1" x14ac:dyDescent="0.3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  <c r="J704" s="1">
        <v>7.3</v>
      </c>
      <c r="K704" s="1">
        <v>298</v>
      </c>
      <c r="M704" s="1">
        <v>2</v>
      </c>
      <c r="N704" s="1">
        <f t="shared" ref="N704:N709" si="117">9.06*3.91*M704/(1+3.91*M704)</f>
        <v>8.0327891156462599</v>
      </c>
    </row>
    <row r="705" spans="1:14" ht="34.5" customHeight="1" x14ac:dyDescent="0.3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  <c r="J705" s="1">
        <v>7.3</v>
      </c>
      <c r="K705" s="1">
        <v>298</v>
      </c>
      <c r="M705" s="1">
        <v>3</v>
      </c>
      <c r="N705" s="1">
        <f t="shared" si="117"/>
        <v>8.3482953652788705</v>
      </c>
    </row>
    <row r="706" spans="1:14" ht="34.5" customHeight="1" x14ac:dyDescent="0.3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  <c r="J706" s="1">
        <v>7.3</v>
      </c>
      <c r="K706" s="1">
        <v>298</v>
      </c>
      <c r="M706" s="1">
        <v>5</v>
      </c>
      <c r="N706" s="1">
        <f t="shared" si="117"/>
        <v>8.619124087591242</v>
      </c>
    </row>
    <row r="707" spans="1:14" ht="34.5" customHeight="1" x14ac:dyDescent="0.3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  <c r="J707" s="1">
        <v>7.3</v>
      </c>
      <c r="K707" s="1">
        <v>298</v>
      </c>
      <c r="M707" s="1">
        <v>12</v>
      </c>
      <c r="N707" s="1">
        <f t="shared" si="117"/>
        <v>8.8709348914858115</v>
      </c>
    </row>
    <row r="708" spans="1:14" ht="34.5" customHeight="1" x14ac:dyDescent="0.3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  <c r="J708" s="1">
        <v>7.3</v>
      </c>
      <c r="K708" s="1">
        <v>298</v>
      </c>
      <c r="M708" s="1">
        <v>25</v>
      </c>
      <c r="N708" s="1">
        <f t="shared" si="117"/>
        <v>8.9682531645569625</v>
      </c>
    </row>
    <row r="709" spans="1:14" ht="34.5" customHeight="1" x14ac:dyDescent="0.3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  <c r="J709" s="1">
        <v>7.3</v>
      </c>
      <c r="K709" s="1">
        <v>298</v>
      </c>
      <c r="M709" s="1">
        <v>50</v>
      </c>
      <c r="N709" s="1">
        <f t="shared" si="117"/>
        <v>9.0138931297709934</v>
      </c>
    </row>
    <row r="710" spans="1:14" ht="34.5" customHeight="1" x14ac:dyDescent="0.3">
      <c r="A710" s="1" t="s">
        <v>11</v>
      </c>
      <c r="G710" s="1">
        <v>114.19</v>
      </c>
      <c r="H710" s="1">
        <v>0.67049999999999998</v>
      </c>
      <c r="I710" s="1">
        <v>21.071999999999999</v>
      </c>
      <c r="J710" s="1">
        <v>4</v>
      </c>
      <c r="K710" s="1">
        <v>298</v>
      </c>
      <c r="M710" s="1">
        <v>5</v>
      </c>
      <c r="N710" s="1">
        <f t="shared" ref="N710:N715" si="118">52.7588*0.1555*M710/(1+0.1555*M710)</f>
        <v>23.077337271448666</v>
      </c>
    </row>
    <row r="711" spans="1:14" ht="34.5" customHeight="1" x14ac:dyDescent="0.3">
      <c r="A711" s="1" t="s">
        <v>11</v>
      </c>
      <c r="G711" s="1">
        <v>114.19</v>
      </c>
      <c r="H711" s="1">
        <v>0.67049999999999998</v>
      </c>
      <c r="I711" s="1">
        <v>21.071999999999999</v>
      </c>
      <c r="J711" s="1">
        <v>4</v>
      </c>
      <c r="K711" s="1">
        <v>298</v>
      </c>
      <c r="M711" s="1">
        <v>10</v>
      </c>
      <c r="N711" s="1">
        <f t="shared" si="118"/>
        <v>32.10956320939335</v>
      </c>
    </row>
    <row r="712" spans="1:14" ht="34.5" customHeight="1" x14ac:dyDescent="0.3">
      <c r="A712" s="1" t="s">
        <v>11</v>
      </c>
      <c r="G712" s="1">
        <v>114.19</v>
      </c>
      <c r="H712" s="1">
        <v>0.67049999999999998</v>
      </c>
      <c r="I712" s="1">
        <v>21.071999999999999</v>
      </c>
      <c r="J712" s="1">
        <v>4</v>
      </c>
      <c r="K712" s="1">
        <v>298</v>
      </c>
      <c r="M712" s="1">
        <v>20</v>
      </c>
      <c r="N712" s="1">
        <f t="shared" si="118"/>
        <v>39.922109002433096</v>
      </c>
    </row>
    <row r="713" spans="1:14" ht="34.5" customHeight="1" x14ac:dyDescent="0.3">
      <c r="A713" s="1" t="s">
        <v>11</v>
      </c>
      <c r="G713" s="1">
        <v>114.19</v>
      </c>
      <c r="H713" s="1">
        <v>0.67049999999999998</v>
      </c>
      <c r="I713" s="1">
        <v>21.071999999999999</v>
      </c>
      <c r="J713" s="1">
        <v>4</v>
      </c>
      <c r="K713" s="1">
        <v>298</v>
      </c>
      <c r="M713" s="1">
        <v>40</v>
      </c>
      <c r="N713" s="1">
        <f t="shared" si="118"/>
        <v>45.451486980609424</v>
      </c>
    </row>
    <row r="714" spans="1:14" ht="34.5" customHeight="1" x14ac:dyDescent="0.3">
      <c r="A714" s="1" t="s">
        <v>11</v>
      </c>
      <c r="G714" s="1">
        <v>114.19</v>
      </c>
      <c r="H714" s="1">
        <v>0.67049999999999998</v>
      </c>
      <c r="I714" s="1">
        <v>21.071999999999999</v>
      </c>
      <c r="J714" s="1">
        <v>4</v>
      </c>
      <c r="K714" s="1">
        <v>298</v>
      </c>
      <c r="M714" s="1">
        <v>60</v>
      </c>
      <c r="N714" s="1">
        <f t="shared" si="118"/>
        <v>47.651462149080345</v>
      </c>
    </row>
    <row r="715" spans="1:14" ht="34.5" customHeight="1" x14ac:dyDescent="0.3">
      <c r="A715" s="1" t="s">
        <v>11</v>
      </c>
      <c r="G715" s="1">
        <v>114.19</v>
      </c>
      <c r="H715" s="1">
        <v>0.67049999999999998</v>
      </c>
      <c r="I715" s="1">
        <v>21.071999999999999</v>
      </c>
      <c r="J715" s="1">
        <v>4</v>
      </c>
      <c r="K715" s="1">
        <v>298</v>
      </c>
      <c r="M715" s="1">
        <v>100</v>
      </c>
      <c r="N715" s="1">
        <f t="shared" si="118"/>
        <v>49.570957099697878</v>
      </c>
    </row>
    <row r="716" spans="1:14" ht="34.5" customHeight="1" x14ac:dyDescent="0.3">
      <c r="A716" s="1" t="s">
        <v>11</v>
      </c>
      <c r="G716" s="1">
        <v>160.26</v>
      </c>
      <c r="H716" s="1">
        <v>0.93010000000000004</v>
      </c>
      <c r="I716" s="1">
        <v>21.231000000000002</v>
      </c>
      <c r="J716" s="1">
        <v>4</v>
      </c>
      <c r="K716" s="1">
        <v>298</v>
      </c>
      <c r="M716" s="1">
        <v>5</v>
      </c>
      <c r="N716" s="1">
        <f t="shared" ref="N716:N721" si="119">40.3526*M716*0.14525/(1+0.1425*M716)</f>
        <v>17.113036934306567</v>
      </c>
    </row>
    <row r="717" spans="1:14" ht="34.5" customHeight="1" x14ac:dyDescent="0.3">
      <c r="A717" s="1" t="s">
        <v>11</v>
      </c>
      <c r="G717" s="1">
        <v>160.26</v>
      </c>
      <c r="H717" s="1">
        <v>0.93010000000000004</v>
      </c>
      <c r="I717" s="1">
        <v>21.231000000000002</v>
      </c>
      <c r="J717" s="1">
        <v>4</v>
      </c>
      <c r="K717" s="1">
        <v>298</v>
      </c>
      <c r="M717" s="1">
        <v>10</v>
      </c>
      <c r="N717" s="1">
        <f t="shared" si="119"/>
        <v>24.169959381443299</v>
      </c>
    </row>
    <row r="718" spans="1:14" ht="34.5" customHeight="1" x14ac:dyDescent="0.3">
      <c r="A718" s="1" t="s">
        <v>11</v>
      </c>
      <c r="G718" s="1">
        <v>160.26</v>
      </c>
      <c r="H718" s="1">
        <v>0.93010000000000004</v>
      </c>
      <c r="I718" s="1">
        <v>21.231000000000002</v>
      </c>
      <c r="J718" s="1">
        <v>4</v>
      </c>
      <c r="K718" s="1">
        <v>298</v>
      </c>
      <c r="M718" s="1">
        <v>20</v>
      </c>
      <c r="N718" s="1">
        <f t="shared" si="119"/>
        <v>30.447870909090909</v>
      </c>
    </row>
    <row r="719" spans="1:14" ht="34.5" customHeight="1" x14ac:dyDescent="0.3">
      <c r="A719" s="1" t="s">
        <v>11</v>
      </c>
      <c r="G719" s="1">
        <v>160.26</v>
      </c>
      <c r="H719" s="1">
        <v>0.93010000000000004</v>
      </c>
      <c r="I719" s="1">
        <v>21.231000000000002</v>
      </c>
      <c r="J719" s="1">
        <v>4</v>
      </c>
      <c r="K719" s="1">
        <v>298</v>
      </c>
      <c r="M719" s="1">
        <v>40</v>
      </c>
      <c r="N719" s="1">
        <f t="shared" si="119"/>
        <v>34.992329253731342</v>
      </c>
    </row>
    <row r="720" spans="1:14" ht="34.5" customHeight="1" x14ac:dyDescent="0.3">
      <c r="A720" s="1" t="s">
        <v>11</v>
      </c>
      <c r="G720" s="1">
        <v>160.26</v>
      </c>
      <c r="H720" s="1">
        <v>0.93010000000000004</v>
      </c>
      <c r="I720" s="1">
        <v>21.231000000000002</v>
      </c>
      <c r="J720" s="1">
        <v>4</v>
      </c>
      <c r="K720" s="1">
        <v>298</v>
      </c>
      <c r="M720" s="1">
        <v>60</v>
      </c>
      <c r="N720" s="1">
        <f t="shared" si="119"/>
        <v>36.824388376963348</v>
      </c>
    </row>
    <row r="721" spans="1:14" ht="34.5" customHeight="1" x14ac:dyDescent="0.3">
      <c r="A721" s="1" t="s">
        <v>11</v>
      </c>
      <c r="G721" s="1">
        <v>160.26</v>
      </c>
      <c r="H721" s="1">
        <v>0.93010000000000004</v>
      </c>
      <c r="I721" s="1">
        <v>21.231000000000002</v>
      </c>
      <c r="J721" s="1">
        <v>4</v>
      </c>
      <c r="K721" s="1">
        <v>298</v>
      </c>
      <c r="M721" s="1">
        <v>100</v>
      </c>
      <c r="N721" s="1">
        <f t="shared" si="119"/>
        <v>38.434197704918041</v>
      </c>
    </row>
    <row r="722" spans="1:14" ht="34.5" customHeight="1" x14ac:dyDescent="0.3">
      <c r="A722" s="1" t="s">
        <v>11</v>
      </c>
      <c r="G722" s="1">
        <v>184.81899999999999</v>
      </c>
      <c r="H722" s="1">
        <v>1.0811999999999999</v>
      </c>
      <c r="I722" s="1">
        <v>21.765000000000001</v>
      </c>
      <c r="J722" s="1">
        <v>4</v>
      </c>
      <c r="K722" s="1">
        <v>298</v>
      </c>
      <c r="M722" s="1">
        <v>5</v>
      </c>
      <c r="N722" s="1">
        <f t="shared" ref="N722:N727" si="120">31.1844*0.0902*M722/(1+0.0902*M722)</f>
        <v>9.6927390764989667</v>
      </c>
    </row>
    <row r="723" spans="1:14" ht="34.5" customHeight="1" x14ac:dyDescent="0.3">
      <c r="A723" s="1" t="s">
        <v>11</v>
      </c>
      <c r="G723" s="1">
        <v>184.81899999999999</v>
      </c>
      <c r="H723" s="1">
        <v>1.0811999999999999</v>
      </c>
      <c r="I723" s="1">
        <v>21.765000000000001</v>
      </c>
      <c r="J723" s="1">
        <v>4</v>
      </c>
      <c r="K723" s="1">
        <v>298</v>
      </c>
      <c r="M723" s="1">
        <v>10</v>
      </c>
      <c r="N723" s="1">
        <f t="shared" si="120"/>
        <v>14.788816403785489</v>
      </c>
    </row>
    <row r="724" spans="1:14" ht="34.5" customHeight="1" x14ac:dyDescent="0.3">
      <c r="A724" s="1" t="s">
        <v>11</v>
      </c>
      <c r="G724" s="1">
        <v>184.81899999999999</v>
      </c>
      <c r="H724" s="1">
        <v>1.0811999999999999</v>
      </c>
      <c r="I724" s="1">
        <v>21.765000000000001</v>
      </c>
      <c r="J724" s="1">
        <v>4</v>
      </c>
      <c r="K724" s="1">
        <v>298</v>
      </c>
      <c r="M724" s="1">
        <v>20</v>
      </c>
      <c r="N724" s="1">
        <f t="shared" si="120"/>
        <v>20.063001997146934</v>
      </c>
    </row>
    <row r="725" spans="1:14" ht="34.5" customHeight="1" x14ac:dyDescent="0.3">
      <c r="A725" s="1" t="s">
        <v>11</v>
      </c>
      <c r="G725" s="1">
        <v>184.81899999999999</v>
      </c>
      <c r="H725" s="1">
        <v>1.0811999999999999</v>
      </c>
      <c r="I725" s="1">
        <v>21.765000000000001</v>
      </c>
      <c r="J725" s="1">
        <v>4</v>
      </c>
      <c r="K725" s="1">
        <v>298</v>
      </c>
      <c r="M725" s="1">
        <v>40</v>
      </c>
      <c r="N725" s="1">
        <f t="shared" si="120"/>
        <v>24.416952083333332</v>
      </c>
    </row>
    <row r="726" spans="1:14" ht="34.5" customHeight="1" x14ac:dyDescent="0.3">
      <c r="A726" s="1" t="s">
        <v>11</v>
      </c>
      <c r="G726" s="1">
        <v>184.81899999999999</v>
      </c>
      <c r="H726" s="1">
        <v>1.0811999999999999</v>
      </c>
      <c r="I726" s="1">
        <v>21.765000000000001</v>
      </c>
      <c r="J726" s="1">
        <v>4</v>
      </c>
      <c r="K726" s="1">
        <v>298</v>
      </c>
      <c r="M726" s="1">
        <v>60</v>
      </c>
      <c r="N726" s="1">
        <f t="shared" si="120"/>
        <v>26.320956456643795</v>
      </c>
    </row>
    <row r="727" spans="1:14" ht="34.5" customHeight="1" x14ac:dyDescent="0.3">
      <c r="A727" s="1" t="s">
        <v>11</v>
      </c>
      <c r="G727" s="1">
        <v>184.81899999999999</v>
      </c>
      <c r="H727" s="1">
        <v>1.0811999999999999</v>
      </c>
      <c r="I727" s="1">
        <v>21.765000000000001</v>
      </c>
      <c r="J727" s="1">
        <v>4</v>
      </c>
      <c r="K727" s="1">
        <v>298</v>
      </c>
      <c r="M727" s="1">
        <v>100</v>
      </c>
      <c r="N727" s="1">
        <f t="shared" si="120"/>
        <v>28.072184431137728</v>
      </c>
    </row>
    <row r="728" spans="1:14" ht="34.5" customHeight="1" x14ac:dyDescent="0.3">
      <c r="A728" s="1" t="s">
        <v>11</v>
      </c>
      <c r="G728" s="1">
        <v>50.2</v>
      </c>
      <c r="H728" s="1">
        <v>9.7000000000000003E-2</v>
      </c>
      <c r="I728" s="1">
        <v>10.026</v>
      </c>
      <c r="J728" s="1">
        <v>7</v>
      </c>
      <c r="K728" s="1">
        <v>298</v>
      </c>
      <c r="M728" s="1">
        <v>5</v>
      </c>
      <c r="N728" s="1">
        <f t="shared" ref="N728:N733" si="121">220.31*0.05*M728/(1+0.05*M728)</f>
        <v>44.062000000000005</v>
      </c>
    </row>
    <row r="729" spans="1:14" ht="34.5" customHeight="1" x14ac:dyDescent="0.3">
      <c r="A729" s="1" t="s">
        <v>11</v>
      </c>
      <c r="G729" s="1">
        <v>50.2</v>
      </c>
      <c r="H729" s="1">
        <v>9.7000000000000003E-2</v>
      </c>
      <c r="I729" s="1">
        <v>10.026</v>
      </c>
      <c r="J729" s="1">
        <v>7</v>
      </c>
      <c r="K729" s="1">
        <v>298</v>
      </c>
      <c r="M729" s="1">
        <v>10</v>
      </c>
      <c r="N729" s="1">
        <f t="shared" si="121"/>
        <v>73.436666666666682</v>
      </c>
    </row>
    <row r="730" spans="1:14" ht="34.5" customHeight="1" x14ac:dyDescent="0.3">
      <c r="A730" s="1" t="s">
        <v>11</v>
      </c>
      <c r="G730" s="1">
        <v>50.2</v>
      </c>
      <c r="H730" s="1">
        <v>9.7000000000000003E-2</v>
      </c>
      <c r="I730" s="1">
        <v>10.026</v>
      </c>
      <c r="J730" s="1">
        <v>7</v>
      </c>
      <c r="K730" s="1">
        <v>298</v>
      </c>
      <c r="M730" s="1">
        <v>25</v>
      </c>
      <c r="N730" s="1">
        <f t="shared" si="121"/>
        <v>122.39444444444446</v>
      </c>
    </row>
    <row r="731" spans="1:14" ht="34.5" customHeight="1" x14ac:dyDescent="0.3">
      <c r="A731" s="1" t="s">
        <v>11</v>
      </c>
      <c r="G731" s="1">
        <v>50.2</v>
      </c>
      <c r="H731" s="1">
        <v>9.7000000000000003E-2</v>
      </c>
      <c r="I731" s="1">
        <v>10.026</v>
      </c>
      <c r="J731" s="1">
        <v>7</v>
      </c>
      <c r="K731" s="1">
        <v>298</v>
      </c>
      <c r="M731" s="1">
        <v>50</v>
      </c>
      <c r="N731" s="1">
        <f t="shared" si="121"/>
        <v>157.36428571428573</v>
      </c>
    </row>
    <row r="732" spans="1:14" ht="34.5" customHeight="1" x14ac:dyDescent="0.3">
      <c r="A732" s="1" t="s">
        <v>11</v>
      </c>
      <c r="G732" s="1">
        <v>50.2</v>
      </c>
      <c r="H732" s="1">
        <v>9.7000000000000003E-2</v>
      </c>
      <c r="I732" s="1">
        <v>10.026</v>
      </c>
      <c r="J732" s="1">
        <v>7</v>
      </c>
      <c r="K732" s="1">
        <v>298</v>
      </c>
      <c r="M732" s="1">
        <v>100</v>
      </c>
      <c r="N732" s="1">
        <f t="shared" si="121"/>
        <v>183.5916666666667</v>
      </c>
    </row>
    <row r="733" spans="1:14" ht="34.5" customHeight="1" x14ac:dyDescent="0.3">
      <c r="A733" s="1" t="s">
        <v>11</v>
      </c>
      <c r="G733" s="1">
        <v>50.2</v>
      </c>
      <c r="H733" s="1">
        <v>9.7000000000000003E-2</v>
      </c>
      <c r="I733" s="1">
        <v>10.026</v>
      </c>
      <c r="J733" s="1">
        <v>7</v>
      </c>
      <c r="K733" s="1">
        <v>298</v>
      </c>
      <c r="M733" s="1">
        <v>250</v>
      </c>
      <c r="N733" s="1">
        <f t="shared" si="121"/>
        <v>203.99074074074076</v>
      </c>
    </row>
    <row r="734" spans="1:14" ht="34.5" customHeight="1" x14ac:dyDescent="0.3">
      <c r="A734" s="1" t="s">
        <v>11</v>
      </c>
      <c r="G734" s="1">
        <v>50.2</v>
      </c>
      <c r="H734" s="1">
        <v>9.7000000000000003E-2</v>
      </c>
      <c r="I734" s="1">
        <v>10.026</v>
      </c>
      <c r="J734" s="1">
        <v>3.7</v>
      </c>
      <c r="K734" s="1">
        <v>298</v>
      </c>
      <c r="M734" s="1">
        <v>5</v>
      </c>
      <c r="N734" s="1">
        <f t="shared" ref="N734:N739" si="122">(226.55*0.03*M734)/(1+0.03*M734)</f>
        <v>29.550000000000004</v>
      </c>
    </row>
    <row r="735" spans="1:14" ht="34.5" customHeight="1" x14ac:dyDescent="0.3">
      <c r="A735" s="1" t="s">
        <v>11</v>
      </c>
      <c r="G735" s="1">
        <v>50.2</v>
      </c>
      <c r="H735" s="1">
        <v>9.7000000000000003E-2</v>
      </c>
      <c r="I735" s="1">
        <v>10.026</v>
      </c>
      <c r="J735" s="1">
        <v>3.7</v>
      </c>
      <c r="K735" s="1">
        <v>298</v>
      </c>
      <c r="M735" s="1">
        <v>10</v>
      </c>
      <c r="N735" s="1">
        <f t="shared" si="122"/>
        <v>52.280769230769231</v>
      </c>
    </row>
    <row r="736" spans="1:14" ht="34.5" customHeight="1" x14ac:dyDescent="0.3">
      <c r="A736" s="1" t="s">
        <v>11</v>
      </c>
      <c r="G736" s="1">
        <v>50.2</v>
      </c>
      <c r="H736" s="1">
        <v>9.7000000000000003E-2</v>
      </c>
      <c r="I736" s="1">
        <v>10.026</v>
      </c>
      <c r="J736" s="1">
        <v>3.7</v>
      </c>
      <c r="K736" s="1">
        <v>298</v>
      </c>
      <c r="M736" s="1">
        <v>25</v>
      </c>
      <c r="N736" s="1">
        <f t="shared" si="122"/>
        <v>97.092857142857142</v>
      </c>
    </row>
    <row r="737" spans="1:14" ht="34.5" customHeight="1" x14ac:dyDescent="0.3">
      <c r="A737" s="1" t="s">
        <v>11</v>
      </c>
      <c r="G737" s="1">
        <v>50.2</v>
      </c>
      <c r="H737" s="1">
        <v>9.7000000000000003E-2</v>
      </c>
      <c r="I737" s="1">
        <v>10.026</v>
      </c>
      <c r="J737" s="1">
        <v>3.7</v>
      </c>
      <c r="K737" s="1">
        <v>298</v>
      </c>
      <c r="M737" s="1">
        <v>50</v>
      </c>
      <c r="N737" s="1">
        <f t="shared" si="122"/>
        <v>135.93</v>
      </c>
    </row>
    <row r="738" spans="1:14" ht="34.5" customHeight="1" x14ac:dyDescent="0.3">
      <c r="A738" s="1" t="s">
        <v>11</v>
      </c>
      <c r="G738" s="1">
        <v>50.2</v>
      </c>
      <c r="H738" s="1">
        <v>9.7000000000000003E-2</v>
      </c>
      <c r="I738" s="1">
        <v>10.026</v>
      </c>
      <c r="J738" s="1">
        <v>3.7</v>
      </c>
      <c r="K738" s="1">
        <v>298</v>
      </c>
      <c r="M738" s="1">
        <v>100</v>
      </c>
      <c r="N738" s="1">
        <f t="shared" si="122"/>
        <v>169.91249999999999</v>
      </c>
    </row>
    <row r="739" spans="1:14" ht="34.5" customHeight="1" x14ac:dyDescent="0.3">
      <c r="A739" s="1" t="s">
        <v>11</v>
      </c>
      <c r="G739" s="1">
        <v>50.2</v>
      </c>
      <c r="H739" s="1">
        <v>9.7000000000000003E-2</v>
      </c>
      <c r="I739" s="1">
        <v>10.026</v>
      </c>
      <c r="J739" s="1">
        <v>3.7</v>
      </c>
      <c r="K739" s="1">
        <v>298</v>
      </c>
      <c r="M739" s="1">
        <v>250</v>
      </c>
      <c r="N739" s="1">
        <f t="shared" si="122"/>
        <v>199.89705882352942</v>
      </c>
    </row>
    <row r="740" spans="1:14" ht="34.5" customHeight="1" x14ac:dyDescent="0.3">
      <c r="A740" s="1" t="s">
        <v>11</v>
      </c>
      <c r="G740" s="1">
        <v>50.2</v>
      </c>
      <c r="H740" s="1">
        <v>9.7000000000000003E-2</v>
      </c>
      <c r="I740" s="1">
        <v>10.026</v>
      </c>
      <c r="J740" s="1">
        <v>8.1</v>
      </c>
      <c r="K740" s="1">
        <v>298</v>
      </c>
      <c r="M740" s="1">
        <v>5</v>
      </c>
      <c r="N740" s="1">
        <f t="shared" ref="N740:N745" si="123">(154.67*0.03*M740)/(1+0.03*M740)</f>
        <v>20.174347826086958</v>
      </c>
    </row>
    <row r="741" spans="1:14" ht="34.5" customHeight="1" x14ac:dyDescent="0.3">
      <c r="A741" s="1" t="s">
        <v>11</v>
      </c>
      <c r="G741" s="1">
        <v>50.2</v>
      </c>
      <c r="H741" s="1">
        <v>9.7000000000000003E-2</v>
      </c>
      <c r="I741" s="1">
        <v>10.026</v>
      </c>
      <c r="J741" s="1">
        <v>8.1</v>
      </c>
      <c r="K741" s="1">
        <v>298</v>
      </c>
      <c r="M741" s="1">
        <v>10</v>
      </c>
      <c r="N741" s="1">
        <f t="shared" si="123"/>
        <v>35.693076923076916</v>
      </c>
    </row>
    <row r="742" spans="1:14" ht="34.5" customHeight="1" x14ac:dyDescent="0.3">
      <c r="A742" s="1" t="s">
        <v>11</v>
      </c>
      <c r="G742" s="1">
        <v>50.2</v>
      </c>
      <c r="H742" s="1">
        <v>9.7000000000000003E-2</v>
      </c>
      <c r="I742" s="1">
        <v>10.026</v>
      </c>
      <c r="J742" s="1">
        <v>8.1</v>
      </c>
      <c r="K742" s="1">
        <v>298</v>
      </c>
      <c r="M742" s="1">
        <v>25</v>
      </c>
      <c r="N742" s="1">
        <f t="shared" si="123"/>
        <v>66.287142857142854</v>
      </c>
    </row>
    <row r="743" spans="1:14" ht="34.5" customHeight="1" x14ac:dyDescent="0.3">
      <c r="A743" s="1" t="s">
        <v>11</v>
      </c>
      <c r="G743" s="1">
        <v>50.2</v>
      </c>
      <c r="H743" s="1">
        <v>9.7000000000000003E-2</v>
      </c>
      <c r="I743" s="1">
        <v>10.026</v>
      </c>
      <c r="J743" s="1">
        <v>8.1</v>
      </c>
      <c r="K743" s="1">
        <v>298</v>
      </c>
      <c r="M743" s="1">
        <v>50</v>
      </c>
      <c r="N743" s="1">
        <f t="shared" si="123"/>
        <v>92.801999999999992</v>
      </c>
    </row>
    <row r="744" spans="1:14" ht="34.5" customHeight="1" x14ac:dyDescent="0.3">
      <c r="A744" s="1" t="s">
        <v>11</v>
      </c>
      <c r="G744" s="1">
        <v>50.2</v>
      </c>
      <c r="H744" s="1">
        <v>9.7000000000000003E-2</v>
      </c>
      <c r="I744" s="1">
        <v>10.026</v>
      </c>
      <c r="J744" s="1">
        <v>8.1</v>
      </c>
      <c r="K744" s="1">
        <v>298</v>
      </c>
      <c r="M744" s="1">
        <v>100</v>
      </c>
      <c r="N744" s="1">
        <f t="shared" si="123"/>
        <v>116.00249999999998</v>
      </c>
    </row>
    <row r="745" spans="1:14" ht="34.5" customHeight="1" x14ac:dyDescent="0.3">
      <c r="A745" s="1" t="s">
        <v>11</v>
      </c>
      <c r="G745" s="1">
        <v>50.2</v>
      </c>
      <c r="H745" s="1">
        <v>9.7000000000000003E-2</v>
      </c>
      <c r="I745" s="1">
        <v>10.026</v>
      </c>
      <c r="J745" s="1">
        <v>8.1</v>
      </c>
      <c r="K745" s="1">
        <v>298</v>
      </c>
      <c r="M745" s="1">
        <v>250</v>
      </c>
      <c r="N745" s="1">
        <f t="shared" si="123"/>
        <v>136.4735294117647</v>
      </c>
    </row>
    <row r="746" spans="1:14" ht="34.5" customHeight="1" x14ac:dyDescent="0.3">
      <c r="A746" s="1" t="s">
        <v>11</v>
      </c>
      <c r="G746" s="1">
        <v>50.2</v>
      </c>
      <c r="H746" s="1">
        <v>9.7000000000000003E-2</v>
      </c>
      <c r="I746" s="1">
        <v>10.026</v>
      </c>
      <c r="J746" s="1">
        <v>10.8</v>
      </c>
      <c r="K746" s="1">
        <v>298</v>
      </c>
      <c r="M746" s="1">
        <v>5</v>
      </c>
      <c r="N746" s="1">
        <f t="shared" ref="N746:N751" si="124">(146.27*0.01*M746)/(1+0.01*M746)</f>
        <v>6.965238095238095</v>
      </c>
    </row>
    <row r="747" spans="1:14" ht="34.5" customHeight="1" x14ac:dyDescent="0.3">
      <c r="A747" s="1" t="s">
        <v>11</v>
      </c>
      <c r="G747" s="1">
        <v>50.2</v>
      </c>
      <c r="H747" s="1">
        <v>9.7000000000000003E-2</v>
      </c>
      <c r="I747" s="1">
        <v>10.026</v>
      </c>
      <c r="J747" s="1">
        <v>10.8</v>
      </c>
      <c r="K747" s="1">
        <v>298</v>
      </c>
      <c r="M747" s="1">
        <v>10</v>
      </c>
      <c r="N747" s="1">
        <f t="shared" si="124"/>
        <v>13.297272727272727</v>
      </c>
    </row>
    <row r="748" spans="1:14" ht="34.5" customHeight="1" x14ac:dyDescent="0.3">
      <c r="A748" s="1" t="s">
        <v>11</v>
      </c>
      <c r="G748" s="1">
        <v>50.2</v>
      </c>
      <c r="H748" s="1">
        <v>9.7000000000000003E-2</v>
      </c>
      <c r="I748" s="1">
        <v>10.026</v>
      </c>
      <c r="J748" s="1">
        <v>10.8</v>
      </c>
      <c r="K748" s="1">
        <v>298</v>
      </c>
      <c r="M748" s="1">
        <v>25</v>
      </c>
      <c r="N748" s="1">
        <f t="shared" si="124"/>
        <v>29.254000000000001</v>
      </c>
    </row>
    <row r="749" spans="1:14" ht="34.5" customHeight="1" x14ac:dyDescent="0.3">
      <c r="A749" s="1" t="s">
        <v>11</v>
      </c>
      <c r="G749" s="1">
        <v>50.2</v>
      </c>
      <c r="H749" s="1">
        <v>9.7000000000000003E-2</v>
      </c>
      <c r="I749" s="1">
        <v>10.026</v>
      </c>
      <c r="J749" s="1">
        <v>10.8</v>
      </c>
      <c r="K749" s="1">
        <v>298</v>
      </c>
      <c r="M749" s="1">
        <v>50</v>
      </c>
      <c r="N749" s="1">
        <f t="shared" si="124"/>
        <v>48.756666666666668</v>
      </c>
    </row>
    <row r="750" spans="1:14" ht="34.5" customHeight="1" x14ac:dyDescent="0.3">
      <c r="A750" s="1" t="s">
        <v>11</v>
      </c>
      <c r="G750" s="1">
        <v>50.2</v>
      </c>
      <c r="H750" s="1">
        <v>9.7000000000000003E-2</v>
      </c>
      <c r="I750" s="1">
        <v>10.026</v>
      </c>
      <c r="J750" s="1">
        <v>10.8</v>
      </c>
      <c r="K750" s="1">
        <v>298</v>
      </c>
      <c r="M750" s="1">
        <v>100</v>
      </c>
      <c r="N750" s="1">
        <f t="shared" si="124"/>
        <v>73.135000000000005</v>
      </c>
    </row>
    <row r="751" spans="1:14" ht="34.5" customHeight="1" x14ac:dyDescent="0.3">
      <c r="A751" s="1" t="s">
        <v>11</v>
      </c>
      <c r="G751" s="1">
        <v>50.2</v>
      </c>
      <c r="H751" s="1">
        <v>9.7000000000000003E-2</v>
      </c>
      <c r="I751" s="1">
        <v>10.026</v>
      </c>
      <c r="J751" s="1">
        <v>10.8</v>
      </c>
      <c r="K751" s="1">
        <v>298</v>
      </c>
      <c r="M751" s="1">
        <v>250</v>
      </c>
      <c r="N751" s="1">
        <f t="shared" si="124"/>
        <v>104.47857142857143</v>
      </c>
    </row>
    <row r="752" spans="1:14" ht="34.5" customHeight="1" x14ac:dyDescent="0.3">
      <c r="A752" s="1" t="s">
        <v>11</v>
      </c>
      <c r="G752" s="1">
        <v>28.3</v>
      </c>
      <c r="H752" s="1">
        <v>0.17299999999999999</v>
      </c>
      <c r="J752" s="1">
        <v>7</v>
      </c>
      <c r="K752" s="1">
        <v>298</v>
      </c>
      <c r="M752" s="1">
        <v>2</v>
      </c>
      <c r="N752" s="1">
        <f t="shared" ref="N752:N757" si="125">178.9*0.404*M752/(1+0.404*M752)</f>
        <v>79.95088495575223</v>
      </c>
    </row>
    <row r="753" spans="1:14" ht="34.5" customHeight="1" x14ac:dyDescent="0.3">
      <c r="A753" s="1" t="s">
        <v>11</v>
      </c>
      <c r="G753" s="1">
        <v>28.3</v>
      </c>
      <c r="H753" s="1">
        <v>0.17299999999999999</v>
      </c>
      <c r="J753" s="1">
        <v>7</v>
      </c>
      <c r="K753" s="1">
        <v>298</v>
      </c>
      <c r="M753" s="1">
        <v>5</v>
      </c>
      <c r="N753" s="1">
        <f t="shared" si="125"/>
        <v>119.66158940397352</v>
      </c>
    </row>
    <row r="754" spans="1:14" ht="34.5" customHeight="1" x14ac:dyDescent="0.3">
      <c r="A754" s="1" t="s">
        <v>11</v>
      </c>
      <c r="G754" s="1">
        <v>28.3</v>
      </c>
      <c r="H754" s="1">
        <v>0.17299999999999999</v>
      </c>
      <c r="J754" s="1">
        <v>7</v>
      </c>
      <c r="K754" s="1">
        <v>298</v>
      </c>
      <c r="M754" s="1">
        <v>8</v>
      </c>
      <c r="N754" s="1">
        <f t="shared" si="125"/>
        <v>136.62684310018906</v>
      </c>
    </row>
    <row r="755" spans="1:14" ht="34.5" customHeight="1" x14ac:dyDescent="0.3">
      <c r="A755" s="1" t="s">
        <v>11</v>
      </c>
      <c r="G755" s="1">
        <v>28.3</v>
      </c>
      <c r="H755" s="1">
        <v>0.17299999999999999</v>
      </c>
      <c r="J755" s="1">
        <v>7</v>
      </c>
      <c r="K755" s="1">
        <v>298</v>
      </c>
      <c r="M755" s="1">
        <v>10</v>
      </c>
      <c r="N755" s="1">
        <f t="shared" si="125"/>
        <v>143.40396825396826</v>
      </c>
    </row>
    <row r="756" spans="1:14" ht="34.5" customHeight="1" x14ac:dyDescent="0.3">
      <c r="A756" s="1" t="s">
        <v>11</v>
      </c>
      <c r="G756" s="1">
        <v>28.3</v>
      </c>
      <c r="H756" s="1">
        <v>0.17299999999999999</v>
      </c>
      <c r="J756" s="1">
        <v>7</v>
      </c>
      <c r="K756" s="1">
        <v>298</v>
      </c>
      <c r="M756" s="1">
        <v>15</v>
      </c>
      <c r="N756" s="1">
        <f t="shared" si="125"/>
        <v>153.56005665722381</v>
      </c>
    </row>
    <row r="757" spans="1:14" ht="34.5" customHeight="1" x14ac:dyDescent="0.3">
      <c r="A757" s="1" t="s">
        <v>11</v>
      </c>
      <c r="G757" s="1">
        <v>28.3</v>
      </c>
      <c r="H757" s="1">
        <v>0.17299999999999999</v>
      </c>
      <c r="J757" s="1">
        <v>7</v>
      </c>
      <c r="K757" s="1">
        <v>298</v>
      </c>
      <c r="M757" s="1">
        <v>30</v>
      </c>
      <c r="N757" s="1">
        <f t="shared" si="125"/>
        <v>165.2643292682927</v>
      </c>
    </row>
    <row r="758" spans="1:14" ht="34.5" customHeight="1" x14ac:dyDescent="0.3">
      <c r="A758" s="1">
        <v>5.2</v>
      </c>
      <c r="G758" s="1">
        <v>380.4</v>
      </c>
      <c r="H758" s="1">
        <v>0.53</v>
      </c>
      <c r="J758" s="1">
        <v>7</v>
      </c>
      <c r="K758" s="1">
        <v>293</v>
      </c>
      <c r="M758" s="1">
        <v>2</v>
      </c>
      <c r="N758" s="1">
        <f t="shared" ref="N758:N763" si="126">(68.2*0.02*M758)/(1+0.02*M758)</f>
        <v>2.6230769230769231</v>
      </c>
    </row>
    <row r="759" spans="1:14" ht="34.5" customHeight="1" x14ac:dyDescent="0.3">
      <c r="A759" s="1">
        <v>5.2</v>
      </c>
      <c r="G759" s="1">
        <v>380.4</v>
      </c>
      <c r="H759" s="1">
        <v>0.53</v>
      </c>
      <c r="J759" s="1">
        <v>7</v>
      </c>
      <c r="K759" s="1">
        <v>293</v>
      </c>
      <c r="M759" s="1">
        <v>6</v>
      </c>
      <c r="N759" s="1">
        <f t="shared" si="126"/>
        <v>7.3071428571428578</v>
      </c>
    </row>
    <row r="760" spans="1:14" ht="34.5" customHeight="1" x14ac:dyDescent="0.3">
      <c r="A760" s="1">
        <v>5.2</v>
      </c>
      <c r="G760" s="1">
        <v>380.4</v>
      </c>
      <c r="H760" s="1">
        <v>0.53</v>
      </c>
      <c r="J760" s="1">
        <v>7</v>
      </c>
      <c r="K760" s="1">
        <v>293</v>
      </c>
      <c r="M760" s="1">
        <v>12</v>
      </c>
      <c r="N760" s="1">
        <f t="shared" si="126"/>
        <v>13.200000000000001</v>
      </c>
    </row>
    <row r="761" spans="1:14" ht="34.5" customHeight="1" x14ac:dyDescent="0.3">
      <c r="A761" s="1">
        <v>5.2</v>
      </c>
      <c r="G761" s="1">
        <v>380.4</v>
      </c>
      <c r="H761" s="1">
        <v>0.53</v>
      </c>
      <c r="J761" s="1">
        <v>7</v>
      </c>
      <c r="K761" s="1">
        <v>293</v>
      </c>
      <c r="M761" s="1">
        <v>30</v>
      </c>
      <c r="N761" s="1">
        <f t="shared" si="126"/>
        <v>25.574999999999999</v>
      </c>
    </row>
    <row r="762" spans="1:14" ht="34.5" customHeight="1" x14ac:dyDescent="0.3">
      <c r="A762" s="1">
        <v>5.2</v>
      </c>
      <c r="G762" s="1">
        <v>380.4</v>
      </c>
      <c r="H762" s="1">
        <v>0.53</v>
      </c>
      <c r="J762" s="1">
        <v>7</v>
      </c>
      <c r="K762" s="1">
        <v>293</v>
      </c>
      <c r="M762" s="1">
        <v>60</v>
      </c>
      <c r="N762" s="1">
        <f t="shared" si="126"/>
        <v>37.199999999999996</v>
      </c>
    </row>
    <row r="763" spans="1:14" ht="34.5" customHeight="1" x14ac:dyDescent="0.3">
      <c r="A763" s="1">
        <v>5.2</v>
      </c>
      <c r="G763" s="1">
        <v>380.4</v>
      </c>
      <c r="H763" s="1">
        <v>0.53</v>
      </c>
      <c r="J763" s="1">
        <v>7</v>
      </c>
      <c r="K763" s="1">
        <v>293</v>
      </c>
      <c r="M763" s="1">
        <v>120</v>
      </c>
      <c r="N763" s="1">
        <f t="shared" si="126"/>
        <v>48.141176470588242</v>
      </c>
    </row>
    <row r="764" spans="1:14" ht="34.5" customHeight="1" x14ac:dyDescent="0.3">
      <c r="A764" s="1">
        <v>21.8</v>
      </c>
      <c r="B764" s="1" t="s">
        <v>11</v>
      </c>
      <c r="C764" s="1" t="s">
        <v>11</v>
      </c>
      <c r="E764" s="1" t="s">
        <v>11</v>
      </c>
      <c r="F764" s="1" t="s">
        <v>11</v>
      </c>
      <c r="G764" s="1">
        <v>55.69</v>
      </c>
      <c r="J764" s="1">
        <v>7</v>
      </c>
      <c r="K764" s="1">
        <v>298</v>
      </c>
      <c r="M764" s="1">
        <v>5</v>
      </c>
      <c r="N764" s="1">
        <f t="shared" ref="N764:N769" si="127">71.94*0.2861*M764/(1+0.2861*M764)</f>
        <v>42.341152026332026</v>
      </c>
    </row>
    <row r="765" spans="1:14" ht="34.5" customHeight="1" x14ac:dyDescent="0.3">
      <c r="A765" s="1">
        <v>22.8</v>
      </c>
      <c r="B765" s="1" t="s">
        <v>11</v>
      </c>
      <c r="C765" s="1" t="s">
        <v>11</v>
      </c>
      <c r="E765" s="1" t="s">
        <v>11</v>
      </c>
      <c r="F765" s="1" t="s">
        <v>11</v>
      </c>
      <c r="G765" s="1">
        <v>55.69</v>
      </c>
      <c r="J765" s="1">
        <v>7</v>
      </c>
      <c r="K765" s="1">
        <v>298</v>
      </c>
      <c r="M765" s="1">
        <v>10</v>
      </c>
      <c r="N765" s="1">
        <f t="shared" si="127"/>
        <v>53.30752136752136</v>
      </c>
    </row>
    <row r="766" spans="1:14" ht="34.5" customHeight="1" x14ac:dyDescent="0.3">
      <c r="A766" s="1">
        <v>23.8</v>
      </c>
      <c r="B766" s="1" t="s">
        <v>11</v>
      </c>
      <c r="C766" s="1" t="s">
        <v>11</v>
      </c>
      <c r="E766" s="1" t="s">
        <v>11</v>
      </c>
      <c r="F766" s="1" t="s">
        <v>11</v>
      </c>
      <c r="G766" s="1">
        <v>55.69</v>
      </c>
      <c r="J766" s="1">
        <v>7</v>
      </c>
      <c r="K766" s="1">
        <v>298</v>
      </c>
      <c r="M766" s="1">
        <v>15</v>
      </c>
      <c r="N766" s="1">
        <f t="shared" si="127"/>
        <v>58.344611168855707</v>
      </c>
    </row>
    <row r="767" spans="1:14" ht="34.5" customHeight="1" x14ac:dyDescent="0.3">
      <c r="A767" s="1">
        <v>24.8</v>
      </c>
      <c r="B767" s="1" t="s">
        <v>11</v>
      </c>
      <c r="C767" s="1" t="s">
        <v>11</v>
      </c>
      <c r="E767" s="1" t="s">
        <v>11</v>
      </c>
      <c r="F767" s="1" t="s">
        <v>11</v>
      </c>
      <c r="G767" s="1">
        <v>55.69</v>
      </c>
      <c r="J767" s="1">
        <v>7</v>
      </c>
      <c r="K767" s="1">
        <v>298</v>
      </c>
      <c r="M767" s="1">
        <v>50</v>
      </c>
      <c r="N767" s="1">
        <f t="shared" si="127"/>
        <v>67.239575302188811</v>
      </c>
    </row>
    <row r="768" spans="1:14" ht="34.5" customHeight="1" x14ac:dyDescent="0.3">
      <c r="A768" s="1">
        <v>25.8</v>
      </c>
      <c r="B768" s="1" t="s">
        <v>11</v>
      </c>
      <c r="C768" s="1" t="s">
        <v>11</v>
      </c>
      <c r="E768" s="1" t="s">
        <v>11</v>
      </c>
      <c r="F768" s="1" t="s">
        <v>11</v>
      </c>
      <c r="G768" s="1">
        <v>55.69</v>
      </c>
      <c r="J768" s="1">
        <v>7</v>
      </c>
      <c r="K768" s="1">
        <v>298</v>
      </c>
      <c r="M768" s="1">
        <v>100</v>
      </c>
      <c r="N768" s="1">
        <f t="shared" si="127"/>
        <v>69.510415400202618</v>
      </c>
    </row>
    <row r="769" spans="1:14" ht="34.5" customHeight="1" x14ac:dyDescent="0.3">
      <c r="A769" s="1">
        <v>26.8</v>
      </c>
      <c r="B769" s="1" t="s">
        <v>11</v>
      </c>
      <c r="C769" s="1" t="s">
        <v>11</v>
      </c>
      <c r="E769" s="1" t="s">
        <v>11</v>
      </c>
      <c r="F769" s="1" t="s">
        <v>11</v>
      </c>
      <c r="G769" s="1">
        <v>55.69</v>
      </c>
      <c r="J769" s="1">
        <v>7</v>
      </c>
      <c r="K769" s="1">
        <v>298</v>
      </c>
      <c r="M769" s="1">
        <v>200</v>
      </c>
      <c r="N769" s="1">
        <f t="shared" si="127"/>
        <v>70.704342150463745</v>
      </c>
    </row>
    <row r="770" spans="1:14" ht="34.5" customHeight="1" x14ac:dyDescent="0.3">
      <c r="A770" s="1" t="s">
        <v>11</v>
      </c>
      <c r="B770" s="1" t="s">
        <v>11</v>
      </c>
      <c r="C770" s="1" t="s">
        <v>11</v>
      </c>
      <c r="E770" s="1" t="s">
        <v>11</v>
      </c>
      <c r="F770" s="1" t="s">
        <v>11</v>
      </c>
      <c r="J770" s="1">
        <v>4.3</v>
      </c>
      <c r="K770" s="1">
        <v>298</v>
      </c>
      <c r="M770" s="1">
        <v>2</v>
      </c>
      <c r="N770" s="1">
        <f t="shared" ref="N770:N775" si="128">13.87*M770^(1/3.26)</f>
        <v>17.156036065375904</v>
      </c>
    </row>
    <row r="771" spans="1:14" ht="34.5" customHeight="1" x14ac:dyDescent="0.3">
      <c r="A771" s="1" t="s">
        <v>11</v>
      </c>
      <c r="B771" s="1" t="s">
        <v>11</v>
      </c>
      <c r="C771" s="1" t="s">
        <v>11</v>
      </c>
      <c r="E771" s="1" t="s">
        <v>11</v>
      </c>
      <c r="F771" s="1" t="s">
        <v>11</v>
      </c>
      <c r="J771" s="1">
        <v>4.3</v>
      </c>
      <c r="K771" s="1">
        <v>298</v>
      </c>
      <c r="M771" s="1">
        <v>25</v>
      </c>
      <c r="N771" s="1">
        <f t="shared" si="128"/>
        <v>37.229946716250794</v>
      </c>
    </row>
    <row r="772" spans="1:14" ht="34.5" customHeight="1" x14ac:dyDescent="0.3">
      <c r="A772" s="1" t="s">
        <v>11</v>
      </c>
      <c r="B772" s="1" t="s">
        <v>11</v>
      </c>
      <c r="C772" s="1" t="s">
        <v>11</v>
      </c>
      <c r="E772" s="1" t="s">
        <v>11</v>
      </c>
      <c r="F772" s="1" t="s">
        <v>11</v>
      </c>
      <c r="J772" s="1">
        <v>4.3</v>
      </c>
      <c r="K772" s="1">
        <v>298</v>
      </c>
      <c r="M772" s="1">
        <v>50</v>
      </c>
      <c r="N772" s="1">
        <f t="shared" si="128"/>
        <v>46.050346688970571</v>
      </c>
    </row>
    <row r="773" spans="1:14" ht="34.5" customHeight="1" x14ac:dyDescent="0.3">
      <c r="A773" s="1" t="s">
        <v>11</v>
      </c>
      <c r="B773" s="1" t="s">
        <v>11</v>
      </c>
      <c r="C773" s="1" t="s">
        <v>11</v>
      </c>
      <c r="E773" s="1" t="s">
        <v>11</v>
      </c>
      <c r="F773" s="1" t="s">
        <v>11</v>
      </c>
      <c r="J773" s="1">
        <v>4.3</v>
      </c>
      <c r="K773" s="1">
        <v>298</v>
      </c>
      <c r="M773" s="1">
        <v>100</v>
      </c>
      <c r="N773" s="1">
        <f t="shared" si="128"/>
        <v>56.960447629347023</v>
      </c>
    </row>
    <row r="774" spans="1:14" ht="34.5" customHeight="1" x14ac:dyDescent="0.3">
      <c r="A774" s="1" t="s">
        <v>11</v>
      </c>
      <c r="B774" s="1" t="s">
        <v>11</v>
      </c>
      <c r="C774" s="1" t="s">
        <v>11</v>
      </c>
      <c r="E774" s="1" t="s">
        <v>11</v>
      </c>
      <c r="F774" s="1" t="s">
        <v>11</v>
      </c>
      <c r="J774" s="1">
        <v>4.3</v>
      </c>
      <c r="K774" s="1">
        <v>298</v>
      </c>
      <c r="M774" s="1">
        <v>175</v>
      </c>
      <c r="N774" s="1">
        <f t="shared" si="128"/>
        <v>67.627750581780433</v>
      </c>
    </row>
    <row r="775" spans="1:14" ht="34.5" customHeight="1" x14ac:dyDescent="0.3">
      <c r="A775" s="1" t="s">
        <v>11</v>
      </c>
      <c r="B775" s="1" t="s">
        <v>11</v>
      </c>
      <c r="C775" s="1" t="s">
        <v>11</v>
      </c>
      <c r="E775" s="1" t="s">
        <v>11</v>
      </c>
      <c r="F775" s="1" t="s">
        <v>11</v>
      </c>
      <c r="J775" s="1">
        <v>4.3</v>
      </c>
      <c r="K775" s="1">
        <v>298</v>
      </c>
      <c r="M775" s="1">
        <v>250</v>
      </c>
      <c r="N775" s="1">
        <f t="shared" si="128"/>
        <v>75.446809827830137</v>
      </c>
    </row>
    <row r="776" spans="1:14" ht="34.5" customHeight="1" x14ac:dyDescent="0.3">
      <c r="A776" s="1" t="s">
        <v>11</v>
      </c>
      <c r="G776" s="1">
        <v>17.5</v>
      </c>
      <c r="H776" s="1">
        <v>9.6299999999999997E-2</v>
      </c>
      <c r="I776" s="1">
        <v>31.572299999999998</v>
      </c>
      <c r="J776" s="1">
        <v>5</v>
      </c>
      <c r="K776" s="1">
        <v>293</v>
      </c>
      <c r="M776" s="1">
        <v>5</v>
      </c>
      <c r="N776" s="1">
        <f t="shared" ref="N776:N781" si="129">312.55*0.0051*M776/(1+0.0051*M776)</f>
        <v>7.7718430034129691</v>
      </c>
    </row>
    <row r="777" spans="1:14" ht="34.5" customHeight="1" x14ac:dyDescent="0.3">
      <c r="A777" s="1" t="s">
        <v>11</v>
      </c>
      <c r="G777" s="1">
        <v>17.5</v>
      </c>
      <c r="H777" s="1">
        <v>9.6299999999999997E-2</v>
      </c>
      <c r="I777" s="1">
        <v>31.572299999999998</v>
      </c>
      <c r="J777" s="1">
        <v>5</v>
      </c>
      <c r="K777" s="1">
        <v>293</v>
      </c>
      <c r="M777" s="1">
        <v>10</v>
      </c>
      <c r="N777" s="1">
        <f t="shared" si="129"/>
        <v>15.166555661274979</v>
      </c>
    </row>
    <row r="778" spans="1:14" ht="34.5" customHeight="1" x14ac:dyDescent="0.3">
      <c r="A778" s="1" t="s">
        <v>11</v>
      </c>
      <c r="G778" s="1">
        <v>17.5</v>
      </c>
      <c r="H778" s="1">
        <v>9.6299999999999997E-2</v>
      </c>
      <c r="I778" s="1">
        <v>31.572299999999998</v>
      </c>
      <c r="J778" s="1">
        <v>5</v>
      </c>
      <c r="K778" s="1">
        <v>293</v>
      </c>
      <c r="M778" s="1">
        <v>25</v>
      </c>
      <c r="N778" s="1">
        <f t="shared" si="129"/>
        <v>35.343791574279386</v>
      </c>
    </row>
    <row r="779" spans="1:14" ht="34.5" customHeight="1" x14ac:dyDescent="0.3">
      <c r="A779" s="1" t="s">
        <v>11</v>
      </c>
      <c r="G779" s="1">
        <v>17.5</v>
      </c>
      <c r="H779" s="1">
        <v>9.6299999999999997E-2</v>
      </c>
      <c r="I779" s="1">
        <v>31.572299999999998</v>
      </c>
      <c r="J779" s="1">
        <v>5</v>
      </c>
      <c r="K779" s="1">
        <v>293</v>
      </c>
      <c r="M779" s="1">
        <v>50</v>
      </c>
      <c r="N779" s="1">
        <f t="shared" si="129"/>
        <v>63.506175298804799</v>
      </c>
    </row>
    <row r="780" spans="1:14" ht="34.5" customHeight="1" x14ac:dyDescent="0.3">
      <c r="A780" s="1" t="s">
        <v>11</v>
      </c>
      <c r="G780" s="1">
        <v>17.5</v>
      </c>
      <c r="H780" s="1">
        <v>9.6299999999999997E-2</v>
      </c>
      <c r="I780" s="1">
        <v>31.572299999999998</v>
      </c>
      <c r="J780" s="1">
        <v>5</v>
      </c>
      <c r="K780" s="1">
        <v>293</v>
      </c>
      <c r="M780" s="1">
        <v>100</v>
      </c>
      <c r="N780" s="1">
        <f t="shared" si="129"/>
        <v>105.56324503311259</v>
      </c>
    </row>
    <row r="781" spans="1:14" ht="34.5" customHeight="1" x14ac:dyDescent="0.3">
      <c r="A781" s="1" t="s">
        <v>11</v>
      </c>
      <c r="G781" s="1">
        <v>17.5</v>
      </c>
      <c r="H781" s="1">
        <v>9.6299999999999997E-2</v>
      </c>
      <c r="I781" s="1">
        <v>31.572299999999998</v>
      </c>
      <c r="J781" s="1">
        <v>5</v>
      </c>
      <c r="K781" s="1">
        <v>293</v>
      </c>
      <c r="M781" s="1">
        <v>200</v>
      </c>
      <c r="N781" s="1">
        <f t="shared" si="129"/>
        <v>157.82227722772279</v>
      </c>
    </row>
    <row r="782" spans="1:14" ht="34.5" customHeight="1" x14ac:dyDescent="0.3">
      <c r="A782" s="1" t="s">
        <v>11</v>
      </c>
      <c r="G782" s="1">
        <v>17.5</v>
      </c>
      <c r="H782" s="1">
        <v>9.6299999999999997E-2</v>
      </c>
      <c r="I782" s="1">
        <v>31.572299999999998</v>
      </c>
      <c r="J782" s="1">
        <v>5</v>
      </c>
      <c r="K782" s="1">
        <v>298</v>
      </c>
      <c r="M782" s="1">
        <v>5</v>
      </c>
      <c r="N782" s="1">
        <f t="shared" ref="N782:N787" si="130">303.03*0.005*M782/(1+0.005*M782)</f>
        <v>7.3909756097560981</v>
      </c>
    </row>
    <row r="783" spans="1:14" ht="34.5" customHeight="1" x14ac:dyDescent="0.3">
      <c r="A783" s="1" t="s">
        <v>11</v>
      </c>
      <c r="G783" s="1">
        <v>17.5</v>
      </c>
      <c r="H783" s="1">
        <v>9.6299999999999997E-2</v>
      </c>
      <c r="I783" s="1">
        <v>31.572299999999998</v>
      </c>
      <c r="J783" s="1">
        <v>5</v>
      </c>
      <c r="K783" s="1">
        <v>298</v>
      </c>
      <c r="M783" s="1">
        <v>10</v>
      </c>
      <c r="N783" s="1">
        <f t="shared" si="130"/>
        <v>14.43</v>
      </c>
    </row>
    <row r="784" spans="1:14" ht="34.5" customHeight="1" x14ac:dyDescent="0.3">
      <c r="A784" s="1" t="s">
        <v>11</v>
      </c>
      <c r="G784" s="1">
        <v>17.5</v>
      </c>
      <c r="H784" s="1">
        <v>9.6299999999999997E-2</v>
      </c>
      <c r="I784" s="1">
        <v>31.572299999999998</v>
      </c>
      <c r="J784" s="1">
        <v>5</v>
      </c>
      <c r="K784" s="1">
        <v>298</v>
      </c>
      <c r="M784" s="1">
        <v>25</v>
      </c>
      <c r="N784" s="1">
        <f t="shared" si="130"/>
        <v>33.669999999999995</v>
      </c>
    </row>
    <row r="785" spans="1:14" ht="34.5" customHeight="1" x14ac:dyDescent="0.3">
      <c r="A785" s="1" t="s">
        <v>11</v>
      </c>
      <c r="G785" s="1">
        <v>17.5</v>
      </c>
      <c r="H785" s="1">
        <v>9.6299999999999997E-2</v>
      </c>
      <c r="I785" s="1">
        <v>31.572299999999998</v>
      </c>
      <c r="J785" s="1">
        <v>5</v>
      </c>
      <c r="K785" s="1">
        <v>298</v>
      </c>
      <c r="M785" s="1">
        <v>50</v>
      </c>
      <c r="N785" s="1">
        <f t="shared" si="130"/>
        <v>60.605999999999995</v>
      </c>
    </row>
    <row r="786" spans="1:14" ht="34.5" customHeight="1" x14ac:dyDescent="0.3">
      <c r="A786" s="1" t="s">
        <v>11</v>
      </c>
      <c r="G786" s="1">
        <v>17.5</v>
      </c>
      <c r="H786" s="1">
        <v>9.6299999999999997E-2</v>
      </c>
      <c r="I786" s="1">
        <v>31.572299999999998</v>
      </c>
      <c r="J786" s="1">
        <v>5</v>
      </c>
      <c r="K786" s="1">
        <v>298</v>
      </c>
      <c r="M786" s="1">
        <v>100</v>
      </c>
      <c r="N786" s="1">
        <f t="shared" si="130"/>
        <v>101.00999999999999</v>
      </c>
    </row>
    <row r="787" spans="1:14" ht="34.5" customHeight="1" x14ac:dyDescent="0.3">
      <c r="A787" s="1" t="s">
        <v>11</v>
      </c>
      <c r="G787" s="1">
        <v>17.5</v>
      </c>
      <c r="H787" s="1">
        <v>9.6299999999999997E-2</v>
      </c>
      <c r="I787" s="1">
        <v>31.572299999999998</v>
      </c>
      <c r="J787" s="1">
        <v>5</v>
      </c>
      <c r="K787" s="1">
        <v>298</v>
      </c>
      <c r="M787" s="1">
        <v>200</v>
      </c>
      <c r="N787" s="1">
        <f t="shared" si="130"/>
        <v>151.51499999999999</v>
      </c>
    </row>
    <row r="788" spans="1:14" ht="34.5" customHeight="1" x14ac:dyDescent="0.3">
      <c r="A788" s="1" t="s">
        <v>11</v>
      </c>
      <c r="G788" s="1">
        <v>17.5</v>
      </c>
      <c r="H788" s="1">
        <v>9.6299999999999997E-2</v>
      </c>
      <c r="I788" s="1">
        <v>31.572299999999998</v>
      </c>
      <c r="J788" s="1">
        <v>5</v>
      </c>
      <c r="K788" s="1">
        <v>303</v>
      </c>
      <c r="M788" s="1">
        <v>5</v>
      </c>
      <c r="N788" s="1">
        <f t="shared" ref="N788:N793" si="131">(294.11*0.0047*M788)/(1+0.0047*M788)</f>
        <v>6.7528920371275039</v>
      </c>
    </row>
    <row r="789" spans="1:14" ht="34.5" customHeight="1" x14ac:dyDescent="0.3">
      <c r="A789" s="1" t="s">
        <v>11</v>
      </c>
      <c r="G789" s="1">
        <v>17.5</v>
      </c>
      <c r="H789" s="1">
        <v>9.6299999999999997E-2</v>
      </c>
      <c r="I789" s="1">
        <v>31.572299999999998</v>
      </c>
      <c r="J789" s="1">
        <v>5</v>
      </c>
      <c r="K789" s="1">
        <v>303</v>
      </c>
      <c r="M789" s="1">
        <v>10</v>
      </c>
      <c r="N789" s="1">
        <f t="shared" si="131"/>
        <v>13.20264565425024</v>
      </c>
    </row>
    <row r="790" spans="1:14" ht="34.5" customHeight="1" x14ac:dyDescent="0.3">
      <c r="A790" s="1" t="s">
        <v>11</v>
      </c>
      <c r="C790" s="1" t="s">
        <v>21</v>
      </c>
      <c r="G790" s="1">
        <v>17.5</v>
      </c>
      <c r="H790" s="1">
        <v>9.6299999999999997E-2</v>
      </c>
      <c r="I790" s="1">
        <v>31.572299999999998</v>
      </c>
      <c r="J790" s="1">
        <v>5</v>
      </c>
      <c r="K790" s="1">
        <v>303</v>
      </c>
      <c r="M790" s="1">
        <v>25</v>
      </c>
      <c r="N790" s="1">
        <f t="shared" si="131"/>
        <v>30.924317673378077</v>
      </c>
    </row>
    <row r="791" spans="1:14" ht="34.5" customHeight="1" x14ac:dyDescent="0.3">
      <c r="A791" s="1" t="s">
        <v>11</v>
      </c>
      <c r="G791" s="1">
        <v>17.5</v>
      </c>
      <c r="H791" s="1">
        <v>9.6299999999999997E-2</v>
      </c>
      <c r="I791" s="1">
        <v>31.572299999999998</v>
      </c>
      <c r="J791" s="1">
        <v>5</v>
      </c>
      <c r="K791" s="1">
        <v>303</v>
      </c>
      <c r="M791" s="1">
        <v>50</v>
      </c>
      <c r="N791" s="1">
        <f t="shared" si="131"/>
        <v>55.964251012145738</v>
      </c>
    </row>
    <row r="792" spans="1:14" ht="34.5" customHeight="1" x14ac:dyDescent="0.3">
      <c r="A792" s="1" t="s">
        <v>11</v>
      </c>
      <c r="G792" s="1">
        <v>17.5</v>
      </c>
      <c r="H792" s="1">
        <v>9.6299999999999997E-2</v>
      </c>
      <c r="I792" s="1">
        <v>31.572299999999998</v>
      </c>
      <c r="J792" s="1">
        <v>5</v>
      </c>
      <c r="K792" s="1">
        <v>303</v>
      </c>
      <c r="M792" s="1">
        <v>100</v>
      </c>
      <c r="N792" s="1">
        <f t="shared" si="131"/>
        <v>94.035170068027199</v>
      </c>
    </row>
    <row r="793" spans="1:14" ht="34.5" customHeight="1" x14ac:dyDescent="0.3">
      <c r="A793" s="1" t="s">
        <v>11</v>
      </c>
      <c r="G793" s="1">
        <v>17.5</v>
      </c>
      <c r="H793" s="1">
        <v>9.6299999999999997E-2</v>
      </c>
      <c r="I793" s="1">
        <v>31.572299999999998</v>
      </c>
      <c r="J793" s="1">
        <v>5</v>
      </c>
      <c r="K793" s="1">
        <v>303</v>
      </c>
      <c r="M793" s="1">
        <v>200</v>
      </c>
      <c r="N793" s="1">
        <f t="shared" si="131"/>
        <v>142.50690721649485</v>
      </c>
    </row>
    <row r="794" spans="1:14" ht="34.5" customHeight="1" x14ac:dyDescent="0.3">
      <c r="A794" s="1" t="s">
        <v>11</v>
      </c>
      <c r="J794" s="1">
        <v>4</v>
      </c>
      <c r="K794" s="1">
        <v>298</v>
      </c>
      <c r="M794" s="1">
        <v>5</v>
      </c>
      <c r="N794" s="1">
        <f t="shared" ref="N794:N799" si="132">3.161*LN(118.17)+3.161*LN(M794)</f>
        <v>20.172118044926762</v>
      </c>
    </row>
    <row r="795" spans="1:14" ht="34.5" customHeight="1" x14ac:dyDescent="0.3">
      <c r="A795" s="1" t="s">
        <v>11</v>
      </c>
      <c r="J795" s="1">
        <v>4</v>
      </c>
      <c r="K795" s="1">
        <v>298</v>
      </c>
      <c r="M795" s="1">
        <v>10</v>
      </c>
      <c r="N795" s="1">
        <f t="shared" si="132"/>
        <v>22.363156282676751</v>
      </c>
    </row>
    <row r="796" spans="1:14" ht="34.5" customHeight="1" x14ac:dyDescent="0.3">
      <c r="A796" s="1" t="s">
        <v>11</v>
      </c>
      <c r="J796" s="1">
        <v>4</v>
      </c>
      <c r="K796" s="1">
        <v>298</v>
      </c>
      <c r="M796" s="1">
        <v>25</v>
      </c>
      <c r="N796" s="1">
        <f t="shared" si="132"/>
        <v>25.259551286130954</v>
      </c>
    </row>
    <row r="797" spans="1:14" ht="34.5" customHeight="1" x14ac:dyDescent="0.3">
      <c r="A797" s="1" t="s">
        <v>11</v>
      </c>
      <c r="J797" s="1">
        <v>4</v>
      </c>
      <c r="K797" s="1">
        <v>298</v>
      </c>
      <c r="M797" s="1">
        <v>40</v>
      </c>
      <c r="N797" s="1">
        <f t="shared" si="132"/>
        <v>26.745232758176726</v>
      </c>
    </row>
    <row r="798" spans="1:14" ht="34.5" customHeight="1" x14ac:dyDescent="0.3">
      <c r="A798" s="1" t="s">
        <v>11</v>
      </c>
      <c r="J798" s="1">
        <v>4</v>
      </c>
      <c r="K798" s="1">
        <v>298</v>
      </c>
      <c r="M798" s="1">
        <v>60</v>
      </c>
      <c r="N798" s="1">
        <f t="shared" si="132"/>
        <v>28.026907964906634</v>
      </c>
    </row>
    <row r="799" spans="1:14" ht="34.5" customHeight="1" x14ac:dyDescent="0.3">
      <c r="A799" s="1" t="s">
        <v>11</v>
      </c>
      <c r="J799" s="1">
        <v>4</v>
      </c>
      <c r="K799" s="1">
        <v>298</v>
      </c>
      <c r="M799" s="1">
        <v>80</v>
      </c>
      <c r="N799" s="1">
        <f t="shared" si="132"/>
        <v>28.936270995926712</v>
      </c>
    </row>
    <row r="800" spans="1:14" ht="34.5" customHeight="1" x14ac:dyDescent="0.3">
      <c r="A800" s="1" t="s">
        <v>11</v>
      </c>
      <c r="J800" s="1">
        <v>6</v>
      </c>
      <c r="K800" s="1">
        <v>298</v>
      </c>
      <c r="M800" s="1">
        <v>5</v>
      </c>
      <c r="N800" s="1">
        <f t="shared" ref="N800:N805" si="133">3.5195*LN(44.88)+3.5195*LN(M800)</f>
        <v>19.052567496156037</v>
      </c>
    </row>
    <row r="801" spans="1:14" ht="34.5" customHeight="1" x14ac:dyDescent="0.3">
      <c r="A801" s="1" t="s">
        <v>11</v>
      </c>
      <c r="J801" s="1">
        <v>6</v>
      </c>
      <c r="K801" s="1">
        <v>298</v>
      </c>
      <c r="M801" s="1">
        <v>10</v>
      </c>
      <c r="N801" s="1">
        <f t="shared" si="133"/>
        <v>21.492098998136768</v>
      </c>
    </row>
    <row r="802" spans="1:14" ht="34.5" customHeight="1" x14ac:dyDescent="0.3">
      <c r="A802" s="1" t="s">
        <v>11</v>
      </c>
      <c r="J802" s="1">
        <v>6</v>
      </c>
      <c r="K802" s="1">
        <v>298</v>
      </c>
      <c r="M802" s="1">
        <v>25</v>
      </c>
      <c r="N802" s="1">
        <f t="shared" si="133"/>
        <v>24.716984228967853</v>
      </c>
    </row>
    <row r="803" spans="1:14" ht="34.5" customHeight="1" x14ac:dyDescent="0.3">
      <c r="A803" s="1" t="s">
        <v>11</v>
      </c>
      <c r="J803" s="1">
        <v>6</v>
      </c>
      <c r="K803" s="1">
        <v>298</v>
      </c>
      <c r="M803" s="1">
        <v>40</v>
      </c>
      <c r="N803" s="1">
        <f t="shared" si="133"/>
        <v>26.37116200209822</v>
      </c>
    </row>
    <row r="804" spans="1:14" ht="34.5" customHeight="1" x14ac:dyDescent="0.3">
      <c r="A804" s="1" t="s">
        <v>11</v>
      </c>
      <c r="J804" s="1">
        <v>6</v>
      </c>
      <c r="K804" s="1">
        <v>298</v>
      </c>
      <c r="M804" s="1">
        <v>60</v>
      </c>
      <c r="N804" s="1">
        <f t="shared" si="133"/>
        <v>27.798196450084905</v>
      </c>
    </row>
    <row r="805" spans="1:14" ht="34.5" customHeight="1" x14ac:dyDescent="0.3">
      <c r="A805" s="1" t="s">
        <v>11</v>
      </c>
      <c r="J805" s="1">
        <v>6</v>
      </c>
      <c r="K805" s="1">
        <v>298</v>
      </c>
      <c r="M805" s="1">
        <v>80</v>
      </c>
      <c r="N805" s="1">
        <f t="shared" si="133"/>
        <v>28.810693504078948</v>
      </c>
    </row>
    <row r="806" spans="1:14" ht="34.5" customHeight="1" x14ac:dyDescent="0.3">
      <c r="A806" s="1" t="s">
        <v>11</v>
      </c>
      <c r="J806" s="1">
        <v>8</v>
      </c>
      <c r="K806" s="1">
        <v>298</v>
      </c>
      <c r="M806" s="1">
        <v>5</v>
      </c>
      <c r="N806" s="1">
        <f t="shared" ref="N806:N811" si="134">3.6517*LN(25.56)+3.6517*LN(M806)</f>
        <v>17.71244867121484</v>
      </c>
    </row>
    <row r="807" spans="1:14" ht="34.5" customHeight="1" x14ac:dyDescent="0.3">
      <c r="A807" s="1" t="s">
        <v>11</v>
      </c>
      <c r="J807" s="1">
        <v>8</v>
      </c>
      <c r="K807" s="1">
        <v>298</v>
      </c>
      <c r="M807" s="1">
        <v>10</v>
      </c>
      <c r="N807" s="1">
        <f t="shared" si="134"/>
        <v>20.243614230465592</v>
      </c>
    </row>
    <row r="808" spans="1:14" ht="34.5" customHeight="1" x14ac:dyDescent="0.3">
      <c r="A808" s="1" t="s">
        <v>11</v>
      </c>
      <c r="J808" s="1">
        <v>8</v>
      </c>
      <c r="K808" s="1">
        <v>298</v>
      </c>
      <c r="M808" s="1">
        <v>25</v>
      </c>
      <c r="N808" s="1">
        <f t="shared" si="134"/>
        <v>23.589633096050441</v>
      </c>
    </row>
    <row r="809" spans="1:14" ht="34.5" customHeight="1" x14ac:dyDescent="0.3">
      <c r="A809" s="1" t="s">
        <v>11</v>
      </c>
      <c r="J809" s="1">
        <v>8</v>
      </c>
      <c r="K809" s="1">
        <v>298</v>
      </c>
      <c r="M809" s="1">
        <v>40</v>
      </c>
      <c r="N809" s="1">
        <f t="shared" si="134"/>
        <v>25.305945348967096</v>
      </c>
    </row>
    <row r="810" spans="1:14" ht="34.5" customHeight="1" x14ac:dyDescent="0.3">
      <c r="A810" s="1" t="s">
        <v>11</v>
      </c>
      <c r="J810" s="1">
        <v>8</v>
      </c>
      <c r="K810" s="1">
        <v>298</v>
      </c>
      <c r="M810" s="1">
        <v>60</v>
      </c>
      <c r="N810" s="1">
        <f t="shared" si="134"/>
        <v>26.786582284245679</v>
      </c>
    </row>
    <row r="811" spans="1:14" ht="34.5" customHeight="1" x14ac:dyDescent="0.3">
      <c r="A811" s="1" t="s">
        <v>11</v>
      </c>
      <c r="J811" s="1">
        <v>8</v>
      </c>
      <c r="K811" s="1">
        <v>298</v>
      </c>
      <c r="M811" s="1">
        <v>80</v>
      </c>
      <c r="N811" s="1">
        <f t="shared" si="134"/>
        <v>27.837110908217849</v>
      </c>
    </row>
    <row r="812" spans="1:14" ht="34.5" customHeight="1" x14ac:dyDescent="0.3">
      <c r="A812" s="1">
        <v>11.01</v>
      </c>
      <c r="G812" s="1">
        <v>74.061000000000007</v>
      </c>
      <c r="H812" s="1">
        <v>0.1472</v>
      </c>
      <c r="I812" s="1">
        <v>4.3109999999999999</v>
      </c>
      <c r="J812" s="1">
        <v>4.38</v>
      </c>
      <c r="K812" s="1">
        <v>298</v>
      </c>
      <c r="M812" s="1">
        <v>2</v>
      </c>
      <c r="N812" s="1">
        <f t="shared" ref="N812:N817" si="135">(56.1*0.3*M812)/(1+0.3*M812)</f>
        <v>21.037499999999998</v>
      </c>
    </row>
    <row r="813" spans="1:14" ht="34.5" customHeight="1" x14ac:dyDescent="0.3">
      <c r="A813" s="1">
        <v>11.01</v>
      </c>
      <c r="G813" s="1">
        <v>74.061000000000007</v>
      </c>
      <c r="H813" s="1">
        <v>0.1472</v>
      </c>
      <c r="I813" s="1">
        <v>4.3109999999999999</v>
      </c>
      <c r="J813" s="1">
        <v>4.38</v>
      </c>
      <c r="K813" s="1">
        <v>298</v>
      </c>
      <c r="M813" s="1">
        <v>5</v>
      </c>
      <c r="N813" s="1">
        <f t="shared" si="135"/>
        <v>33.659999999999997</v>
      </c>
    </row>
    <row r="814" spans="1:14" ht="34.5" customHeight="1" x14ac:dyDescent="0.3">
      <c r="A814" s="1">
        <v>11.01</v>
      </c>
      <c r="G814" s="1">
        <v>74.061000000000007</v>
      </c>
      <c r="H814" s="1">
        <v>0.1472</v>
      </c>
      <c r="I814" s="1">
        <v>4.3109999999999999</v>
      </c>
      <c r="J814" s="1">
        <v>4.38</v>
      </c>
      <c r="K814" s="1">
        <v>298</v>
      </c>
      <c r="M814" s="1">
        <v>15</v>
      </c>
      <c r="N814" s="1">
        <f t="shared" si="135"/>
        <v>45.9</v>
      </c>
    </row>
    <row r="815" spans="1:14" ht="34.5" customHeight="1" x14ac:dyDescent="0.3">
      <c r="A815" s="1">
        <v>11.01</v>
      </c>
      <c r="G815" s="1">
        <v>74.061000000000007</v>
      </c>
      <c r="H815" s="1">
        <v>0.1472</v>
      </c>
      <c r="I815" s="1">
        <v>4.3109999999999999</v>
      </c>
      <c r="J815" s="1">
        <v>4.38</v>
      </c>
      <c r="K815" s="1">
        <v>298</v>
      </c>
      <c r="M815" s="1">
        <v>30</v>
      </c>
      <c r="N815" s="1">
        <f t="shared" si="135"/>
        <v>50.489999999999995</v>
      </c>
    </row>
    <row r="816" spans="1:14" ht="34.5" customHeight="1" x14ac:dyDescent="0.3">
      <c r="A816" s="1">
        <v>11.01</v>
      </c>
      <c r="G816" s="1">
        <v>74.061000000000007</v>
      </c>
      <c r="H816" s="1">
        <v>0.1472</v>
      </c>
      <c r="I816" s="1">
        <v>4.3109999999999999</v>
      </c>
      <c r="J816" s="1">
        <v>4.38</v>
      </c>
      <c r="K816" s="1">
        <v>298</v>
      </c>
      <c r="M816" s="1">
        <v>50</v>
      </c>
      <c r="N816" s="1">
        <f t="shared" si="135"/>
        <v>52.593749999999993</v>
      </c>
    </row>
    <row r="817" spans="1:14" ht="34.5" customHeight="1" x14ac:dyDescent="0.3">
      <c r="A817" s="1">
        <v>11.01</v>
      </c>
      <c r="G817" s="1">
        <v>74.061000000000007</v>
      </c>
      <c r="H817" s="1">
        <v>0.1472</v>
      </c>
      <c r="I817" s="1">
        <v>4.3109999999999999</v>
      </c>
      <c r="J817" s="1">
        <v>4.38</v>
      </c>
      <c r="K817" s="1">
        <v>298</v>
      </c>
      <c r="M817" s="1">
        <v>70</v>
      </c>
      <c r="N817" s="1">
        <f t="shared" si="135"/>
        <v>53.55</v>
      </c>
    </row>
    <row r="818" spans="1:14" ht="34.5" customHeight="1" x14ac:dyDescent="0.3">
      <c r="A818" s="1" t="s">
        <v>11</v>
      </c>
      <c r="B818" s="1" t="s">
        <v>11</v>
      </c>
      <c r="F818" s="1" t="s">
        <v>11</v>
      </c>
      <c r="G818" s="1">
        <v>123.28</v>
      </c>
      <c r="H818" s="1">
        <v>0.29199999999999998</v>
      </c>
      <c r="I818" s="1">
        <v>3.82</v>
      </c>
      <c r="J818" s="1">
        <v>6</v>
      </c>
      <c r="K818" s="1">
        <v>298</v>
      </c>
      <c r="M818" s="1">
        <v>5</v>
      </c>
      <c r="N818" s="1">
        <f t="shared" ref="N818:N823" si="136">(220.29*0.034*M818^0.629)/(1+0.034*M818^0.629)</f>
        <v>18.848627098387897</v>
      </c>
    </row>
    <row r="819" spans="1:14" ht="34.5" customHeight="1" x14ac:dyDescent="0.3">
      <c r="A819" s="1" t="s">
        <v>11</v>
      </c>
      <c r="B819" s="1" t="s">
        <v>11</v>
      </c>
      <c r="F819" s="1" t="s">
        <v>11</v>
      </c>
      <c r="G819" s="1">
        <v>123.28</v>
      </c>
      <c r="H819" s="1">
        <v>0.29199999999999998</v>
      </c>
      <c r="I819" s="1">
        <v>3.82</v>
      </c>
      <c r="J819" s="1">
        <v>6</v>
      </c>
      <c r="K819" s="1">
        <v>298</v>
      </c>
      <c r="M819" s="1">
        <v>10</v>
      </c>
      <c r="N819" s="1">
        <f t="shared" si="136"/>
        <v>27.847146799902998</v>
      </c>
    </row>
    <row r="820" spans="1:14" ht="34.5" customHeight="1" x14ac:dyDescent="0.3">
      <c r="A820" s="1" t="s">
        <v>11</v>
      </c>
      <c r="B820" s="1" t="s">
        <v>11</v>
      </c>
      <c r="F820" s="1" t="s">
        <v>11</v>
      </c>
      <c r="G820" s="1">
        <v>123.28</v>
      </c>
      <c r="H820" s="1">
        <v>0.29199999999999998</v>
      </c>
      <c r="I820" s="1">
        <v>3.82</v>
      </c>
      <c r="J820" s="1">
        <v>6</v>
      </c>
      <c r="K820" s="1">
        <v>298</v>
      </c>
      <c r="M820" s="1">
        <v>20</v>
      </c>
      <c r="N820" s="1">
        <f t="shared" si="136"/>
        <v>40.282573433980751</v>
      </c>
    </row>
    <row r="821" spans="1:14" ht="34.5" customHeight="1" x14ac:dyDescent="0.3">
      <c r="A821" s="1" t="s">
        <v>11</v>
      </c>
      <c r="B821" s="1" t="s">
        <v>11</v>
      </c>
      <c r="F821" s="1" t="s">
        <v>11</v>
      </c>
      <c r="G821" s="1">
        <v>123.28</v>
      </c>
      <c r="H821" s="1">
        <v>0.29199999999999998</v>
      </c>
      <c r="I821" s="1">
        <v>3.82</v>
      </c>
      <c r="J821" s="1">
        <v>6</v>
      </c>
      <c r="K821" s="1">
        <v>298</v>
      </c>
      <c r="M821" s="1">
        <v>30</v>
      </c>
      <c r="N821" s="1">
        <f t="shared" si="136"/>
        <v>49.362762827473304</v>
      </c>
    </row>
    <row r="822" spans="1:14" ht="34.5" customHeight="1" x14ac:dyDescent="0.3">
      <c r="A822" s="1" t="s">
        <v>11</v>
      </c>
      <c r="B822" s="1" t="s">
        <v>11</v>
      </c>
      <c r="F822" s="1" t="s">
        <v>11</v>
      </c>
      <c r="G822" s="1">
        <v>123.28</v>
      </c>
      <c r="H822" s="1">
        <v>0.29199999999999998</v>
      </c>
      <c r="I822" s="1">
        <v>3.82</v>
      </c>
      <c r="J822" s="1">
        <v>6</v>
      </c>
      <c r="K822" s="1">
        <v>298</v>
      </c>
      <c r="M822" s="1">
        <v>50</v>
      </c>
      <c r="N822" s="1">
        <f t="shared" si="136"/>
        <v>62.740510702858458</v>
      </c>
    </row>
    <row r="823" spans="1:14" ht="34.5" customHeight="1" x14ac:dyDescent="0.3">
      <c r="A823" s="1" t="s">
        <v>11</v>
      </c>
      <c r="B823" s="1" t="s">
        <v>11</v>
      </c>
      <c r="F823" s="1" t="s">
        <v>11</v>
      </c>
      <c r="G823" s="1">
        <v>123.28</v>
      </c>
      <c r="H823" s="1">
        <v>0.29199999999999998</v>
      </c>
      <c r="I823" s="1">
        <v>3.82</v>
      </c>
      <c r="J823" s="1">
        <v>6</v>
      </c>
      <c r="K823" s="1">
        <v>298</v>
      </c>
      <c r="M823" s="1">
        <v>90</v>
      </c>
      <c r="N823" s="1">
        <f t="shared" si="136"/>
        <v>80.54442911634635</v>
      </c>
    </row>
    <row r="824" spans="1:14" ht="34.5" customHeight="1" x14ac:dyDescent="0.3">
      <c r="A824" s="1" t="s">
        <v>11</v>
      </c>
      <c r="B824" s="1" t="s">
        <v>11</v>
      </c>
      <c r="F824" s="1" t="s">
        <v>11</v>
      </c>
      <c r="G824" s="1">
        <v>109.29</v>
      </c>
      <c r="H824" s="1">
        <v>0.27800000000000002</v>
      </c>
      <c r="I824" s="1">
        <v>3.59</v>
      </c>
      <c r="J824" s="1">
        <v>6</v>
      </c>
      <c r="K824" s="1">
        <v>298</v>
      </c>
      <c r="M824" s="1">
        <v>5</v>
      </c>
      <c r="N824" s="1">
        <f t="shared" ref="N824:N829" si="137">(215.88*0.023*M824^0.598)/(1+0.023*M824^0.598)</f>
        <v>12.261114674118527</v>
      </c>
    </row>
    <row r="825" spans="1:14" ht="34.5" customHeight="1" x14ac:dyDescent="0.3">
      <c r="A825" s="1" t="s">
        <v>11</v>
      </c>
      <c r="B825" s="1" t="s">
        <v>11</v>
      </c>
      <c r="F825" s="1" t="s">
        <v>11</v>
      </c>
      <c r="G825" s="1">
        <v>109.29</v>
      </c>
      <c r="H825" s="1">
        <v>0.27800000000000002</v>
      </c>
      <c r="I825" s="1">
        <v>3.59</v>
      </c>
      <c r="J825" s="1">
        <v>6</v>
      </c>
      <c r="K825" s="1">
        <v>298</v>
      </c>
      <c r="M825" s="1">
        <v>10</v>
      </c>
      <c r="N825" s="1">
        <f t="shared" si="137"/>
        <v>18.032593688776263</v>
      </c>
    </row>
    <row r="826" spans="1:14" ht="34.5" customHeight="1" x14ac:dyDescent="0.3">
      <c r="A826" s="1" t="s">
        <v>11</v>
      </c>
      <c r="B826" s="1" t="s">
        <v>11</v>
      </c>
      <c r="F826" s="1" t="s">
        <v>11</v>
      </c>
      <c r="G826" s="1">
        <v>109.29</v>
      </c>
      <c r="H826" s="1">
        <v>0.27800000000000002</v>
      </c>
      <c r="I826" s="1">
        <v>3.59</v>
      </c>
      <c r="J826" s="1">
        <v>6</v>
      </c>
      <c r="K826" s="1">
        <v>298</v>
      </c>
      <c r="M826" s="1">
        <v>20</v>
      </c>
      <c r="N826" s="1">
        <f t="shared" si="137"/>
        <v>26.171603209571856</v>
      </c>
    </row>
    <row r="827" spans="1:14" ht="34.5" customHeight="1" x14ac:dyDescent="0.3">
      <c r="A827" s="1" t="s">
        <v>11</v>
      </c>
      <c r="B827" s="1" t="s">
        <v>11</v>
      </c>
      <c r="F827" s="1" t="s">
        <v>11</v>
      </c>
      <c r="G827" s="1">
        <v>109.29</v>
      </c>
      <c r="H827" s="1">
        <v>0.27800000000000002</v>
      </c>
      <c r="I827" s="1">
        <v>3.59</v>
      </c>
      <c r="J827" s="1">
        <v>6</v>
      </c>
      <c r="K827" s="1">
        <v>298</v>
      </c>
      <c r="M827" s="1">
        <v>30</v>
      </c>
      <c r="N827" s="1">
        <f t="shared" si="137"/>
        <v>32.279083235895037</v>
      </c>
    </row>
    <row r="828" spans="1:14" ht="34.5" customHeight="1" x14ac:dyDescent="0.3">
      <c r="A828" s="1" t="s">
        <v>11</v>
      </c>
      <c r="B828" s="1" t="s">
        <v>11</v>
      </c>
      <c r="F828" s="1" t="s">
        <v>11</v>
      </c>
      <c r="G828" s="1">
        <v>109.29</v>
      </c>
      <c r="H828" s="1">
        <v>0.27800000000000002</v>
      </c>
      <c r="I828" s="1">
        <v>3.59</v>
      </c>
      <c r="J828" s="1">
        <v>6</v>
      </c>
      <c r="K828" s="1">
        <v>298</v>
      </c>
      <c r="M828" s="1">
        <v>50</v>
      </c>
      <c r="N828" s="1">
        <f t="shared" si="137"/>
        <v>41.589648073904819</v>
      </c>
    </row>
    <row r="829" spans="1:14" ht="34.5" customHeight="1" x14ac:dyDescent="0.3">
      <c r="A829" s="1" t="s">
        <v>11</v>
      </c>
      <c r="B829" s="1" t="s">
        <v>11</v>
      </c>
      <c r="F829" s="1" t="s">
        <v>11</v>
      </c>
      <c r="G829" s="1">
        <v>109.29</v>
      </c>
      <c r="H829" s="1">
        <v>0.27800000000000002</v>
      </c>
      <c r="I829" s="1">
        <v>3.59</v>
      </c>
      <c r="J829" s="1">
        <v>6</v>
      </c>
      <c r="K829" s="1">
        <v>298</v>
      </c>
      <c r="M829" s="1">
        <v>90</v>
      </c>
      <c r="N829" s="1">
        <f t="shared" si="137"/>
        <v>54.670729541324341</v>
      </c>
    </row>
    <row r="830" spans="1:14" ht="34.5" customHeight="1" x14ac:dyDescent="0.3">
      <c r="A830" s="1" t="s">
        <v>11</v>
      </c>
      <c r="B830" s="1" t="s">
        <v>11</v>
      </c>
      <c r="F830" s="1" t="s">
        <v>11</v>
      </c>
      <c r="G830" s="1">
        <v>103.13</v>
      </c>
      <c r="H830" s="1">
        <v>0.253</v>
      </c>
      <c r="I830" s="1">
        <v>3.23</v>
      </c>
      <c r="J830" s="1">
        <v>6</v>
      </c>
      <c r="K830" s="1">
        <v>298</v>
      </c>
      <c r="M830" s="1">
        <v>5</v>
      </c>
      <c r="N830" s="1">
        <f t="shared" ref="N830:N835" si="138">(204.23*0.029*M830^0.596)/(1+0.029*M830^0.596)</f>
        <v>14.368795143056428</v>
      </c>
    </row>
    <row r="831" spans="1:14" ht="34.5" customHeight="1" x14ac:dyDescent="0.3">
      <c r="A831" s="1" t="s">
        <v>11</v>
      </c>
      <c r="B831" s="1" t="s">
        <v>11</v>
      </c>
      <c r="F831" s="1" t="s">
        <v>11</v>
      </c>
      <c r="G831" s="1">
        <v>103.13</v>
      </c>
      <c r="H831" s="1">
        <v>0.253</v>
      </c>
      <c r="I831" s="1">
        <v>3.23</v>
      </c>
      <c r="J831" s="1">
        <v>6</v>
      </c>
      <c r="K831" s="1">
        <v>298</v>
      </c>
      <c r="M831" s="1">
        <v>10</v>
      </c>
      <c r="N831" s="1">
        <f t="shared" si="138"/>
        <v>20.964248976359617</v>
      </c>
    </row>
    <row r="832" spans="1:14" ht="34.5" customHeight="1" x14ac:dyDescent="0.3">
      <c r="A832" s="1" t="s">
        <v>11</v>
      </c>
      <c r="B832" s="1" t="s">
        <v>11</v>
      </c>
      <c r="F832" s="1" t="s">
        <v>11</v>
      </c>
      <c r="G832" s="1">
        <v>103.13</v>
      </c>
      <c r="H832" s="1">
        <v>0.253</v>
      </c>
      <c r="I832" s="1">
        <v>3.23</v>
      </c>
      <c r="J832" s="1">
        <v>6</v>
      </c>
      <c r="K832" s="1">
        <v>298</v>
      </c>
      <c r="M832" s="1">
        <v>20</v>
      </c>
      <c r="N832" s="1">
        <f t="shared" si="138"/>
        <v>30.107031552461589</v>
      </c>
    </row>
    <row r="833" spans="1:14" ht="34.5" customHeight="1" x14ac:dyDescent="0.3">
      <c r="A833" s="1" t="s">
        <v>11</v>
      </c>
      <c r="B833" s="1" t="s">
        <v>11</v>
      </c>
      <c r="F833" s="1" t="s">
        <v>11</v>
      </c>
      <c r="G833" s="1">
        <v>103.13</v>
      </c>
      <c r="H833" s="1">
        <v>0.253</v>
      </c>
      <c r="I833" s="1">
        <v>3.23</v>
      </c>
      <c r="J833" s="1">
        <v>6</v>
      </c>
      <c r="K833" s="1">
        <v>298</v>
      </c>
      <c r="M833" s="1">
        <v>30</v>
      </c>
      <c r="N833" s="1">
        <f t="shared" si="138"/>
        <v>36.851970610242084</v>
      </c>
    </row>
    <row r="834" spans="1:14" ht="34.5" customHeight="1" x14ac:dyDescent="0.3">
      <c r="A834" s="1" t="s">
        <v>11</v>
      </c>
      <c r="B834" s="1" t="s">
        <v>11</v>
      </c>
      <c r="F834" s="1" t="s">
        <v>11</v>
      </c>
      <c r="G834" s="1">
        <v>103.13</v>
      </c>
      <c r="H834" s="1">
        <v>0.253</v>
      </c>
      <c r="I834" s="1">
        <v>3.23</v>
      </c>
      <c r="J834" s="1">
        <v>6</v>
      </c>
      <c r="K834" s="1">
        <v>298</v>
      </c>
      <c r="M834" s="1">
        <v>50</v>
      </c>
      <c r="N834" s="1">
        <f t="shared" si="138"/>
        <v>46.951833642536833</v>
      </c>
    </row>
    <row r="835" spans="1:14" ht="34.5" customHeight="1" x14ac:dyDescent="0.3">
      <c r="A835" s="1" t="s">
        <v>11</v>
      </c>
      <c r="B835" s="1" t="s">
        <v>11</v>
      </c>
      <c r="F835" s="1" t="s">
        <v>11</v>
      </c>
      <c r="G835" s="1">
        <v>103.13</v>
      </c>
      <c r="H835" s="1">
        <v>0.253</v>
      </c>
      <c r="I835" s="1">
        <v>3.23</v>
      </c>
      <c r="J835" s="1">
        <v>6</v>
      </c>
      <c r="K835" s="1">
        <v>298</v>
      </c>
      <c r="M835" s="1">
        <v>90</v>
      </c>
      <c r="N835" s="1">
        <f t="shared" si="138"/>
        <v>60.786526432919374</v>
      </c>
    </row>
    <row r="836" spans="1:14" ht="34.5" customHeight="1" x14ac:dyDescent="0.3">
      <c r="A836" s="1">
        <v>9.07</v>
      </c>
      <c r="C836" s="1">
        <v>2.0299999999999998</v>
      </c>
      <c r="G836" s="1">
        <v>93.18</v>
      </c>
      <c r="H836" s="1">
        <v>0.2</v>
      </c>
      <c r="I836" s="1">
        <v>6.39</v>
      </c>
      <c r="J836" s="1">
        <v>7</v>
      </c>
      <c r="K836" s="1">
        <v>303</v>
      </c>
      <c r="M836" s="1">
        <v>5</v>
      </c>
      <c r="N836" s="1">
        <f t="shared" ref="N836:N841" si="139">(57.231*0.248*M836^1.043)/(1+0.248*M836^1.043)</f>
        <v>32.656256188024557</v>
      </c>
    </row>
    <row r="837" spans="1:14" ht="34.5" customHeight="1" x14ac:dyDescent="0.3">
      <c r="A837" s="1">
        <v>9.07</v>
      </c>
      <c r="C837" s="1">
        <v>2.0299999999999998</v>
      </c>
      <c r="G837" s="1">
        <v>93.18</v>
      </c>
      <c r="H837" s="1">
        <v>0.2</v>
      </c>
      <c r="I837" s="1">
        <v>6.39</v>
      </c>
      <c r="J837" s="1">
        <v>7</v>
      </c>
      <c r="K837" s="1">
        <v>303</v>
      </c>
      <c r="M837" s="1">
        <v>15</v>
      </c>
      <c r="N837" s="1">
        <f t="shared" si="139"/>
        <v>46.181283513386155</v>
      </c>
    </row>
    <row r="838" spans="1:14" ht="34.5" customHeight="1" x14ac:dyDescent="0.3">
      <c r="A838" s="1">
        <v>9.07</v>
      </c>
      <c r="C838" s="1">
        <v>2.0299999999999998</v>
      </c>
      <c r="G838" s="1">
        <v>93.18</v>
      </c>
      <c r="H838" s="1">
        <v>0.2</v>
      </c>
      <c r="I838" s="1">
        <v>6.39</v>
      </c>
      <c r="J838" s="1">
        <v>7</v>
      </c>
      <c r="K838" s="1">
        <v>303</v>
      </c>
      <c r="M838" s="1">
        <v>25</v>
      </c>
      <c r="N838" s="1">
        <f t="shared" si="139"/>
        <v>50.183176235674573</v>
      </c>
    </row>
    <row r="839" spans="1:14" ht="34.5" customHeight="1" x14ac:dyDescent="0.3">
      <c r="A839" s="1">
        <v>9.07</v>
      </c>
      <c r="C839" s="1">
        <v>2.0299999999999998</v>
      </c>
      <c r="G839" s="1">
        <v>93.18</v>
      </c>
      <c r="H839" s="1">
        <v>0.2</v>
      </c>
      <c r="I839" s="1">
        <v>6.39</v>
      </c>
      <c r="J839" s="1">
        <v>7</v>
      </c>
      <c r="K839" s="1">
        <v>303</v>
      </c>
      <c r="M839" s="1">
        <v>50</v>
      </c>
      <c r="N839" s="1">
        <f t="shared" si="139"/>
        <v>53.5791067532356</v>
      </c>
    </row>
    <row r="840" spans="1:14" ht="34.5" customHeight="1" x14ac:dyDescent="0.3">
      <c r="A840" s="1">
        <v>9.07</v>
      </c>
      <c r="C840" s="1">
        <v>2.0299999999999998</v>
      </c>
      <c r="G840" s="1">
        <v>93.18</v>
      </c>
      <c r="H840" s="1">
        <v>0.2</v>
      </c>
      <c r="I840" s="1">
        <v>6.39</v>
      </c>
      <c r="J840" s="1">
        <v>7</v>
      </c>
      <c r="K840" s="1">
        <v>303</v>
      </c>
      <c r="M840" s="1">
        <v>100</v>
      </c>
      <c r="N840" s="1">
        <f t="shared" si="139"/>
        <v>55.39849043617513</v>
      </c>
    </row>
    <row r="841" spans="1:14" ht="34.5" customHeight="1" x14ac:dyDescent="0.3">
      <c r="A841" s="1">
        <v>9.07</v>
      </c>
      <c r="C841" s="1">
        <v>2.0299999999999998</v>
      </c>
      <c r="G841" s="1">
        <v>93.18</v>
      </c>
      <c r="H841" s="1">
        <v>0.2</v>
      </c>
      <c r="I841" s="1">
        <v>6.39</v>
      </c>
      <c r="J841" s="1">
        <v>7</v>
      </c>
      <c r="K841" s="1">
        <v>303</v>
      </c>
      <c r="M841" s="1">
        <v>150</v>
      </c>
      <c r="N841" s="1">
        <f t="shared" si="139"/>
        <v>56.017037495163635</v>
      </c>
    </row>
    <row r="842" spans="1:14" ht="34.5" customHeight="1" x14ac:dyDescent="0.3">
      <c r="A842" s="1">
        <v>9.07</v>
      </c>
      <c r="C842" s="1">
        <v>2.0299999999999998</v>
      </c>
      <c r="G842" s="1">
        <v>93.18</v>
      </c>
      <c r="H842" s="1">
        <v>0.2</v>
      </c>
      <c r="I842" s="1">
        <v>6.39</v>
      </c>
      <c r="J842" s="1">
        <v>7</v>
      </c>
      <c r="K842" s="1">
        <v>313</v>
      </c>
      <c r="M842" s="1">
        <v>5</v>
      </c>
      <c r="N842" s="1">
        <f t="shared" ref="N842:N847" si="140">(61.335*0.256*M842^0.896)/(1+0.256*M842^0.896)</f>
        <v>31.885562862039446</v>
      </c>
    </row>
    <row r="843" spans="1:14" ht="34.5" customHeight="1" x14ac:dyDescent="0.3">
      <c r="A843" s="1">
        <v>9.07</v>
      </c>
      <c r="C843" s="1">
        <v>2.0299999999999998</v>
      </c>
      <c r="G843" s="1">
        <v>93.18</v>
      </c>
      <c r="H843" s="1">
        <v>0.2</v>
      </c>
      <c r="I843" s="1">
        <v>6.39</v>
      </c>
      <c r="J843" s="1">
        <v>7</v>
      </c>
      <c r="K843" s="1">
        <v>313</v>
      </c>
      <c r="M843" s="1">
        <v>15</v>
      </c>
      <c r="N843" s="1">
        <f t="shared" si="140"/>
        <v>45.597835242999999</v>
      </c>
    </row>
    <row r="844" spans="1:14" ht="34.5" customHeight="1" x14ac:dyDescent="0.3">
      <c r="A844" s="1">
        <v>9.07</v>
      </c>
      <c r="C844" s="1">
        <v>2.0299999999999998</v>
      </c>
      <c r="G844" s="1">
        <v>93.18</v>
      </c>
      <c r="H844" s="1">
        <v>0.2</v>
      </c>
      <c r="I844" s="1">
        <v>6.39</v>
      </c>
      <c r="J844" s="1">
        <v>7</v>
      </c>
      <c r="K844" s="1">
        <v>313</v>
      </c>
      <c r="M844" s="1">
        <v>25</v>
      </c>
      <c r="N844" s="1">
        <f t="shared" si="140"/>
        <v>50.341583977263866</v>
      </c>
    </row>
    <row r="845" spans="1:14" ht="34.5" customHeight="1" x14ac:dyDescent="0.3">
      <c r="A845" s="1">
        <v>9.07</v>
      </c>
      <c r="C845" s="1">
        <v>2.0299999999999998</v>
      </c>
      <c r="G845" s="1">
        <v>93.18</v>
      </c>
      <c r="H845" s="1">
        <v>0.2</v>
      </c>
      <c r="I845" s="1">
        <v>6.39</v>
      </c>
      <c r="J845" s="1">
        <v>7</v>
      </c>
      <c r="K845" s="1">
        <v>313</v>
      </c>
      <c r="M845" s="1">
        <v>50</v>
      </c>
      <c r="N845" s="1">
        <f t="shared" si="140"/>
        <v>54.893276696039997</v>
      </c>
    </row>
    <row r="846" spans="1:14" ht="34.5" customHeight="1" x14ac:dyDescent="0.3">
      <c r="A846" s="1">
        <v>9.07</v>
      </c>
      <c r="C846" s="1">
        <v>2.0299999999999998</v>
      </c>
      <c r="G846" s="1">
        <v>93.18</v>
      </c>
      <c r="H846" s="1">
        <v>0.2</v>
      </c>
      <c r="I846" s="1">
        <v>6.39</v>
      </c>
      <c r="J846" s="1">
        <v>7</v>
      </c>
      <c r="K846" s="1">
        <v>313</v>
      </c>
      <c r="M846" s="1">
        <v>100</v>
      </c>
      <c r="N846" s="1">
        <f t="shared" si="140"/>
        <v>57.696601473126954</v>
      </c>
    </row>
    <row r="847" spans="1:14" ht="34.5" customHeight="1" x14ac:dyDescent="0.3">
      <c r="A847" s="1">
        <v>9.07</v>
      </c>
      <c r="C847" s="1">
        <v>2.0299999999999998</v>
      </c>
      <c r="G847" s="1">
        <v>93.18</v>
      </c>
      <c r="H847" s="1">
        <v>0.2</v>
      </c>
      <c r="I847" s="1">
        <v>6.39</v>
      </c>
      <c r="J847" s="1">
        <v>7</v>
      </c>
      <c r="K847" s="1">
        <v>313</v>
      </c>
      <c r="M847" s="1">
        <v>150</v>
      </c>
      <c r="N847" s="1">
        <f t="shared" si="140"/>
        <v>58.758370300166355</v>
      </c>
    </row>
    <row r="848" spans="1:14" ht="34.5" customHeight="1" x14ac:dyDescent="0.3">
      <c r="A848" s="1">
        <v>9.07</v>
      </c>
      <c r="C848" s="1">
        <v>2.0299999999999998</v>
      </c>
      <c r="G848" s="1">
        <v>93.18</v>
      </c>
      <c r="H848" s="1">
        <v>0.2</v>
      </c>
      <c r="I848" s="1">
        <v>6.39</v>
      </c>
      <c r="J848" s="1">
        <v>7</v>
      </c>
      <c r="K848" s="1">
        <v>323</v>
      </c>
      <c r="M848" s="1">
        <v>5</v>
      </c>
      <c r="N848" s="1">
        <f t="shared" ref="N848:N853" si="141">78.991*0.284*M848^(0.76)/(1+0.284*M848^(0.76))</f>
        <v>38.79239191827903</v>
      </c>
    </row>
    <row r="849" spans="1:14" ht="34.5" customHeight="1" x14ac:dyDescent="0.3">
      <c r="A849" s="1">
        <v>9.07</v>
      </c>
      <c r="C849" s="1">
        <v>2.0299999999999998</v>
      </c>
      <c r="G849" s="1">
        <v>93.18</v>
      </c>
      <c r="H849" s="1">
        <v>0.2</v>
      </c>
      <c r="I849" s="1">
        <v>6.39</v>
      </c>
      <c r="J849" s="1">
        <v>7</v>
      </c>
      <c r="K849" s="1">
        <v>323</v>
      </c>
      <c r="M849" s="1">
        <v>15</v>
      </c>
      <c r="N849" s="1">
        <f t="shared" si="141"/>
        <v>54.490572049414453</v>
      </c>
    </row>
    <row r="850" spans="1:14" ht="34.5" customHeight="1" x14ac:dyDescent="0.3">
      <c r="A850" s="1">
        <v>9.07</v>
      </c>
      <c r="C850" s="1">
        <v>2.0299999999999998</v>
      </c>
      <c r="G850" s="1">
        <v>93.18</v>
      </c>
      <c r="H850" s="1">
        <v>0.2</v>
      </c>
      <c r="I850" s="1">
        <v>6.39</v>
      </c>
      <c r="J850" s="1">
        <v>7</v>
      </c>
      <c r="K850" s="1">
        <v>323</v>
      </c>
      <c r="M850" s="1">
        <v>25</v>
      </c>
      <c r="N850" s="1">
        <f t="shared" si="141"/>
        <v>60.531214800381314</v>
      </c>
    </row>
    <row r="851" spans="1:14" ht="34.5" customHeight="1" x14ac:dyDescent="0.3">
      <c r="A851" s="1">
        <v>9.07</v>
      </c>
      <c r="C851" s="1">
        <v>2.0299999999999998</v>
      </c>
      <c r="G851" s="1">
        <v>93.18</v>
      </c>
      <c r="H851" s="1">
        <v>0.2</v>
      </c>
      <c r="I851" s="1">
        <v>6.39</v>
      </c>
      <c r="J851" s="1">
        <v>7</v>
      </c>
      <c r="K851" s="1">
        <v>323</v>
      </c>
      <c r="M851" s="1">
        <v>50</v>
      </c>
      <c r="N851" s="1">
        <f t="shared" si="141"/>
        <v>66.937011438670183</v>
      </c>
    </row>
    <row r="852" spans="1:14" ht="34.5" customHeight="1" x14ac:dyDescent="0.3">
      <c r="A852" s="1">
        <v>9.07</v>
      </c>
      <c r="C852" s="1">
        <v>2.0299999999999998</v>
      </c>
      <c r="G852" s="1">
        <v>93.18</v>
      </c>
      <c r="H852" s="1">
        <v>0.2</v>
      </c>
      <c r="I852" s="1">
        <v>6.39</v>
      </c>
      <c r="J852" s="1">
        <v>7</v>
      </c>
      <c r="K852" s="1">
        <v>323</v>
      </c>
      <c r="M852" s="1">
        <v>100</v>
      </c>
      <c r="N852" s="1">
        <f t="shared" si="141"/>
        <v>71.398722059248811</v>
      </c>
    </row>
    <row r="853" spans="1:14" ht="34.5" customHeight="1" x14ac:dyDescent="0.3">
      <c r="A853" s="1">
        <v>9.07</v>
      </c>
      <c r="C853" s="1">
        <v>2.0299999999999998</v>
      </c>
      <c r="G853" s="1">
        <v>93.18</v>
      </c>
      <c r="H853" s="1">
        <v>0.2</v>
      </c>
      <c r="I853" s="1">
        <v>6.39</v>
      </c>
      <c r="J853" s="1">
        <v>7</v>
      </c>
      <c r="K853" s="1">
        <v>323</v>
      </c>
      <c r="M853" s="1">
        <v>150</v>
      </c>
      <c r="N853" s="1">
        <f t="shared" si="141"/>
        <v>73.266253168708275</v>
      </c>
    </row>
    <row r="854" spans="1:14" ht="34.5" customHeight="1" x14ac:dyDescent="0.3">
      <c r="A854" s="1">
        <v>13.14</v>
      </c>
      <c r="C854" s="1">
        <v>1.1299999999999999</v>
      </c>
      <c r="G854" s="1">
        <v>36.380000000000003</v>
      </c>
      <c r="H854" s="1">
        <v>0.09</v>
      </c>
      <c r="I854" s="1">
        <v>6.36</v>
      </c>
      <c r="J854" s="1">
        <v>7</v>
      </c>
      <c r="K854" s="1">
        <v>313</v>
      </c>
      <c r="M854" s="1">
        <v>5</v>
      </c>
      <c r="N854" s="1">
        <f t="shared" ref="N854:N859" si="142">(53.583*0.04*M854^(0.521))/(1+0.04*M854^(0.521))</f>
        <v>4.5375563459006099</v>
      </c>
    </row>
    <row r="855" spans="1:14" ht="34.5" customHeight="1" x14ac:dyDescent="0.3">
      <c r="A855" s="1">
        <v>13.14</v>
      </c>
      <c r="C855" s="1">
        <v>1.1299999999999999</v>
      </c>
      <c r="G855" s="1">
        <v>36.380000000000003</v>
      </c>
      <c r="H855" s="1">
        <v>0.09</v>
      </c>
      <c r="I855" s="1">
        <v>6.36</v>
      </c>
      <c r="J855" s="1">
        <v>7</v>
      </c>
      <c r="K855" s="1">
        <v>313</v>
      </c>
      <c r="M855" s="1">
        <v>15</v>
      </c>
      <c r="N855" s="1">
        <f t="shared" si="142"/>
        <v>7.5488928584859254</v>
      </c>
    </row>
    <row r="856" spans="1:14" ht="34.5" customHeight="1" x14ac:dyDescent="0.3">
      <c r="A856" s="1">
        <v>13.14</v>
      </c>
      <c r="C856" s="1">
        <v>1.1299999999999999</v>
      </c>
      <c r="G856" s="1">
        <v>36.380000000000003</v>
      </c>
      <c r="H856" s="1">
        <v>0.09</v>
      </c>
      <c r="I856" s="1">
        <v>6.36</v>
      </c>
      <c r="J856" s="1">
        <v>7</v>
      </c>
      <c r="K856" s="1">
        <v>313</v>
      </c>
      <c r="M856" s="1">
        <v>25</v>
      </c>
      <c r="N856" s="1">
        <f t="shared" si="142"/>
        <v>9.4449538510852253</v>
      </c>
    </row>
    <row r="857" spans="1:14" ht="34.5" customHeight="1" x14ac:dyDescent="0.3">
      <c r="A857" s="1">
        <v>13.14</v>
      </c>
      <c r="C857" s="1">
        <v>1.1299999999999999</v>
      </c>
      <c r="G857" s="1">
        <v>36.380000000000003</v>
      </c>
      <c r="H857" s="1">
        <v>0.09</v>
      </c>
      <c r="I857" s="1">
        <v>6.36</v>
      </c>
      <c r="J857" s="1">
        <v>7</v>
      </c>
      <c r="K857" s="1">
        <v>313</v>
      </c>
      <c r="M857" s="1">
        <v>50</v>
      </c>
      <c r="N857" s="1">
        <f t="shared" si="142"/>
        <v>12.587945006568768</v>
      </c>
    </row>
    <row r="858" spans="1:14" ht="34.5" customHeight="1" x14ac:dyDescent="0.3">
      <c r="A858" s="1">
        <v>13.14</v>
      </c>
      <c r="C858" s="1">
        <v>1.1299999999999999</v>
      </c>
      <c r="G858" s="1">
        <v>36.380000000000003</v>
      </c>
      <c r="H858" s="1">
        <v>0.09</v>
      </c>
      <c r="I858" s="1">
        <v>6.36</v>
      </c>
      <c r="J858" s="1">
        <v>7</v>
      </c>
      <c r="K858" s="1">
        <v>313</v>
      </c>
      <c r="M858" s="1">
        <v>100</v>
      </c>
      <c r="N858" s="1">
        <f t="shared" si="142"/>
        <v>16.388487185684269</v>
      </c>
    </row>
    <row r="859" spans="1:14" ht="34.5" customHeight="1" x14ac:dyDescent="0.3">
      <c r="A859" s="1">
        <v>13.14</v>
      </c>
      <c r="C859" s="1">
        <v>1.1299999999999999</v>
      </c>
      <c r="G859" s="1">
        <v>36.380000000000003</v>
      </c>
      <c r="H859" s="1">
        <v>0.09</v>
      </c>
      <c r="I859" s="1">
        <v>6.36</v>
      </c>
      <c r="J859" s="1">
        <v>7</v>
      </c>
      <c r="K859" s="1">
        <v>313</v>
      </c>
      <c r="M859" s="1">
        <v>150</v>
      </c>
      <c r="N859" s="1">
        <f t="shared" si="142"/>
        <v>18.884746315433848</v>
      </c>
    </row>
    <row r="860" spans="1:14" ht="34.5" customHeight="1" x14ac:dyDescent="0.3">
      <c r="C860" s="1" t="s">
        <v>11</v>
      </c>
      <c r="G860" s="1">
        <v>31.94</v>
      </c>
      <c r="H860" s="1">
        <v>0.08</v>
      </c>
      <c r="I860" s="1">
        <v>6.55</v>
      </c>
      <c r="J860" s="1">
        <v>7</v>
      </c>
      <c r="K860" s="1">
        <v>313</v>
      </c>
      <c r="M860" s="1">
        <v>5</v>
      </c>
      <c r="N860" s="1">
        <f t="shared" ref="N860:N865" si="143">56.42*0.226*M860^(0.969)/(1+0.226*M860^(0.969))</f>
        <v>29.229700476802101</v>
      </c>
    </row>
    <row r="861" spans="1:14" ht="34.5" customHeight="1" x14ac:dyDescent="0.3">
      <c r="C861" s="1" t="s">
        <v>11</v>
      </c>
      <c r="G861" s="1">
        <v>31.94</v>
      </c>
      <c r="H861" s="1">
        <v>0.08</v>
      </c>
      <c r="I861" s="1">
        <v>6.55</v>
      </c>
      <c r="J861" s="1">
        <v>7</v>
      </c>
      <c r="K861" s="1">
        <v>313</v>
      </c>
      <c r="M861" s="1">
        <v>15</v>
      </c>
      <c r="N861" s="1">
        <f t="shared" si="143"/>
        <v>42.715943649782872</v>
      </c>
    </row>
    <row r="862" spans="1:14" ht="34.5" customHeight="1" x14ac:dyDescent="0.3">
      <c r="C862" s="1" t="s">
        <v>11</v>
      </c>
      <c r="G862" s="1">
        <v>31.94</v>
      </c>
      <c r="H862" s="1">
        <v>0.08</v>
      </c>
      <c r="I862" s="1">
        <v>6.55</v>
      </c>
      <c r="J862" s="1">
        <v>7</v>
      </c>
      <c r="K862" s="1">
        <v>313</v>
      </c>
      <c r="M862" s="1">
        <v>25</v>
      </c>
      <c r="N862" s="1">
        <f t="shared" si="143"/>
        <v>47.191138163392949</v>
      </c>
    </row>
    <row r="863" spans="1:14" ht="34.5" customHeight="1" x14ac:dyDescent="0.3">
      <c r="C863" s="1" t="s">
        <v>11</v>
      </c>
      <c r="G863" s="1">
        <v>31.94</v>
      </c>
      <c r="H863" s="1">
        <v>0.08</v>
      </c>
      <c r="I863" s="1">
        <v>6.55</v>
      </c>
      <c r="J863" s="1">
        <v>7</v>
      </c>
      <c r="K863" s="1">
        <v>313</v>
      </c>
      <c r="M863" s="1">
        <v>50</v>
      </c>
      <c r="N863" s="1">
        <f t="shared" si="143"/>
        <v>51.295313368349419</v>
      </c>
    </row>
    <row r="864" spans="1:14" ht="34.5" customHeight="1" x14ac:dyDescent="0.3">
      <c r="C864" s="1" t="s">
        <v>11</v>
      </c>
      <c r="G864" s="1">
        <v>31.94</v>
      </c>
      <c r="H864" s="1">
        <v>0.08</v>
      </c>
      <c r="I864" s="1">
        <v>6.55</v>
      </c>
      <c r="J864" s="1">
        <v>7</v>
      </c>
      <c r="K864" s="1">
        <v>313</v>
      </c>
      <c r="M864" s="1">
        <v>100</v>
      </c>
      <c r="N864" s="1">
        <f t="shared" si="143"/>
        <v>53.680279080270644</v>
      </c>
    </row>
    <row r="865" spans="1:14" ht="34.5" customHeight="1" x14ac:dyDescent="0.3">
      <c r="C865" s="1" t="s">
        <v>11</v>
      </c>
      <c r="G865" s="1">
        <v>31.94</v>
      </c>
      <c r="H865" s="1">
        <v>0.08</v>
      </c>
      <c r="I865" s="1">
        <v>6.55</v>
      </c>
      <c r="J865" s="1">
        <v>7</v>
      </c>
      <c r="K865" s="1">
        <v>313</v>
      </c>
      <c r="M865" s="1">
        <v>150</v>
      </c>
      <c r="N865" s="1">
        <f t="shared" si="143"/>
        <v>54.540768080446824</v>
      </c>
    </row>
    <row r="866" spans="1:14" ht="34.5" customHeight="1" x14ac:dyDescent="0.3">
      <c r="A866" s="1">
        <v>18.72</v>
      </c>
      <c r="G866" s="1">
        <v>197.18</v>
      </c>
      <c r="H866" s="1">
        <v>0.32</v>
      </c>
      <c r="I866" s="1">
        <v>4.71</v>
      </c>
      <c r="J866" s="1">
        <v>3</v>
      </c>
      <c r="K866" s="1">
        <v>298</v>
      </c>
      <c r="M866" s="1">
        <v>5</v>
      </c>
      <c r="N866" s="1">
        <f t="shared" ref="N866:N871" si="144">43.26*0.097*M866/(1+0.097*M866)</f>
        <v>14.12868686868687</v>
      </c>
    </row>
    <row r="867" spans="1:14" ht="34.5" customHeight="1" x14ac:dyDescent="0.3">
      <c r="A867" s="1">
        <v>18.72</v>
      </c>
      <c r="G867" s="1">
        <v>197.18</v>
      </c>
      <c r="H867" s="1">
        <v>0.32</v>
      </c>
      <c r="I867" s="1">
        <v>4.71</v>
      </c>
      <c r="J867" s="1">
        <v>3</v>
      </c>
      <c r="K867" s="1">
        <v>298</v>
      </c>
      <c r="M867" s="1">
        <v>10</v>
      </c>
      <c r="N867" s="1">
        <f t="shared" si="144"/>
        <v>21.30060913705584</v>
      </c>
    </row>
    <row r="868" spans="1:14" ht="34.5" customHeight="1" x14ac:dyDescent="0.3">
      <c r="A868" s="1">
        <v>18.72</v>
      </c>
      <c r="G868" s="1">
        <v>197.18</v>
      </c>
      <c r="H868" s="1">
        <v>0.32</v>
      </c>
      <c r="I868" s="1">
        <v>4.71</v>
      </c>
      <c r="J868" s="1">
        <v>3</v>
      </c>
      <c r="K868" s="1">
        <v>298</v>
      </c>
      <c r="M868" s="1">
        <v>30</v>
      </c>
      <c r="N868" s="1">
        <f t="shared" si="144"/>
        <v>32.196061381074173</v>
      </c>
    </row>
    <row r="869" spans="1:14" ht="34.5" customHeight="1" x14ac:dyDescent="0.3">
      <c r="A869" s="1">
        <v>18.72</v>
      </c>
      <c r="G869" s="1">
        <v>197.18</v>
      </c>
      <c r="H869" s="1">
        <v>0.32</v>
      </c>
      <c r="I869" s="1">
        <v>4.71</v>
      </c>
      <c r="J869" s="1">
        <v>3</v>
      </c>
      <c r="K869" s="1">
        <v>298</v>
      </c>
      <c r="M869" s="1">
        <v>60</v>
      </c>
      <c r="N869" s="1">
        <f t="shared" si="144"/>
        <v>36.916891495601178</v>
      </c>
    </row>
    <row r="870" spans="1:14" ht="34.5" customHeight="1" x14ac:dyDescent="0.3">
      <c r="A870" s="1">
        <v>18.72</v>
      </c>
      <c r="G870" s="1">
        <v>197.18</v>
      </c>
      <c r="H870" s="1">
        <v>0.32</v>
      </c>
      <c r="I870" s="1">
        <v>4.71</v>
      </c>
      <c r="J870" s="1">
        <v>3</v>
      </c>
      <c r="K870" s="1">
        <v>298</v>
      </c>
      <c r="M870" s="1">
        <v>80</v>
      </c>
      <c r="N870" s="1">
        <f t="shared" si="144"/>
        <v>38.321643835616442</v>
      </c>
    </row>
    <row r="871" spans="1:14" ht="34.5" customHeight="1" x14ac:dyDescent="0.3">
      <c r="A871" s="1">
        <v>18.72</v>
      </c>
      <c r="G871" s="1">
        <v>197.18</v>
      </c>
      <c r="H871" s="1">
        <v>0.32</v>
      </c>
      <c r="I871" s="1">
        <v>4.71</v>
      </c>
      <c r="J871" s="1">
        <v>3</v>
      </c>
      <c r="K871" s="1">
        <v>298</v>
      </c>
      <c r="M871" s="1">
        <v>120</v>
      </c>
      <c r="N871" s="1">
        <f t="shared" si="144"/>
        <v>39.837531645569626</v>
      </c>
    </row>
    <row r="872" spans="1:14" ht="34.5" customHeight="1" x14ac:dyDescent="0.3">
      <c r="A872" s="1">
        <v>11.02</v>
      </c>
      <c r="G872" s="1">
        <v>251.23</v>
      </c>
      <c r="H872" s="1">
        <v>0.33</v>
      </c>
      <c r="I872" s="1">
        <v>4.8499999999999996</v>
      </c>
      <c r="J872" s="1">
        <v>3</v>
      </c>
      <c r="K872" s="1">
        <v>298</v>
      </c>
      <c r="M872" s="1">
        <v>5</v>
      </c>
      <c r="N872" s="1">
        <f t="shared" ref="N872:N877" si="145">(27.82*0.106*M872)/(1+0.106*M872)</f>
        <v>9.6369934640522867</v>
      </c>
    </row>
    <row r="873" spans="1:14" ht="34.5" customHeight="1" x14ac:dyDescent="0.3">
      <c r="A873" s="1">
        <v>11.02</v>
      </c>
      <c r="G873" s="1">
        <v>251.23</v>
      </c>
      <c r="H873" s="1">
        <v>0.33</v>
      </c>
      <c r="I873" s="1">
        <v>4.8499999999999996</v>
      </c>
      <c r="J873" s="1">
        <v>3</v>
      </c>
      <c r="K873" s="1">
        <v>298</v>
      </c>
      <c r="M873" s="1">
        <v>10</v>
      </c>
      <c r="N873" s="1">
        <f t="shared" si="145"/>
        <v>14.31514563106796</v>
      </c>
    </row>
    <row r="874" spans="1:14" ht="34.5" customHeight="1" x14ac:dyDescent="0.3">
      <c r="A874" s="1">
        <v>11.02</v>
      </c>
      <c r="G874" s="1">
        <v>251.23</v>
      </c>
      <c r="H874" s="1">
        <v>0.33</v>
      </c>
      <c r="I874" s="1">
        <v>4.8499999999999996</v>
      </c>
      <c r="J874" s="1">
        <v>3</v>
      </c>
      <c r="K874" s="1">
        <v>298</v>
      </c>
      <c r="M874" s="1">
        <v>30</v>
      </c>
      <c r="N874" s="1">
        <f t="shared" si="145"/>
        <v>21.164497607655502</v>
      </c>
    </row>
    <row r="875" spans="1:14" ht="34.5" customHeight="1" x14ac:dyDescent="0.3">
      <c r="A875" s="1">
        <v>11.02</v>
      </c>
      <c r="G875" s="1">
        <v>251.23</v>
      </c>
      <c r="H875" s="1">
        <v>0.33</v>
      </c>
      <c r="I875" s="1">
        <v>4.8499999999999996</v>
      </c>
      <c r="J875" s="1">
        <v>3</v>
      </c>
      <c r="K875" s="1">
        <v>298</v>
      </c>
      <c r="M875" s="1">
        <v>60</v>
      </c>
      <c r="N875" s="1">
        <f t="shared" si="145"/>
        <v>24.040108695652172</v>
      </c>
    </row>
    <row r="876" spans="1:14" ht="34.5" customHeight="1" x14ac:dyDescent="0.3">
      <c r="A876" s="1">
        <v>11.02</v>
      </c>
      <c r="G876" s="1">
        <v>251.23</v>
      </c>
      <c r="H876" s="1">
        <v>0.33</v>
      </c>
      <c r="I876" s="1">
        <v>4.8499999999999996</v>
      </c>
      <c r="J876" s="1">
        <v>3</v>
      </c>
      <c r="K876" s="1">
        <v>298</v>
      </c>
      <c r="M876" s="1">
        <v>80</v>
      </c>
      <c r="N876" s="1">
        <f t="shared" si="145"/>
        <v>24.885400843881854</v>
      </c>
    </row>
    <row r="877" spans="1:14" ht="34.5" customHeight="1" x14ac:dyDescent="0.3">
      <c r="A877" s="1">
        <v>11.02</v>
      </c>
      <c r="G877" s="1">
        <v>251.23</v>
      </c>
      <c r="H877" s="1">
        <v>0.33</v>
      </c>
      <c r="I877" s="1">
        <v>4.8499999999999996</v>
      </c>
      <c r="J877" s="1">
        <v>3</v>
      </c>
      <c r="K877" s="1">
        <v>298</v>
      </c>
      <c r="M877" s="1">
        <v>120</v>
      </c>
      <c r="N877" s="1">
        <f t="shared" si="145"/>
        <v>25.792303206997083</v>
      </c>
    </row>
    <row r="878" spans="1:14" ht="34.5" customHeight="1" x14ac:dyDescent="0.3">
      <c r="A878" s="1">
        <v>6.39</v>
      </c>
      <c r="G878" s="1">
        <v>262.69</v>
      </c>
      <c r="H878" s="1">
        <v>0.37</v>
      </c>
      <c r="I878" s="1">
        <v>5.14</v>
      </c>
      <c r="J878" s="1">
        <v>3</v>
      </c>
      <c r="K878" s="1">
        <v>298</v>
      </c>
      <c r="M878" s="1">
        <v>5</v>
      </c>
      <c r="N878" s="1">
        <f t="shared" ref="N878:N883" si="146">18.74*0.1*M878/(1+0.1*M878)</f>
        <v>6.2466666666666661</v>
      </c>
    </row>
    <row r="879" spans="1:14" ht="34.5" customHeight="1" x14ac:dyDescent="0.3">
      <c r="A879" s="1">
        <v>6.39</v>
      </c>
      <c r="G879" s="1">
        <v>262.69</v>
      </c>
      <c r="H879" s="1">
        <v>0.37</v>
      </c>
      <c r="I879" s="1">
        <v>5.14</v>
      </c>
      <c r="J879" s="1">
        <v>3</v>
      </c>
      <c r="K879" s="1">
        <v>298</v>
      </c>
      <c r="M879" s="1">
        <v>10</v>
      </c>
      <c r="N879" s="1">
        <f t="shared" si="146"/>
        <v>9.3699999999999992</v>
      </c>
    </row>
    <row r="880" spans="1:14" ht="34.5" customHeight="1" x14ac:dyDescent="0.3">
      <c r="A880" s="1">
        <v>6.39</v>
      </c>
      <c r="G880" s="1">
        <v>262.69</v>
      </c>
      <c r="H880" s="1">
        <v>0.37</v>
      </c>
      <c r="I880" s="1">
        <v>5.14</v>
      </c>
      <c r="J880" s="1">
        <v>3</v>
      </c>
      <c r="K880" s="1">
        <v>298</v>
      </c>
      <c r="M880" s="1">
        <v>30</v>
      </c>
      <c r="N880" s="1">
        <f t="shared" si="146"/>
        <v>14.055</v>
      </c>
    </row>
    <row r="881" spans="1:14" ht="34.5" customHeight="1" x14ac:dyDescent="0.3">
      <c r="A881" s="1">
        <v>6.39</v>
      </c>
      <c r="G881" s="1">
        <v>262.69</v>
      </c>
      <c r="H881" s="1">
        <v>0.37</v>
      </c>
      <c r="I881" s="1">
        <v>5.14</v>
      </c>
      <c r="J881" s="1">
        <v>3</v>
      </c>
      <c r="K881" s="1">
        <v>298</v>
      </c>
      <c r="M881" s="1">
        <v>60</v>
      </c>
      <c r="N881" s="1">
        <f t="shared" si="146"/>
        <v>16.062857142857144</v>
      </c>
    </row>
    <row r="882" spans="1:14" ht="34.5" customHeight="1" x14ac:dyDescent="0.3">
      <c r="A882" s="1">
        <v>6.39</v>
      </c>
      <c r="G882" s="1">
        <v>262.69</v>
      </c>
      <c r="H882" s="1">
        <v>0.37</v>
      </c>
      <c r="I882" s="1">
        <v>5.14</v>
      </c>
      <c r="J882" s="1">
        <v>3</v>
      </c>
      <c r="K882" s="1">
        <v>298</v>
      </c>
      <c r="M882" s="1">
        <v>80</v>
      </c>
      <c r="N882" s="1">
        <f t="shared" si="146"/>
        <v>16.657777777777778</v>
      </c>
    </row>
    <row r="883" spans="1:14" ht="34.5" customHeight="1" x14ac:dyDescent="0.3">
      <c r="A883" s="1">
        <v>6.39</v>
      </c>
      <c r="G883" s="1">
        <v>262.69</v>
      </c>
      <c r="H883" s="1">
        <v>0.37</v>
      </c>
      <c r="I883" s="1">
        <v>5.14</v>
      </c>
      <c r="J883" s="1">
        <v>3</v>
      </c>
      <c r="K883" s="1">
        <v>298</v>
      </c>
      <c r="M883" s="1">
        <v>120</v>
      </c>
      <c r="N883" s="1">
        <f t="shared" si="146"/>
        <v>17.298461538461538</v>
      </c>
    </row>
    <row r="884" spans="1:14" ht="34.5" customHeight="1" x14ac:dyDescent="0.3">
      <c r="A884" s="1" t="s">
        <v>11</v>
      </c>
      <c r="G884" s="1">
        <v>172.74</v>
      </c>
      <c r="J884" s="1">
        <v>4</v>
      </c>
      <c r="K884" s="1">
        <v>298</v>
      </c>
      <c r="M884" s="1">
        <v>2</v>
      </c>
      <c r="N884" s="1">
        <f t="shared" ref="N884:N889" si="147">46.92*M884^(1/4.306)</f>
        <v>55.114697884936724</v>
      </c>
    </row>
    <row r="885" spans="1:14" ht="34.5" customHeight="1" x14ac:dyDescent="0.3">
      <c r="A885" s="1" t="s">
        <v>11</v>
      </c>
      <c r="G885" s="1">
        <v>172.74</v>
      </c>
      <c r="J885" s="1">
        <v>4</v>
      </c>
      <c r="K885" s="1">
        <v>298</v>
      </c>
      <c r="M885" s="1">
        <v>3</v>
      </c>
      <c r="N885" s="1">
        <f t="shared" si="147"/>
        <v>60.556647608446937</v>
      </c>
    </row>
    <row r="886" spans="1:14" ht="34.5" customHeight="1" x14ac:dyDescent="0.3">
      <c r="A886" s="1" t="s">
        <v>11</v>
      </c>
      <c r="G886" s="1">
        <v>172.74</v>
      </c>
      <c r="J886" s="1">
        <v>4</v>
      </c>
      <c r="K886" s="1">
        <v>298</v>
      </c>
      <c r="M886" s="1">
        <v>5</v>
      </c>
      <c r="N886" s="1">
        <f t="shared" si="147"/>
        <v>68.184030187311819</v>
      </c>
    </row>
    <row r="887" spans="1:14" ht="34.5" customHeight="1" x14ac:dyDescent="0.3">
      <c r="A887" s="1" t="s">
        <v>11</v>
      </c>
      <c r="G887" s="1">
        <v>172.74</v>
      </c>
      <c r="J887" s="1">
        <v>4</v>
      </c>
      <c r="K887" s="1">
        <v>298</v>
      </c>
      <c r="M887" s="1">
        <v>10</v>
      </c>
      <c r="N887" s="1">
        <f t="shared" si="147"/>
        <v>80.092545276025064</v>
      </c>
    </row>
    <row r="888" spans="1:14" ht="34.5" customHeight="1" x14ac:dyDescent="0.3">
      <c r="A888" s="1" t="s">
        <v>11</v>
      </c>
      <c r="G888" s="1">
        <v>172.74</v>
      </c>
      <c r="J888" s="1">
        <v>4</v>
      </c>
      <c r="K888" s="1">
        <v>298</v>
      </c>
      <c r="M888" s="1">
        <v>15</v>
      </c>
      <c r="N888" s="1">
        <f t="shared" si="147"/>
        <v>88.000773413826735</v>
      </c>
    </row>
    <row r="889" spans="1:14" ht="34.5" customHeight="1" x14ac:dyDescent="0.3">
      <c r="A889" s="1" t="s">
        <v>11</v>
      </c>
      <c r="G889" s="1">
        <v>172.74</v>
      </c>
      <c r="J889" s="1">
        <v>4</v>
      </c>
      <c r="K889" s="1">
        <v>298</v>
      </c>
      <c r="M889" s="1">
        <v>25</v>
      </c>
      <c r="N889" s="1">
        <f t="shared" si="147"/>
        <v>99.084867275879148</v>
      </c>
    </row>
    <row r="890" spans="1:14" ht="34.5" customHeight="1" x14ac:dyDescent="0.3">
      <c r="A890" s="1" t="s">
        <v>11</v>
      </c>
      <c r="B890" s="1" t="s">
        <v>11</v>
      </c>
      <c r="G890" s="1">
        <v>249.84100000000001</v>
      </c>
      <c r="H890" s="1">
        <v>0.22900000000000001</v>
      </c>
      <c r="I890" s="1">
        <v>4.077</v>
      </c>
      <c r="J890" s="1">
        <v>5.5</v>
      </c>
      <c r="K890" s="1">
        <v>298</v>
      </c>
      <c r="M890" s="1">
        <v>5</v>
      </c>
      <c r="N890" s="1">
        <f t="shared" ref="N890:N895" si="148">9*M890^0.33</f>
        <v>15.307441587755319</v>
      </c>
    </row>
    <row r="891" spans="1:14" ht="34.5" customHeight="1" x14ac:dyDescent="0.3">
      <c r="A891" s="1" t="s">
        <v>11</v>
      </c>
      <c r="B891" s="1" t="s">
        <v>11</v>
      </c>
      <c r="G891" s="1">
        <v>249.84100000000001</v>
      </c>
      <c r="H891" s="1">
        <v>0.22900000000000001</v>
      </c>
      <c r="I891" s="1">
        <v>4.077</v>
      </c>
      <c r="J891" s="1">
        <v>5.5</v>
      </c>
      <c r="K891" s="1">
        <v>298</v>
      </c>
      <c r="M891" s="1">
        <v>10</v>
      </c>
      <c r="N891" s="1">
        <f t="shared" si="148"/>
        <v>19.241658805520089</v>
      </c>
    </row>
    <row r="892" spans="1:14" ht="34.5" customHeight="1" x14ac:dyDescent="0.3">
      <c r="A892" s="1" t="s">
        <v>11</v>
      </c>
      <c r="B892" s="1" t="s">
        <v>11</v>
      </c>
      <c r="G892" s="1">
        <v>249.84100000000001</v>
      </c>
      <c r="H892" s="1">
        <v>0.22900000000000001</v>
      </c>
      <c r="I892" s="1">
        <v>4.077</v>
      </c>
      <c r="J892" s="1">
        <v>5.5</v>
      </c>
      <c r="K892" s="1">
        <v>298</v>
      </c>
      <c r="M892" s="1">
        <v>20</v>
      </c>
      <c r="N892" s="1">
        <f t="shared" si="148"/>
        <v>24.187022466524461</v>
      </c>
    </row>
    <row r="893" spans="1:14" ht="34.5" customHeight="1" x14ac:dyDescent="0.3">
      <c r="A893" s="1" t="s">
        <v>11</v>
      </c>
      <c r="B893" s="1" t="s">
        <v>11</v>
      </c>
      <c r="G893" s="1">
        <v>249.84100000000001</v>
      </c>
      <c r="H893" s="1">
        <v>0.22900000000000001</v>
      </c>
      <c r="I893" s="1">
        <v>4.077</v>
      </c>
      <c r="J893" s="1">
        <v>5.5</v>
      </c>
      <c r="K893" s="1">
        <v>298</v>
      </c>
      <c r="M893" s="1">
        <v>60</v>
      </c>
      <c r="N893" s="1">
        <f t="shared" si="148"/>
        <v>34.756210757288578</v>
      </c>
    </row>
    <row r="894" spans="1:14" ht="34.5" customHeight="1" x14ac:dyDescent="0.3">
      <c r="A894" s="1" t="s">
        <v>11</v>
      </c>
      <c r="B894" s="1" t="s">
        <v>11</v>
      </c>
      <c r="G894" s="1">
        <v>249.84100000000001</v>
      </c>
      <c r="H894" s="1">
        <v>0.22900000000000001</v>
      </c>
      <c r="I894" s="1">
        <v>4.077</v>
      </c>
      <c r="J894" s="1">
        <v>5.5</v>
      </c>
      <c r="K894" s="1">
        <v>298</v>
      </c>
      <c r="M894" s="1">
        <v>100</v>
      </c>
      <c r="N894" s="1">
        <f t="shared" si="148"/>
        <v>41.137937065338754</v>
      </c>
    </row>
    <row r="895" spans="1:14" ht="34.5" customHeight="1" x14ac:dyDescent="0.3">
      <c r="A895" s="1" t="s">
        <v>11</v>
      </c>
      <c r="B895" s="1" t="s">
        <v>11</v>
      </c>
      <c r="G895" s="1">
        <v>249.84100000000001</v>
      </c>
      <c r="H895" s="1">
        <v>0.22900000000000001</v>
      </c>
      <c r="I895" s="1">
        <v>4.077</v>
      </c>
      <c r="J895" s="1">
        <v>5.5</v>
      </c>
      <c r="K895" s="1">
        <v>298</v>
      </c>
      <c r="M895" s="1">
        <v>140</v>
      </c>
      <c r="N895" s="1">
        <f t="shared" si="148"/>
        <v>45.968968765598561</v>
      </c>
    </row>
    <row r="896" spans="1:14" ht="34.5" customHeight="1" x14ac:dyDescent="0.3">
      <c r="A896" s="1" t="s">
        <v>11</v>
      </c>
      <c r="G896" s="1">
        <v>254.92</v>
      </c>
      <c r="J896" s="1">
        <v>6</v>
      </c>
      <c r="K896" s="1">
        <v>298</v>
      </c>
      <c r="M896" s="1">
        <v>0.1</v>
      </c>
      <c r="N896" s="1">
        <f t="shared" ref="N896:N901" si="149">(31.94*23.54*M896)/(1+23.54*M896)</f>
        <v>22.417042337507453</v>
      </c>
    </row>
    <row r="897" spans="1:14" ht="34.5" customHeight="1" x14ac:dyDescent="0.3">
      <c r="A897" s="1" t="s">
        <v>11</v>
      </c>
      <c r="G897" s="1">
        <v>254.92</v>
      </c>
      <c r="J897" s="1">
        <v>6</v>
      </c>
      <c r="K897" s="1">
        <v>298</v>
      </c>
      <c r="M897" s="1">
        <v>0.2</v>
      </c>
      <c r="N897" s="1">
        <f t="shared" si="149"/>
        <v>26.344344779257185</v>
      </c>
    </row>
    <row r="898" spans="1:14" ht="34.5" customHeight="1" x14ac:dyDescent="0.3">
      <c r="A898" s="1" t="s">
        <v>11</v>
      </c>
      <c r="G898" s="1">
        <v>254.92</v>
      </c>
      <c r="J898" s="1">
        <v>6</v>
      </c>
      <c r="K898" s="1">
        <v>298</v>
      </c>
      <c r="M898" s="1">
        <v>0.3</v>
      </c>
      <c r="N898" s="1">
        <f t="shared" si="149"/>
        <v>27.978203919622924</v>
      </c>
    </row>
    <row r="899" spans="1:14" ht="34.5" customHeight="1" x14ac:dyDescent="0.3">
      <c r="A899" s="1" t="s">
        <v>11</v>
      </c>
      <c r="G899" s="1">
        <v>254.92</v>
      </c>
      <c r="J899" s="1">
        <v>6</v>
      </c>
      <c r="K899" s="1">
        <v>298</v>
      </c>
      <c r="M899" s="1">
        <v>0.4</v>
      </c>
      <c r="N899" s="1">
        <f t="shared" si="149"/>
        <v>28.873563748079878</v>
      </c>
    </row>
    <row r="900" spans="1:14" ht="34.5" customHeight="1" x14ac:dyDescent="0.3">
      <c r="A900" s="1" t="s">
        <v>11</v>
      </c>
      <c r="G900" s="1">
        <v>254.92</v>
      </c>
      <c r="J900" s="1">
        <v>6</v>
      </c>
      <c r="K900" s="1">
        <v>298</v>
      </c>
      <c r="M900" s="1">
        <v>1</v>
      </c>
      <c r="N900" s="1">
        <f t="shared" si="149"/>
        <v>30.638451507742463</v>
      </c>
    </row>
    <row r="901" spans="1:14" ht="34.5" customHeight="1" x14ac:dyDescent="0.3">
      <c r="A901" s="1" t="s">
        <v>11</v>
      </c>
      <c r="G901" s="1">
        <v>254.92</v>
      </c>
      <c r="J901" s="1">
        <v>6</v>
      </c>
      <c r="K901" s="1">
        <v>298</v>
      </c>
      <c r="M901" s="1">
        <v>6</v>
      </c>
      <c r="N901" s="1">
        <f t="shared" si="149"/>
        <v>31.715449943757029</v>
      </c>
    </row>
    <row r="902" spans="1:14" ht="34.5" customHeight="1" x14ac:dyDescent="0.3">
      <c r="A902" s="1" t="s">
        <v>11</v>
      </c>
      <c r="G902" s="1">
        <v>254.92</v>
      </c>
      <c r="J902" s="1">
        <v>6</v>
      </c>
      <c r="K902" s="1">
        <v>308</v>
      </c>
      <c r="M902" s="1">
        <v>0.1</v>
      </c>
      <c r="N902" s="1">
        <f t="shared" ref="N902:N907" si="150">(33.06*8.52*M902)/(1+8.52*M902)</f>
        <v>15.20902807775378</v>
      </c>
    </row>
    <row r="903" spans="1:14" ht="34.5" customHeight="1" x14ac:dyDescent="0.3">
      <c r="A903" s="1" t="s">
        <v>11</v>
      </c>
      <c r="G903" s="1">
        <v>254.92</v>
      </c>
      <c r="J903" s="1">
        <v>6</v>
      </c>
      <c r="K903" s="1">
        <v>308</v>
      </c>
      <c r="M903" s="1">
        <v>0.2</v>
      </c>
      <c r="N903" s="1">
        <f t="shared" si="150"/>
        <v>20.833668639053258</v>
      </c>
    </row>
    <row r="904" spans="1:14" ht="34.5" customHeight="1" x14ac:dyDescent="0.3">
      <c r="A904" s="1" t="s">
        <v>11</v>
      </c>
      <c r="G904" s="1">
        <v>254.92</v>
      </c>
      <c r="J904" s="1">
        <v>6</v>
      </c>
      <c r="K904" s="1">
        <v>308</v>
      </c>
      <c r="M904" s="1">
        <v>0.3</v>
      </c>
      <c r="N904" s="1">
        <f t="shared" si="150"/>
        <v>23.763037120359954</v>
      </c>
    </row>
    <row r="905" spans="1:14" ht="34.5" customHeight="1" x14ac:dyDescent="0.3">
      <c r="A905" s="1" t="s">
        <v>11</v>
      </c>
      <c r="G905" s="1">
        <v>254.92</v>
      </c>
      <c r="J905" s="1">
        <v>6</v>
      </c>
      <c r="K905" s="1">
        <v>308</v>
      </c>
      <c r="M905" s="1">
        <v>0.4</v>
      </c>
      <c r="N905" s="1">
        <f t="shared" si="150"/>
        <v>25.560000000000002</v>
      </c>
    </row>
    <row r="906" spans="1:14" ht="34.5" customHeight="1" x14ac:dyDescent="0.3">
      <c r="A906" s="1" t="s">
        <v>11</v>
      </c>
      <c r="G906" s="1">
        <v>254.92</v>
      </c>
      <c r="J906" s="1">
        <v>6</v>
      </c>
      <c r="K906" s="1">
        <v>308</v>
      </c>
      <c r="M906" s="1">
        <v>1</v>
      </c>
      <c r="N906" s="1">
        <f t="shared" si="150"/>
        <v>29.587310924369749</v>
      </c>
    </row>
    <row r="907" spans="1:14" ht="34.5" customHeight="1" x14ac:dyDescent="0.3">
      <c r="A907" s="1" t="s">
        <v>11</v>
      </c>
      <c r="G907" s="1">
        <v>254.92</v>
      </c>
      <c r="J907" s="1">
        <v>6</v>
      </c>
      <c r="K907" s="1">
        <v>308</v>
      </c>
      <c r="M907" s="1">
        <v>6</v>
      </c>
      <c r="N907" s="1">
        <f t="shared" si="150"/>
        <v>32.425694551036074</v>
      </c>
    </row>
    <row r="908" spans="1:14" ht="34.5" customHeight="1" x14ac:dyDescent="0.3">
      <c r="A908" s="1" t="s">
        <v>11</v>
      </c>
      <c r="G908" s="1">
        <v>254.92</v>
      </c>
      <c r="J908" s="1">
        <v>6</v>
      </c>
      <c r="K908" s="1">
        <v>318</v>
      </c>
      <c r="M908" s="1">
        <v>0.1</v>
      </c>
      <c r="N908" s="1">
        <f t="shared" ref="N908:N913" si="151">(33.98*19.75*M908)/(1+19.75*M908)</f>
        <v>22.558151260504197</v>
      </c>
    </row>
    <row r="909" spans="1:14" ht="34.5" customHeight="1" x14ac:dyDescent="0.3">
      <c r="A909" s="1" t="s">
        <v>11</v>
      </c>
      <c r="G909" s="1">
        <v>254.92</v>
      </c>
      <c r="J909" s="1">
        <v>6</v>
      </c>
      <c r="K909" s="1">
        <v>318</v>
      </c>
      <c r="M909" s="1">
        <v>0.2</v>
      </c>
      <c r="N909" s="1">
        <f t="shared" si="151"/>
        <v>27.115353535353531</v>
      </c>
    </row>
    <row r="910" spans="1:14" ht="34.5" customHeight="1" x14ac:dyDescent="0.3">
      <c r="A910" s="1" t="s">
        <v>11</v>
      </c>
      <c r="G910" s="1">
        <v>254.92</v>
      </c>
      <c r="J910" s="1">
        <v>6</v>
      </c>
      <c r="K910" s="1">
        <v>318</v>
      </c>
      <c r="M910" s="1">
        <v>0.3</v>
      </c>
      <c r="N910" s="1">
        <f t="shared" si="151"/>
        <v>29.073140794223825</v>
      </c>
    </row>
    <row r="911" spans="1:14" ht="34.5" customHeight="1" x14ac:dyDescent="0.3">
      <c r="A911" s="1" t="s">
        <v>11</v>
      </c>
      <c r="G911" s="1">
        <v>254.92</v>
      </c>
      <c r="J911" s="1">
        <v>6</v>
      </c>
      <c r="K911" s="1">
        <v>318</v>
      </c>
      <c r="M911" s="1">
        <v>0.4</v>
      </c>
      <c r="N911" s="1">
        <f t="shared" si="151"/>
        <v>30.162022471910106</v>
      </c>
    </row>
    <row r="912" spans="1:14" ht="34.5" customHeight="1" x14ac:dyDescent="0.3">
      <c r="A912" s="1" t="s">
        <v>11</v>
      </c>
      <c r="G912" s="1">
        <v>254.92</v>
      </c>
      <c r="J912" s="1">
        <v>6</v>
      </c>
      <c r="K912" s="1">
        <v>318</v>
      </c>
      <c r="M912" s="1">
        <v>1</v>
      </c>
      <c r="N912" s="1">
        <f t="shared" si="151"/>
        <v>32.342409638554216</v>
      </c>
    </row>
    <row r="913" spans="1:14" ht="34.5" customHeight="1" x14ac:dyDescent="0.3">
      <c r="A913" s="1" t="s">
        <v>11</v>
      </c>
      <c r="G913" s="1">
        <v>254.92</v>
      </c>
      <c r="J913" s="1">
        <v>6</v>
      </c>
      <c r="K913" s="1">
        <v>318</v>
      </c>
      <c r="M913" s="1">
        <v>6</v>
      </c>
      <c r="N913" s="1">
        <f t="shared" si="151"/>
        <v>33.69564853556485</v>
      </c>
    </row>
    <row r="914" spans="1:14" ht="34.5" customHeight="1" x14ac:dyDescent="0.3">
      <c r="A914" s="1">
        <v>10.66</v>
      </c>
      <c r="C914" s="1">
        <v>15.92</v>
      </c>
      <c r="G914" s="1">
        <v>1499</v>
      </c>
      <c r="H914" s="1">
        <v>1.26</v>
      </c>
      <c r="I914" s="1">
        <v>2.8</v>
      </c>
      <c r="J914" s="1">
        <v>5.3</v>
      </c>
      <c r="K914" s="1">
        <v>298</v>
      </c>
      <c r="M914" s="1">
        <v>5</v>
      </c>
      <c r="N914" s="1">
        <f t="shared" ref="N914:N919" si="152">50.342*0.048*M914/(1+0.048*M914)</f>
        <v>9.7436129032258059</v>
      </c>
    </row>
    <row r="915" spans="1:14" ht="34.5" customHeight="1" x14ac:dyDescent="0.3">
      <c r="A915" s="1">
        <v>10.66</v>
      </c>
      <c r="C915" s="1">
        <v>15.92</v>
      </c>
      <c r="G915" s="1">
        <v>1499</v>
      </c>
      <c r="H915" s="1">
        <v>1.26</v>
      </c>
      <c r="I915" s="1">
        <v>2.8</v>
      </c>
      <c r="J915" s="1">
        <v>5.3</v>
      </c>
      <c r="K915" s="1">
        <v>298</v>
      </c>
      <c r="M915" s="1">
        <v>10</v>
      </c>
      <c r="N915" s="1">
        <f t="shared" si="152"/>
        <v>16.327135135135133</v>
      </c>
    </row>
    <row r="916" spans="1:14" ht="34.5" customHeight="1" x14ac:dyDescent="0.3">
      <c r="A916" s="1">
        <v>10.66</v>
      </c>
      <c r="C916" s="1">
        <v>15.92</v>
      </c>
      <c r="G916" s="1">
        <v>1499</v>
      </c>
      <c r="H916" s="1">
        <v>1.26</v>
      </c>
      <c r="I916" s="1">
        <v>2.8</v>
      </c>
      <c r="J916" s="1">
        <v>5.3</v>
      </c>
      <c r="K916" s="1">
        <v>298</v>
      </c>
      <c r="M916" s="1">
        <v>15</v>
      </c>
      <c r="N916" s="1">
        <f t="shared" si="152"/>
        <v>21.073395348837209</v>
      </c>
    </row>
    <row r="917" spans="1:14" ht="34.5" customHeight="1" x14ac:dyDescent="0.3">
      <c r="A917" s="1">
        <v>10.66</v>
      </c>
      <c r="C917" s="1">
        <v>15.92</v>
      </c>
      <c r="G917" s="1">
        <v>1499</v>
      </c>
      <c r="H917" s="1">
        <v>1.26</v>
      </c>
      <c r="I917" s="1">
        <v>2.8</v>
      </c>
      <c r="J917" s="1">
        <v>5.3</v>
      </c>
      <c r="K917" s="1">
        <v>298</v>
      </c>
      <c r="M917" s="1">
        <v>20</v>
      </c>
      <c r="N917" s="1">
        <f t="shared" si="152"/>
        <v>24.657306122448979</v>
      </c>
    </row>
    <row r="918" spans="1:14" ht="34.5" customHeight="1" x14ac:dyDescent="0.3">
      <c r="A918" s="1">
        <v>10.66</v>
      </c>
      <c r="C918" s="1">
        <v>15.92</v>
      </c>
      <c r="G918" s="1">
        <v>1499</v>
      </c>
      <c r="H918" s="1">
        <v>1.26</v>
      </c>
      <c r="I918" s="1">
        <v>2.8</v>
      </c>
      <c r="J918" s="1">
        <v>5.3</v>
      </c>
      <c r="K918" s="1">
        <v>298</v>
      </c>
      <c r="M918" s="1">
        <v>30</v>
      </c>
      <c r="N918" s="1">
        <f t="shared" si="152"/>
        <v>29.710032786885247</v>
      </c>
    </row>
    <row r="919" spans="1:14" ht="34.5" customHeight="1" x14ac:dyDescent="0.3">
      <c r="A919" s="1">
        <v>10.66</v>
      </c>
      <c r="C919" s="1">
        <v>15.92</v>
      </c>
      <c r="G919" s="1">
        <v>1499</v>
      </c>
      <c r="H919" s="1">
        <v>1.26</v>
      </c>
      <c r="I919" s="1">
        <v>2.8</v>
      </c>
      <c r="J919" s="1">
        <v>5.3</v>
      </c>
      <c r="K919" s="1">
        <v>298</v>
      </c>
      <c r="M919" s="1">
        <v>50</v>
      </c>
      <c r="N919" s="1">
        <f t="shared" si="152"/>
        <v>35.535529411764706</v>
      </c>
    </row>
    <row r="920" spans="1:14" ht="34.5" customHeight="1" x14ac:dyDescent="0.3">
      <c r="A920" s="1">
        <v>13.05</v>
      </c>
      <c r="G920" s="1">
        <v>1499</v>
      </c>
      <c r="H920" s="1">
        <v>1.26</v>
      </c>
      <c r="I920" s="1">
        <v>2.8</v>
      </c>
      <c r="J920" s="1">
        <v>5.3</v>
      </c>
      <c r="K920" s="1">
        <v>298</v>
      </c>
      <c r="M920" s="1">
        <v>5</v>
      </c>
      <c r="N920" s="1">
        <f t="shared" ref="N920:N925" si="153">48.608*0.078*M920/(1+0.078*M920)</f>
        <v>13.638215827338128</v>
      </c>
    </row>
    <row r="921" spans="1:14" ht="34.5" customHeight="1" x14ac:dyDescent="0.3">
      <c r="A921" s="1">
        <v>13.05</v>
      </c>
      <c r="G921" s="1">
        <v>1499</v>
      </c>
      <c r="H921" s="1">
        <v>1.26</v>
      </c>
      <c r="I921" s="1">
        <v>2.8</v>
      </c>
      <c r="J921" s="1">
        <v>5.3</v>
      </c>
      <c r="K921" s="1">
        <v>298</v>
      </c>
      <c r="M921" s="1">
        <v>10</v>
      </c>
      <c r="N921" s="1">
        <f t="shared" si="153"/>
        <v>21.300134831460674</v>
      </c>
    </row>
    <row r="922" spans="1:14" ht="34.5" customHeight="1" x14ac:dyDescent="0.3">
      <c r="A922" s="1">
        <v>13.05</v>
      </c>
      <c r="G922" s="1">
        <v>1499</v>
      </c>
      <c r="H922" s="1">
        <v>1.26</v>
      </c>
      <c r="I922" s="1">
        <v>2.8</v>
      </c>
      <c r="J922" s="1">
        <v>5.3</v>
      </c>
      <c r="K922" s="1">
        <v>298</v>
      </c>
      <c r="M922" s="1">
        <v>15</v>
      </c>
      <c r="N922" s="1">
        <f t="shared" si="153"/>
        <v>26.207999999999998</v>
      </c>
    </row>
    <row r="923" spans="1:14" ht="34.5" customHeight="1" x14ac:dyDescent="0.3">
      <c r="A923" s="1">
        <v>13.05</v>
      </c>
      <c r="G923" s="1">
        <v>1499</v>
      </c>
      <c r="H923" s="1">
        <v>1.26</v>
      </c>
      <c r="I923" s="1">
        <v>2.8</v>
      </c>
      <c r="J923" s="1">
        <v>5.3</v>
      </c>
      <c r="K923" s="1">
        <v>298</v>
      </c>
      <c r="M923" s="1">
        <v>20</v>
      </c>
      <c r="N923" s="1">
        <f t="shared" si="153"/>
        <v>29.6205</v>
      </c>
    </row>
    <row r="924" spans="1:14" ht="34.5" customHeight="1" x14ac:dyDescent="0.3">
      <c r="A924" s="1">
        <v>13.05</v>
      </c>
      <c r="G924" s="1">
        <v>1499</v>
      </c>
      <c r="H924" s="1">
        <v>1.26</v>
      </c>
      <c r="I924" s="1">
        <v>2.8</v>
      </c>
      <c r="J924" s="1">
        <v>5.3</v>
      </c>
      <c r="K924" s="1">
        <v>298</v>
      </c>
      <c r="M924" s="1">
        <v>30</v>
      </c>
      <c r="N924" s="1">
        <f t="shared" si="153"/>
        <v>34.054706586826349</v>
      </c>
    </row>
    <row r="925" spans="1:14" ht="34.5" customHeight="1" x14ac:dyDescent="0.3">
      <c r="A925" s="1">
        <v>13.05</v>
      </c>
      <c r="G925" s="1">
        <v>1499</v>
      </c>
      <c r="H925" s="1">
        <v>1.26</v>
      </c>
      <c r="I925" s="1">
        <v>2.8</v>
      </c>
      <c r="J925" s="1">
        <v>5.3</v>
      </c>
      <c r="K925" s="1">
        <v>298</v>
      </c>
      <c r="M925" s="1">
        <v>50</v>
      </c>
      <c r="N925" s="1">
        <f t="shared" si="153"/>
        <v>38.687999999999995</v>
      </c>
    </row>
    <row r="926" spans="1:14" ht="34.5" customHeight="1" x14ac:dyDescent="0.3">
      <c r="A926" s="1">
        <v>3.59</v>
      </c>
      <c r="B926" s="1">
        <v>5.28</v>
      </c>
      <c r="J926" s="1">
        <v>4</v>
      </c>
      <c r="K926" s="1">
        <v>298</v>
      </c>
      <c r="M926" s="1">
        <v>2</v>
      </c>
      <c r="N926" s="1">
        <f t="shared" ref="N926:N931" si="154">4.16*M926^0.19</f>
        <v>4.7455770580126426</v>
      </c>
    </row>
    <row r="927" spans="1:14" ht="34.5" customHeight="1" x14ac:dyDescent="0.3">
      <c r="A927" s="1">
        <v>3.59</v>
      </c>
      <c r="B927" s="1">
        <v>5.28</v>
      </c>
      <c r="J927" s="1">
        <v>4</v>
      </c>
      <c r="K927" s="1">
        <v>298</v>
      </c>
      <c r="M927" s="1">
        <v>5</v>
      </c>
      <c r="N927" s="1">
        <f t="shared" si="154"/>
        <v>5.6480382791374391</v>
      </c>
    </row>
    <row r="928" spans="1:14" ht="34.5" customHeight="1" x14ac:dyDescent="0.3">
      <c r="A928" s="1">
        <v>3.59</v>
      </c>
      <c r="B928" s="1">
        <v>5.28</v>
      </c>
      <c r="J928" s="1">
        <v>4</v>
      </c>
      <c r="K928" s="1">
        <v>298</v>
      </c>
      <c r="M928" s="1">
        <v>10</v>
      </c>
      <c r="N928" s="1">
        <f t="shared" si="154"/>
        <v>6.4430771346759235</v>
      </c>
    </row>
    <row r="929" spans="1:14" ht="34.5" customHeight="1" x14ac:dyDescent="0.3">
      <c r="A929" s="1">
        <v>3.59</v>
      </c>
      <c r="B929" s="1">
        <v>5.28</v>
      </c>
      <c r="J929" s="1">
        <v>4</v>
      </c>
      <c r="K929" s="1">
        <v>298</v>
      </c>
      <c r="M929" s="1">
        <v>15</v>
      </c>
      <c r="N929" s="1">
        <f t="shared" si="154"/>
        <v>6.9590614247188238</v>
      </c>
    </row>
    <row r="930" spans="1:14" ht="34.5" customHeight="1" x14ac:dyDescent="0.3">
      <c r="A930" s="1">
        <v>3.59</v>
      </c>
      <c r="B930" s="1">
        <v>5.28</v>
      </c>
      <c r="J930" s="1">
        <v>4</v>
      </c>
      <c r="K930" s="1">
        <v>298</v>
      </c>
      <c r="M930" s="1">
        <v>23</v>
      </c>
      <c r="N930" s="1">
        <f t="shared" si="154"/>
        <v>7.5478214752558932</v>
      </c>
    </row>
    <row r="931" spans="1:14" ht="34.5" customHeight="1" x14ac:dyDescent="0.3">
      <c r="A931" s="1">
        <v>3.59</v>
      </c>
      <c r="B931" s="1">
        <v>5.28</v>
      </c>
      <c r="J931" s="1">
        <v>4</v>
      </c>
      <c r="K931" s="1">
        <v>298</v>
      </c>
      <c r="M931" s="1">
        <v>30</v>
      </c>
      <c r="N931" s="1">
        <f t="shared" si="154"/>
        <v>7.9386447698188514</v>
      </c>
    </row>
    <row r="932" spans="1:14" ht="34.5" customHeight="1" x14ac:dyDescent="0.3">
      <c r="A932" s="1">
        <v>4.5199999999999996</v>
      </c>
      <c r="B932" s="1">
        <v>1.92</v>
      </c>
      <c r="G932" s="1">
        <v>0.97899999999999998</v>
      </c>
      <c r="J932" s="1">
        <v>7</v>
      </c>
      <c r="K932" s="1">
        <v>298</v>
      </c>
      <c r="M932" s="1">
        <v>5</v>
      </c>
      <c r="N932" s="1">
        <f t="shared" ref="N932:N937" si="155">34.6*0.0678*M932/(1+0.068*M932)</f>
        <v>8.7532835820895531</v>
      </c>
    </row>
    <row r="933" spans="1:14" ht="34.5" customHeight="1" x14ac:dyDescent="0.3">
      <c r="A933" s="1">
        <v>4.5199999999999996</v>
      </c>
      <c r="B933" s="1">
        <v>1.92</v>
      </c>
      <c r="G933" s="1">
        <v>0.97899999999999998</v>
      </c>
      <c r="J933" s="1">
        <v>7</v>
      </c>
      <c r="K933" s="1">
        <v>298</v>
      </c>
      <c r="M933" s="1">
        <v>10</v>
      </c>
      <c r="N933" s="1">
        <f t="shared" si="155"/>
        <v>13.963571428571429</v>
      </c>
    </row>
    <row r="934" spans="1:14" ht="34.5" customHeight="1" x14ac:dyDescent="0.3">
      <c r="A934" s="1">
        <v>4.5199999999999996</v>
      </c>
      <c r="B934" s="1">
        <v>1.92</v>
      </c>
      <c r="G934" s="1">
        <v>0.97899999999999998</v>
      </c>
      <c r="J934" s="1">
        <v>7</v>
      </c>
      <c r="K934" s="1">
        <v>298</v>
      </c>
      <c r="M934" s="1">
        <v>50</v>
      </c>
      <c r="N934" s="1">
        <f t="shared" si="155"/>
        <v>26.657727272727271</v>
      </c>
    </row>
    <row r="935" spans="1:14" ht="34.5" customHeight="1" x14ac:dyDescent="0.3">
      <c r="A935" s="1">
        <v>4.5199999999999996</v>
      </c>
      <c r="B935" s="1">
        <v>1.92</v>
      </c>
      <c r="G935" s="1">
        <v>0.97899999999999998</v>
      </c>
      <c r="J935" s="1">
        <v>7</v>
      </c>
      <c r="K935" s="1">
        <v>298</v>
      </c>
      <c r="M935" s="1">
        <v>100</v>
      </c>
      <c r="N935" s="1">
        <f t="shared" si="155"/>
        <v>30.075384615384614</v>
      </c>
    </row>
    <row r="936" spans="1:14" ht="34.5" customHeight="1" x14ac:dyDescent="0.3">
      <c r="A936" s="1">
        <v>4.5199999999999996</v>
      </c>
      <c r="B936" s="1">
        <v>1.92</v>
      </c>
      <c r="G936" s="1">
        <v>0.97899999999999998</v>
      </c>
      <c r="J936" s="1">
        <v>7</v>
      </c>
      <c r="K936" s="1">
        <v>298</v>
      </c>
      <c r="M936" s="1">
        <v>200</v>
      </c>
      <c r="N936" s="1">
        <f t="shared" si="155"/>
        <v>32.135342465753425</v>
      </c>
    </row>
    <row r="937" spans="1:14" ht="34.5" customHeight="1" x14ac:dyDescent="0.3">
      <c r="A937" s="1">
        <v>4.5199999999999996</v>
      </c>
      <c r="B937" s="1">
        <v>1.92</v>
      </c>
      <c r="G937" s="1">
        <v>0.97899999999999998</v>
      </c>
      <c r="J937" s="1">
        <v>7</v>
      </c>
      <c r="K937" s="1">
        <v>298</v>
      </c>
      <c r="M937" s="1">
        <v>300</v>
      </c>
      <c r="N937" s="1">
        <f t="shared" si="155"/>
        <v>32.886168224299063</v>
      </c>
    </row>
    <row r="938" spans="1:14" ht="34.5" customHeight="1" x14ac:dyDescent="0.3">
      <c r="A938" s="1" t="s">
        <v>11</v>
      </c>
      <c r="G938" s="1">
        <v>789.8</v>
      </c>
      <c r="J938" s="1">
        <v>7</v>
      </c>
      <c r="K938" s="1">
        <v>293</v>
      </c>
      <c r="M938" s="1">
        <v>5</v>
      </c>
      <c r="N938" s="1">
        <f t="shared" ref="N938:N943" si="156">196.5*5.38*M938/(1+5.38*M938)</f>
        <v>189.45698924731184</v>
      </c>
    </row>
    <row r="939" spans="1:14" ht="34.5" customHeight="1" x14ac:dyDescent="0.3">
      <c r="A939" s="1" t="s">
        <v>11</v>
      </c>
      <c r="G939" s="1">
        <v>789.8</v>
      </c>
      <c r="J939" s="1">
        <v>7</v>
      </c>
      <c r="K939" s="1">
        <v>293</v>
      </c>
      <c r="M939" s="1">
        <v>10</v>
      </c>
      <c r="N939" s="1">
        <f t="shared" si="156"/>
        <v>192.91423357664235</v>
      </c>
    </row>
    <row r="940" spans="1:14" ht="34.5" customHeight="1" x14ac:dyDescent="0.3">
      <c r="A940" s="1" t="s">
        <v>11</v>
      </c>
      <c r="G940" s="1">
        <v>789.8</v>
      </c>
      <c r="J940" s="1">
        <v>7</v>
      </c>
      <c r="K940" s="1">
        <v>293</v>
      </c>
      <c r="M940" s="1">
        <v>20</v>
      </c>
      <c r="N940" s="1">
        <f t="shared" si="156"/>
        <v>194.69060773480666</v>
      </c>
    </row>
    <row r="941" spans="1:14" ht="34.5" customHeight="1" x14ac:dyDescent="0.3">
      <c r="A941" s="1" t="s">
        <v>11</v>
      </c>
      <c r="G941" s="1">
        <v>789.8</v>
      </c>
      <c r="J941" s="1">
        <v>7</v>
      </c>
      <c r="K941" s="1">
        <v>293</v>
      </c>
      <c r="M941" s="1">
        <v>40</v>
      </c>
      <c r="N941" s="1">
        <f t="shared" si="156"/>
        <v>195.59111933395008</v>
      </c>
    </row>
    <row r="942" spans="1:14" ht="34.5" customHeight="1" x14ac:dyDescent="0.3">
      <c r="A942" s="1" t="s">
        <v>11</v>
      </c>
      <c r="G942" s="1">
        <v>789.8</v>
      </c>
      <c r="J942" s="1">
        <v>7</v>
      </c>
      <c r="K942" s="1">
        <v>293</v>
      </c>
      <c r="M942" s="1">
        <v>60</v>
      </c>
      <c r="N942" s="1">
        <f t="shared" si="156"/>
        <v>195.89314391599754</v>
      </c>
    </row>
    <row r="943" spans="1:14" ht="34.5" customHeight="1" x14ac:dyDescent="0.3">
      <c r="A943" s="1" t="s">
        <v>11</v>
      </c>
      <c r="G943" s="1">
        <v>789.8</v>
      </c>
      <c r="J943" s="1">
        <v>7</v>
      </c>
      <c r="K943" s="1">
        <v>293</v>
      </c>
      <c r="M943" s="1">
        <v>80</v>
      </c>
      <c r="N943" s="1">
        <f t="shared" si="156"/>
        <v>196.04450625869265</v>
      </c>
    </row>
    <row r="944" spans="1:14" ht="34.5" customHeight="1" x14ac:dyDescent="0.3">
      <c r="A944" s="1">
        <v>7.76</v>
      </c>
      <c r="G944" s="1">
        <v>252.71</v>
      </c>
      <c r="H944" s="1">
        <v>0.25459999999999999</v>
      </c>
      <c r="I944" s="1">
        <v>4.0296000000000003</v>
      </c>
      <c r="J944" s="1">
        <v>6</v>
      </c>
      <c r="K944" s="1">
        <v>298</v>
      </c>
      <c r="M944" s="1">
        <v>1</v>
      </c>
      <c r="N944" s="1">
        <f t="shared" ref="N944:N949" si="157">9.69*0.892*M944/(1+0.892*M944)+149.1*15.89*M944/(1+15.89*M944)</f>
        <v>144.84072681459563</v>
      </c>
    </row>
    <row r="945" spans="1:14" ht="34.5" customHeight="1" x14ac:dyDescent="0.3">
      <c r="A945" s="1">
        <v>7.76</v>
      </c>
      <c r="G945" s="1">
        <v>252.71</v>
      </c>
      <c r="H945" s="1">
        <v>0.25459999999999999</v>
      </c>
      <c r="I945" s="1">
        <v>4.0296000000000003</v>
      </c>
      <c r="J945" s="1">
        <v>6</v>
      </c>
      <c r="K945" s="1">
        <v>298</v>
      </c>
      <c r="M945" s="1">
        <v>2</v>
      </c>
      <c r="N945" s="1">
        <f t="shared" si="157"/>
        <v>150.76089136563505</v>
      </c>
    </row>
    <row r="946" spans="1:14" ht="34.5" customHeight="1" x14ac:dyDescent="0.3">
      <c r="A946" s="1">
        <v>7.76</v>
      </c>
      <c r="G946" s="1">
        <v>252.71</v>
      </c>
      <c r="H946" s="1">
        <v>0.25459999999999999</v>
      </c>
      <c r="I946" s="1">
        <v>4.0296000000000003</v>
      </c>
      <c r="J946" s="1">
        <v>6</v>
      </c>
      <c r="K946" s="1">
        <v>298</v>
      </c>
      <c r="M946" s="1">
        <v>5</v>
      </c>
      <c r="N946" s="1">
        <f t="shared" si="157"/>
        <v>155.16194967866193</v>
      </c>
    </row>
    <row r="947" spans="1:14" ht="34.5" customHeight="1" x14ac:dyDescent="0.3">
      <c r="A947" s="1">
        <v>7.76</v>
      </c>
      <c r="G947" s="1">
        <v>252.71</v>
      </c>
      <c r="H947" s="1">
        <v>0.25459999999999999</v>
      </c>
      <c r="I947" s="1">
        <v>4.0296000000000003</v>
      </c>
      <c r="J947" s="1">
        <v>6</v>
      </c>
      <c r="K947" s="1">
        <v>298</v>
      </c>
      <c r="M947" s="1">
        <v>10</v>
      </c>
      <c r="N947" s="1">
        <f t="shared" si="157"/>
        <v>156.88072769775465</v>
      </c>
    </row>
    <row r="948" spans="1:14" ht="34.5" customHeight="1" x14ac:dyDescent="0.3">
      <c r="A948" s="1">
        <v>7.76</v>
      </c>
      <c r="G948" s="1">
        <v>252.71</v>
      </c>
      <c r="H948" s="1">
        <v>0.25459999999999999</v>
      </c>
      <c r="I948" s="1">
        <v>4.0296000000000003</v>
      </c>
      <c r="J948" s="1">
        <v>6</v>
      </c>
      <c r="K948" s="1">
        <v>298</v>
      </c>
      <c r="M948" s="1">
        <v>20</v>
      </c>
      <c r="N948" s="1">
        <f t="shared" si="157"/>
        <v>157.80797744727442</v>
      </c>
    </row>
    <row r="949" spans="1:14" ht="34.5" customHeight="1" x14ac:dyDescent="0.3">
      <c r="A949" s="1">
        <v>7.76</v>
      </c>
      <c r="G949" s="1">
        <v>252.71</v>
      </c>
      <c r="H949" s="1">
        <v>0.25459999999999999</v>
      </c>
      <c r="I949" s="1">
        <v>4.0296000000000003</v>
      </c>
      <c r="J949" s="1">
        <v>6</v>
      </c>
      <c r="K949" s="1">
        <v>298</v>
      </c>
      <c r="M949" s="1">
        <v>40</v>
      </c>
      <c r="N949" s="1">
        <f t="shared" si="157"/>
        <v>158.29161033037082</v>
      </c>
    </row>
    <row r="950" spans="1:14" ht="34.5" customHeight="1" x14ac:dyDescent="0.3">
      <c r="A950" s="1">
        <v>7.76</v>
      </c>
      <c r="G950" s="1">
        <v>252.71</v>
      </c>
      <c r="H950" s="1">
        <v>0.25459999999999999</v>
      </c>
      <c r="I950" s="1">
        <v>4.0296000000000003</v>
      </c>
      <c r="J950" s="1">
        <v>6</v>
      </c>
      <c r="K950" s="1">
        <v>308</v>
      </c>
      <c r="M950" s="1">
        <v>1</v>
      </c>
      <c r="N950" s="1">
        <f t="shared" ref="N950:N955" si="158">13.92*1.06*M950/(1+1.06*M950)+142.4*25.12*M950/(1+25.12*M950)</f>
        <v>144.11095734399856</v>
      </c>
    </row>
    <row r="951" spans="1:14" ht="34.5" customHeight="1" x14ac:dyDescent="0.3">
      <c r="A951" s="1">
        <v>7.76</v>
      </c>
      <c r="G951" s="1">
        <v>252.71</v>
      </c>
      <c r="H951" s="1">
        <v>0.25459999999999999</v>
      </c>
      <c r="I951" s="1">
        <v>4.0296000000000003</v>
      </c>
      <c r="J951" s="1">
        <v>6</v>
      </c>
      <c r="K951" s="1">
        <v>308</v>
      </c>
      <c r="M951" s="1">
        <v>2</v>
      </c>
      <c r="N951" s="1">
        <f t="shared" si="158"/>
        <v>149.07938269380892</v>
      </c>
    </row>
    <row r="952" spans="1:14" ht="34.5" customHeight="1" x14ac:dyDescent="0.3">
      <c r="A952" s="1">
        <v>7.76</v>
      </c>
      <c r="G952" s="1">
        <v>252.71</v>
      </c>
      <c r="H952" s="1">
        <v>0.25459999999999999</v>
      </c>
      <c r="I952" s="1">
        <v>4.0296000000000003</v>
      </c>
      <c r="J952" s="1">
        <v>6</v>
      </c>
      <c r="K952" s="1">
        <v>308</v>
      </c>
      <c r="M952" s="1">
        <v>5</v>
      </c>
      <c r="N952" s="1">
        <f t="shared" si="158"/>
        <v>152.98567366283007</v>
      </c>
    </row>
    <row r="953" spans="1:14" ht="34.5" customHeight="1" x14ac:dyDescent="0.3">
      <c r="A953" s="1">
        <v>7.76</v>
      </c>
      <c r="G953" s="1">
        <v>252.71</v>
      </c>
      <c r="H953" s="1">
        <v>0.25459999999999999</v>
      </c>
      <c r="I953" s="1">
        <v>4.0296000000000003</v>
      </c>
      <c r="J953" s="1">
        <v>6</v>
      </c>
      <c r="K953" s="1">
        <v>308</v>
      </c>
      <c r="M953" s="1">
        <v>10</v>
      </c>
      <c r="N953" s="1">
        <f t="shared" si="158"/>
        <v>154.55536875495639</v>
      </c>
    </row>
    <row r="954" spans="1:14" ht="34.5" customHeight="1" x14ac:dyDescent="0.3">
      <c r="A954" s="1">
        <v>7.76</v>
      </c>
      <c r="G954" s="1">
        <v>252.71</v>
      </c>
      <c r="H954" s="1">
        <v>0.25459999999999999</v>
      </c>
      <c r="I954" s="1">
        <v>4.0296000000000003</v>
      </c>
      <c r="J954" s="1">
        <v>6</v>
      </c>
      <c r="K954" s="1">
        <v>308</v>
      </c>
      <c r="M954" s="1">
        <v>20</v>
      </c>
      <c r="N954" s="1">
        <f t="shared" si="158"/>
        <v>155.41009653276637</v>
      </c>
    </row>
    <row r="955" spans="1:14" ht="34.5" customHeight="1" x14ac:dyDescent="0.3">
      <c r="A955" s="1">
        <v>7.76</v>
      </c>
      <c r="G955" s="1">
        <v>252.71</v>
      </c>
      <c r="H955" s="1">
        <v>0.25459999999999999</v>
      </c>
      <c r="I955" s="1">
        <v>4.0296000000000003</v>
      </c>
      <c r="J955" s="1">
        <v>6</v>
      </c>
      <c r="K955" s="1">
        <v>308</v>
      </c>
      <c r="M955" s="1">
        <v>40</v>
      </c>
      <c r="N955" s="1">
        <f t="shared" si="158"/>
        <v>155.85768383009878</v>
      </c>
    </row>
    <row r="956" spans="1:14" ht="34.5" customHeight="1" x14ac:dyDescent="0.3">
      <c r="A956" s="1">
        <v>7.76</v>
      </c>
      <c r="G956" s="1">
        <v>252.71</v>
      </c>
      <c r="H956" s="1">
        <v>0.25459999999999999</v>
      </c>
      <c r="I956" s="1">
        <v>4.0296000000000003</v>
      </c>
      <c r="J956" s="1">
        <v>6</v>
      </c>
      <c r="K956" s="1">
        <v>318</v>
      </c>
      <c r="M956" s="1">
        <v>1</v>
      </c>
      <c r="N956" s="1">
        <f t="shared" ref="N956:N961" si="159">44.28*1.03*M956/(1+1.03*M956)+140.5*27.22*M956/(1+27.22*M956)</f>
        <v>157.98845363488144</v>
      </c>
    </row>
    <row r="957" spans="1:14" ht="34.5" customHeight="1" x14ac:dyDescent="0.3">
      <c r="A957" s="1">
        <v>7.76</v>
      </c>
      <c r="G957" s="1">
        <v>252.71</v>
      </c>
      <c r="H957" s="1">
        <v>0.25459999999999999</v>
      </c>
      <c r="I957" s="1">
        <v>4.0296000000000003</v>
      </c>
      <c r="J957" s="1">
        <v>6</v>
      </c>
      <c r="K957" s="1">
        <v>318</v>
      </c>
      <c r="M957" s="1">
        <v>2</v>
      </c>
      <c r="N957" s="1">
        <f t="shared" si="159"/>
        <v>167.7751404804346</v>
      </c>
    </row>
    <row r="958" spans="1:14" ht="34.5" customHeight="1" x14ac:dyDescent="0.3">
      <c r="A958" s="1">
        <v>7.76</v>
      </c>
      <c r="G958" s="1">
        <v>252.71</v>
      </c>
      <c r="H958" s="1">
        <v>0.25459999999999999</v>
      </c>
      <c r="I958" s="1">
        <v>4.0296000000000003</v>
      </c>
      <c r="J958" s="1">
        <v>6</v>
      </c>
      <c r="K958" s="1">
        <v>318</v>
      </c>
      <c r="M958" s="1">
        <v>5</v>
      </c>
      <c r="N958" s="1">
        <f t="shared" si="159"/>
        <v>176.5552005835157</v>
      </c>
    </row>
    <row r="959" spans="1:14" ht="34.5" customHeight="1" x14ac:dyDescent="0.3">
      <c r="A959" s="1">
        <v>7.76</v>
      </c>
      <c r="G959" s="1">
        <v>252.71</v>
      </c>
      <c r="H959" s="1">
        <v>0.25459999999999999</v>
      </c>
      <c r="I959" s="1">
        <v>4.0296000000000003</v>
      </c>
      <c r="J959" s="1">
        <v>6</v>
      </c>
      <c r="K959" s="1">
        <v>318</v>
      </c>
      <c r="M959" s="1">
        <v>10</v>
      </c>
      <c r="N959" s="1">
        <f t="shared" si="159"/>
        <v>180.34714067298097</v>
      </c>
    </row>
    <row r="960" spans="1:14" ht="34.5" customHeight="1" x14ac:dyDescent="0.3">
      <c r="A960" s="1">
        <v>7.76</v>
      </c>
      <c r="G960" s="1">
        <v>252.71</v>
      </c>
      <c r="H960" s="1">
        <v>0.25459999999999999</v>
      </c>
      <c r="I960" s="1">
        <v>4.0296000000000003</v>
      </c>
      <c r="J960" s="1">
        <v>6</v>
      </c>
      <c r="K960" s="1">
        <v>318</v>
      </c>
      <c r="M960" s="1">
        <v>20</v>
      </c>
      <c r="N960" s="1">
        <f t="shared" si="159"/>
        <v>182.47239090575727</v>
      </c>
    </row>
    <row r="961" spans="1:14" ht="34.5" customHeight="1" x14ac:dyDescent="0.3">
      <c r="A961" s="1">
        <v>7.76</v>
      </c>
      <c r="G961" s="1">
        <v>252.71</v>
      </c>
      <c r="H961" s="1">
        <v>0.25459999999999999</v>
      </c>
      <c r="I961" s="1">
        <v>4.0296000000000003</v>
      </c>
      <c r="J961" s="1">
        <v>6</v>
      </c>
      <c r="K961" s="1">
        <v>318</v>
      </c>
      <c r="M961" s="1">
        <v>40</v>
      </c>
      <c r="N961" s="1">
        <f t="shared" si="159"/>
        <v>183.60178816235685</v>
      </c>
    </row>
    <row r="962" spans="1:14" ht="34.5" customHeight="1" x14ac:dyDescent="0.3">
      <c r="A962" s="1">
        <v>4.7</v>
      </c>
      <c r="C962" s="1">
        <v>1.2</v>
      </c>
      <c r="F962" s="1">
        <v>1.1000000000000001</v>
      </c>
      <c r="G962" s="1">
        <v>11.6</v>
      </c>
      <c r="I962" s="1">
        <v>11.5</v>
      </c>
      <c r="J962" s="1">
        <v>7</v>
      </c>
      <c r="K962" s="1">
        <v>298</v>
      </c>
      <c r="M962" s="1">
        <v>2</v>
      </c>
      <c r="N962" s="1">
        <f t="shared" ref="N962:N967" si="160">(11.3*31.9*M962)/(1+31.9*M962)</f>
        <v>11.125617283950618</v>
      </c>
    </row>
    <row r="963" spans="1:14" ht="34.5" customHeight="1" x14ac:dyDescent="0.3">
      <c r="A963" s="1">
        <v>4.7</v>
      </c>
      <c r="C963" s="1">
        <v>1.2</v>
      </c>
      <c r="F963" s="1">
        <v>1.1000000000000001</v>
      </c>
      <c r="G963" s="1">
        <v>11.6</v>
      </c>
      <c r="I963" s="1">
        <v>11.5</v>
      </c>
      <c r="J963" s="1">
        <v>7</v>
      </c>
      <c r="K963" s="1">
        <v>298</v>
      </c>
      <c r="M963" s="1">
        <v>3</v>
      </c>
      <c r="N963" s="1">
        <f t="shared" si="160"/>
        <v>11.183143743536714</v>
      </c>
    </row>
    <row r="964" spans="1:14" ht="34.5" customHeight="1" x14ac:dyDescent="0.3">
      <c r="A964" s="1">
        <v>4.7</v>
      </c>
      <c r="C964" s="1">
        <v>1.2</v>
      </c>
      <c r="F964" s="1">
        <v>1.1000000000000001</v>
      </c>
      <c r="G964" s="1">
        <v>11.6</v>
      </c>
      <c r="I964" s="1">
        <v>11.5</v>
      </c>
      <c r="J964" s="1">
        <v>7</v>
      </c>
      <c r="K964" s="1">
        <v>298</v>
      </c>
      <c r="M964" s="1">
        <v>5</v>
      </c>
      <c r="N964" s="1">
        <f t="shared" si="160"/>
        <v>11.229595015576324</v>
      </c>
    </row>
    <row r="965" spans="1:14" ht="34.5" customHeight="1" x14ac:dyDescent="0.3">
      <c r="A965" s="1">
        <v>4.7</v>
      </c>
      <c r="C965" s="1">
        <v>1.2</v>
      </c>
      <c r="F965" s="1">
        <v>1.1000000000000001</v>
      </c>
      <c r="G965" s="1">
        <v>11.6</v>
      </c>
      <c r="I965" s="1">
        <v>11.5</v>
      </c>
      <c r="J965" s="1">
        <v>7</v>
      </c>
      <c r="K965" s="1">
        <v>298</v>
      </c>
      <c r="M965" s="1">
        <v>10</v>
      </c>
      <c r="N965" s="1">
        <f t="shared" si="160"/>
        <v>11.264687500000001</v>
      </c>
    </row>
    <row r="966" spans="1:14" ht="34.5" customHeight="1" x14ac:dyDescent="0.3">
      <c r="A966" s="1">
        <v>4.7</v>
      </c>
      <c r="C966" s="1">
        <v>1.2</v>
      </c>
      <c r="F966" s="1">
        <v>1.1000000000000001</v>
      </c>
      <c r="G966" s="1">
        <v>11.6</v>
      </c>
      <c r="I966" s="1">
        <v>11.5</v>
      </c>
      <c r="J966" s="1">
        <v>7</v>
      </c>
      <c r="K966" s="1">
        <v>298</v>
      </c>
      <c r="M966" s="1">
        <v>25</v>
      </c>
      <c r="N966" s="1">
        <f t="shared" si="160"/>
        <v>11.285848465873514</v>
      </c>
    </row>
    <row r="967" spans="1:14" ht="34.5" customHeight="1" x14ac:dyDescent="0.3">
      <c r="A967" s="1">
        <v>4.7</v>
      </c>
      <c r="C967" s="1">
        <v>1.2</v>
      </c>
      <c r="F967" s="1">
        <v>1.1000000000000001</v>
      </c>
      <c r="G967" s="1">
        <v>11.6</v>
      </c>
      <c r="I967" s="1">
        <v>11.5</v>
      </c>
      <c r="J967" s="1">
        <v>7</v>
      </c>
      <c r="K967" s="1">
        <v>298</v>
      </c>
      <c r="M967" s="1">
        <v>40</v>
      </c>
      <c r="N967" s="1">
        <f t="shared" si="160"/>
        <v>11.291151135473768</v>
      </c>
    </row>
    <row r="968" spans="1:14" ht="34.5" customHeight="1" x14ac:dyDescent="0.3">
      <c r="C968" s="1">
        <v>16</v>
      </c>
      <c r="F968" s="1">
        <v>20.9</v>
      </c>
      <c r="G968" s="1">
        <v>43.5</v>
      </c>
      <c r="I968" s="1">
        <v>20.100000000000001</v>
      </c>
      <c r="J968" s="1">
        <v>7</v>
      </c>
      <c r="K968" s="1">
        <v>298</v>
      </c>
      <c r="M968" s="1">
        <v>2</v>
      </c>
      <c r="N968" s="1">
        <f t="shared" ref="N968:N973" si="161">100.5*0.005*M968/(1+0.005*M968)+6.4*4.9*M968/(1+4.9*M968)</f>
        <v>6.8024569123579033</v>
      </c>
    </row>
    <row r="969" spans="1:14" ht="34.5" customHeight="1" x14ac:dyDescent="0.3">
      <c r="C969" s="1">
        <v>16</v>
      </c>
      <c r="F969" s="1">
        <v>20.9</v>
      </c>
      <c r="G969" s="1">
        <v>43.5</v>
      </c>
      <c r="I969" s="1">
        <v>20.100000000000001</v>
      </c>
      <c r="J969" s="1">
        <v>7</v>
      </c>
      <c r="K969" s="1">
        <v>298</v>
      </c>
      <c r="M969" s="1">
        <v>3</v>
      </c>
      <c r="N969" s="1">
        <f t="shared" si="161"/>
        <v>7.4775783627749375</v>
      </c>
    </row>
    <row r="970" spans="1:14" ht="34.5" customHeight="1" x14ac:dyDescent="0.3">
      <c r="C970" s="1">
        <v>16</v>
      </c>
      <c r="F970" s="1">
        <v>20.9</v>
      </c>
      <c r="G970" s="1">
        <v>43.5</v>
      </c>
      <c r="I970" s="1">
        <v>20.100000000000001</v>
      </c>
      <c r="J970" s="1">
        <v>7</v>
      </c>
      <c r="K970" s="1">
        <v>298</v>
      </c>
      <c r="M970" s="1">
        <v>5</v>
      </c>
      <c r="N970" s="1">
        <f t="shared" si="161"/>
        <v>8.6002391200382604</v>
      </c>
    </row>
    <row r="971" spans="1:14" ht="34.5" customHeight="1" x14ac:dyDescent="0.3">
      <c r="C971" s="1">
        <v>16</v>
      </c>
      <c r="F971" s="1">
        <v>20.9</v>
      </c>
      <c r="G971" s="1">
        <v>43.5</v>
      </c>
      <c r="I971" s="1">
        <v>20.100000000000001</v>
      </c>
      <c r="J971" s="1">
        <v>7</v>
      </c>
      <c r="K971" s="1">
        <v>298</v>
      </c>
      <c r="M971" s="1">
        <v>10</v>
      </c>
      <c r="N971" s="1">
        <f t="shared" si="161"/>
        <v>11.057714285714287</v>
      </c>
    </row>
    <row r="972" spans="1:14" ht="34.5" customHeight="1" x14ac:dyDescent="0.3">
      <c r="C972" s="1">
        <v>16</v>
      </c>
      <c r="F972" s="1">
        <v>20.9</v>
      </c>
      <c r="G972" s="1">
        <v>43.5</v>
      </c>
      <c r="I972" s="1">
        <v>20.100000000000001</v>
      </c>
      <c r="J972" s="1">
        <v>7</v>
      </c>
      <c r="K972" s="1">
        <v>298</v>
      </c>
      <c r="M972" s="1">
        <v>25</v>
      </c>
      <c r="N972" s="1">
        <f t="shared" si="161"/>
        <v>17.514844804318489</v>
      </c>
    </row>
    <row r="973" spans="1:14" ht="34.5" customHeight="1" x14ac:dyDescent="0.3">
      <c r="C973" s="1">
        <v>16</v>
      </c>
      <c r="F973" s="1">
        <v>20.9</v>
      </c>
      <c r="G973" s="1">
        <v>43.5</v>
      </c>
      <c r="I973" s="1">
        <v>20.100000000000001</v>
      </c>
      <c r="J973" s="1">
        <v>7</v>
      </c>
      <c r="K973" s="1">
        <v>298</v>
      </c>
      <c r="M973" s="1">
        <v>40</v>
      </c>
      <c r="N973" s="1">
        <f t="shared" si="161"/>
        <v>23.117512690355333</v>
      </c>
    </row>
    <row r="974" spans="1:14" ht="34.5" customHeight="1" x14ac:dyDescent="0.3">
      <c r="A974" s="1">
        <v>12.3</v>
      </c>
      <c r="C974" s="1">
        <v>17.600000000000001</v>
      </c>
      <c r="F974" s="1">
        <v>17</v>
      </c>
      <c r="G974" s="1">
        <v>133.4</v>
      </c>
      <c r="I974" s="1">
        <v>7</v>
      </c>
      <c r="J974" s="1">
        <v>7</v>
      </c>
      <c r="K974" s="1">
        <v>298</v>
      </c>
      <c r="M974" s="1">
        <v>2</v>
      </c>
      <c r="N974" s="1">
        <f t="shared" ref="N974:N979" si="162">33.1*10.9*M974/(1+10.9*M974)+53.6*0.03*M974/(1+0.03*M974)</f>
        <v>34.682207878186027</v>
      </c>
    </row>
    <row r="975" spans="1:14" ht="34.5" customHeight="1" x14ac:dyDescent="0.3">
      <c r="A975" s="1">
        <v>12.3</v>
      </c>
      <c r="C975" s="1">
        <v>17.600000000000001</v>
      </c>
      <c r="F975" s="1">
        <v>17</v>
      </c>
      <c r="G975" s="1">
        <v>133.4</v>
      </c>
      <c r="I975" s="1">
        <v>7</v>
      </c>
      <c r="J975" s="1">
        <v>7</v>
      </c>
      <c r="K975" s="1">
        <v>298</v>
      </c>
      <c r="M975" s="1">
        <v>3</v>
      </c>
      <c r="N975" s="1">
        <f t="shared" si="162"/>
        <v>36.543492227697165</v>
      </c>
    </row>
    <row r="976" spans="1:14" ht="34.5" customHeight="1" x14ac:dyDescent="0.3">
      <c r="A976" s="1">
        <v>12.3</v>
      </c>
      <c r="C976" s="1">
        <v>17.600000000000001</v>
      </c>
      <c r="F976" s="1">
        <v>17</v>
      </c>
      <c r="G976" s="1">
        <v>133.4</v>
      </c>
      <c r="I976" s="1">
        <v>7</v>
      </c>
      <c r="J976" s="1">
        <v>7</v>
      </c>
      <c r="K976" s="1">
        <v>298</v>
      </c>
      <c r="M976" s="1">
        <v>5</v>
      </c>
      <c r="N976" s="1">
        <f t="shared" si="162"/>
        <v>39.494907951429688</v>
      </c>
    </row>
    <row r="977" spans="1:14" ht="34.5" customHeight="1" x14ac:dyDescent="0.3">
      <c r="A977" s="1">
        <v>12.3</v>
      </c>
      <c r="C977" s="1">
        <v>17.600000000000001</v>
      </c>
      <c r="F977" s="1">
        <v>17</v>
      </c>
      <c r="G977" s="1">
        <v>133.4</v>
      </c>
      <c r="I977" s="1">
        <v>7</v>
      </c>
      <c r="J977" s="1">
        <v>7</v>
      </c>
      <c r="K977" s="1">
        <v>298</v>
      </c>
      <c r="M977" s="1">
        <v>10</v>
      </c>
      <c r="N977" s="1">
        <f t="shared" si="162"/>
        <v>45.168321678321675</v>
      </c>
    </row>
    <row r="978" spans="1:14" ht="34.5" customHeight="1" x14ac:dyDescent="0.3">
      <c r="A978" s="1">
        <v>12.3</v>
      </c>
      <c r="C978" s="1">
        <v>17.600000000000001</v>
      </c>
      <c r="F978" s="1">
        <v>17</v>
      </c>
      <c r="G978" s="1">
        <v>133.4</v>
      </c>
      <c r="I978" s="1">
        <v>7</v>
      </c>
      <c r="J978" s="1">
        <v>7</v>
      </c>
      <c r="K978" s="1">
        <v>298</v>
      </c>
      <c r="M978" s="1">
        <v>25</v>
      </c>
      <c r="N978" s="1">
        <f t="shared" si="162"/>
        <v>55.950404805432221</v>
      </c>
    </row>
    <row r="979" spans="1:14" ht="34.5" customHeight="1" x14ac:dyDescent="0.3">
      <c r="A979" s="1">
        <v>12.3</v>
      </c>
      <c r="C979" s="1">
        <v>17.600000000000001</v>
      </c>
      <c r="F979" s="1">
        <v>17</v>
      </c>
      <c r="G979" s="1">
        <v>133.4</v>
      </c>
      <c r="I979" s="1">
        <v>7</v>
      </c>
      <c r="J979" s="1">
        <v>7</v>
      </c>
      <c r="K979" s="1">
        <v>298</v>
      </c>
      <c r="M979" s="1">
        <v>40</v>
      </c>
      <c r="N979" s="1">
        <f t="shared" si="162"/>
        <v>62.260619929269808</v>
      </c>
    </row>
    <row r="980" spans="1:14" ht="34.5" customHeight="1" x14ac:dyDescent="0.3">
      <c r="A980" s="1" t="s">
        <v>11</v>
      </c>
      <c r="B980" s="1" t="s">
        <v>11</v>
      </c>
      <c r="G980" s="1">
        <v>147.97</v>
      </c>
      <c r="H980" s="1">
        <v>0.14000000000000001</v>
      </c>
      <c r="J980" s="1">
        <v>5</v>
      </c>
      <c r="K980" s="1">
        <v>298</v>
      </c>
      <c r="M980" s="1">
        <v>10</v>
      </c>
      <c r="N980" s="1">
        <f t="shared" ref="N980:N985" si="163">(151.51*0.044*M980)/(1+0.044*M980)</f>
        <v>46.294722222222212</v>
      </c>
    </row>
    <row r="981" spans="1:14" ht="34.5" customHeight="1" x14ac:dyDescent="0.3">
      <c r="A981" s="1" t="s">
        <v>11</v>
      </c>
      <c r="B981" s="1" t="s">
        <v>11</v>
      </c>
      <c r="G981" s="1">
        <v>147.97</v>
      </c>
      <c r="H981" s="1">
        <v>0.14000000000000001</v>
      </c>
      <c r="J981" s="1">
        <v>5</v>
      </c>
      <c r="K981" s="1">
        <v>298</v>
      </c>
      <c r="M981" s="1">
        <v>20</v>
      </c>
      <c r="N981" s="1">
        <f t="shared" si="163"/>
        <v>70.919574468085102</v>
      </c>
    </row>
    <row r="982" spans="1:14" ht="34.5" customHeight="1" x14ac:dyDescent="0.3">
      <c r="A982" s="1" t="s">
        <v>11</v>
      </c>
      <c r="B982" s="1" t="s">
        <v>11</v>
      </c>
      <c r="G982" s="1">
        <v>147.97</v>
      </c>
      <c r="H982" s="1">
        <v>0.14000000000000001</v>
      </c>
      <c r="J982" s="1">
        <v>5</v>
      </c>
      <c r="K982" s="1">
        <v>298</v>
      </c>
      <c r="M982" s="1">
        <v>40</v>
      </c>
      <c r="N982" s="1">
        <f t="shared" si="163"/>
        <v>96.615072463768101</v>
      </c>
    </row>
    <row r="983" spans="1:14" ht="34.5" customHeight="1" x14ac:dyDescent="0.3">
      <c r="A983" s="1" t="s">
        <v>11</v>
      </c>
      <c r="B983" s="1" t="s">
        <v>11</v>
      </c>
      <c r="G983" s="1">
        <v>147.97</v>
      </c>
      <c r="H983" s="1">
        <v>0.14000000000000001</v>
      </c>
      <c r="J983" s="1">
        <v>5</v>
      </c>
      <c r="K983" s="1">
        <v>298</v>
      </c>
      <c r="M983" s="1">
        <v>50</v>
      </c>
      <c r="N983" s="1">
        <f t="shared" si="163"/>
        <v>104.16312499999999</v>
      </c>
    </row>
    <row r="984" spans="1:14" ht="34.5" customHeight="1" x14ac:dyDescent="0.3">
      <c r="A984" s="1" t="s">
        <v>11</v>
      </c>
      <c r="B984" s="1" t="s">
        <v>11</v>
      </c>
      <c r="G984" s="1">
        <v>147.97</v>
      </c>
      <c r="H984" s="1">
        <v>0.14000000000000001</v>
      </c>
      <c r="J984" s="1">
        <v>5</v>
      </c>
      <c r="K984" s="1">
        <v>298</v>
      </c>
      <c r="M984" s="1">
        <v>70</v>
      </c>
      <c r="N984" s="1">
        <f t="shared" si="163"/>
        <v>114.37519607843134</v>
      </c>
    </row>
    <row r="985" spans="1:14" ht="34.5" customHeight="1" x14ac:dyDescent="0.3">
      <c r="A985" s="1" t="s">
        <v>11</v>
      </c>
      <c r="B985" s="1" t="s">
        <v>11</v>
      </c>
      <c r="G985" s="1">
        <v>147.97</v>
      </c>
      <c r="H985" s="1">
        <v>0.14000000000000001</v>
      </c>
      <c r="J985" s="1">
        <v>5</v>
      </c>
      <c r="K985" s="1">
        <v>298</v>
      </c>
      <c r="M985" s="1">
        <v>90</v>
      </c>
      <c r="N985" s="1">
        <f t="shared" si="163"/>
        <v>120.96362903225804</v>
      </c>
    </row>
    <row r="986" spans="1:14" ht="34.5" customHeight="1" x14ac:dyDescent="0.3">
      <c r="A986" s="1" t="s">
        <v>11</v>
      </c>
      <c r="C986" s="1" t="s">
        <v>11</v>
      </c>
      <c r="G986" s="1">
        <v>64.72</v>
      </c>
      <c r="H986" s="1">
        <v>0.16</v>
      </c>
      <c r="I986" s="1">
        <v>8.1300000000000008</v>
      </c>
      <c r="J986" s="1">
        <v>7</v>
      </c>
      <c r="K986" s="1">
        <v>298</v>
      </c>
      <c r="M986" s="1">
        <v>1</v>
      </c>
      <c r="N986" s="1">
        <f t="shared" ref="N986:N991" si="164">(42.93*0.6*M986)/(1+0.6*M986)</f>
        <v>16.098749999999999</v>
      </c>
    </row>
    <row r="987" spans="1:14" ht="34.5" customHeight="1" x14ac:dyDescent="0.3">
      <c r="A987" s="1" t="s">
        <v>11</v>
      </c>
      <c r="C987" s="1" t="s">
        <v>11</v>
      </c>
      <c r="G987" s="1">
        <v>64.72</v>
      </c>
      <c r="H987" s="1">
        <v>0.16</v>
      </c>
      <c r="I987" s="1">
        <v>8.1300000000000008</v>
      </c>
      <c r="J987" s="1">
        <v>7</v>
      </c>
      <c r="K987" s="1">
        <v>298</v>
      </c>
      <c r="M987" s="1">
        <v>2</v>
      </c>
      <c r="N987" s="1">
        <f t="shared" si="164"/>
        <v>23.416363636363634</v>
      </c>
    </row>
    <row r="988" spans="1:14" ht="34.5" customHeight="1" x14ac:dyDescent="0.3">
      <c r="A988" s="1" t="s">
        <v>11</v>
      </c>
      <c r="C988" s="1" t="s">
        <v>11</v>
      </c>
      <c r="G988" s="1">
        <v>64.72</v>
      </c>
      <c r="H988" s="1">
        <v>0.16</v>
      </c>
      <c r="I988" s="1">
        <v>8.1300000000000008</v>
      </c>
      <c r="J988" s="1">
        <v>7</v>
      </c>
      <c r="K988" s="1">
        <v>298</v>
      </c>
      <c r="M988" s="1">
        <v>3</v>
      </c>
      <c r="N988" s="1">
        <f t="shared" si="164"/>
        <v>27.597857142857144</v>
      </c>
    </row>
    <row r="989" spans="1:14" ht="34.5" customHeight="1" x14ac:dyDescent="0.3">
      <c r="A989" s="1" t="s">
        <v>11</v>
      </c>
      <c r="C989" s="1" t="s">
        <v>11</v>
      </c>
      <c r="G989" s="1">
        <v>64.72</v>
      </c>
      <c r="H989" s="1">
        <v>0.16</v>
      </c>
      <c r="I989" s="1">
        <v>8.1300000000000008</v>
      </c>
      <c r="J989" s="1">
        <v>7</v>
      </c>
      <c r="K989" s="1">
        <v>298</v>
      </c>
      <c r="M989" s="1">
        <v>5</v>
      </c>
      <c r="N989" s="1">
        <f t="shared" si="164"/>
        <v>32.197499999999998</v>
      </c>
    </row>
    <row r="990" spans="1:14" ht="34.5" customHeight="1" x14ac:dyDescent="0.3">
      <c r="A990" s="1" t="s">
        <v>11</v>
      </c>
      <c r="C990" s="1" t="s">
        <v>11</v>
      </c>
      <c r="G990" s="1">
        <v>64.72</v>
      </c>
      <c r="H990" s="1">
        <v>0.16</v>
      </c>
      <c r="I990" s="1">
        <v>8.1300000000000008</v>
      </c>
      <c r="J990" s="1">
        <v>7</v>
      </c>
      <c r="K990" s="1">
        <v>298</v>
      </c>
      <c r="M990" s="1">
        <v>10</v>
      </c>
      <c r="N990" s="1">
        <f t="shared" si="164"/>
        <v>36.797142857142852</v>
      </c>
    </row>
    <row r="991" spans="1:14" ht="34.5" customHeight="1" x14ac:dyDescent="0.3">
      <c r="A991" s="1" t="s">
        <v>11</v>
      </c>
      <c r="C991" s="1" t="s">
        <v>11</v>
      </c>
      <c r="G991" s="1">
        <v>64.72</v>
      </c>
      <c r="H991" s="1">
        <v>0.16</v>
      </c>
      <c r="I991" s="1">
        <v>8.1300000000000008</v>
      </c>
      <c r="J991" s="1">
        <v>7</v>
      </c>
      <c r="K991" s="1">
        <v>298</v>
      </c>
      <c r="M991" s="1">
        <v>17</v>
      </c>
      <c r="N991" s="1">
        <f t="shared" si="164"/>
        <v>39.096964285714286</v>
      </c>
    </row>
    <row r="992" spans="1:14" ht="34.5" customHeight="1" x14ac:dyDescent="0.3">
      <c r="A992" s="1" t="s">
        <v>11</v>
      </c>
      <c r="C992" s="1" t="s">
        <v>11</v>
      </c>
      <c r="G992" s="1">
        <v>64.72</v>
      </c>
      <c r="H992" s="1">
        <v>0.16</v>
      </c>
      <c r="I992" s="1">
        <v>8.1300000000000008</v>
      </c>
      <c r="J992" s="1">
        <v>7</v>
      </c>
      <c r="K992" s="1">
        <v>303</v>
      </c>
      <c r="M992" s="1">
        <v>1</v>
      </c>
      <c r="N992" s="1">
        <f t="shared" ref="N992:N997" si="165">14.98*M992^0.516</f>
        <v>14.98</v>
      </c>
    </row>
    <row r="993" spans="1:14" ht="34.5" customHeight="1" x14ac:dyDescent="0.3">
      <c r="A993" s="1" t="s">
        <v>11</v>
      </c>
      <c r="C993" s="1" t="s">
        <v>11</v>
      </c>
      <c r="G993" s="1">
        <v>64.72</v>
      </c>
      <c r="H993" s="1">
        <v>0.16</v>
      </c>
      <c r="I993" s="1">
        <v>8.1300000000000008</v>
      </c>
      <c r="J993" s="1">
        <v>7</v>
      </c>
      <c r="K993" s="1">
        <v>303</v>
      </c>
      <c r="M993" s="1">
        <v>2</v>
      </c>
      <c r="N993" s="1">
        <f t="shared" si="165"/>
        <v>21.421175095698128</v>
      </c>
    </row>
    <row r="994" spans="1:14" ht="34.5" customHeight="1" x14ac:dyDescent="0.3">
      <c r="A994" s="1" t="s">
        <v>11</v>
      </c>
      <c r="C994" s="1" t="s">
        <v>11</v>
      </c>
      <c r="G994" s="1">
        <v>64.72</v>
      </c>
      <c r="H994" s="1">
        <v>0.16</v>
      </c>
      <c r="I994" s="1">
        <v>8.1300000000000008</v>
      </c>
      <c r="J994" s="1">
        <v>7</v>
      </c>
      <c r="K994" s="1">
        <v>303</v>
      </c>
      <c r="M994" s="1">
        <v>3</v>
      </c>
      <c r="N994" s="1">
        <f t="shared" si="165"/>
        <v>26.406228729361484</v>
      </c>
    </row>
    <row r="995" spans="1:14" ht="34.5" customHeight="1" x14ac:dyDescent="0.3">
      <c r="A995" s="1" t="s">
        <v>11</v>
      </c>
      <c r="C995" s="1" t="s">
        <v>11</v>
      </c>
      <c r="G995" s="1">
        <v>64.72</v>
      </c>
      <c r="H995" s="1">
        <v>0.16</v>
      </c>
      <c r="I995" s="1">
        <v>8.1300000000000008</v>
      </c>
      <c r="J995" s="1">
        <v>7</v>
      </c>
      <c r="K995" s="1">
        <v>303</v>
      </c>
      <c r="M995" s="1">
        <v>5</v>
      </c>
      <c r="N995" s="1">
        <f t="shared" si="165"/>
        <v>34.370063586047955</v>
      </c>
    </row>
    <row r="996" spans="1:14" ht="34.5" customHeight="1" x14ac:dyDescent="0.3">
      <c r="A996" s="1" t="s">
        <v>11</v>
      </c>
      <c r="C996" s="1" t="s">
        <v>11</v>
      </c>
      <c r="G996" s="1">
        <v>64.72</v>
      </c>
      <c r="H996" s="1">
        <v>0.16</v>
      </c>
      <c r="I996" s="1">
        <v>8.1300000000000008</v>
      </c>
      <c r="J996" s="1">
        <v>7</v>
      </c>
      <c r="K996" s="1">
        <v>303</v>
      </c>
      <c r="M996" s="1">
        <v>7</v>
      </c>
      <c r="N996" s="1">
        <f t="shared" si="165"/>
        <v>40.886732227339785</v>
      </c>
    </row>
    <row r="997" spans="1:14" ht="34.5" customHeight="1" x14ac:dyDescent="0.3">
      <c r="A997" s="1" t="s">
        <v>11</v>
      </c>
      <c r="C997" s="1" t="s">
        <v>11</v>
      </c>
      <c r="G997" s="1">
        <v>64.72</v>
      </c>
      <c r="H997" s="1">
        <v>0.16</v>
      </c>
      <c r="I997" s="1">
        <v>8.1300000000000008</v>
      </c>
      <c r="J997" s="1">
        <v>7</v>
      </c>
      <c r="K997" s="1">
        <v>303</v>
      </c>
      <c r="M997" s="1">
        <v>10</v>
      </c>
      <c r="N997" s="1">
        <f t="shared" si="165"/>
        <v>49.148674908345242</v>
      </c>
    </row>
    <row r="998" spans="1:14" ht="34.5" customHeight="1" x14ac:dyDescent="0.3">
      <c r="A998" s="1" t="s">
        <v>11</v>
      </c>
      <c r="C998" s="1" t="s">
        <v>11</v>
      </c>
      <c r="G998" s="1">
        <v>64.72</v>
      </c>
      <c r="H998" s="1">
        <v>0.16</v>
      </c>
      <c r="I998" s="1">
        <v>8.1300000000000008</v>
      </c>
      <c r="J998" s="1">
        <v>7</v>
      </c>
      <c r="K998" s="1">
        <v>308</v>
      </c>
      <c r="M998" s="1">
        <v>1</v>
      </c>
      <c r="N998" s="1">
        <f t="shared" ref="N998:N1003" si="166">(73.09*0.44*M998)/(1+0.44*M998)</f>
        <v>22.333055555555561</v>
      </c>
    </row>
    <row r="999" spans="1:14" ht="34.5" customHeight="1" x14ac:dyDescent="0.3">
      <c r="A999" s="1" t="s">
        <v>11</v>
      </c>
      <c r="C999" s="1" t="s">
        <v>11</v>
      </c>
      <c r="G999" s="1">
        <v>64.72</v>
      </c>
      <c r="H999" s="1">
        <v>0.16</v>
      </c>
      <c r="I999" s="1">
        <v>8.1300000000000008</v>
      </c>
      <c r="J999" s="1">
        <v>7</v>
      </c>
      <c r="K999" s="1">
        <v>308</v>
      </c>
      <c r="M999" s="1">
        <v>2</v>
      </c>
      <c r="N999" s="1">
        <f t="shared" si="166"/>
        <v>34.21234042553192</v>
      </c>
    </row>
    <row r="1000" spans="1:14" ht="34.5" customHeight="1" x14ac:dyDescent="0.3">
      <c r="A1000" s="1" t="s">
        <v>11</v>
      </c>
      <c r="C1000" s="1" t="s">
        <v>11</v>
      </c>
      <c r="G1000" s="1">
        <v>64.72</v>
      </c>
      <c r="H1000" s="1">
        <v>0.16</v>
      </c>
      <c r="I1000" s="1">
        <v>8.1300000000000008</v>
      </c>
      <c r="J1000" s="1">
        <v>7</v>
      </c>
      <c r="K1000" s="1">
        <v>308</v>
      </c>
      <c r="M1000" s="1">
        <v>3</v>
      </c>
      <c r="N1000" s="1">
        <f t="shared" si="166"/>
        <v>41.585689655172409</v>
      </c>
    </row>
    <row r="1001" spans="1:14" ht="34.5" customHeight="1" x14ac:dyDescent="0.3">
      <c r="A1001" s="1" t="s">
        <v>11</v>
      </c>
      <c r="C1001" s="1" t="s">
        <v>11</v>
      </c>
      <c r="G1001" s="1">
        <v>64.72</v>
      </c>
      <c r="H1001" s="1">
        <v>0.16</v>
      </c>
      <c r="I1001" s="1">
        <v>8.1300000000000008</v>
      </c>
      <c r="J1001" s="1">
        <v>7</v>
      </c>
      <c r="K1001" s="1">
        <v>308</v>
      </c>
      <c r="M1001" s="1">
        <v>4</v>
      </c>
      <c r="N1001" s="1">
        <f t="shared" si="166"/>
        <v>46.608115942028995</v>
      </c>
    </row>
    <row r="1002" spans="1:14" ht="34.5" customHeight="1" x14ac:dyDescent="0.3">
      <c r="A1002" s="1" t="s">
        <v>11</v>
      </c>
      <c r="C1002" s="1" t="s">
        <v>11</v>
      </c>
      <c r="G1002" s="1">
        <v>64.72</v>
      </c>
      <c r="H1002" s="1">
        <v>0.16</v>
      </c>
      <c r="I1002" s="1">
        <v>8.1300000000000008</v>
      </c>
      <c r="J1002" s="1">
        <v>7</v>
      </c>
      <c r="K1002" s="1">
        <v>308</v>
      </c>
      <c r="M1002" s="1">
        <v>5</v>
      </c>
      <c r="N1002" s="1">
        <f t="shared" si="166"/>
        <v>50.249375000000008</v>
      </c>
    </row>
    <row r="1003" spans="1:14" ht="34.5" customHeight="1" x14ac:dyDescent="0.3">
      <c r="A1003" s="1" t="s">
        <v>11</v>
      </c>
      <c r="C1003" s="1" t="s">
        <v>11</v>
      </c>
      <c r="G1003" s="1">
        <v>64.72</v>
      </c>
      <c r="H1003" s="1">
        <v>0.16</v>
      </c>
      <c r="I1003" s="1">
        <v>8.1300000000000008</v>
      </c>
      <c r="J1003" s="1">
        <v>7</v>
      </c>
      <c r="K1003" s="1">
        <v>308</v>
      </c>
      <c r="M1003" s="1">
        <v>6</v>
      </c>
      <c r="N1003" s="1">
        <f t="shared" si="166"/>
        <v>53.010329670329675</v>
      </c>
    </row>
    <row r="1004" spans="1:14" ht="34.5" customHeight="1" x14ac:dyDescent="0.3">
      <c r="A1004" s="1">
        <v>42.87</v>
      </c>
      <c r="G1004" s="1">
        <v>24.88</v>
      </c>
      <c r="H1004" s="1">
        <v>6.5747</v>
      </c>
      <c r="I1004" s="1">
        <v>6.55</v>
      </c>
      <c r="J1004" s="1">
        <v>7</v>
      </c>
      <c r="K1004" s="1">
        <v>298</v>
      </c>
      <c r="M1004" s="1">
        <v>2</v>
      </c>
      <c r="N1004" s="1">
        <f t="shared" ref="N1004:N1009" si="167">(735.3*M1004^0.51)/(1+7.75*M1004^0.51)</f>
        <v>86.994870923603628</v>
      </c>
    </row>
    <row r="1005" spans="1:14" ht="34.5" customHeight="1" x14ac:dyDescent="0.3">
      <c r="A1005" s="1">
        <v>42.87</v>
      </c>
      <c r="G1005" s="1">
        <v>24.88</v>
      </c>
      <c r="H1005" s="1">
        <v>6.5747</v>
      </c>
      <c r="I1005" s="1">
        <v>6.55</v>
      </c>
      <c r="J1005" s="1">
        <v>7</v>
      </c>
      <c r="K1005" s="1">
        <v>298</v>
      </c>
      <c r="M1005" s="1">
        <v>3</v>
      </c>
      <c r="N1005" s="1">
        <f t="shared" si="167"/>
        <v>88.366335298239932</v>
      </c>
    </row>
    <row r="1006" spans="1:14" ht="34.5" customHeight="1" x14ac:dyDescent="0.3">
      <c r="A1006" s="1">
        <v>42.87</v>
      </c>
      <c r="G1006" s="1">
        <v>24.88</v>
      </c>
      <c r="H1006" s="1">
        <v>6.5747</v>
      </c>
      <c r="I1006" s="1">
        <v>6.55</v>
      </c>
      <c r="J1006" s="1">
        <v>7</v>
      </c>
      <c r="K1006" s="1">
        <v>298</v>
      </c>
      <c r="M1006" s="1">
        <v>4</v>
      </c>
      <c r="N1006" s="1">
        <f t="shared" si="167"/>
        <v>89.201700980429834</v>
      </c>
    </row>
    <row r="1007" spans="1:14" ht="34.5" customHeight="1" x14ac:dyDescent="0.3">
      <c r="A1007" s="1">
        <v>42.87</v>
      </c>
      <c r="G1007" s="1">
        <v>24.88</v>
      </c>
      <c r="H1007" s="1">
        <v>6.5747</v>
      </c>
      <c r="I1007" s="1">
        <v>6.55</v>
      </c>
      <c r="J1007" s="1">
        <v>7</v>
      </c>
      <c r="K1007" s="1">
        <v>298</v>
      </c>
      <c r="M1007" s="1">
        <v>5</v>
      </c>
      <c r="N1007" s="1">
        <f t="shared" si="167"/>
        <v>89.779413173992523</v>
      </c>
    </row>
    <row r="1008" spans="1:14" ht="34.5" customHeight="1" x14ac:dyDescent="0.3">
      <c r="A1008" s="1">
        <v>42.87</v>
      </c>
      <c r="G1008" s="1">
        <v>24.88</v>
      </c>
      <c r="H1008" s="1">
        <v>6.5747</v>
      </c>
      <c r="I1008" s="1">
        <v>6.55</v>
      </c>
      <c r="J1008" s="1">
        <v>7</v>
      </c>
      <c r="K1008" s="1">
        <v>298</v>
      </c>
      <c r="M1008" s="1">
        <v>8</v>
      </c>
      <c r="N1008" s="1">
        <f t="shared" si="167"/>
        <v>90.819517003521327</v>
      </c>
    </row>
    <row r="1009" spans="1:14" ht="34.5" customHeight="1" x14ac:dyDescent="0.3">
      <c r="A1009" s="1">
        <v>42.87</v>
      </c>
      <c r="G1009" s="1">
        <v>24.88</v>
      </c>
      <c r="H1009" s="1">
        <v>6.5747</v>
      </c>
      <c r="I1009" s="1">
        <v>6.55</v>
      </c>
      <c r="J1009" s="1">
        <v>7</v>
      </c>
      <c r="K1009" s="1">
        <v>298</v>
      </c>
      <c r="M1009" s="1">
        <v>12</v>
      </c>
      <c r="N1009" s="1">
        <f t="shared" si="167"/>
        <v>91.550985547427928</v>
      </c>
    </row>
    <row r="1010" spans="1:14" ht="34.5" customHeight="1" x14ac:dyDescent="0.3">
      <c r="A1010" s="1" t="s">
        <v>11</v>
      </c>
      <c r="G1010" s="1">
        <v>5.7873000000000001</v>
      </c>
      <c r="H1010" s="1">
        <v>5.3100000000000001E-2</v>
      </c>
      <c r="I1010" s="1">
        <v>35.5976</v>
      </c>
      <c r="J1010" s="1">
        <v>4</v>
      </c>
      <c r="K1010" s="1">
        <v>298</v>
      </c>
      <c r="M1010" s="1">
        <v>10</v>
      </c>
      <c r="N1010" s="1">
        <f t="shared" ref="N1010:N1015" si="168">5.461*M1010^0.3195</f>
        <v>11.396517888696186</v>
      </c>
    </row>
    <row r="1011" spans="1:14" ht="34.5" customHeight="1" x14ac:dyDescent="0.3">
      <c r="A1011" s="1" t="s">
        <v>11</v>
      </c>
      <c r="G1011" s="1">
        <v>5.7873000000000001</v>
      </c>
      <c r="H1011" s="1">
        <v>5.3100000000000001E-2</v>
      </c>
      <c r="I1011" s="1">
        <v>35.5976</v>
      </c>
      <c r="J1011" s="1">
        <v>4</v>
      </c>
      <c r="K1011" s="1">
        <v>298</v>
      </c>
      <c r="M1011" s="1">
        <v>20</v>
      </c>
      <c r="N1011" s="1">
        <f t="shared" si="168"/>
        <v>14.221691714600256</v>
      </c>
    </row>
    <row r="1012" spans="1:14" ht="34.5" customHeight="1" x14ac:dyDescent="0.3">
      <c r="A1012" s="1" t="s">
        <v>11</v>
      </c>
      <c r="G1012" s="1">
        <v>5.7873000000000001</v>
      </c>
      <c r="H1012" s="1">
        <v>5.3100000000000001E-2</v>
      </c>
      <c r="I1012" s="1">
        <v>35.5976</v>
      </c>
      <c r="J1012" s="1">
        <v>4</v>
      </c>
      <c r="K1012" s="1">
        <v>298</v>
      </c>
      <c r="M1012" s="1">
        <v>40</v>
      </c>
      <c r="N1012" s="1">
        <f t="shared" si="168"/>
        <v>17.747220440529546</v>
      </c>
    </row>
    <row r="1013" spans="1:14" ht="34.5" customHeight="1" x14ac:dyDescent="0.3">
      <c r="A1013" s="1" t="s">
        <v>11</v>
      </c>
      <c r="G1013" s="1">
        <v>5.7873000000000001</v>
      </c>
      <c r="H1013" s="1">
        <v>5.3100000000000001E-2</v>
      </c>
      <c r="I1013" s="1">
        <v>35.5976</v>
      </c>
      <c r="J1013" s="1">
        <v>4</v>
      </c>
      <c r="K1013" s="1">
        <v>298</v>
      </c>
      <c r="M1013" s="1">
        <v>80</v>
      </c>
      <c r="N1013" s="1">
        <f t="shared" si="168"/>
        <v>22.146720635309642</v>
      </c>
    </row>
    <row r="1014" spans="1:14" ht="34.5" customHeight="1" x14ac:dyDescent="0.3">
      <c r="A1014" s="1" t="s">
        <v>11</v>
      </c>
      <c r="G1014" s="1">
        <v>5.7873000000000001</v>
      </c>
      <c r="H1014" s="1">
        <v>5.3100000000000001E-2</v>
      </c>
      <c r="I1014" s="1">
        <v>35.5976</v>
      </c>
      <c r="J1014" s="1">
        <v>4</v>
      </c>
      <c r="K1014" s="1">
        <v>298</v>
      </c>
      <c r="M1014" s="1">
        <v>120</v>
      </c>
      <c r="N1014" s="1">
        <f t="shared" si="168"/>
        <v>25.209868751763651</v>
      </c>
    </row>
    <row r="1015" spans="1:14" ht="34.5" customHeight="1" x14ac:dyDescent="0.3">
      <c r="A1015" s="1" t="s">
        <v>11</v>
      </c>
      <c r="G1015" s="1">
        <v>5.7873000000000001</v>
      </c>
      <c r="H1015" s="1">
        <v>5.3100000000000001E-2</v>
      </c>
      <c r="I1015" s="1">
        <v>35.5976</v>
      </c>
      <c r="J1015" s="1">
        <v>4</v>
      </c>
      <c r="K1015" s="1">
        <v>298</v>
      </c>
      <c r="M1015" s="1">
        <v>200</v>
      </c>
      <c r="N1015" s="1">
        <f t="shared" si="168"/>
        <v>29.679136427937031</v>
      </c>
    </row>
    <row r="1016" spans="1:14" ht="34.5" customHeight="1" x14ac:dyDescent="0.3">
      <c r="A1016" s="1" t="s">
        <v>11</v>
      </c>
      <c r="G1016" s="1">
        <v>5.7873000000000001</v>
      </c>
      <c r="H1016" s="1">
        <v>5.3100000000000001E-2</v>
      </c>
      <c r="I1016" s="1">
        <v>35.5976</v>
      </c>
      <c r="J1016" s="1">
        <v>4</v>
      </c>
      <c r="K1016" s="1">
        <v>303</v>
      </c>
      <c r="M1016" s="1">
        <v>10</v>
      </c>
      <c r="N1016" s="1">
        <f t="shared" ref="N1016:N1021" si="169">6.81*M1016^0.2889</f>
        <v>13.244852064816765</v>
      </c>
    </row>
    <row r="1017" spans="1:14" ht="34.5" customHeight="1" x14ac:dyDescent="0.3">
      <c r="A1017" s="1" t="s">
        <v>11</v>
      </c>
      <c r="G1017" s="1">
        <v>5.7873000000000001</v>
      </c>
      <c r="H1017" s="1">
        <v>5.3100000000000001E-2</v>
      </c>
      <c r="I1017" s="1">
        <v>35.5976</v>
      </c>
      <c r="J1017" s="1">
        <v>4</v>
      </c>
      <c r="K1017" s="1">
        <v>303</v>
      </c>
      <c r="M1017" s="1">
        <v>20</v>
      </c>
      <c r="N1017" s="1">
        <f t="shared" si="169"/>
        <v>16.181347241084577</v>
      </c>
    </row>
    <row r="1018" spans="1:14" ht="34.5" customHeight="1" x14ac:dyDescent="0.3">
      <c r="A1018" s="1" t="s">
        <v>11</v>
      </c>
      <c r="G1018" s="1">
        <v>5.7873000000000001</v>
      </c>
      <c r="H1018" s="1">
        <v>5.3100000000000001E-2</v>
      </c>
      <c r="I1018" s="1">
        <v>35.5976</v>
      </c>
      <c r="J1018" s="1">
        <v>4</v>
      </c>
      <c r="K1018" s="1">
        <v>303</v>
      </c>
      <c r="M1018" s="1">
        <v>40</v>
      </c>
      <c r="N1018" s="1">
        <f t="shared" si="169"/>
        <v>19.76888811254366</v>
      </c>
    </row>
    <row r="1019" spans="1:14" ht="34.5" customHeight="1" x14ac:dyDescent="0.3">
      <c r="A1019" s="1" t="s">
        <v>11</v>
      </c>
      <c r="G1019" s="1">
        <v>5.7873000000000001</v>
      </c>
      <c r="H1019" s="1">
        <v>5.3100000000000001E-2</v>
      </c>
      <c r="I1019" s="1">
        <v>35.5976</v>
      </c>
      <c r="J1019" s="1">
        <v>4</v>
      </c>
      <c r="K1019" s="1">
        <v>303</v>
      </c>
      <c r="M1019" s="1">
        <v>80</v>
      </c>
      <c r="N1019" s="1">
        <f t="shared" si="169"/>
        <v>24.151816989255558</v>
      </c>
    </row>
    <row r="1020" spans="1:14" ht="34.5" customHeight="1" x14ac:dyDescent="0.3">
      <c r="A1020" s="1" t="s">
        <v>11</v>
      </c>
      <c r="G1020" s="1">
        <v>5.7873000000000001</v>
      </c>
      <c r="H1020" s="1">
        <v>5.3100000000000001E-2</v>
      </c>
      <c r="I1020" s="1">
        <v>35.5976</v>
      </c>
      <c r="J1020" s="1">
        <v>4</v>
      </c>
      <c r="K1020" s="1">
        <v>303</v>
      </c>
      <c r="M1020" s="1">
        <v>120</v>
      </c>
      <c r="N1020" s="1">
        <f t="shared" si="169"/>
        <v>27.153297249265414</v>
      </c>
    </row>
    <row r="1021" spans="1:14" ht="34.5" customHeight="1" x14ac:dyDescent="0.3">
      <c r="A1021" s="1" t="s">
        <v>11</v>
      </c>
      <c r="G1021" s="1">
        <v>5.7873000000000001</v>
      </c>
      <c r="H1021" s="1">
        <v>5.3100000000000001E-2</v>
      </c>
      <c r="I1021" s="1">
        <v>35.5976</v>
      </c>
      <c r="J1021" s="1">
        <v>4</v>
      </c>
      <c r="K1021" s="1">
        <v>303</v>
      </c>
      <c r="M1021" s="1">
        <v>200</v>
      </c>
      <c r="N1021" s="1">
        <f t="shared" si="169"/>
        <v>31.471299620792383</v>
      </c>
    </row>
    <row r="1022" spans="1:14" ht="34.5" customHeight="1" x14ac:dyDescent="0.3">
      <c r="A1022" s="1" t="s">
        <v>11</v>
      </c>
      <c r="G1022" s="1">
        <v>5.7873000000000001</v>
      </c>
      <c r="H1022" s="1">
        <v>5.3100000000000001E-2</v>
      </c>
      <c r="I1022" s="1">
        <v>35.5976</v>
      </c>
      <c r="J1022" s="1">
        <v>4</v>
      </c>
      <c r="K1022" s="1">
        <v>313</v>
      </c>
      <c r="M1022" s="1">
        <v>10</v>
      </c>
      <c r="N1022" s="1">
        <f t="shared" ref="N1022:N1027" si="170">9.129*M1022^0.2493</f>
        <v>16.207767834381396</v>
      </c>
    </row>
    <row r="1023" spans="1:14" ht="34.5" customHeight="1" x14ac:dyDescent="0.3">
      <c r="A1023" s="1" t="s">
        <v>11</v>
      </c>
      <c r="G1023" s="1">
        <v>5.7873000000000001</v>
      </c>
      <c r="H1023" s="1">
        <v>5.3100000000000001E-2</v>
      </c>
      <c r="I1023" s="1">
        <v>35.5976</v>
      </c>
      <c r="J1023" s="1">
        <v>4</v>
      </c>
      <c r="K1023" s="1">
        <v>313</v>
      </c>
      <c r="M1023" s="1">
        <v>20</v>
      </c>
      <c r="N1023" s="1">
        <f t="shared" si="170"/>
        <v>19.265043101668024</v>
      </c>
    </row>
    <row r="1024" spans="1:14" ht="34.5" customHeight="1" x14ac:dyDescent="0.3">
      <c r="A1024" s="1" t="s">
        <v>11</v>
      </c>
      <c r="G1024" s="1">
        <v>5.7873000000000001</v>
      </c>
      <c r="H1024" s="1">
        <v>5.3100000000000001E-2</v>
      </c>
      <c r="I1024" s="1">
        <v>35.5976</v>
      </c>
      <c r="J1024" s="1">
        <v>4</v>
      </c>
      <c r="K1024" s="1">
        <v>313</v>
      </c>
      <c r="M1024" s="1">
        <v>40</v>
      </c>
      <c r="N1024" s="1">
        <f t="shared" si="170"/>
        <v>22.899012961046164</v>
      </c>
    </row>
    <row r="1025" spans="1:14" ht="34.5" customHeight="1" x14ac:dyDescent="0.3">
      <c r="A1025" s="1" t="s">
        <v>11</v>
      </c>
      <c r="G1025" s="1">
        <v>5.7873000000000001</v>
      </c>
      <c r="H1025" s="1">
        <v>5.3100000000000001E-2</v>
      </c>
      <c r="I1025" s="1">
        <v>35.5976</v>
      </c>
      <c r="J1025" s="1">
        <v>4</v>
      </c>
      <c r="K1025" s="1">
        <v>313</v>
      </c>
      <c r="M1025" s="1">
        <v>80</v>
      </c>
      <c r="N1025" s="1">
        <f t="shared" si="170"/>
        <v>27.218459456483593</v>
      </c>
    </row>
    <row r="1026" spans="1:14" ht="34.5" customHeight="1" x14ac:dyDescent="0.3">
      <c r="A1026" s="1" t="s">
        <v>11</v>
      </c>
      <c r="G1026" s="1">
        <v>5.7873000000000001</v>
      </c>
      <c r="H1026" s="1">
        <v>5.3100000000000001E-2</v>
      </c>
      <c r="I1026" s="1">
        <v>35.5976</v>
      </c>
      <c r="J1026" s="1">
        <v>4</v>
      </c>
      <c r="K1026" s="1">
        <v>313</v>
      </c>
      <c r="M1026" s="1">
        <v>120</v>
      </c>
      <c r="N1026" s="1">
        <f t="shared" si="170"/>
        <v>30.113628731530316</v>
      </c>
    </row>
    <row r="1027" spans="1:14" ht="34.5" customHeight="1" x14ac:dyDescent="0.3">
      <c r="A1027" s="1" t="s">
        <v>11</v>
      </c>
      <c r="G1027" s="1">
        <v>5.7873000000000001</v>
      </c>
      <c r="H1027" s="1">
        <v>5.3100000000000001E-2</v>
      </c>
      <c r="I1027" s="1">
        <v>35.5976</v>
      </c>
      <c r="J1027" s="1">
        <v>4</v>
      </c>
      <c r="K1027" s="1">
        <v>313</v>
      </c>
      <c r="M1027" s="1">
        <v>200</v>
      </c>
      <c r="N1027" s="1">
        <f t="shared" si="170"/>
        <v>34.203455571386364</v>
      </c>
    </row>
    <row r="1028" spans="1:14" ht="34.5" customHeight="1" x14ac:dyDescent="0.3">
      <c r="A1028" s="1" t="s">
        <v>11</v>
      </c>
      <c r="G1028" s="1">
        <v>11.33</v>
      </c>
      <c r="H1028" s="1">
        <v>5.9200000000000003E-2</v>
      </c>
      <c r="I1028" s="1">
        <v>17.149999999999999</v>
      </c>
      <c r="J1028" s="1">
        <v>6.5</v>
      </c>
      <c r="K1028" s="1">
        <v>298</v>
      </c>
      <c r="M1028" s="1">
        <v>5</v>
      </c>
      <c r="N1028" s="1">
        <f t="shared" ref="N1028:N1033" si="171">(25.5*0.829*M1028^0.31)/(1+0.829*M1028^0.31)</f>
        <v>14.719228869662537</v>
      </c>
    </row>
    <row r="1029" spans="1:14" ht="34.5" customHeight="1" x14ac:dyDescent="0.3">
      <c r="A1029" s="1" t="s">
        <v>11</v>
      </c>
      <c r="G1029" s="1">
        <v>11.33</v>
      </c>
      <c r="H1029" s="1">
        <v>5.9200000000000003E-2</v>
      </c>
      <c r="I1029" s="1">
        <v>17.149999999999999</v>
      </c>
      <c r="J1029" s="1">
        <v>6.5</v>
      </c>
      <c r="K1029" s="1">
        <v>298</v>
      </c>
      <c r="M1029" s="1">
        <v>10</v>
      </c>
      <c r="N1029" s="1">
        <f t="shared" si="171"/>
        <v>16.029602302927156</v>
      </c>
    </row>
    <row r="1030" spans="1:14" ht="34.5" customHeight="1" x14ac:dyDescent="0.3">
      <c r="A1030" s="1" t="s">
        <v>11</v>
      </c>
      <c r="G1030" s="1">
        <v>11.33</v>
      </c>
      <c r="H1030" s="1">
        <v>5.9200000000000003E-2</v>
      </c>
      <c r="I1030" s="1">
        <v>17.149999999999999</v>
      </c>
      <c r="J1030" s="1">
        <v>6.5</v>
      </c>
      <c r="K1030" s="1">
        <v>298</v>
      </c>
      <c r="M1030" s="1">
        <v>15</v>
      </c>
      <c r="N1030" s="1">
        <f t="shared" si="171"/>
        <v>16.765028726568801</v>
      </c>
    </row>
    <row r="1031" spans="1:14" ht="34.5" customHeight="1" x14ac:dyDescent="0.3">
      <c r="A1031" s="1" t="s">
        <v>11</v>
      </c>
      <c r="G1031" s="1">
        <v>11.33</v>
      </c>
      <c r="H1031" s="1">
        <v>5.9200000000000003E-2</v>
      </c>
      <c r="I1031" s="1">
        <v>17.149999999999999</v>
      </c>
      <c r="J1031" s="1">
        <v>6.5</v>
      </c>
      <c r="K1031" s="1">
        <v>298</v>
      </c>
      <c r="M1031" s="1">
        <v>25</v>
      </c>
      <c r="N1031" s="1">
        <f t="shared" si="171"/>
        <v>17.650511441150638</v>
      </c>
    </row>
    <row r="1032" spans="1:14" ht="34.5" customHeight="1" x14ac:dyDescent="0.3">
      <c r="A1032" s="1" t="s">
        <v>11</v>
      </c>
      <c r="G1032" s="1">
        <v>11.33</v>
      </c>
      <c r="H1032" s="1">
        <v>5.9200000000000003E-2</v>
      </c>
      <c r="I1032" s="1">
        <v>17.149999999999999</v>
      </c>
      <c r="J1032" s="1">
        <v>6.5</v>
      </c>
      <c r="K1032" s="1">
        <v>298</v>
      </c>
      <c r="M1032" s="1">
        <v>50</v>
      </c>
      <c r="N1032" s="1">
        <f t="shared" si="171"/>
        <v>18.767558979425427</v>
      </c>
    </row>
    <row r="1033" spans="1:14" ht="34.5" customHeight="1" x14ac:dyDescent="0.3">
      <c r="A1033" s="1" t="s">
        <v>11</v>
      </c>
      <c r="G1033" s="1">
        <v>11.33</v>
      </c>
      <c r="H1033" s="1">
        <v>5.9200000000000003E-2</v>
      </c>
      <c r="I1033" s="1">
        <v>17.149999999999999</v>
      </c>
      <c r="J1033" s="1">
        <v>6.5</v>
      </c>
      <c r="K1033" s="1">
        <v>298</v>
      </c>
      <c r="M1033" s="1">
        <v>100</v>
      </c>
      <c r="N1033" s="1">
        <f t="shared" si="171"/>
        <v>19.777182560674895</v>
      </c>
    </row>
    <row r="1034" spans="1:14" ht="34.5" customHeight="1" x14ac:dyDescent="0.3">
      <c r="E1034" s="1" t="s">
        <v>11</v>
      </c>
      <c r="G1034" s="1">
        <v>4.37</v>
      </c>
      <c r="H1034" s="1">
        <v>2.3699999999999999E-2</v>
      </c>
      <c r="I1034" s="1">
        <v>13.91</v>
      </c>
      <c r="J1034" s="1">
        <v>6.5</v>
      </c>
      <c r="K1034" s="1">
        <v>298</v>
      </c>
      <c r="M1034" s="1">
        <v>5</v>
      </c>
      <c r="N1034" s="1">
        <f t="shared" ref="N1034:N1039" si="172">(15.06*0.018*M1034^1.02)/(1+0.018*M1034^1.02)</f>
        <v>1.2807044670839391</v>
      </c>
    </row>
    <row r="1035" spans="1:14" ht="34.5" customHeight="1" x14ac:dyDescent="0.3">
      <c r="E1035" s="1" t="s">
        <v>11</v>
      </c>
      <c r="G1035" s="1">
        <v>4.37</v>
      </c>
      <c r="H1035" s="1">
        <v>2.3699999999999999E-2</v>
      </c>
      <c r="I1035" s="1">
        <v>13.91</v>
      </c>
      <c r="J1035" s="1">
        <v>6.5</v>
      </c>
      <c r="K1035" s="1">
        <v>298</v>
      </c>
      <c r="M1035" s="1">
        <v>25</v>
      </c>
      <c r="N1035" s="1">
        <f t="shared" si="172"/>
        <v>4.8837929887591569</v>
      </c>
    </row>
    <row r="1036" spans="1:14" ht="34.5" customHeight="1" x14ac:dyDescent="0.3">
      <c r="E1036" s="1" t="s">
        <v>11</v>
      </c>
      <c r="G1036" s="1">
        <v>4.37</v>
      </c>
      <c r="H1036" s="1">
        <v>2.3699999999999999E-2</v>
      </c>
      <c r="I1036" s="1">
        <v>13.91</v>
      </c>
      <c r="J1036" s="1">
        <v>6.5</v>
      </c>
      <c r="K1036" s="1">
        <v>298</v>
      </c>
      <c r="M1036" s="1">
        <v>50</v>
      </c>
      <c r="N1036" s="1">
        <f t="shared" si="172"/>
        <v>7.4278992486835174</v>
      </c>
    </row>
    <row r="1037" spans="1:14" ht="34.5" customHeight="1" x14ac:dyDescent="0.3">
      <c r="E1037" s="1" t="s">
        <v>11</v>
      </c>
      <c r="G1037" s="1">
        <v>4.37</v>
      </c>
      <c r="H1037" s="1">
        <v>2.3699999999999999E-2</v>
      </c>
      <c r="I1037" s="1">
        <v>13.91</v>
      </c>
      <c r="J1037" s="1">
        <v>6.5</v>
      </c>
      <c r="K1037" s="1">
        <v>298</v>
      </c>
      <c r="M1037" s="1">
        <v>75</v>
      </c>
      <c r="N1037" s="1">
        <f t="shared" si="172"/>
        <v>8.9671587338314076</v>
      </c>
    </row>
    <row r="1038" spans="1:14" ht="34.5" customHeight="1" x14ac:dyDescent="0.3">
      <c r="E1038" s="1" t="s">
        <v>11</v>
      </c>
      <c r="G1038" s="1">
        <v>4.37</v>
      </c>
      <c r="H1038" s="1">
        <v>2.3699999999999999E-2</v>
      </c>
      <c r="I1038" s="1">
        <v>13.91</v>
      </c>
      <c r="J1038" s="1">
        <v>6.5</v>
      </c>
      <c r="K1038" s="1">
        <v>298</v>
      </c>
      <c r="M1038" s="1">
        <v>100</v>
      </c>
      <c r="N1038" s="1">
        <f t="shared" si="172"/>
        <v>9.9955352709571148</v>
      </c>
    </row>
    <row r="1039" spans="1:14" ht="34.5" customHeight="1" x14ac:dyDescent="0.3">
      <c r="E1039" s="1" t="s">
        <v>11</v>
      </c>
      <c r="G1039" s="1">
        <v>4.37</v>
      </c>
      <c r="H1039" s="1">
        <v>2.3699999999999999E-2</v>
      </c>
      <c r="I1039" s="1">
        <v>13.91</v>
      </c>
      <c r="J1039" s="1">
        <v>6.5</v>
      </c>
      <c r="K1039" s="1">
        <v>298</v>
      </c>
      <c r="M1039" s="1">
        <v>200</v>
      </c>
      <c r="N1039" s="1">
        <f t="shared" si="172"/>
        <v>12.04945954668306</v>
      </c>
    </row>
    <row r="1040" spans="1:14" ht="34.5" customHeight="1" x14ac:dyDescent="0.3">
      <c r="F1040" s="1" t="s">
        <v>11</v>
      </c>
      <c r="G1040" s="1">
        <v>8.32</v>
      </c>
      <c r="H1040" s="1">
        <v>4.2000000000000003E-2</v>
      </c>
      <c r="I1040" s="1">
        <v>14.15</v>
      </c>
      <c r="J1040" s="1">
        <v>6.5</v>
      </c>
      <c r="K1040" s="1">
        <v>298</v>
      </c>
      <c r="M1040" s="1">
        <v>5</v>
      </c>
      <c r="N1040" s="1">
        <f t="shared" ref="N1040:N1045" si="173">(10.78*0.012*M1040^1.16)/(1+0.012*M1040^1.16)</f>
        <v>0.77649496856676148</v>
      </c>
    </row>
    <row r="1041" spans="1:14" ht="34.5" customHeight="1" x14ac:dyDescent="0.3">
      <c r="F1041" s="1" t="s">
        <v>11</v>
      </c>
      <c r="G1041" s="1">
        <v>8.32</v>
      </c>
      <c r="H1041" s="1">
        <v>4.2000000000000003E-2</v>
      </c>
      <c r="I1041" s="1">
        <v>14.15</v>
      </c>
      <c r="J1041" s="1">
        <v>6.5</v>
      </c>
      <c r="K1041" s="1">
        <v>298</v>
      </c>
      <c r="M1041" s="1">
        <v>25</v>
      </c>
      <c r="N1041" s="1">
        <f t="shared" si="173"/>
        <v>3.603388525474124</v>
      </c>
    </row>
    <row r="1042" spans="1:14" ht="34.5" customHeight="1" x14ac:dyDescent="0.3">
      <c r="F1042" s="1" t="s">
        <v>11</v>
      </c>
      <c r="G1042" s="1">
        <v>8.32</v>
      </c>
      <c r="H1042" s="1">
        <v>4.2000000000000003E-2</v>
      </c>
      <c r="I1042" s="1">
        <v>14.15</v>
      </c>
      <c r="J1042" s="1">
        <v>6.5</v>
      </c>
      <c r="K1042" s="1">
        <v>298</v>
      </c>
      <c r="M1042" s="1">
        <v>50</v>
      </c>
      <c r="N1042" s="1">
        <f t="shared" si="173"/>
        <v>5.6998472792855939</v>
      </c>
    </row>
    <row r="1043" spans="1:14" ht="34.5" customHeight="1" x14ac:dyDescent="0.3">
      <c r="F1043" s="1" t="s">
        <v>11</v>
      </c>
      <c r="G1043" s="1">
        <v>8.32</v>
      </c>
      <c r="H1043" s="1">
        <v>4.2000000000000003E-2</v>
      </c>
      <c r="I1043" s="1">
        <v>14.15</v>
      </c>
      <c r="J1043" s="1">
        <v>6.5</v>
      </c>
      <c r="K1043" s="1">
        <v>298</v>
      </c>
      <c r="M1043" s="1">
        <v>75</v>
      </c>
      <c r="N1043" s="1">
        <f t="shared" si="173"/>
        <v>6.9241840720212435</v>
      </c>
    </row>
    <row r="1044" spans="1:14" ht="34.5" customHeight="1" x14ac:dyDescent="0.3">
      <c r="F1044" s="1" t="s">
        <v>11</v>
      </c>
      <c r="G1044" s="1">
        <v>8.32</v>
      </c>
      <c r="H1044" s="1">
        <v>4.2000000000000003E-2</v>
      </c>
      <c r="I1044" s="1">
        <v>14.15</v>
      </c>
      <c r="J1044" s="1">
        <v>6.5</v>
      </c>
      <c r="K1044" s="1">
        <v>298</v>
      </c>
      <c r="M1044" s="1">
        <v>100</v>
      </c>
      <c r="N1044" s="1">
        <f t="shared" si="173"/>
        <v>7.7062838675202645</v>
      </c>
    </row>
    <row r="1045" spans="1:14" ht="34.5" customHeight="1" x14ac:dyDescent="0.3">
      <c r="F1045" s="1" t="s">
        <v>11</v>
      </c>
      <c r="G1045" s="1">
        <v>8.32</v>
      </c>
      <c r="H1045" s="1">
        <v>4.2000000000000003E-2</v>
      </c>
      <c r="I1045" s="1">
        <v>14.15</v>
      </c>
      <c r="J1045" s="1">
        <v>6.5</v>
      </c>
      <c r="K1045" s="1">
        <v>298</v>
      </c>
      <c r="M1045" s="1">
        <v>200</v>
      </c>
      <c r="N1045" s="1">
        <f t="shared" si="173"/>
        <v>9.147266539645452</v>
      </c>
    </row>
    <row r="1046" spans="1:14" ht="34.5" customHeight="1" x14ac:dyDescent="0.3">
      <c r="A1046" s="1" t="s">
        <v>11</v>
      </c>
      <c r="G1046" s="1">
        <v>20.91</v>
      </c>
      <c r="H1046" s="1">
        <v>0.1</v>
      </c>
      <c r="I1046" s="1">
        <v>26.1</v>
      </c>
      <c r="J1046" s="1">
        <v>6</v>
      </c>
      <c r="K1046" s="1">
        <v>293</v>
      </c>
      <c r="M1046" s="1">
        <v>5</v>
      </c>
      <c r="N1046" s="1">
        <f t="shared" ref="N1046:N1051" si="174">(1.26*0.001*(M1046)^0.96)/(1+0.012*(M1046)^0.96)</f>
        <v>5.5925683853045574E-3</v>
      </c>
    </row>
    <row r="1047" spans="1:14" ht="34.5" customHeight="1" x14ac:dyDescent="0.3">
      <c r="A1047" s="1" t="s">
        <v>11</v>
      </c>
      <c r="G1047" s="1">
        <v>20.91</v>
      </c>
      <c r="H1047" s="1">
        <v>0.1</v>
      </c>
      <c r="I1047" s="1">
        <v>26.1</v>
      </c>
      <c r="J1047" s="1">
        <v>6</v>
      </c>
      <c r="K1047" s="1">
        <v>293</v>
      </c>
      <c r="M1047" s="1">
        <v>10</v>
      </c>
      <c r="N1047" s="1">
        <f t="shared" si="174"/>
        <v>1.0357768877360894E-2</v>
      </c>
    </row>
    <row r="1048" spans="1:14" ht="34.5" customHeight="1" x14ac:dyDescent="0.3">
      <c r="A1048" s="1" t="s">
        <v>11</v>
      </c>
      <c r="G1048" s="1">
        <v>20.91</v>
      </c>
      <c r="H1048" s="1">
        <v>0.1</v>
      </c>
      <c r="I1048" s="1">
        <v>26.1</v>
      </c>
      <c r="J1048" s="1">
        <v>6</v>
      </c>
      <c r="K1048" s="1">
        <v>293</v>
      </c>
      <c r="M1048" s="1">
        <v>20</v>
      </c>
      <c r="N1048" s="1">
        <f t="shared" si="174"/>
        <v>1.8430424204790512E-2</v>
      </c>
    </row>
    <row r="1049" spans="1:14" ht="34.5" customHeight="1" x14ac:dyDescent="0.3">
      <c r="A1049" s="1" t="s">
        <v>11</v>
      </c>
      <c r="G1049" s="1">
        <v>20.91</v>
      </c>
      <c r="H1049" s="1">
        <v>0.1</v>
      </c>
      <c r="I1049" s="1">
        <v>26.1</v>
      </c>
      <c r="J1049" s="1">
        <v>6</v>
      </c>
      <c r="K1049" s="1">
        <v>293</v>
      </c>
      <c r="M1049" s="1">
        <v>50</v>
      </c>
      <c r="N1049" s="1">
        <f t="shared" si="174"/>
        <v>3.5605522340074296E-2</v>
      </c>
    </row>
    <row r="1050" spans="1:14" ht="34.5" customHeight="1" x14ac:dyDescent="0.3">
      <c r="A1050" s="1" t="s">
        <v>11</v>
      </c>
      <c r="G1050" s="1">
        <v>20.91</v>
      </c>
      <c r="H1050" s="1">
        <v>0.1</v>
      </c>
      <c r="I1050" s="1">
        <v>26.1</v>
      </c>
      <c r="J1050" s="1">
        <v>6</v>
      </c>
      <c r="K1050" s="1">
        <v>293</v>
      </c>
      <c r="M1050" s="1">
        <v>70</v>
      </c>
      <c r="N1050" s="1">
        <f t="shared" si="174"/>
        <v>4.3550533596390946E-2</v>
      </c>
    </row>
    <row r="1051" spans="1:14" ht="34.5" customHeight="1" x14ac:dyDescent="0.3">
      <c r="A1051" s="1" t="s">
        <v>11</v>
      </c>
      <c r="G1051" s="1">
        <v>20.91</v>
      </c>
      <c r="H1051" s="1">
        <v>0.1</v>
      </c>
      <c r="I1051" s="1">
        <v>26.1</v>
      </c>
      <c r="J1051" s="1">
        <v>6</v>
      </c>
      <c r="K1051" s="1">
        <v>293</v>
      </c>
      <c r="M1051" s="1">
        <v>90</v>
      </c>
      <c r="N1051" s="1">
        <f t="shared" si="174"/>
        <v>4.9797817162240431E-2</v>
      </c>
    </row>
    <row r="1052" spans="1:14" ht="34.5" customHeight="1" x14ac:dyDescent="0.3">
      <c r="A1052" s="1" t="s">
        <v>11</v>
      </c>
      <c r="G1052" s="1">
        <v>51.043999999999997</v>
      </c>
      <c r="H1052" s="1">
        <v>0.18029999999999999</v>
      </c>
      <c r="I1052" s="1">
        <v>13.58</v>
      </c>
      <c r="J1052" s="1">
        <v>6</v>
      </c>
      <c r="K1052" s="1">
        <v>298</v>
      </c>
      <c r="M1052" s="1">
        <v>10</v>
      </c>
      <c r="N1052" s="1">
        <f t="shared" ref="N1052:N1057" si="175">31.36*(M1052)^(1/18.63)</f>
        <v>35.485662628843031</v>
      </c>
    </row>
    <row r="1053" spans="1:14" ht="34.5" customHeight="1" x14ac:dyDescent="0.3">
      <c r="A1053" s="1" t="s">
        <v>11</v>
      </c>
      <c r="G1053" s="1">
        <v>51.043999999999997</v>
      </c>
      <c r="H1053" s="1">
        <v>0.18029999999999999</v>
      </c>
      <c r="I1053" s="1">
        <v>13.58</v>
      </c>
      <c r="J1053" s="1">
        <v>6</v>
      </c>
      <c r="K1053" s="1">
        <v>298</v>
      </c>
      <c r="M1053" s="1">
        <v>25</v>
      </c>
      <c r="N1053" s="1">
        <f t="shared" si="175"/>
        <v>37.2746085700919</v>
      </c>
    </row>
    <row r="1054" spans="1:14" ht="34.5" customHeight="1" x14ac:dyDescent="0.3">
      <c r="A1054" s="1" t="s">
        <v>11</v>
      </c>
      <c r="G1054" s="1">
        <v>51.043999999999997</v>
      </c>
      <c r="H1054" s="1">
        <v>0.18029999999999999</v>
      </c>
      <c r="I1054" s="1">
        <v>13.58</v>
      </c>
      <c r="J1054" s="1">
        <v>6</v>
      </c>
      <c r="K1054" s="1">
        <v>298</v>
      </c>
      <c r="M1054" s="1">
        <v>40</v>
      </c>
      <c r="N1054" s="1">
        <f t="shared" si="175"/>
        <v>38.226946815445025</v>
      </c>
    </row>
    <row r="1055" spans="1:14" ht="34.5" customHeight="1" x14ac:dyDescent="0.3">
      <c r="A1055" s="1" t="s">
        <v>11</v>
      </c>
      <c r="G1055" s="1">
        <v>51.043999999999997</v>
      </c>
      <c r="H1055" s="1">
        <v>0.18029999999999999</v>
      </c>
      <c r="I1055" s="1">
        <v>13.58</v>
      </c>
      <c r="J1055" s="1">
        <v>6</v>
      </c>
      <c r="K1055" s="1">
        <v>298</v>
      </c>
      <c r="M1055" s="1">
        <v>80</v>
      </c>
      <c r="N1055" s="1">
        <f t="shared" si="175"/>
        <v>39.676007057650111</v>
      </c>
    </row>
    <row r="1056" spans="1:14" ht="34.5" customHeight="1" x14ac:dyDescent="0.3">
      <c r="A1056" s="1" t="s">
        <v>11</v>
      </c>
      <c r="G1056" s="1">
        <v>51.043999999999997</v>
      </c>
      <c r="H1056" s="1">
        <v>0.18029999999999999</v>
      </c>
      <c r="I1056" s="1">
        <v>13.58</v>
      </c>
      <c r="J1056" s="1">
        <v>6</v>
      </c>
      <c r="K1056" s="1">
        <v>298</v>
      </c>
      <c r="M1056" s="1">
        <v>140</v>
      </c>
      <c r="N1056" s="1">
        <f t="shared" si="175"/>
        <v>40.885892218741532</v>
      </c>
    </row>
    <row r="1057" spans="1:14" ht="34.5" customHeight="1" x14ac:dyDescent="0.3">
      <c r="A1057" s="1" t="s">
        <v>11</v>
      </c>
      <c r="G1057" s="1">
        <v>51.043999999999997</v>
      </c>
      <c r="H1057" s="1">
        <v>0.18029999999999999</v>
      </c>
      <c r="I1057" s="1">
        <v>13.58</v>
      </c>
      <c r="J1057" s="1">
        <v>6</v>
      </c>
      <c r="K1057" s="1">
        <v>298</v>
      </c>
      <c r="M1057" s="1">
        <v>175</v>
      </c>
      <c r="N1057" s="1">
        <f t="shared" si="175"/>
        <v>41.378553547698012</v>
      </c>
    </row>
    <row r="1058" spans="1:14" ht="34.5" customHeight="1" x14ac:dyDescent="0.3">
      <c r="A1058" s="1" t="s">
        <v>11</v>
      </c>
      <c r="G1058" s="1">
        <v>51.043999999999997</v>
      </c>
      <c r="H1058" s="1">
        <v>0.18029999999999999</v>
      </c>
      <c r="I1058" s="1">
        <v>13.58</v>
      </c>
      <c r="J1058" s="1">
        <v>6</v>
      </c>
      <c r="K1058" s="1">
        <v>308</v>
      </c>
      <c r="M1058" s="1">
        <v>10</v>
      </c>
      <c r="N1058" s="1">
        <f t="shared" ref="N1058:N1063" si="176">31.92*(M1058)^(1/15.69)</f>
        <v>36.965598799087985</v>
      </c>
    </row>
    <row r="1059" spans="1:14" ht="34.5" customHeight="1" x14ac:dyDescent="0.3">
      <c r="A1059" s="1" t="s">
        <v>11</v>
      </c>
      <c r="G1059" s="1">
        <v>51.043999999999997</v>
      </c>
      <c r="H1059" s="1">
        <v>0.18029999999999999</v>
      </c>
      <c r="I1059" s="1">
        <v>13.58</v>
      </c>
      <c r="J1059" s="1">
        <v>6</v>
      </c>
      <c r="K1059" s="1">
        <v>308</v>
      </c>
      <c r="M1059" s="1">
        <v>25</v>
      </c>
      <c r="N1059" s="1">
        <f t="shared" si="176"/>
        <v>39.188658548696004</v>
      </c>
    </row>
    <row r="1060" spans="1:14" ht="34.5" customHeight="1" x14ac:dyDescent="0.3">
      <c r="A1060" s="1" t="s">
        <v>11</v>
      </c>
      <c r="G1060" s="1">
        <v>51.043999999999997</v>
      </c>
      <c r="H1060" s="1">
        <v>0.18029999999999999</v>
      </c>
      <c r="I1060" s="1">
        <v>13.58</v>
      </c>
      <c r="J1060" s="1">
        <v>6</v>
      </c>
      <c r="K1060" s="1">
        <v>308</v>
      </c>
      <c r="M1060" s="1">
        <v>40</v>
      </c>
      <c r="N1060" s="1">
        <f t="shared" si="176"/>
        <v>40.380338636897989</v>
      </c>
    </row>
    <row r="1061" spans="1:14" ht="34.5" customHeight="1" x14ac:dyDescent="0.3">
      <c r="A1061" s="1" t="s">
        <v>11</v>
      </c>
      <c r="G1061" s="1">
        <v>51.043999999999997</v>
      </c>
      <c r="H1061" s="1">
        <v>0.18029999999999999</v>
      </c>
      <c r="I1061" s="1">
        <v>13.58</v>
      </c>
      <c r="J1061" s="1">
        <v>6</v>
      </c>
      <c r="K1061" s="1">
        <v>308</v>
      </c>
      <c r="M1061" s="1">
        <v>80</v>
      </c>
      <c r="N1061" s="1">
        <f t="shared" si="176"/>
        <v>42.204237879033812</v>
      </c>
    </row>
    <row r="1062" spans="1:14" ht="34.5" customHeight="1" x14ac:dyDescent="0.3">
      <c r="A1062" s="1" t="s">
        <v>11</v>
      </c>
      <c r="G1062" s="1">
        <v>51.043999999999997</v>
      </c>
      <c r="H1062" s="1">
        <v>0.18029999999999999</v>
      </c>
      <c r="I1062" s="1">
        <v>13.58</v>
      </c>
      <c r="J1062" s="1">
        <v>6</v>
      </c>
      <c r="K1062" s="1">
        <v>308</v>
      </c>
      <c r="M1062" s="1">
        <v>140</v>
      </c>
      <c r="N1062" s="1">
        <f t="shared" si="176"/>
        <v>43.736704751875273</v>
      </c>
    </row>
    <row r="1063" spans="1:14" ht="34.5" customHeight="1" x14ac:dyDescent="0.3">
      <c r="A1063" s="1" t="s">
        <v>11</v>
      </c>
      <c r="G1063" s="1">
        <v>51.043999999999997</v>
      </c>
      <c r="H1063" s="1">
        <v>0.18029999999999999</v>
      </c>
      <c r="I1063" s="1">
        <v>13.58</v>
      </c>
      <c r="J1063" s="1">
        <v>6</v>
      </c>
      <c r="K1063" s="1">
        <v>308</v>
      </c>
      <c r="M1063" s="1">
        <v>175</v>
      </c>
      <c r="N1063" s="1">
        <f t="shared" si="176"/>
        <v>44.363173468968967</v>
      </c>
    </row>
    <row r="1064" spans="1:14" ht="34.5" customHeight="1" x14ac:dyDescent="0.3">
      <c r="A1064" s="1" t="s">
        <v>11</v>
      </c>
      <c r="G1064" s="1">
        <v>51.043999999999997</v>
      </c>
      <c r="H1064" s="1">
        <v>0.18029999999999999</v>
      </c>
      <c r="I1064" s="1">
        <v>13.58</v>
      </c>
      <c r="J1064" s="1">
        <v>6</v>
      </c>
      <c r="K1064" s="1">
        <v>318</v>
      </c>
      <c r="M1064" s="1">
        <v>10</v>
      </c>
      <c r="N1064" s="1">
        <f t="shared" ref="N1064:N1069" si="177">32.51*(M1064)^(1/13.62)</f>
        <v>38.498021309017332</v>
      </c>
    </row>
    <row r="1065" spans="1:14" ht="34.5" customHeight="1" x14ac:dyDescent="0.3">
      <c r="A1065" s="1" t="s">
        <v>11</v>
      </c>
      <c r="G1065" s="1">
        <v>51.043999999999997</v>
      </c>
      <c r="H1065" s="1">
        <v>0.18029999999999999</v>
      </c>
      <c r="I1065" s="1">
        <v>13.58</v>
      </c>
      <c r="J1065" s="1">
        <v>6</v>
      </c>
      <c r="K1065" s="1">
        <v>318</v>
      </c>
      <c r="M1065" s="1">
        <v>25</v>
      </c>
      <c r="N1065" s="1">
        <f t="shared" si="177"/>
        <v>41.1770980625802</v>
      </c>
    </row>
    <row r="1066" spans="1:14" ht="34.5" customHeight="1" x14ac:dyDescent="0.3">
      <c r="A1066" s="1" t="s">
        <v>11</v>
      </c>
      <c r="G1066" s="1">
        <v>51.043999999999997</v>
      </c>
      <c r="H1066" s="1">
        <v>0.18029999999999999</v>
      </c>
      <c r="I1066" s="1">
        <v>13.58</v>
      </c>
      <c r="J1066" s="1">
        <v>6</v>
      </c>
      <c r="K1066" s="1">
        <v>318</v>
      </c>
      <c r="M1066" s="1">
        <v>40</v>
      </c>
      <c r="N1066" s="1">
        <f t="shared" si="177"/>
        <v>42.622853320645589</v>
      </c>
    </row>
    <row r="1067" spans="1:14" ht="34.5" customHeight="1" x14ac:dyDescent="0.3">
      <c r="A1067" s="1" t="s">
        <v>11</v>
      </c>
      <c r="G1067" s="1">
        <v>51.043999999999997</v>
      </c>
      <c r="H1067" s="1">
        <v>0.18029999999999999</v>
      </c>
      <c r="I1067" s="1">
        <v>13.58</v>
      </c>
      <c r="J1067" s="1">
        <v>6</v>
      </c>
      <c r="K1067" s="1">
        <v>318</v>
      </c>
      <c r="M1067" s="1">
        <v>80</v>
      </c>
      <c r="N1067" s="1">
        <f t="shared" si="177"/>
        <v>44.848154340678995</v>
      </c>
    </row>
    <row r="1068" spans="1:14" ht="34.5" customHeight="1" x14ac:dyDescent="0.3">
      <c r="A1068" s="1" t="s">
        <v>11</v>
      </c>
      <c r="G1068" s="1">
        <v>51.043999999999997</v>
      </c>
      <c r="H1068" s="1">
        <v>0.18029999999999999</v>
      </c>
      <c r="I1068" s="1">
        <v>13.58</v>
      </c>
      <c r="J1068" s="1">
        <v>6</v>
      </c>
      <c r="K1068" s="1">
        <v>318</v>
      </c>
      <c r="M1068" s="1">
        <v>140</v>
      </c>
      <c r="N1068" s="1">
        <f t="shared" si="177"/>
        <v>46.729246512508333</v>
      </c>
    </row>
    <row r="1069" spans="1:14" ht="34.5" customHeight="1" x14ac:dyDescent="0.3">
      <c r="A1069" s="1" t="s">
        <v>11</v>
      </c>
      <c r="G1069" s="1">
        <v>51.043999999999997</v>
      </c>
      <c r="H1069" s="1">
        <v>0.18029999999999999</v>
      </c>
      <c r="I1069" s="1">
        <v>13.58</v>
      </c>
      <c r="J1069" s="1">
        <v>6</v>
      </c>
      <c r="K1069" s="1">
        <v>318</v>
      </c>
      <c r="M1069" s="1">
        <v>175</v>
      </c>
      <c r="N1069" s="1">
        <f t="shared" si="177"/>
        <v>47.501142004863731</v>
      </c>
    </row>
    <row r="1070" spans="1:14" ht="34.5" customHeight="1" x14ac:dyDescent="0.3">
      <c r="A1070" s="1">
        <v>62.37</v>
      </c>
      <c r="G1070" s="1">
        <v>55.33</v>
      </c>
      <c r="J1070" s="1">
        <v>6.9</v>
      </c>
      <c r="K1070" s="1">
        <v>293</v>
      </c>
      <c r="M1070" s="1">
        <v>10</v>
      </c>
      <c r="N1070" s="1">
        <f t="shared" ref="N1070:N1075" si="178">(104.4*0.18*M1070)/(1+0.18*M1070)</f>
        <v>67.114285714285728</v>
      </c>
    </row>
    <row r="1071" spans="1:14" ht="34.5" customHeight="1" x14ac:dyDescent="0.3">
      <c r="A1071" s="1">
        <v>62.37</v>
      </c>
      <c r="G1071" s="1">
        <v>55.33</v>
      </c>
      <c r="J1071" s="1">
        <v>6.9</v>
      </c>
      <c r="K1071" s="1">
        <v>293</v>
      </c>
      <c r="M1071" s="1">
        <v>25</v>
      </c>
      <c r="N1071" s="1">
        <f t="shared" si="178"/>
        <v>85.418181818181836</v>
      </c>
    </row>
    <row r="1072" spans="1:14" ht="34.5" customHeight="1" x14ac:dyDescent="0.3">
      <c r="A1072" s="1">
        <v>62.37</v>
      </c>
      <c r="G1072" s="1">
        <v>55.33</v>
      </c>
      <c r="J1072" s="1">
        <v>6.9</v>
      </c>
      <c r="K1072" s="1">
        <v>293</v>
      </c>
      <c r="M1072" s="1">
        <v>60</v>
      </c>
      <c r="N1072" s="1">
        <f t="shared" si="178"/>
        <v>95.552542372881362</v>
      </c>
    </row>
    <row r="1073" spans="1:14" ht="34.5" customHeight="1" x14ac:dyDescent="0.3">
      <c r="A1073" s="1">
        <v>62.37</v>
      </c>
      <c r="G1073" s="1">
        <v>55.33</v>
      </c>
      <c r="J1073" s="1">
        <v>6.9</v>
      </c>
      <c r="K1073" s="1">
        <v>293</v>
      </c>
      <c r="M1073" s="1">
        <v>125</v>
      </c>
      <c r="N1073" s="1">
        <f t="shared" si="178"/>
        <v>99.957446808510639</v>
      </c>
    </row>
    <row r="1074" spans="1:14" ht="34.5" customHeight="1" x14ac:dyDescent="0.3">
      <c r="A1074" s="1">
        <v>62.37</v>
      </c>
      <c r="G1074" s="1">
        <v>55.33</v>
      </c>
      <c r="J1074" s="1">
        <v>6.9</v>
      </c>
      <c r="K1074" s="1">
        <v>293</v>
      </c>
      <c r="M1074" s="1">
        <v>250</v>
      </c>
      <c r="N1074" s="1">
        <f t="shared" si="178"/>
        <v>102.1304347826087</v>
      </c>
    </row>
    <row r="1075" spans="1:14" ht="34.5" customHeight="1" x14ac:dyDescent="0.3">
      <c r="A1075" s="1">
        <v>62.37</v>
      </c>
      <c r="G1075" s="1">
        <v>55.33</v>
      </c>
      <c r="J1075" s="1">
        <v>6.9</v>
      </c>
      <c r="K1075" s="1">
        <v>293</v>
      </c>
      <c r="M1075" s="1">
        <v>500</v>
      </c>
      <c r="N1075" s="1">
        <f t="shared" si="178"/>
        <v>103.25274725274726</v>
      </c>
    </row>
    <row r="1076" spans="1:14" ht="34.5" customHeight="1" x14ac:dyDescent="0.3">
      <c r="A1076" s="1">
        <v>62.37</v>
      </c>
      <c r="G1076" s="1">
        <v>55.33</v>
      </c>
      <c r="J1076" s="1">
        <v>6.9</v>
      </c>
      <c r="K1076" s="1">
        <v>298</v>
      </c>
      <c r="M1076" s="1">
        <v>5</v>
      </c>
      <c r="N1076" s="1">
        <f t="shared" ref="N1076:N1081" si="179">(125.5*0.192*M1076)/(1+0.192*M1076)</f>
        <v>61.469387755102041</v>
      </c>
    </row>
    <row r="1077" spans="1:14" ht="34.5" customHeight="1" x14ac:dyDescent="0.3">
      <c r="A1077" s="1">
        <v>62.37</v>
      </c>
      <c r="G1077" s="1">
        <v>55.33</v>
      </c>
      <c r="J1077" s="1">
        <v>6.9</v>
      </c>
      <c r="K1077" s="1">
        <v>298</v>
      </c>
      <c r="M1077" s="1">
        <v>10</v>
      </c>
      <c r="N1077" s="1">
        <f t="shared" si="179"/>
        <v>82.520547945205479</v>
      </c>
    </row>
    <row r="1078" spans="1:14" ht="34.5" customHeight="1" x14ac:dyDescent="0.3">
      <c r="A1078" s="1">
        <v>62.37</v>
      </c>
      <c r="G1078" s="1">
        <v>55.33</v>
      </c>
      <c r="J1078" s="1">
        <v>6.9</v>
      </c>
      <c r="K1078" s="1">
        <v>298</v>
      </c>
      <c r="M1078" s="1">
        <v>25</v>
      </c>
      <c r="N1078" s="1">
        <f t="shared" si="179"/>
        <v>103.86206896551724</v>
      </c>
    </row>
    <row r="1079" spans="1:14" ht="34.5" customHeight="1" x14ac:dyDescent="0.3">
      <c r="A1079" s="1">
        <v>62.37</v>
      </c>
      <c r="G1079" s="1">
        <v>55.33</v>
      </c>
      <c r="J1079" s="1">
        <v>6.9</v>
      </c>
      <c r="K1079" s="1">
        <v>298</v>
      </c>
      <c r="M1079" s="1">
        <v>50</v>
      </c>
      <c r="N1079" s="1">
        <f t="shared" si="179"/>
        <v>113.66037735849056</v>
      </c>
    </row>
    <row r="1080" spans="1:14" ht="34.5" customHeight="1" x14ac:dyDescent="0.3">
      <c r="A1080" s="1">
        <v>62.37</v>
      </c>
      <c r="G1080" s="1">
        <v>55.33</v>
      </c>
      <c r="J1080" s="1">
        <v>6.9</v>
      </c>
      <c r="K1080" s="1">
        <v>298</v>
      </c>
      <c r="M1080" s="1">
        <v>150</v>
      </c>
      <c r="N1080" s="1">
        <f t="shared" si="179"/>
        <v>121.28859060402685</v>
      </c>
    </row>
    <row r="1081" spans="1:14" ht="34.5" customHeight="1" x14ac:dyDescent="0.3">
      <c r="A1081" s="1">
        <v>62.37</v>
      </c>
      <c r="G1081" s="1">
        <v>55.33</v>
      </c>
      <c r="J1081" s="1">
        <v>6.9</v>
      </c>
      <c r="K1081" s="1">
        <v>298</v>
      </c>
      <c r="M1081" s="1">
        <v>300</v>
      </c>
      <c r="N1081" s="1">
        <f t="shared" si="179"/>
        <v>123.35836177474403</v>
      </c>
    </row>
    <row r="1082" spans="1:14" ht="34.5" customHeight="1" x14ac:dyDescent="0.3">
      <c r="A1082" s="1">
        <v>62.37</v>
      </c>
      <c r="G1082" s="1">
        <v>55.33</v>
      </c>
      <c r="J1082" s="1">
        <v>6.9</v>
      </c>
      <c r="K1082" s="1">
        <v>303</v>
      </c>
      <c r="M1082" s="1">
        <v>10</v>
      </c>
      <c r="N1082" s="1">
        <f t="shared" ref="N1082:N1087" si="180">(138.9*0.22*M1082)/(1+0.22*M1082)</f>
        <v>95.493749999999991</v>
      </c>
    </row>
    <row r="1083" spans="1:14" ht="34.5" customHeight="1" x14ac:dyDescent="0.3">
      <c r="A1083" s="1">
        <v>62.37</v>
      </c>
      <c r="G1083" s="1">
        <v>55.33</v>
      </c>
      <c r="J1083" s="1">
        <v>6.9</v>
      </c>
      <c r="K1083" s="1">
        <v>303</v>
      </c>
      <c r="M1083" s="1">
        <v>25</v>
      </c>
      <c r="N1083" s="1">
        <f t="shared" si="180"/>
        <v>117.53076923076924</v>
      </c>
    </row>
    <row r="1084" spans="1:14" ht="34.5" customHeight="1" x14ac:dyDescent="0.3">
      <c r="A1084" s="1">
        <v>62.37</v>
      </c>
      <c r="G1084" s="1">
        <v>55.33</v>
      </c>
      <c r="J1084" s="1">
        <v>6.9</v>
      </c>
      <c r="K1084" s="1">
        <v>303</v>
      </c>
      <c r="M1084" s="1">
        <v>60</v>
      </c>
      <c r="N1084" s="1">
        <f t="shared" si="180"/>
        <v>129.11830985915495</v>
      </c>
    </row>
    <row r="1085" spans="1:14" ht="34.5" customHeight="1" x14ac:dyDescent="0.3">
      <c r="A1085" s="1">
        <v>62.37</v>
      </c>
      <c r="G1085" s="1">
        <v>55.33</v>
      </c>
      <c r="J1085" s="1">
        <v>6.9</v>
      </c>
      <c r="K1085" s="1">
        <v>303</v>
      </c>
      <c r="M1085" s="1">
        <v>125</v>
      </c>
      <c r="N1085" s="1">
        <f t="shared" si="180"/>
        <v>134.02631578947367</v>
      </c>
    </row>
    <row r="1086" spans="1:14" ht="34.5" customHeight="1" x14ac:dyDescent="0.3">
      <c r="A1086" s="1">
        <v>62.37</v>
      </c>
      <c r="G1086" s="1">
        <v>55.33</v>
      </c>
      <c r="J1086" s="1">
        <v>6.9</v>
      </c>
      <c r="K1086" s="1">
        <v>303</v>
      </c>
      <c r="M1086" s="1">
        <v>250</v>
      </c>
      <c r="N1086" s="1">
        <f t="shared" si="180"/>
        <v>136.41964285714286</v>
      </c>
    </row>
    <row r="1087" spans="1:14" ht="34.5" customHeight="1" x14ac:dyDescent="0.3">
      <c r="A1087" s="1">
        <v>62.37</v>
      </c>
      <c r="G1087" s="1">
        <v>55.33</v>
      </c>
      <c r="J1087" s="1">
        <v>6.9</v>
      </c>
      <c r="K1087" s="1">
        <v>303</v>
      </c>
      <c r="M1087" s="1">
        <v>500</v>
      </c>
      <c r="N1087" s="1">
        <f t="shared" si="180"/>
        <v>137.64864864864865</v>
      </c>
    </row>
    <row r="1088" spans="1:14" ht="34.5" customHeight="1" x14ac:dyDescent="0.3">
      <c r="A1088" s="1">
        <v>21.9</v>
      </c>
      <c r="G1088" s="1">
        <v>300</v>
      </c>
      <c r="J1088" s="1">
        <v>6</v>
      </c>
      <c r="K1088" s="1">
        <v>298</v>
      </c>
      <c r="M1088" s="1">
        <v>2</v>
      </c>
      <c r="N1088" s="1">
        <f t="shared" ref="N1088:N1093" si="181">(51.52*1.401*M1088)/(1+1.401*M1088)</f>
        <v>37.96923724355603</v>
      </c>
    </row>
    <row r="1089" spans="1:14" ht="34.5" customHeight="1" x14ac:dyDescent="0.3">
      <c r="A1089" s="1">
        <v>21.9</v>
      </c>
      <c r="G1089" s="1">
        <v>300</v>
      </c>
      <c r="J1089" s="1">
        <v>6</v>
      </c>
      <c r="K1089" s="1">
        <v>298</v>
      </c>
      <c r="M1089" s="1">
        <v>5</v>
      </c>
      <c r="N1089" s="1">
        <f t="shared" si="181"/>
        <v>45.084022485946299</v>
      </c>
    </row>
    <row r="1090" spans="1:14" ht="34.5" customHeight="1" x14ac:dyDescent="0.3">
      <c r="A1090" s="1">
        <v>21.9</v>
      </c>
      <c r="G1090" s="1">
        <v>300</v>
      </c>
      <c r="J1090" s="1">
        <v>6</v>
      </c>
      <c r="K1090" s="1">
        <v>298</v>
      </c>
      <c r="M1090" s="1">
        <v>10</v>
      </c>
      <c r="N1090" s="1">
        <f t="shared" si="181"/>
        <v>48.087621585609604</v>
      </c>
    </row>
    <row r="1091" spans="1:14" ht="34.5" customHeight="1" x14ac:dyDescent="0.3">
      <c r="A1091" s="1">
        <v>21.9</v>
      </c>
      <c r="G1091" s="1">
        <v>300</v>
      </c>
      <c r="J1091" s="1">
        <v>6</v>
      </c>
      <c r="K1091" s="1">
        <v>298</v>
      </c>
      <c r="M1091" s="1">
        <v>30</v>
      </c>
      <c r="N1091" s="1">
        <f t="shared" si="181"/>
        <v>50.322695793632363</v>
      </c>
    </row>
    <row r="1092" spans="1:14" ht="34.5" customHeight="1" x14ac:dyDescent="0.3">
      <c r="A1092" s="1">
        <v>21.9</v>
      </c>
      <c r="G1092" s="1">
        <v>300</v>
      </c>
      <c r="J1092" s="1">
        <v>6</v>
      </c>
      <c r="K1092" s="1">
        <v>298</v>
      </c>
      <c r="M1092" s="1">
        <v>50</v>
      </c>
      <c r="N1092" s="1">
        <f t="shared" si="181"/>
        <v>50.794876847290652</v>
      </c>
    </row>
    <row r="1093" spans="1:14" ht="34.5" customHeight="1" x14ac:dyDescent="0.3">
      <c r="A1093" s="1">
        <v>21.9</v>
      </c>
      <c r="G1093" s="1">
        <v>300</v>
      </c>
      <c r="J1093" s="1">
        <v>6</v>
      </c>
      <c r="K1093" s="1">
        <v>298</v>
      </c>
      <c r="M1093" s="1">
        <v>65</v>
      </c>
      <c r="N1093" s="1">
        <f t="shared" si="181"/>
        <v>50.960395372834412</v>
      </c>
    </row>
    <row r="1094" spans="1:14" ht="34.5" customHeight="1" x14ac:dyDescent="0.3">
      <c r="A1094" s="1">
        <v>13.8</v>
      </c>
      <c r="C1094" s="1">
        <v>21.5</v>
      </c>
      <c r="G1094" s="1">
        <v>9.7799999999999994</v>
      </c>
      <c r="H1094" s="1">
        <v>0.03</v>
      </c>
      <c r="I1094" s="1">
        <v>11.57</v>
      </c>
      <c r="J1094" s="1">
        <v>6.5</v>
      </c>
      <c r="K1094" s="1">
        <v>298</v>
      </c>
      <c r="L1094" s="1" t="s">
        <v>14</v>
      </c>
      <c r="M1094" s="1">
        <v>2</v>
      </c>
      <c r="N1094" s="1">
        <f t="shared" ref="N1094:N1099" si="182">(55.5*0.019*M1094)/(1+0.019*M1094)</f>
        <v>2.0317919075144508</v>
      </c>
    </row>
    <row r="1095" spans="1:14" ht="34.5" customHeight="1" x14ac:dyDescent="0.3">
      <c r="A1095" s="1">
        <v>13.8</v>
      </c>
      <c r="C1095" s="1">
        <v>21.5</v>
      </c>
      <c r="G1095" s="1">
        <v>9.7799999999999994</v>
      </c>
      <c r="H1095" s="1">
        <v>0.03</v>
      </c>
      <c r="I1095" s="1">
        <v>11.57</v>
      </c>
      <c r="J1095" s="1">
        <v>6.5</v>
      </c>
      <c r="K1095" s="1">
        <v>298</v>
      </c>
      <c r="L1095" s="1" t="s">
        <v>14</v>
      </c>
      <c r="M1095" s="1">
        <v>5</v>
      </c>
      <c r="N1095" s="1">
        <f t="shared" si="182"/>
        <v>4.8150684931506849</v>
      </c>
    </row>
    <row r="1096" spans="1:14" ht="34.5" customHeight="1" x14ac:dyDescent="0.3">
      <c r="A1096" s="1">
        <v>13.8</v>
      </c>
      <c r="C1096" s="1">
        <v>21.5</v>
      </c>
      <c r="G1096" s="1">
        <v>9.7799999999999994</v>
      </c>
      <c r="H1096" s="1">
        <v>0.03</v>
      </c>
      <c r="I1096" s="1">
        <v>11.57</v>
      </c>
      <c r="J1096" s="1">
        <v>6.5</v>
      </c>
      <c r="K1096" s="1">
        <v>298</v>
      </c>
      <c r="L1096" s="1" t="s">
        <v>13</v>
      </c>
      <c r="M1096" s="1">
        <v>10</v>
      </c>
      <c r="N1096" s="1">
        <f t="shared" si="182"/>
        <v>8.8613445378151265</v>
      </c>
    </row>
    <row r="1097" spans="1:14" ht="34.5" customHeight="1" x14ac:dyDescent="0.3">
      <c r="A1097" s="1">
        <v>13.8</v>
      </c>
      <c r="C1097" s="1">
        <v>21.5</v>
      </c>
      <c r="G1097" s="1">
        <v>9.7799999999999994</v>
      </c>
      <c r="H1097" s="1">
        <v>0.03</v>
      </c>
      <c r="I1097" s="1">
        <v>11.57</v>
      </c>
      <c r="J1097" s="1">
        <v>6.5</v>
      </c>
      <c r="K1097" s="1">
        <v>298</v>
      </c>
      <c r="L1097" s="1" t="s">
        <v>13</v>
      </c>
      <c r="M1097" s="1">
        <v>20</v>
      </c>
      <c r="N1097" s="1">
        <f t="shared" si="182"/>
        <v>15.282608695652176</v>
      </c>
    </row>
    <row r="1098" spans="1:14" ht="34.5" customHeight="1" x14ac:dyDescent="0.3">
      <c r="A1098" s="1">
        <v>13.8</v>
      </c>
      <c r="C1098" s="1">
        <v>21.5</v>
      </c>
      <c r="G1098" s="1">
        <v>9.7799999999999994</v>
      </c>
      <c r="H1098" s="1">
        <v>0.03</v>
      </c>
      <c r="I1098" s="1">
        <v>11.57</v>
      </c>
      <c r="J1098" s="1">
        <v>6.5</v>
      </c>
      <c r="K1098" s="1">
        <v>298</v>
      </c>
      <c r="L1098" s="1" t="s">
        <v>13</v>
      </c>
      <c r="M1098" s="1">
        <v>40</v>
      </c>
      <c r="N1098" s="1">
        <f t="shared" si="182"/>
        <v>23.96590909090909</v>
      </c>
    </row>
    <row r="1099" spans="1:14" ht="34.5" customHeight="1" x14ac:dyDescent="0.3">
      <c r="A1099" s="1">
        <v>13.8</v>
      </c>
      <c r="C1099" s="1">
        <v>21.5</v>
      </c>
      <c r="G1099" s="1">
        <v>9.7799999999999994</v>
      </c>
      <c r="H1099" s="1">
        <v>0.03</v>
      </c>
      <c r="I1099" s="1">
        <v>11.57</v>
      </c>
      <c r="J1099" s="1">
        <v>6.5</v>
      </c>
      <c r="K1099" s="1">
        <v>298</v>
      </c>
      <c r="L1099" s="1" t="s">
        <v>13</v>
      </c>
      <c r="M1099" s="1">
        <v>70</v>
      </c>
      <c r="N1099" s="1">
        <f t="shared" si="182"/>
        <v>31.680257510729611</v>
      </c>
    </row>
    <row r="1100" spans="1:14" ht="34.5" customHeight="1" x14ac:dyDescent="0.3">
      <c r="C1100" s="1" t="s">
        <v>11</v>
      </c>
      <c r="G1100" s="1">
        <v>7.94</v>
      </c>
      <c r="H1100" s="1">
        <v>0.02</v>
      </c>
      <c r="I1100" s="1">
        <v>14.54</v>
      </c>
      <c r="J1100" s="1">
        <v>6.5</v>
      </c>
      <c r="K1100" s="1">
        <v>298</v>
      </c>
      <c r="M1100" s="1">
        <v>7.3718700000000004</v>
      </c>
      <c r="N1100" s="1">
        <v>5.3374899999999998</v>
      </c>
    </row>
    <row r="1101" spans="1:14" ht="34.5" customHeight="1" x14ac:dyDescent="0.3">
      <c r="C1101" s="1" t="s">
        <v>11</v>
      </c>
      <c r="G1101" s="1">
        <v>7.94</v>
      </c>
      <c r="H1101" s="1">
        <v>0.02</v>
      </c>
      <c r="I1101" s="1">
        <v>14.54</v>
      </c>
      <c r="J1101" s="1">
        <v>6.5</v>
      </c>
      <c r="K1101" s="1">
        <v>298</v>
      </c>
      <c r="M1101" s="1">
        <v>16.345700000000001</v>
      </c>
      <c r="N1101" s="1">
        <v>7.3238799999999999</v>
      </c>
    </row>
    <row r="1102" spans="1:14" ht="34.5" customHeight="1" x14ac:dyDescent="0.3">
      <c r="C1102" s="1" t="s">
        <v>11</v>
      </c>
      <c r="G1102" s="1">
        <v>7.94</v>
      </c>
      <c r="H1102" s="1">
        <v>0.02</v>
      </c>
      <c r="I1102" s="1">
        <v>14.54</v>
      </c>
      <c r="J1102" s="1">
        <v>6.5</v>
      </c>
      <c r="K1102" s="1">
        <v>298</v>
      </c>
      <c r="M1102" s="1">
        <v>25.076329999999999</v>
      </c>
      <c r="N1102" s="1">
        <v>9.3102599999999995</v>
      </c>
    </row>
    <row r="1103" spans="1:14" ht="34.5" customHeight="1" x14ac:dyDescent="0.3">
      <c r="C1103" s="1" t="s">
        <v>11</v>
      </c>
      <c r="G1103" s="1">
        <v>7.94</v>
      </c>
      <c r="H1103" s="1">
        <v>0.02</v>
      </c>
      <c r="I1103" s="1">
        <v>14.54</v>
      </c>
      <c r="J1103" s="1">
        <v>6.5</v>
      </c>
      <c r="K1103" s="1">
        <v>298</v>
      </c>
      <c r="M1103" s="1">
        <v>44.118340000000003</v>
      </c>
      <c r="N1103" s="1">
        <v>11.901210000000001</v>
      </c>
    </row>
    <row r="1104" spans="1:14" ht="34.5" customHeight="1" x14ac:dyDescent="0.3">
      <c r="C1104" s="1" t="s">
        <v>11</v>
      </c>
      <c r="G1104" s="1">
        <v>7.94</v>
      </c>
      <c r="H1104" s="1">
        <v>0.02</v>
      </c>
      <c r="I1104" s="1">
        <v>14.54</v>
      </c>
      <c r="J1104" s="1">
        <v>6.5</v>
      </c>
      <c r="K1104" s="1">
        <v>298</v>
      </c>
      <c r="M1104" s="1">
        <v>71.672110000000004</v>
      </c>
      <c r="N1104" s="1">
        <v>16.456949999999999</v>
      </c>
    </row>
    <row r="1105" spans="1:14" ht="34.5" customHeight="1" x14ac:dyDescent="0.3">
      <c r="C1105" s="1" t="s">
        <v>11</v>
      </c>
      <c r="G1105" s="1">
        <v>7.94</v>
      </c>
      <c r="H1105" s="1">
        <v>0.02</v>
      </c>
      <c r="I1105" s="1">
        <v>14.54</v>
      </c>
      <c r="J1105" s="1">
        <v>6.5</v>
      </c>
      <c r="K1105" s="1">
        <v>298</v>
      </c>
      <c r="M1105" s="1">
        <v>90.276380000000003</v>
      </c>
      <c r="N1105" s="1">
        <v>19.458120000000001</v>
      </c>
    </row>
    <row r="1106" spans="1:14" ht="34.5" customHeight="1" x14ac:dyDescent="0.3">
      <c r="A1106" s="1">
        <v>13.8</v>
      </c>
      <c r="C1106" s="1">
        <v>21.5</v>
      </c>
      <c r="G1106" s="1">
        <v>9.7799999999999994</v>
      </c>
      <c r="H1106" s="1">
        <v>0.03</v>
      </c>
      <c r="I1106" s="1">
        <v>11.57</v>
      </c>
      <c r="J1106" s="1">
        <v>6.5</v>
      </c>
      <c r="K1106" s="1">
        <v>298</v>
      </c>
      <c r="L1106" s="1" t="s">
        <v>18</v>
      </c>
      <c r="M1106" s="1">
        <v>2</v>
      </c>
      <c r="N1106" s="1">
        <f t="shared" ref="N1106:N1111" si="183">2.595*(M1106)^(0.575)</f>
        <v>3.8657130168034124</v>
      </c>
    </row>
    <row r="1107" spans="1:14" ht="34.5" customHeight="1" x14ac:dyDescent="0.3">
      <c r="A1107" s="1">
        <v>13.8</v>
      </c>
      <c r="C1107" s="1">
        <v>21.5</v>
      </c>
      <c r="G1107" s="1">
        <v>9.7799999999999994</v>
      </c>
      <c r="H1107" s="1">
        <v>0.03</v>
      </c>
      <c r="I1107" s="1">
        <v>11.57</v>
      </c>
      <c r="J1107" s="1">
        <v>6.5</v>
      </c>
      <c r="K1107" s="1">
        <v>298</v>
      </c>
      <c r="L1107" s="1" t="s">
        <v>18</v>
      </c>
      <c r="M1107" s="1">
        <v>5</v>
      </c>
      <c r="N1107" s="1">
        <f t="shared" si="183"/>
        <v>6.5470418145688152</v>
      </c>
    </row>
    <row r="1108" spans="1:14" ht="34.5" customHeight="1" x14ac:dyDescent="0.3">
      <c r="A1108" s="1">
        <v>13.8</v>
      </c>
      <c r="C1108" s="1">
        <v>21.5</v>
      </c>
      <c r="G1108" s="1">
        <v>9.7799999999999994</v>
      </c>
      <c r="H1108" s="1">
        <v>0.03</v>
      </c>
      <c r="I1108" s="1">
        <v>11.57</v>
      </c>
      <c r="J1108" s="1">
        <v>6.5</v>
      </c>
      <c r="K1108" s="1">
        <v>298</v>
      </c>
      <c r="L1108" s="1" t="s">
        <v>17</v>
      </c>
      <c r="M1108" s="1">
        <v>10</v>
      </c>
      <c r="N1108" s="1">
        <f t="shared" si="183"/>
        <v>9.7529806412851272</v>
      </c>
    </row>
    <row r="1109" spans="1:14" ht="34.5" customHeight="1" x14ac:dyDescent="0.3">
      <c r="A1109" s="1">
        <v>13.8</v>
      </c>
      <c r="C1109" s="1">
        <v>21.5</v>
      </c>
      <c r="G1109" s="1">
        <v>9.7799999999999994</v>
      </c>
      <c r="H1109" s="1">
        <v>0.03</v>
      </c>
      <c r="I1109" s="1">
        <v>11.57</v>
      </c>
      <c r="J1109" s="1">
        <v>6.5</v>
      </c>
      <c r="K1109" s="1">
        <v>298</v>
      </c>
      <c r="L1109" s="1" t="s">
        <v>17</v>
      </c>
      <c r="M1109" s="1">
        <v>20</v>
      </c>
      <c r="N1109" s="1">
        <f t="shared" si="183"/>
        <v>14.528795459594452</v>
      </c>
    </row>
    <row r="1110" spans="1:14" ht="34.5" customHeight="1" x14ac:dyDescent="0.3">
      <c r="A1110" s="1">
        <v>13.8</v>
      </c>
      <c r="C1110" s="1">
        <v>21.5</v>
      </c>
      <c r="G1110" s="1">
        <v>9.7799999999999994</v>
      </c>
      <c r="H1110" s="1">
        <v>0.03</v>
      </c>
      <c r="I1110" s="1">
        <v>11.57</v>
      </c>
      <c r="J1110" s="1">
        <v>6.5</v>
      </c>
      <c r="K1110" s="1">
        <v>298</v>
      </c>
      <c r="L1110" s="1" t="s">
        <v>17</v>
      </c>
      <c r="M1110" s="1">
        <v>40</v>
      </c>
      <c r="N1110" s="1">
        <f t="shared" si="183"/>
        <v>21.643219162477298</v>
      </c>
    </row>
    <row r="1111" spans="1:14" ht="34.5" customHeight="1" x14ac:dyDescent="0.3">
      <c r="A1111" s="1">
        <v>13.8</v>
      </c>
      <c r="C1111" s="1">
        <v>21.5</v>
      </c>
      <c r="G1111" s="1">
        <v>9.7799999999999994</v>
      </c>
      <c r="H1111" s="1">
        <v>0.03</v>
      </c>
      <c r="I1111" s="1">
        <v>11.57</v>
      </c>
      <c r="J1111" s="1">
        <v>6.5</v>
      </c>
      <c r="K1111" s="1">
        <v>298</v>
      </c>
      <c r="L1111" s="1" t="s">
        <v>17</v>
      </c>
      <c r="M1111" s="1">
        <v>70</v>
      </c>
      <c r="N1111" s="1">
        <f t="shared" si="183"/>
        <v>29.858551487274656</v>
      </c>
    </row>
    <row r="1112" spans="1:14" ht="34.5" customHeight="1" x14ac:dyDescent="0.3">
      <c r="A1112" s="1">
        <v>13.8</v>
      </c>
      <c r="C1112" s="1">
        <v>21.5</v>
      </c>
      <c r="G1112" s="1">
        <v>9.7799999999999994</v>
      </c>
      <c r="H1112" s="1">
        <v>0.03</v>
      </c>
      <c r="I1112" s="1">
        <v>11.57</v>
      </c>
      <c r="J1112" s="1">
        <v>6.5</v>
      </c>
      <c r="K1112" s="1">
        <v>298</v>
      </c>
      <c r="L1112" s="1" t="s">
        <v>16</v>
      </c>
      <c r="M1112" s="1">
        <v>2</v>
      </c>
      <c r="N1112" s="1">
        <f t="shared" ref="N1112:N1117" si="184">(53.4*0.023*M1112)/(1+0.023*M1112)</f>
        <v>2.3483747609942638</v>
      </c>
    </row>
    <row r="1113" spans="1:14" ht="34.5" customHeight="1" x14ac:dyDescent="0.3">
      <c r="A1113" s="1">
        <v>13.8</v>
      </c>
      <c r="C1113" s="1">
        <v>21.5</v>
      </c>
      <c r="G1113" s="1">
        <v>9.7799999999999994</v>
      </c>
      <c r="H1113" s="1">
        <v>0.03</v>
      </c>
      <c r="I1113" s="1">
        <v>11.57</v>
      </c>
      <c r="J1113" s="1">
        <v>6.5</v>
      </c>
      <c r="K1113" s="1">
        <v>298</v>
      </c>
      <c r="L1113" s="1" t="s">
        <v>16</v>
      </c>
      <c r="M1113" s="1">
        <v>5</v>
      </c>
      <c r="N1113" s="1">
        <f t="shared" si="184"/>
        <v>5.50762331838565</v>
      </c>
    </row>
    <row r="1114" spans="1:14" ht="34.5" customHeight="1" x14ac:dyDescent="0.3">
      <c r="A1114" s="1">
        <v>13.8</v>
      </c>
      <c r="C1114" s="1">
        <v>21.5</v>
      </c>
      <c r="G1114" s="1">
        <v>9.7799999999999994</v>
      </c>
      <c r="H1114" s="1">
        <v>0.03</v>
      </c>
      <c r="I1114" s="1">
        <v>11.57</v>
      </c>
      <c r="J1114" s="1">
        <v>6.5</v>
      </c>
      <c r="K1114" s="1">
        <v>298</v>
      </c>
      <c r="L1114" s="1" t="s">
        <v>15</v>
      </c>
      <c r="M1114" s="1">
        <v>10</v>
      </c>
      <c r="N1114" s="1">
        <f t="shared" si="184"/>
        <v>9.9853658536585375</v>
      </c>
    </row>
    <row r="1115" spans="1:14" ht="34.5" customHeight="1" x14ac:dyDescent="0.3">
      <c r="A1115" s="1">
        <v>13.8</v>
      </c>
      <c r="C1115" s="1">
        <v>21.5</v>
      </c>
      <c r="G1115" s="1">
        <v>9.7799999999999994</v>
      </c>
      <c r="H1115" s="1">
        <v>0.03</v>
      </c>
      <c r="I1115" s="1">
        <v>11.57</v>
      </c>
      <c r="J1115" s="1">
        <v>6.5</v>
      </c>
      <c r="K1115" s="1">
        <v>298</v>
      </c>
      <c r="L1115" s="1" t="s">
        <v>15</v>
      </c>
      <c r="M1115" s="1">
        <v>20</v>
      </c>
      <c r="N1115" s="1">
        <f t="shared" si="184"/>
        <v>16.824657534246576</v>
      </c>
    </row>
    <row r="1116" spans="1:14" ht="34.5" customHeight="1" x14ac:dyDescent="0.3">
      <c r="A1116" s="1">
        <v>13.8</v>
      </c>
      <c r="C1116" s="1">
        <v>21.5</v>
      </c>
      <c r="G1116" s="1">
        <v>9.7799999999999994</v>
      </c>
      <c r="H1116" s="1">
        <v>0.03</v>
      </c>
      <c r="I1116" s="1">
        <v>11.57</v>
      </c>
      <c r="J1116" s="1">
        <v>6.5</v>
      </c>
      <c r="K1116" s="1">
        <v>298</v>
      </c>
      <c r="L1116" s="1" t="s">
        <v>15</v>
      </c>
      <c r="M1116" s="1">
        <v>40</v>
      </c>
      <c r="N1116" s="1">
        <f t="shared" si="184"/>
        <v>25.587500000000002</v>
      </c>
    </row>
    <row r="1117" spans="1:14" ht="34.5" customHeight="1" x14ac:dyDescent="0.3">
      <c r="A1117" s="1">
        <v>13.8</v>
      </c>
      <c r="C1117" s="1">
        <v>21.5</v>
      </c>
      <c r="G1117" s="1">
        <v>9.7799999999999994</v>
      </c>
      <c r="H1117" s="1">
        <v>0.03</v>
      </c>
      <c r="I1117" s="1">
        <v>11.57</v>
      </c>
      <c r="J1117" s="1">
        <v>6.5</v>
      </c>
      <c r="K1117" s="1">
        <v>298</v>
      </c>
      <c r="L1117" s="1" t="s">
        <v>15</v>
      </c>
      <c r="M1117" s="1">
        <v>70</v>
      </c>
      <c r="N1117" s="1">
        <f t="shared" si="184"/>
        <v>32.940229885057477</v>
      </c>
    </row>
    <row r="1118" spans="1:14" ht="34.5" customHeight="1" x14ac:dyDescent="0.3">
      <c r="A1118" s="1">
        <v>13.8</v>
      </c>
      <c r="C1118" s="1">
        <v>21.5</v>
      </c>
      <c r="G1118" s="1">
        <v>9.7799999999999994</v>
      </c>
      <c r="H1118" s="1">
        <v>0.03</v>
      </c>
      <c r="I1118" s="1">
        <v>11.57</v>
      </c>
      <c r="J1118" s="1">
        <v>6.5</v>
      </c>
      <c r="K1118" s="1">
        <v>298</v>
      </c>
      <c r="L1118" s="1" t="s">
        <v>20</v>
      </c>
      <c r="M1118" s="1">
        <v>2</v>
      </c>
      <c r="N1118" s="1">
        <f t="shared" ref="N1118:N1123" si="185">(60.2*0.016*M1118)/(1+0.016*M1118)</f>
        <v>1.8666666666666667</v>
      </c>
    </row>
    <row r="1119" spans="1:14" ht="34.5" customHeight="1" x14ac:dyDescent="0.3">
      <c r="A1119" s="1">
        <v>13.8</v>
      </c>
      <c r="C1119" s="1">
        <v>21.5</v>
      </c>
      <c r="G1119" s="1">
        <v>9.7799999999999994</v>
      </c>
      <c r="H1119" s="1">
        <v>0.03</v>
      </c>
      <c r="I1119" s="1">
        <v>11.57</v>
      </c>
      <c r="J1119" s="1">
        <v>6.5</v>
      </c>
      <c r="K1119" s="1">
        <v>298</v>
      </c>
      <c r="L1119" s="1" t="s">
        <v>20</v>
      </c>
      <c r="M1119" s="1">
        <v>5</v>
      </c>
      <c r="N1119" s="1">
        <f t="shared" si="185"/>
        <v>4.4592592592592597</v>
      </c>
    </row>
    <row r="1120" spans="1:14" ht="34.5" customHeight="1" x14ac:dyDescent="0.3">
      <c r="A1120" s="1">
        <v>13.8</v>
      </c>
      <c r="C1120" s="1">
        <v>21.5</v>
      </c>
      <c r="G1120" s="1">
        <v>9.7799999999999994</v>
      </c>
      <c r="H1120" s="1">
        <v>0.03</v>
      </c>
      <c r="I1120" s="1">
        <v>11.57</v>
      </c>
      <c r="J1120" s="1">
        <v>6.5</v>
      </c>
      <c r="K1120" s="1">
        <v>298</v>
      </c>
      <c r="L1120" s="1" t="s">
        <v>19</v>
      </c>
      <c r="M1120" s="1">
        <v>10</v>
      </c>
      <c r="N1120" s="1">
        <f t="shared" si="185"/>
        <v>8.3034482758620705</v>
      </c>
    </row>
    <row r="1121" spans="1:14" ht="34.5" customHeight="1" x14ac:dyDescent="0.3">
      <c r="A1121" s="1">
        <v>13.8</v>
      </c>
      <c r="C1121" s="1">
        <v>21.5</v>
      </c>
      <c r="G1121" s="1">
        <v>9.7799999999999994</v>
      </c>
      <c r="H1121" s="1">
        <v>0.03</v>
      </c>
      <c r="I1121" s="1">
        <v>11.57</v>
      </c>
      <c r="J1121" s="1">
        <v>6.5</v>
      </c>
      <c r="K1121" s="1">
        <v>298</v>
      </c>
      <c r="L1121" s="1" t="s">
        <v>19</v>
      </c>
      <c r="M1121" s="1">
        <v>20</v>
      </c>
      <c r="N1121" s="1">
        <f t="shared" si="185"/>
        <v>14.593939393939396</v>
      </c>
    </row>
    <row r="1122" spans="1:14" ht="34.5" customHeight="1" x14ac:dyDescent="0.3">
      <c r="A1122" s="1">
        <v>13.8</v>
      </c>
      <c r="C1122" s="1">
        <v>21.5</v>
      </c>
      <c r="G1122" s="1">
        <v>9.7799999999999994</v>
      </c>
      <c r="H1122" s="1">
        <v>0.03</v>
      </c>
      <c r="I1122" s="1">
        <v>11.57</v>
      </c>
      <c r="J1122" s="1">
        <v>6.5</v>
      </c>
      <c r="K1122" s="1">
        <v>298</v>
      </c>
      <c r="L1122" s="1" t="s">
        <v>19</v>
      </c>
      <c r="M1122" s="1">
        <v>40</v>
      </c>
      <c r="N1122" s="1">
        <f t="shared" si="185"/>
        <v>23.492682926829271</v>
      </c>
    </row>
    <row r="1123" spans="1:14" ht="34.5" customHeight="1" x14ac:dyDescent="0.3">
      <c r="A1123" s="1">
        <v>13.8</v>
      </c>
      <c r="C1123" s="1">
        <v>21.5</v>
      </c>
      <c r="G1123" s="1">
        <v>9.7799999999999994</v>
      </c>
      <c r="H1123" s="1">
        <v>0.03</v>
      </c>
      <c r="I1123" s="1">
        <v>11.57</v>
      </c>
      <c r="J1123" s="1">
        <v>6.5</v>
      </c>
      <c r="K1123" s="1">
        <v>298</v>
      </c>
      <c r="L1123" s="1" t="s">
        <v>19</v>
      </c>
      <c r="M1123" s="1">
        <v>70</v>
      </c>
      <c r="N1123" s="1">
        <f t="shared" si="185"/>
        <v>31.803773584905663</v>
      </c>
    </row>
    <row r="1124" spans="1:14" ht="34.5" customHeight="1" x14ac:dyDescent="0.3">
      <c r="D1124" s="1" t="s">
        <v>11</v>
      </c>
      <c r="G1124" s="1">
        <v>731</v>
      </c>
      <c r="H1124" s="1">
        <v>0.49099999999999999</v>
      </c>
      <c r="I1124" s="1">
        <v>2.6930000000000001</v>
      </c>
      <c r="J1124" s="1">
        <v>7</v>
      </c>
      <c r="K1124" s="1">
        <v>298.14999999999998</v>
      </c>
      <c r="M1124" s="1">
        <v>20</v>
      </c>
      <c r="N1124" s="1">
        <f t="shared" ref="N1124:N1129" si="186">(235.82*0.01*M1124)/(1+0.01*M1124)</f>
        <v>39.303333333333335</v>
      </c>
    </row>
    <row r="1125" spans="1:14" ht="34.5" customHeight="1" x14ac:dyDescent="0.3">
      <c r="D1125" s="1" t="s">
        <v>11</v>
      </c>
      <c r="G1125" s="1">
        <v>731</v>
      </c>
      <c r="H1125" s="1">
        <v>0.49099999999999999</v>
      </c>
      <c r="I1125" s="1">
        <v>2.6930000000000001</v>
      </c>
      <c r="J1125" s="1">
        <v>7</v>
      </c>
      <c r="K1125" s="1">
        <v>298.14999999999998</v>
      </c>
      <c r="M1125" s="1">
        <v>50</v>
      </c>
      <c r="N1125" s="1">
        <f t="shared" si="186"/>
        <v>78.606666666666669</v>
      </c>
    </row>
    <row r="1126" spans="1:14" ht="34.5" customHeight="1" x14ac:dyDescent="0.3">
      <c r="D1126" s="1" t="s">
        <v>11</v>
      </c>
      <c r="G1126" s="1">
        <v>731</v>
      </c>
      <c r="H1126" s="1">
        <v>0.49099999999999999</v>
      </c>
      <c r="I1126" s="1">
        <v>2.6930000000000001</v>
      </c>
      <c r="J1126" s="1">
        <v>7</v>
      </c>
      <c r="K1126" s="1">
        <v>298.14999999999998</v>
      </c>
      <c r="M1126" s="1">
        <v>100</v>
      </c>
      <c r="N1126" s="1">
        <f t="shared" si="186"/>
        <v>117.91</v>
      </c>
    </row>
    <row r="1127" spans="1:14" ht="34.5" customHeight="1" x14ac:dyDescent="0.3">
      <c r="D1127" s="1" t="s">
        <v>11</v>
      </c>
      <c r="G1127" s="1">
        <v>731</v>
      </c>
      <c r="H1127" s="1">
        <v>0.49099999999999999</v>
      </c>
      <c r="I1127" s="1">
        <v>2.6930000000000001</v>
      </c>
      <c r="J1127" s="1">
        <v>7</v>
      </c>
      <c r="K1127" s="1">
        <v>298.14999999999998</v>
      </c>
      <c r="M1127" s="1">
        <v>200</v>
      </c>
      <c r="N1127" s="1">
        <f t="shared" si="186"/>
        <v>157.21333333333334</v>
      </c>
    </row>
    <row r="1128" spans="1:14" ht="34.5" customHeight="1" x14ac:dyDescent="0.3">
      <c r="D1128" s="1" t="s">
        <v>11</v>
      </c>
      <c r="G1128" s="1">
        <v>731</v>
      </c>
      <c r="H1128" s="1">
        <v>0.49099999999999999</v>
      </c>
      <c r="I1128" s="1">
        <v>2.6930000000000001</v>
      </c>
      <c r="J1128" s="1">
        <v>7</v>
      </c>
      <c r="K1128" s="1">
        <v>298.14999999999998</v>
      </c>
      <c r="M1128" s="1">
        <v>400</v>
      </c>
      <c r="N1128" s="1">
        <f t="shared" si="186"/>
        <v>188.65600000000001</v>
      </c>
    </row>
    <row r="1129" spans="1:14" ht="34.5" customHeight="1" x14ac:dyDescent="0.3">
      <c r="D1129" s="1" t="s">
        <v>11</v>
      </c>
      <c r="G1129" s="1">
        <v>731</v>
      </c>
      <c r="H1129" s="1">
        <v>0.49099999999999999</v>
      </c>
      <c r="I1129" s="1">
        <v>2.6930000000000001</v>
      </c>
      <c r="J1129" s="1">
        <v>7</v>
      </c>
      <c r="K1129" s="1">
        <v>298.14999999999998</v>
      </c>
      <c r="M1129" s="1">
        <v>600</v>
      </c>
      <c r="N1129" s="1">
        <f t="shared" si="186"/>
        <v>202.13142857142859</v>
      </c>
    </row>
    <row r="1130" spans="1:14" ht="34.5" customHeight="1" x14ac:dyDescent="0.3">
      <c r="D1130" s="1" t="s">
        <v>11</v>
      </c>
      <c r="G1130" s="1">
        <v>327</v>
      </c>
      <c r="I1130" s="1">
        <v>5</v>
      </c>
      <c r="J1130" s="1">
        <v>6.2</v>
      </c>
      <c r="K1130" s="1">
        <v>298.14999999999998</v>
      </c>
      <c r="M1130" s="1">
        <v>5</v>
      </c>
      <c r="N1130" s="1">
        <f t="shared" ref="N1130:N1135" si="187">99.01*0.31*M1130/(1+0.31*M1130)</f>
        <v>60.182549019607855</v>
      </c>
    </row>
    <row r="1131" spans="1:14" ht="34.5" customHeight="1" x14ac:dyDescent="0.3">
      <c r="D1131" s="1" t="s">
        <v>11</v>
      </c>
      <c r="G1131" s="1">
        <v>327</v>
      </c>
      <c r="I1131" s="1">
        <v>5</v>
      </c>
      <c r="J1131" s="1">
        <v>6.2</v>
      </c>
      <c r="K1131" s="1">
        <v>298.14999999999998</v>
      </c>
      <c r="M1131" s="1">
        <v>10</v>
      </c>
      <c r="N1131" s="1">
        <f t="shared" si="187"/>
        <v>74.861219512195134</v>
      </c>
    </row>
    <row r="1132" spans="1:14" ht="34.5" customHeight="1" x14ac:dyDescent="0.3">
      <c r="D1132" s="1" t="s">
        <v>11</v>
      </c>
      <c r="G1132" s="1">
        <v>327</v>
      </c>
      <c r="I1132" s="1">
        <v>5</v>
      </c>
      <c r="J1132" s="1">
        <v>6.2</v>
      </c>
      <c r="K1132" s="1">
        <v>298.14999999999998</v>
      </c>
      <c r="M1132" s="1">
        <v>15</v>
      </c>
      <c r="N1132" s="1">
        <f t="shared" si="187"/>
        <v>81.486106194690265</v>
      </c>
    </row>
    <row r="1133" spans="1:14" ht="34.5" customHeight="1" x14ac:dyDescent="0.3">
      <c r="D1133" s="1" t="s">
        <v>11</v>
      </c>
      <c r="G1133" s="1">
        <v>327</v>
      </c>
      <c r="I1133" s="1">
        <v>5</v>
      </c>
      <c r="J1133" s="1">
        <v>6.2</v>
      </c>
      <c r="K1133" s="1">
        <v>298.14999999999998</v>
      </c>
      <c r="M1133" s="1">
        <v>20</v>
      </c>
      <c r="N1133" s="1">
        <f t="shared" si="187"/>
        <v>85.258611111111122</v>
      </c>
    </row>
    <row r="1134" spans="1:14" ht="34.5" customHeight="1" x14ac:dyDescent="0.3">
      <c r="D1134" s="1" t="s">
        <v>11</v>
      </c>
      <c r="G1134" s="1">
        <v>327</v>
      </c>
      <c r="I1134" s="1">
        <v>5</v>
      </c>
      <c r="J1134" s="1">
        <v>6.2</v>
      </c>
      <c r="K1134" s="1">
        <v>298.14999999999998</v>
      </c>
      <c r="M1134" s="1">
        <v>25</v>
      </c>
      <c r="N1134" s="1">
        <f t="shared" si="187"/>
        <v>87.694571428571422</v>
      </c>
    </row>
    <row r="1135" spans="1:14" ht="34.5" customHeight="1" x14ac:dyDescent="0.3">
      <c r="D1135" s="1" t="s">
        <v>11</v>
      </c>
      <c r="G1135" s="1">
        <v>327</v>
      </c>
      <c r="I1135" s="1">
        <v>5</v>
      </c>
      <c r="J1135" s="1">
        <v>6.2</v>
      </c>
      <c r="K1135" s="1">
        <v>298.14999999999998</v>
      </c>
      <c r="M1135" s="1">
        <v>35</v>
      </c>
      <c r="N1135" s="1">
        <f t="shared" si="187"/>
        <v>90.654725738396635</v>
      </c>
    </row>
    <row r="1136" spans="1:14" ht="34.5" customHeight="1" x14ac:dyDescent="0.3">
      <c r="D1136" s="1" t="s">
        <v>11</v>
      </c>
      <c r="G1136" s="1">
        <v>250</v>
      </c>
      <c r="J1136" s="1">
        <v>7.2</v>
      </c>
      <c r="K1136" s="1">
        <v>293</v>
      </c>
      <c r="M1136" s="1">
        <v>2.5</v>
      </c>
      <c r="N1136" s="1">
        <f t="shared" ref="N1136:N1141" si="188">2.58*(M1136)^0.386</f>
        <v>3.674722506714712</v>
      </c>
    </row>
    <row r="1137" spans="4:14" ht="34.5" customHeight="1" x14ac:dyDescent="0.3">
      <c r="D1137" s="1" t="s">
        <v>11</v>
      </c>
      <c r="G1137" s="1">
        <v>250</v>
      </c>
      <c r="J1137" s="1">
        <v>7.2</v>
      </c>
      <c r="K1137" s="1">
        <v>293</v>
      </c>
      <c r="M1137" s="1">
        <v>5</v>
      </c>
      <c r="N1137" s="1">
        <f t="shared" si="188"/>
        <v>4.8019996894740089</v>
      </c>
    </row>
    <row r="1138" spans="4:14" ht="34.5" customHeight="1" x14ac:dyDescent="0.3">
      <c r="D1138" s="1" t="s">
        <v>11</v>
      </c>
      <c r="G1138" s="1">
        <v>250</v>
      </c>
      <c r="J1138" s="1">
        <v>7.2</v>
      </c>
      <c r="K1138" s="1">
        <v>293</v>
      </c>
      <c r="M1138" s="1">
        <v>15</v>
      </c>
      <c r="N1138" s="1">
        <f t="shared" si="188"/>
        <v>7.3382234500948522</v>
      </c>
    </row>
    <row r="1139" spans="4:14" ht="34.5" customHeight="1" x14ac:dyDescent="0.3">
      <c r="D1139" s="1" t="s">
        <v>11</v>
      </c>
      <c r="G1139" s="1">
        <v>250</v>
      </c>
      <c r="J1139" s="1">
        <v>7.2</v>
      </c>
      <c r="K1139" s="1">
        <v>293</v>
      </c>
      <c r="M1139" s="1">
        <v>22.5</v>
      </c>
      <c r="N1139" s="1">
        <f t="shared" si="188"/>
        <v>8.5814792747943844</v>
      </c>
    </row>
    <row r="1140" spans="4:14" ht="34.5" customHeight="1" x14ac:dyDescent="0.3">
      <c r="D1140" s="1" t="s">
        <v>11</v>
      </c>
      <c r="G1140" s="1">
        <v>250</v>
      </c>
      <c r="J1140" s="1">
        <v>7.2</v>
      </c>
      <c r="K1140" s="1">
        <v>293</v>
      </c>
      <c r="M1140" s="1">
        <v>30</v>
      </c>
      <c r="N1140" s="1">
        <f t="shared" si="188"/>
        <v>9.5893354298880382</v>
      </c>
    </row>
    <row r="1141" spans="4:14" ht="34.5" customHeight="1" x14ac:dyDescent="0.3">
      <c r="D1141" s="1" t="s">
        <v>11</v>
      </c>
      <c r="G1141" s="1">
        <v>250</v>
      </c>
      <c r="J1141" s="1">
        <v>7.2</v>
      </c>
      <c r="K1141" s="1">
        <v>293</v>
      </c>
      <c r="M1141" s="1">
        <v>37.5</v>
      </c>
      <c r="N1141" s="1">
        <f t="shared" si="188"/>
        <v>10.451912740839241</v>
      </c>
    </row>
    <row r="1142" spans="4:14" ht="34.5" customHeight="1" x14ac:dyDescent="0.3">
      <c r="D1142" s="1" t="s">
        <v>11</v>
      </c>
      <c r="G1142" s="1">
        <v>250</v>
      </c>
      <c r="J1142" s="1">
        <v>7.2</v>
      </c>
      <c r="K1142" s="1">
        <v>303</v>
      </c>
      <c r="M1142" s="1">
        <v>2.5</v>
      </c>
      <c r="N1142" s="1">
        <f t="shared" ref="N1142:N1147" si="189">3.79*(M1142)^0.285</f>
        <v>4.9209858068458328</v>
      </c>
    </row>
    <row r="1143" spans="4:14" ht="34.5" customHeight="1" x14ac:dyDescent="0.3">
      <c r="D1143" s="1" t="s">
        <v>11</v>
      </c>
      <c r="G1143" s="1">
        <v>250</v>
      </c>
      <c r="J1143" s="1">
        <v>7.2</v>
      </c>
      <c r="K1143" s="1">
        <v>303</v>
      </c>
      <c r="M1143" s="1">
        <v>5</v>
      </c>
      <c r="N1143" s="1">
        <f t="shared" si="189"/>
        <v>5.9957796144609041</v>
      </c>
    </row>
    <row r="1144" spans="4:14" ht="34.5" customHeight="1" x14ac:dyDescent="0.3">
      <c r="D1144" s="1" t="s">
        <v>11</v>
      </c>
      <c r="G1144" s="1">
        <v>250</v>
      </c>
      <c r="J1144" s="1">
        <v>7.2</v>
      </c>
      <c r="K1144" s="1">
        <v>303</v>
      </c>
      <c r="M1144" s="1">
        <v>15</v>
      </c>
      <c r="N1144" s="1">
        <f t="shared" si="189"/>
        <v>8.2002146143421548</v>
      </c>
    </row>
    <row r="1145" spans="4:14" ht="34.5" customHeight="1" x14ac:dyDescent="0.3">
      <c r="D1145" s="1" t="s">
        <v>11</v>
      </c>
      <c r="G1145" s="1">
        <v>250</v>
      </c>
      <c r="J1145" s="1">
        <v>7.2</v>
      </c>
      <c r="K1145" s="1">
        <v>303</v>
      </c>
      <c r="M1145" s="1">
        <v>22.5</v>
      </c>
      <c r="N1145" s="1">
        <f t="shared" si="189"/>
        <v>9.2047336805054325</v>
      </c>
    </row>
    <row r="1146" spans="4:14" ht="34.5" customHeight="1" x14ac:dyDescent="0.3">
      <c r="D1146" s="1" t="s">
        <v>11</v>
      </c>
      <c r="G1146" s="1">
        <v>250</v>
      </c>
      <c r="J1146" s="1">
        <v>7.2</v>
      </c>
      <c r="K1146" s="1">
        <v>303</v>
      </c>
      <c r="M1146" s="1">
        <v>30</v>
      </c>
      <c r="N1146" s="1">
        <f t="shared" si="189"/>
        <v>9.9912256504537851</v>
      </c>
    </row>
    <row r="1147" spans="4:14" ht="34.5" customHeight="1" x14ac:dyDescent="0.3">
      <c r="D1147" s="1" t="s">
        <v>11</v>
      </c>
      <c r="G1147" s="1">
        <v>250</v>
      </c>
      <c r="J1147" s="1">
        <v>7.2</v>
      </c>
      <c r="K1147" s="1">
        <v>303</v>
      </c>
      <c r="M1147" s="1">
        <v>37.5</v>
      </c>
      <c r="N1147" s="1">
        <f t="shared" si="189"/>
        <v>10.647266419595653</v>
      </c>
    </row>
    <row r="1148" spans="4:14" ht="34.5" customHeight="1" x14ac:dyDescent="0.3">
      <c r="D1148" s="1" t="s">
        <v>11</v>
      </c>
      <c r="G1148" s="1">
        <v>250</v>
      </c>
      <c r="J1148" s="1">
        <v>7.2</v>
      </c>
      <c r="K1148" s="1">
        <v>313</v>
      </c>
      <c r="M1148" s="1">
        <v>2.5</v>
      </c>
      <c r="N1148" s="1">
        <f t="shared" ref="N1148:N1153" si="190">4.69*(M1148)^0.237</f>
        <v>5.8275314335299608</v>
      </c>
    </row>
    <row r="1149" spans="4:14" ht="34.5" customHeight="1" x14ac:dyDescent="0.3">
      <c r="D1149" s="1" t="s">
        <v>11</v>
      </c>
      <c r="G1149" s="1">
        <v>250</v>
      </c>
      <c r="J1149" s="1">
        <v>7.2</v>
      </c>
      <c r="K1149" s="1">
        <v>313</v>
      </c>
      <c r="M1149" s="1">
        <v>5</v>
      </c>
      <c r="N1149" s="1">
        <f t="shared" si="190"/>
        <v>6.8679754446763628</v>
      </c>
    </row>
    <row r="1150" spans="4:14" ht="34.5" customHeight="1" x14ac:dyDescent="0.3">
      <c r="D1150" s="1" t="s">
        <v>11</v>
      </c>
      <c r="G1150" s="1">
        <v>250</v>
      </c>
      <c r="J1150" s="1">
        <v>7.2</v>
      </c>
      <c r="K1150" s="1">
        <v>313</v>
      </c>
      <c r="M1150" s="1">
        <v>15</v>
      </c>
      <c r="N1150" s="1">
        <f t="shared" si="190"/>
        <v>8.9105902057999398</v>
      </c>
    </row>
    <row r="1151" spans="4:14" ht="34.5" customHeight="1" x14ac:dyDescent="0.3">
      <c r="D1151" s="1" t="s">
        <v>11</v>
      </c>
      <c r="G1151" s="1">
        <v>250</v>
      </c>
      <c r="J1151" s="1">
        <v>7.2</v>
      </c>
      <c r="K1151" s="1">
        <v>313</v>
      </c>
      <c r="M1151" s="1">
        <v>22.5</v>
      </c>
      <c r="N1151" s="1">
        <f t="shared" si="190"/>
        <v>9.8093470403082978</v>
      </c>
    </row>
    <row r="1152" spans="4:14" ht="34.5" customHeight="1" x14ac:dyDescent="0.3">
      <c r="D1152" s="1" t="s">
        <v>11</v>
      </c>
      <c r="G1152" s="1">
        <v>250</v>
      </c>
      <c r="J1152" s="1">
        <v>7.2</v>
      </c>
      <c r="K1152" s="1">
        <v>313</v>
      </c>
      <c r="M1152" s="1">
        <v>30</v>
      </c>
      <c r="N1152" s="1">
        <f t="shared" si="190"/>
        <v>10.501481704396038</v>
      </c>
    </row>
    <row r="1153" spans="1:14" ht="34.5" customHeight="1" x14ac:dyDescent="0.3">
      <c r="D1153" s="1" t="s">
        <v>11</v>
      </c>
      <c r="G1153" s="1">
        <v>250</v>
      </c>
      <c r="J1153" s="1">
        <v>7.2</v>
      </c>
      <c r="K1153" s="1">
        <v>313</v>
      </c>
      <c r="M1153" s="1">
        <v>37.5</v>
      </c>
      <c r="N1153" s="1">
        <f t="shared" si="190"/>
        <v>11.071800536375981</v>
      </c>
    </row>
    <row r="1154" spans="1:14" ht="34.5" customHeight="1" x14ac:dyDescent="0.3">
      <c r="A1154" s="1">
        <v>27.8</v>
      </c>
      <c r="C1154" s="1" t="s">
        <v>11</v>
      </c>
      <c r="G1154" s="1">
        <v>89.6</v>
      </c>
      <c r="J1154" s="1">
        <v>7</v>
      </c>
      <c r="K1154" s="1">
        <v>296.14999999999998</v>
      </c>
      <c r="M1154" s="1">
        <v>0.2</v>
      </c>
      <c r="N1154" s="1">
        <f t="shared" ref="N1154:N1159" si="191">83.5*1.75*M1154/(1+1.75*M1154)</f>
        <v>21.648148148148149</v>
      </c>
    </row>
    <row r="1155" spans="1:14" ht="34.5" customHeight="1" x14ac:dyDescent="0.3">
      <c r="A1155" s="1">
        <v>27.8</v>
      </c>
      <c r="C1155" s="1" t="s">
        <v>11</v>
      </c>
      <c r="G1155" s="1">
        <v>89.6</v>
      </c>
      <c r="J1155" s="1">
        <v>7</v>
      </c>
      <c r="K1155" s="1">
        <v>296.14999999999998</v>
      </c>
      <c r="M1155" s="1">
        <v>1</v>
      </c>
      <c r="N1155" s="1">
        <f t="shared" si="191"/>
        <v>53.136363636363633</v>
      </c>
    </row>
    <row r="1156" spans="1:14" ht="34.5" customHeight="1" x14ac:dyDescent="0.3">
      <c r="A1156" s="1">
        <v>27.8</v>
      </c>
      <c r="C1156" s="1" t="s">
        <v>11</v>
      </c>
      <c r="G1156" s="1">
        <v>89.6</v>
      </c>
      <c r="J1156" s="1">
        <v>7</v>
      </c>
      <c r="K1156" s="1">
        <v>296.14999999999998</v>
      </c>
      <c r="M1156" s="1">
        <v>2</v>
      </c>
      <c r="N1156" s="1">
        <f t="shared" si="191"/>
        <v>64.944444444444443</v>
      </c>
    </row>
    <row r="1157" spans="1:14" ht="34.5" customHeight="1" x14ac:dyDescent="0.3">
      <c r="A1157" s="1">
        <v>27.8</v>
      </c>
      <c r="C1157" s="1" t="s">
        <v>11</v>
      </c>
      <c r="G1157" s="1">
        <v>89.6</v>
      </c>
      <c r="J1157" s="1">
        <v>7</v>
      </c>
      <c r="K1157" s="1">
        <v>296.14999999999998</v>
      </c>
      <c r="M1157" s="1">
        <v>2.5</v>
      </c>
      <c r="N1157" s="1">
        <f t="shared" si="191"/>
        <v>67.965116279069761</v>
      </c>
    </row>
    <row r="1158" spans="1:14" ht="34.5" customHeight="1" x14ac:dyDescent="0.3">
      <c r="A1158" s="1">
        <v>27.8</v>
      </c>
      <c r="C1158" s="1" t="s">
        <v>11</v>
      </c>
      <c r="G1158" s="1">
        <v>89.6</v>
      </c>
      <c r="J1158" s="1">
        <v>7</v>
      </c>
      <c r="K1158" s="1">
        <v>296.14999999999998</v>
      </c>
      <c r="M1158" s="1">
        <v>3</v>
      </c>
      <c r="N1158" s="1">
        <f t="shared" si="191"/>
        <v>70.14</v>
      </c>
    </row>
    <row r="1159" spans="1:14" ht="34.5" customHeight="1" x14ac:dyDescent="0.3">
      <c r="A1159" s="1">
        <v>27.8</v>
      </c>
      <c r="C1159" s="1" t="s">
        <v>11</v>
      </c>
      <c r="G1159" s="1">
        <v>89.6</v>
      </c>
      <c r="J1159" s="1">
        <v>7</v>
      </c>
      <c r="K1159" s="1">
        <v>296.14999999999998</v>
      </c>
      <c r="M1159" s="1">
        <v>4.5</v>
      </c>
      <c r="N1159" s="1">
        <f t="shared" si="191"/>
        <v>74.091549295774641</v>
      </c>
    </row>
    <row r="1160" spans="1:14" ht="34.5" customHeight="1" x14ac:dyDescent="0.3">
      <c r="A1160" s="1">
        <v>27.8</v>
      </c>
      <c r="C1160" s="1" t="s">
        <v>11</v>
      </c>
      <c r="G1160" s="1">
        <v>89.6</v>
      </c>
      <c r="J1160" s="1">
        <v>7</v>
      </c>
      <c r="K1160" s="1">
        <v>310.14999999999998</v>
      </c>
      <c r="M1160" s="1">
        <v>0.1</v>
      </c>
      <c r="N1160" s="1">
        <f t="shared" ref="N1160:N1165" si="192">122.2*1.57*M1160/(1+1.57*M1160)</f>
        <v>16.582022471910115</v>
      </c>
    </row>
    <row r="1161" spans="1:14" ht="34.5" customHeight="1" x14ac:dyDescent="0.3">
      <c r="A1161" s="1">
        <v>27.8</v>
      </c>
      <c r="C1161" s="1" t="s">
        <v>11</v>
      </c>
      <c r="G1161" s="1">
        <v>89.6</v>
      </c>
      <c r="J1161" s="1">
        <v>7</v>
      </c>
      <c r="K1161" s="1">
        <v>310.14999999999998</v>
      </c>
      <c r="M1161" s="1">
        <v>0.3</v>
      </c>
      <c r="N1161" s="1">
        <f t="shared" si="192"/>
        <v>39.127260367097215</v>
      </c>
    </row>
    <row r="1162" spans="1:14" ht="34.5" customHeight="1" x14ac:dyDescent="0.3">
      <c r="A1162" s="1">
        <v>27.8</v>
      </c>
      <c r="C1162" s="1" t="s">
        <v>11</v>
      </c>
      <c r="G1162" s="1">
        <v>89.6</v>
      </c>
      <c r="J1162" s="1">
        <v>7</v>
      </c>
      <c r="K1162" s="1">
        <v>310.14999999999998</v>
      </c>
      <c r="M1162" s="1">
        <v>0.5</v>
      </c>
      <c r="N1162" s="1">
        <f t="shared" si="192"/>
        <v>53.740616246498597</v>
      </c>
    </row>
    <row r="1163" spans="1:14" ht="34.5" customHeight="1" x14ac:dyDescent="0.3">
      <c r="A1163" s="1">
        <v>27.8</v>
      </c>
      <c r="C1163" s="1" t="s">
        <v>11</v>
      </c>
      <c r="G1163" s="1">
        <v>89.6</v>
      </c>
      <c r="J1163" s="1">
        <v>7</v>
      </c>
      <c r="K1163" s="1">
        <v>310.14999999999998</v>
      </c>
      <c r="M1163" s="1">
        <v>1</v>
      </c>
      <c r="N1163" s="1">
        <f t="shared" si="192"/>
        <v>74.651361867704281</v>
      </c>
    </row>
    <row r="1164" spans="1:14" ht="34.5" customHeight="1" x14ac:dyDescent="0.3">
      <c r="A1164" s="1">
        <v>27.8</v>
      </c>
      <c r="C1164" s="1" t="s">
        <v>11</v>
      </c>
      <c r="G1164" s="1">
        <v>89.6</v>
      </c>
      <c r="J1164" s="1">
        <v>7</v>
      </c>
      <c r="K1164" s="1">
        <v>310.14999999999998</v>
      </c>
      <c r="M1164" s="1">
        <v>2</v>
      </c>
      <c r="N1164" s="1">
        <f t="shared" si="192"/>
        <v>92.683091787439608</v>
      </c>
    </row>
    <row r="1165" spans="1:14" ht="34.5" customHeight="1" x14ac:dyDescent="0.3">
      <c r="A1165" s="1">
        <v>27.8</v>
      </c>
      <c r="C1165" s="1" t="s">
        <v>11</v>
      </c>
      <c r="G1165" s="1">
        <v>89.6</v>
      </c>
      <c r="J1165" s="1">
        <v>7</v>
      </c>
      <c r="K1165" s="1">
        <v>310.14999999999998</v>
      </c>
      <c r="M1165" s="1">
        <v>3</v>
      </c>
      <c r="N1165" s="1">
        <f t="shared" si="192"/>
        <v>100.79894921190893</v>
      </c>
    </row>
    <row r="1166" spans="1:14" ht="34.5" customHeight="1" x14ac:dyDescent="0.3">
      <c r="A1166" s="1">
        <v>31.52</v>
      </c>
      <c r="B1166" s="1">
        <v>4.58</v>
      </c>
      <c r="C1166" s="1">
        <v>2.11</v>
      </c>
      <c r="E1166" s="1">
        <v>0.87</v>
      </c>
      <c r="F1166" s="1">
        <v>7.69</v>
      </c>
      <c r="G1166" s="1">
        <v>39.1</v>
      </c>
      <c r="H1166" s="1">
        <v>0.17</v>
      </c>
      <c r="I1166" s="1">
        <v>20.74</v>
      </c>
      <c r="J1166" s="1">
        <v>5</v>
      </c>
      <c r="K1166" s="1">
        <v>298</v>
      </c>
      <c r="M1166" s="1">
        <v>1</v>
      </c>
      <c r="N1166" s="1">
        <f t="shared" ref="N1166:N1171" si="193">79.6*7.22*M1166/(1+7.22*M1166)</f>
        <v>69.916301703163029</v>
      </c>
    </row>
    <row r="1167" spans="1:14" ht="34.5" customHeight="1" x14ac:dyDescent="0.3">
      <c r="A1167" s="1">
        <v>31.52</v>
      </c>
      <c r="B1167" s="1">
        <v>4.58</v>
      </c>
      <c r="C1167" s="1">
        <v>2.11</v>
      </c>
      <c r="E1167" s="1">
        <v>0.87</v>
      </c>
      <c r="F1167" s="1">
        <v>7.69</v>
      </c>
      <c r="G1167" s="1">
        <v>39.1</v>
      </c>
      <c r="H1167" s="1">
        <v>0.17</v>
      </c>
      <c r="I1167" s="1">
        <v>20.74</v>
      </c>
      <c r="J1167" s="1">
        <v>5</v>
      </c>
      <c r="K1167" s="1">
        <v>298</v>
      </c>
      <c r="M1167" s="1">
        <v>2</v>
      </c>
      <c r="N1167" s="1">
        <f t="shared" si="193"/>
        <v>74.444559585492229</v>
      </c>
    </row>
    <row r="1168" spans="1:14" ht="34.5" customHeight="1" x14ac:dyDescent="0.3">
      <c r="A1168" s="1">
        <v>31.52</v>
      </c>
      <c r="B1168" s="1">
        <v>4.58</v>
      </c>
      <c r="C1168" s="1">
        <v>2.11</v>
      </c>
      <c r="E1168" s="1">
        <v>0.87</v>
      </c>
      <c r="F1168" s="1">
        <v>7.69</v>
      </c>
      <c r="G1168" s="1">
        <v>39.1</v>
      </c>
      <c r="H1168" s="1">
        <v>0.17</v>
      </c>
      <c r="I1168" s="1">
        <v>20.74</v>
      </c>
      <c r="J1168" s="1">
        <v>5</v>
      </c>
      <c r="K1168" s="1">
        <v>298</v>
      </c>
      <c r="M1168" s="1">
        <v>3</v>
      </c>
      <c r="N1168" s="1">
        <f t="shared" si="193"/>
        <v>76.087202118270071</v>
      </c>
    </row>
    <row r="1169" spans="1:14" ht="34.5" customHeight="1" x14ac:dyDescent="0.3">
      <c r="A1169" s="1">
        <v>31.52</v>
      </c>
      <c r="B1169" s="1">
        <v>4.58</v>
      </c>
      <c r="C1169" s="1">
        <v>2.11</v>
      </c>
      <c r="E1169" s="1">
        <v>0.87</v>
      </c>
      <c r="F1169" s="1">
        <v>7.69</v>
      </c>
      <c r="G1169" s="1">
        <v>39.1</v>
      </c>
      <c r="H1169" s="1">
        <v>0.17</v>
      </c>
      <c r="I1169" s="1">
        <v>20.74</v>
      </c>
      <c r="J1169" s="1">
        <v>5</v>
      </c>
      <c r="K1169" s="1">
        <v>298</v>
      </c>
      <c r="M1169" s="1">
        <v>5</v>
      </c>
      <c r="N1169" s="1">
        <f t="shared" si="193"/>
        <v>77.454447439353089</v>
      </c>
    </row>
    <row r="1170" spans="1:14" ht="34.5" customHeight="1" x14ac:dyDescent="0.3">
      <c r="A1170" s="1">
        <v>31.52</v>
      </c>
      <c r="B1170" s="1">
        <v>4.58</v>
      </c>
      <c r="C1170" s="1">
        <v>2.11</v>
      </c>
      <c r="E1170" s="1">
        <v>0.87</v>
      </c>
      <c r="F1170" s="1">
        <v>7.69</v>
      </c>
      <c r="G1170" s="1">
        <v>39.1</v>
      </c>
      <c r="H1170" s="1">
        <v>0.17</v>
      </c>
      <c r="I1170" s="1">
        <v>20.74</v>
      </c>
      <c r="J1170" s="1">
        <v>5</v>
      </c>
      <c r="K1170" s="1">
        <v>298</v>
      </c>
      <c r="M1170" s="1">
        <v>10</v>
      </c>
      <c r="N1170" s="1">
        <f t="shared" si="193"/>
        <v>78.51256830601092</v>
      </c>
    </row>
    <row r="1171" spans="1:14" ht="34.5" customHeight="1" x14ac:dyDescent="0.3">
      <c r="A1171" s="1">
        <v>31.52</v>
      </c>
      <c r="B1171" s="1">
        <v>4.58</v>
      </c>
      <c r="C1171" s="1">
        <v>2.11</v>
      </c>
      <c r="E1171" s="1">
        <v>0.87</v>
      </c>
      <c r="F1171" s="1">
        <v>7.69</v>
      </c>
      <c r="G1171" s="1">
        <v>39.1</v>
      </c>
      <c r="H1171" s="1">
        <v>0.17</v>
      </c>
      <c r="I1171" s="1">
        <v>20.74</v>
      </c>
      <c r="J1171" s="1">
        <v>5</v>
      </c>
      <c r="K1171" s="1">
        <v>298</v>
      </c>
      <c r="M1171" s="1">
        <v>25</v>
      </c>
      <c r="N1171" s="1">
        <f t="shared" si="193"/>
        <v>79.161432506887053</v>
      </c>
    </row>
    <row r="1172" spans="1:14" ht="34.5" customHeight="1" x14ac:dyDescent="0.3">
      <c r="A1172" s="1">
        <v>31.52</v>
      </c>
      <c r="B1172" s="1">
        <v>4.58</v>
      </c>
      <c r="C1172" s="1">
        <v>2.11</v>
      </c>
      <c r="E1172" s="1">
        <v>0.87</v>
      </c>
      <c r="F1172" s="1">
        <v>7.69</v>
      </c>
      <c r="G1172" s="1">
        <v>39.1</v>
      </c>
      <c r="H1172" s="1">
        <v>0.17</v>
      </c>
      <c r="I1172" s="1">
        <v>20.74</v>
      </c>
      <c r="J1172" s="1">
        <v>5</v>
      </c>
      <c r="K1172" s="1">
        <v>303</v>
      </c>
      <c r="M1172" s="1">
        <v>0.5</v>
      </c>
      <c r="N1172" s="1">
        <f t="shared" ref="N1172:N1177" si="194">75.84*4.24*M1172/(1+4.24*M1172)</f>
        <v>51.532307692307697</v>
      </c>
    </row>
    <row r="1173" spans="1:14" ht="34.5" customHeight="1" x14ac:dyDescent="0.3">
      <c r="A1173" s="1">
        <v>31.52</v>
      </c>
      <c r="B1173" s="1">
        <v>4.58</v>
      </c>
      <c r="C1173" s="1">
        <v>2.11</v>
      </c>
      <c r="E1173" s="1">
        <v>0.87</v>
      </c>
      <c r="F1173" s="1">
        <v>7.69</v>
      </c>
      <c r="G1173" s="1">
        <v>39.1</v>
      </c>
      <c r="H1173" s="1">
        <v>0.17</v>
      </c>
      <c r="I1173" s="1">
        <v>20.74</v>
      </c>
      <c r="J1173" s="1">
        <v>5</v>
      </c>
      <c r="K1173" s="1">
        <v>303</v>
      </c>
      <c r="M1173" s="1">
        <v>1</v>
      </c>
      <c r="N1173" s="1">
        <f t="shared" si="194"/>
        <v>61.366717557251917</v>
      </c>
    </row>
    <row r="1174" spans="1:14" ht="34.5" customHeight="1" x14ac:dyDescent="0.3">
      <c r="A1174" s="1">
        <v>31.52</v>
      </c>
      <c r="B1174" s="1">
        <v>4.58</v>
      </c>
      <c r="C1174" s="1">
        <v>2.11</v>
      </c>
      <c r="E1174" s="1">
        <v>0.87</v>
      </c>
      <c r="F1174" s="1">
        <v>7.69</v>
      </c>
      <c r="G1174" s="1">
        <v>39.1</v>
      </c>
      <c r="H1174" s="1">
        <v>0.17</v>
      </c>
      <c r="I1174" s="1">
        <v>20.74</v>
      </c>
      <c r="J1174" s="1">
        <v>5</v>
      </c>
      <c r="K1174" s="1">
        <v>303</v>
      </c>
      <c r="M1174" s="1">
        <v>3</v>
      </c>
      <c r="N1174" s="1">
        <f t="shared" si="194"/>
        <v>70.3123032069971</v>
      </c>
    </row>
    <row r="1175" spans="1:14" ht="34.5" customHeight="1" x14ac:dyDescent="0.3">
      <c r="A1175" s="1">
        <v>31.52</v>
      </c>
      <c r="B1175" s="1">
        <v>4.58</v>
      </c>
      <c r="C1175" s="1">
        <v>2.11</v>
      </c>
      <c r="E1175" s="1">
        <v>0.87</v>
      </c>
      <c r="F1175" s="1">
        <v>7.69</v>
      </c>
      <c r="G1175" s="1">
        <v>39.1</v>
      </c>
      <c r="H1175" s="1">
        <v>0.17</v>
      </c>
      <c r="I1175" s="1">
        <v>20.74</v>
      </c>
      <c r="J1175" s="1">
        <v>5</v>
      </c>
      <c r="K1175" s="1">
        <v>303</v>
      </c>
      <c r="M1175" s="1">
        <v>5</v>
      </c>
      <c r="N1175" s="1">
        <f t="shared" si="194"/>
        <v>72.42378378378379</v>
      </c>
    </row>
    <row r="1176" spans="1:14" ht="34.5" customHeight="1" x14ac:dyDescent="0.3">
      <c r="A1176" s="1">
        <v>31.52</v>
      </c>
      <c r="B1176" s="1">
        <v>4.58</v>
      </c>
      <c r="C1176" s="1">
        <v>2.11</v>
      </c>
      <c r="E1176" s="1">
        <v>0.87</v>
      </c>
      <c r="F1176" s="1">
        <v>7.69</v>
      </c>
      <c r="G1176" s="1">
        <v>39.1</v>
      </c>
      <c r="H1176" s="1">
        <v>0.17</v>
      </c>
      <c r="I1176" s="1">
        <v>20.74</v>
      </c>
      <c r="J1176" s="1">
        <v>5</v>
      </c>
      <c r="K1176" s="1">
        <v>303</v>
      </c>
      <c r="M1176" s="1">
        <v>10</v>
      </c>
      <c r="N1176" s="1">
        <f t="shared" si="194"/>
        <v>74.092534562211981</v>
      </c>
    </row>
    <row r="1177" spans="1:14" ht="34.5" customHeight="1" x14ac:dyDescent="0.3">
      <c r="A1177" s="1">
        <v>31.52</v>
      </c>
      <c r="B1177" s="1">
        <v>4.58</v>
      </c>
      <c r="C1177" s="1">
        <v>2.11</v>
      </c>
      <c r="E1177" s="1">
        <v>0.87</v>
      </c>
      <c r="F1177" s="1">
        <v>7.69</v>
      </c>
      <c r="G1177" s="1">
        <v>39.1</v>
      </c>
      <c r="H1177" s="1">
        <v>0.17</v>
      </c>
      <c r="I1177" s="1">
        <v>20.74</v>
      </c>
      <c r="J1177" s="1">
        <v>5</v>
      </c>
      <c r="K1177" s="1">
        <v>303</v>
      </c>
      <c r="M1177" s="1">
        <v>25</v>
      </c>
      <c r="N1177" s="1">
        <f t="shared" si="194"/>
        <v>75.131214953271041</v>
      </c>
    </row>
    <row r="1178" spans="1:14" ht="34.5" customHeight="1" x14ac:dyDescent="0.3">
      <c r="A1178" s="1">
        <v>31.52</v>
      </c>
      <c r="B1178" s="1">
        <v>4.58</v>
      </c>
      <c r="C1178" s="1">
        <v>2.11</v>
      </c>
      <c r="E1178" s="1">
        <v>0.87</v>
      </c>
      <c r="F1178" s="1">
        <v>7.69</v>
      </c>
      <c r="G1178" s="1">
        <v>39.1</v>
      </c>
      <c r="H1178" s="1">
        <v>0.17</v>
      </c>
      <c r="I1178" s="1">
        <v>20.74</v>
      </c>
      <c r="J1178" s="1">
        <v>5</v>
      </c>
      <c r="K1178" s="1">
        <v>308</v>
      </c>
      <c r="M1178" s="1">
        <v>0.1</v>
      </c>
      <c r="N1178" s="1">
        <f t="shared" ref="N1178:N1183" si="195">69.8*3.67*M1178/(1+3.67*M1178)</f>
        <v>18.739283101682517</v>
      </c>
    </row>
    <row r="1179" spans="1:14" ht="34.5" customHeight="1" x14ac:dyDescent="0.3">
      <c r="A1179" s="1">
        <v>31.52</v>
      </c>
      <c r="B1179" s="1">
        <v>4.58</v>
      </c>
      <c r="C1179" s="1">
        <v>2.11</v>
      </c>
      <c r="E1179" s="1">
        <v>0.87</v>
      </c>
      <c r="F1179" s="1">
        <v>7.69</v>
      </c>
      <c r="G1179" s="1">
        <v>39.1</v>
      </c>
      <c r="H1179" s="1">
        <v>0.17</v>
      </c>
      <c r="I1179" s="1">
        <v>20.74</v>
      </c>
      <c r="J1179" s="1">
        <v>5</v>
      </c>
      <c r="K1179" s="1">
        <v>308</v>
      </c>
      <c r="M1179" s="1">
        <v>0.5</v>
      </c>
      <c r="N1179" s="1">
        <f t="shared" si="195"/>
        <v>45.179188712522048</v>
      </c>
    </row>
    <row r="1180" spans="1:14" ht="34.5" customHeight="1" x14ac:dyDescent="0.3">
      <c r="A1180" s="1">
        <v>31.52</v>
      </c>
      <c r="B1180" s="1">
        <v>4.58</v>
      </c>
      <c r="C1180" s="1">
        <v>2.11</v>
      </c>
      <c r="E1180" s="1">
        <v>0.87</v>
      </c>
      <c r="F1180" s="1">
        <v>7.69</v>
      </c>
      <c r="G1180" s="1">
        <v>39.1</v>
      </c>
      <c r="H1180" s="1">
        <v>0.17</v>
      </c>
      <c r="I1180" s="1">
        <v>20.74</v>
      </c>
      <c r="J1180" s="1">
        <v>5</v>
      </c>
      <c r="K1180" s="1">
        <v>308</v>
      </c>
      <c r="M1180" s="1">
        <v>5</v>
      </c>
      <c r="N1180" s="1">
        <f t="shared" si="195"/>
        <v>66.19276485788113</v>
      </c>
    </row>
    <row r="1181" spans="1:14" ht="34.5" customHeight="1" x14ac:dyDescent="0.3">
      <c r="A1181" s="1">
        <v>31.52</v>
      </c>
      <c r="B1181" s="1">
        <v>4.58</v>
      </c>
      <c r="C1181" s="1">
        <v>2.11</v>
      </c>
      <c r="E1181" s="1">
        <v>0.87</v>
      </c>
      <c r="F1181" s="1">
        <v>7.69</v>
      </c>
      <c r="G1181" s="1">
        <v>39.1</v>
      </c>
      <c r="H1181" s="1">
        <v>0.17</v>
      </c>
      <c r="I1181" s="1">
        <v>20.74</v>
      </c>
      <c r="J1181" s="1">
        <v>5</v>
      </c>
      <c r="K1181" s="1">
        <v>308</v>
      </c>
      <c r="M1181" s="1">
        <v>15</v>
      </c>
      <c r="N1181" s="1">
        <f t="shared" si="195"/>
        <v>68.554683318465649</v>
      </c>
    </row>
    <row r="1182" spans="1:14" ht="34.5" customHeight="1" x14ac:dyDescent="0.3">
      <c r="A1182" s="1">
        <v>31.52</v>
      </c>
      <c r="B1182" s="1">
        <v>4.58</v>
      </c>
      <c r="C1182" s="1">
        <v>2.11</v>
      </c>
      <c r="E1182" s="1">
        <v>0.87</v>
      </c>
      <c r="F1182" s="1">
        <v>7.69</v>
      </c>
      <c r="G1182" s="1">
        <v>39.1</v>
      </c>
      <c r="H1182" s="1">
        <v>0.17</v>
      </c>
      <c r="I1182" s="1">
        <v>20.74</v>
      </c>
      <c r="J1182" s="1">
        <v>5</v>
      </c>
      <c r="K1182" s="1">
        <v>308</v>
      </c>
      <c r="M1182" s="1">
        <v>25</v>
      </c>
      <c r="N1182" s="1">
        <f t="shared" si="195"/>
        <v>69.047439353099733</v>
      </c>
    </row>
    <row r="1183" spans="1:14" ht="34.5" customHeight="1" x14ac:dyDescent="0.3">
      <c r="A1183" s="1">
        <v>31.52</v>
      </c>
      <c r="B1183" s="1">
        <v>4.58</v>
      </c>
      <c r="C1183" s="1">
        <v>2.11</v>
      </c>
      <c r="E1183" s="1">
        <v>0.87</v>
      </c>
      <c r="F1183" s="1">
        <v>7.69</v>
      </c>
      <c r="G1183" s="1">
        <v>39.1</v>
      </c>
      <c r="H1183" s="1">
        <v>0.17</v>
      </c>
      <c r="I1183" s="1">
        <v>20.74</v>
      </c>
      <c r="J1183" s="1">
        <v>5</v>
      </c>
      <c r="K1183" s="1">
        <v>308</v>
      </c>
      <c r="M1183" s="1">
        <v>35</v>
      </c>
      <c r="N1183" s="1">
        <f t="shared" si="195"/>
        <v>69.260795674005408</v>
      </c>
    </row>
    <row r="1184" spans="1:14" ht="34.5" customHeight="1" x14ac:dyDescent="0.3">
      <c r="A1184" s="1">
        <v>31.52</v>
      </c>
      <c r="B1184" s="1">
        <v>4.58</v>
      </c>
      <c r="C1184" s="1">
        <v>2.11</v>
      </c>
      <c r="E1184" s="1">
        <v>0.87</v>
      </c>
      <c r="F1184" s="1">
        <v>7.69</v>
      </c>
      <c r="G1184" s="1">
        <v>39.1</v>
      </c>
      <c r="H1184" s="1">
        <v>0.17</v>
      </c>
      <c r="I1184" s="1">
        <v>20.74</v>
      </c>
      <c r="J1184" s="1">
        <v>5</v>
      </c>
      <c r="K1184" s="1">
        <v>313</v>
      </c>
      <c r="M1184" s="1">
        <v>0.1</v>
      </c>
      <c r="N1184" s="1">
        <f t="shared" ref="N1184:N1189" si="196">49.6*0.78*M1184/(1+0.78*M1184)</f>
        <v>3.5888682745825604</v>
      </c>
    </row>
    <row r="1185" spans="1:14" ht="34.5" customHeight="1" x14ac:dyDescent="0.3">
      <c r="A1185" s="1">
        <v>31.52</v>
      </c>
      <c r="B1185" s="1">
        <v>4.58</v>
      </c>
      <c r="C1185" s="1">
        <v>2.11</v>
      </c>
      <c r="E1185" s="1">
        <v>0.87</v>
      </c>
      <c r="F1185" s="1">
        <v>7.69</v>
      </c>
      <c r="G1185" s="1">
        <v>39.1</v>
      </c>
      <c r="H1185" s="1">
        <v>0.17</v>
      </c>
      <c r="I1185" s="1">
        <v>20.74</v>
      </c>
      <c r="J1185" s="1">
        <v>5</v>
      </c>
      <c r="K1185" s="1">
        <v>313</v>
      </c>
      <c r="M1185" s="1">
        <v>0.3</v>
      </c>
      <c r="N1185" s="1">
        <f t="shared" si="196"/>
        <v>9.4055105348460302</v>
      </c>
    </row>
    <row r="1186" spans="1:14" ht="34.5" customHeight="1" x14ac:dyDescent="0.3">
      <c r="A1186" s="1">
        <v>31.52</v>
      </c>
      <c r="B1186" s="1">
        <v>4.58</v>
      </c>
      <c r="C1186" s="1">
        <v>2.11</v>
      </c>
      <c r="E1186" s="1">
        <v>0.87</v>
      </c>
      <c r="F1186" s="1">
        <v>7.69</v>
      </c>
      <c r="G1186" s="1">
        <v>39.1</v>
      </c>
      <c r="H1186" s="1">
        <v>0.17</v>
      </c>
      <c r="I1186" s="1">
        <v>20.74</v>
      </c>
      <c r="J1186" s="1">
        <v>5</v>
      </c>
      <c r="K1186" s="1">
        <v>313</v>
      </c>
      <c r="M1186" s="1">
        <v>0.5</v>
      </c>
      <c r="N1186" s="1">
        <f t="shared" si="196"/>
        <v>13.916546762589928</v>
      </c>
    </row>
    <row r="1187" spans="1:14" ht="34.5" customHeight="1" x14ac:dyDescent="0.3">
      <c r="A1187" s="1">
        <v>31.52</v>
      </c>
      <c r="B1187" s="1">
        <v>4.58</v>
      </c>
      <c r="C1187" s="1">
        <v>2.11</v>
      </c>
      <c r="E1187" s="1">
        <v>0.87</v>
      </c>
      <c r="F1187" s="1">
        <v>7.69</v>
      </c>
      <c r="G1187" s="1">
        <v>39.1</v>
      </c>
      <c r="H1187" s="1">
        <v>0.17</v>
      </c>
      <c r="I1187" s="1">
        <v>20.74</v>
      </c>
      <c r="J1187" s="1">
        <v>5</v>
      </c>
      <c r="K1187" s="1">
        <v>313</v>
      </c>
      <c r="M1187" s="1">
        <v>10</v>
      </c>
      <c r="N1187" s="1">
        <f t="shared" si="196"/>
        <v>43.963636363636361</v>
      </c>
    </row>
    <row r="1188" spans="1:14" ht="34.5" customHeight="1" x14ac:dyDescent="0.3">
      <c r="A1188" s="1">
        <v>31.52</v>
      </c>
      <c r="B1188" s="1">
        <v>4.58</v>
      </c>
      <c r="C1188" s="1">
        <v>2.11</v>
      </c>
      <c r="E1188" s="1">
        <v>0.87</v>
      </c>
      <c r="F1188" s="1">
        <v>7.69</v>
      </c>
      <c r="G1188" s="1">
        <v>39.1</v>
      </c>
      <c r="H1188" s="1">
        <v>0.17</v>
      </c>
      <c r="I1188" s="1">
        <v>20.74</v>
      </c>
      <c r="J1188" s="1">
        <v>5</v>
      </c>
      <c r="K1188" s="1">
        <v>313</v>
      </c>
      <c r="M1188" s="1">
        <v>25</v>
      </c>
      <c r="N1188" s="1">
        <f t="shared" si="196"/>
        <v>47.180487804878048</v>
      </c>
    </row>
    <row r="1189" spans="1:14" ht="34.5" customHeight="1" x14ac:dyDescent="0.3">
      <c r="A1189" s="1">
        <v>31.52</v>
      </c>
      <c r="B1189" s="1">
        <v>4.58</v>
      </c>
      <c r="C1189" s="1">
        <v>2.11</v>
      </c>
      <c r="E1189" s="1">
        <v>0.87</v>
      </c>
      <c r="F1189" s="1">
        <v>7.69</v>
      </c>
      <c r="G1189" s="1">
        <v>39.1</v>
      </c>
      <c r="H1189" s="1">
        <v>0.17</v>
      </c>
      <c r="I1189" s="1">
        <v>20.74</v>
      </c>
      <c r="J1189" s="1">
        <v>5</v>
      </c>
      <c r="K1189" s="1">
        <v>313</v>
      </c>
      <c r="M1189" s="1">
        <v>45</v>
      </c>
      <c r="N1189" s="1">
        <f t="shared" si="196"/>
        <v>48.226038781163432</v>
      </c>
    </row>
    <row r="1190" spans="1:14" ht="34.5" customHeight="1" x14ac:dyDescent="0.3">
      <c r="A1190" s="1">
        <v>32.1</v>
      </c>
      <c r="G1190" s="1">
        <v>87</v>
      </c>
      <c r="H1190" s="1">
        <v>0.53</v>
      </c>
      <c r="I1190" s="1">
        <v>48</v>
      </c>
      <c r="J1190" s="1">
        <v>4</v>
      </c>
      <c r="K1190" s="1">
        <v>298</v>
      </c>
      <c r="M1190" s="1">
        <v>190</v>
      </c>
      <c r="N1190" s="1">
        <f t="shared" ref="N1190:N1195" si="197">1.266*(M1190)^(1/6.405)</f>
        <v>2.8721757084398485</v>
      </c>
    </row>
    <row r="1191" spans="1:14" ht="34.5" customHeight="1" x14ac:dyDescent="0.3">
      <c r="A1191" s="1">
        <v>32.1</v>
      </c>
      <c r="G1191" s="1">
        <v>87</v>
      </c>
      <c r="H1191" s="1">
        <v>0.53</v>
      </c>
      <c r="I1191" s="1">
        <v>48</v>
      </c>
      <c r="J1191" s="1">
        <v>4</v>
      </c>
      <c r="K1191" s="1">
        <v>298</v>
      </c>
      <c r="M1191" s="1">
        <v>475</v>
      </c>
      <c r="N1191" s="1">
        <f t="shared" si="197"/>
        <v>3.3139091061950863</v>
      </c>
    </row>
    <row r="1192" spans="1:14" ht="34.5" customHeight="1" x14ac:dyDescent="0.3">
      <c r="A1192" s="1">
        <v>32.1</v>
      </c>
      <c r="G1192" s="1">
        <v>87</v>
      </c>
      <c r="H1192" s="1">
        <v>0.53</v>
      </c>
      <c r="I1192" s="1">
        <v>48</v>
      </c>
      <c r="J1192" s="1">
        <v>4</v>
      </c>
      <c r="K1192" s="1">
        <v>298</v>
      </c>
      <c r="M1192" s="1">
        <v>950</v>
      </c>
      <c r="N1192" s="1">
        <f t="shared" si="197"/>
        <v>3.6926641585629154</v>
      </c>
    </row>
    <row r="1193" spans="1:14" ht="34.5" customHeight="1" x14ac:dyDescent="0.3">
      <c r="A1193" s="1">
        <v>32.1</v>
      </c>
      <c r="G1193" s="1">
        <v>87</v>
      </c>
      <c r="H1193" s="1">
        <v>0.53</v>
      </c>
      <c r="I1193" s="1">
        <v>48</v>
      </c>
      <c r="J1193" s="1">
        <v>4</v>
      </c>
      <c r="K1193" s="1">
        <v>298</v>
      </c>
      <c r="M1193" s="1">
        <v>2375</v>
      </c>
      <c r="N1193" s="1">
        <f t="shared" si="197"/>
        <v>4.2605866156527803</v>
      </c>
    </row>
    <row r="1194" spans="1:14" ht="34.5" customHeight="1" x14ac:dyDescent="0.3">
      <c r="A1194" s="1">
        <v>32.1</v>
      </c>
      <c r="G1194" s="1">
        <v>87</v>
      </c>
      <c r="H1194" s="1">
        <v>0.53</v>
      </c>
      <c r="I1194" s="1">
        <v>48</v>
      </c>
      <c r="J1194" s="1">
        <v>4</v>
      </c>
      <c r="K1194" s="1">
        <v>298</v>
      </c>
      <c r="M1194" s="1">
        <v>3800</v>
      </c>
      <c r="N1194" s="1">
        <f t="shared" si="197"/>
        <v>4.5849884763749245</v>
      </c>
    </row>
    <row r="1195" spans="1:14" ht="34.5" customHeight="1" x14ac:dyDescent="0.3">
      <c r="A1195" s="1">
        <v>32.1</v>
      </c>
      <c r="G1195" s="1">
        <v>87</v>
      </c>
      <c r="H1195" s="1">
        <v>0.53</v>
      </c>
      <c r="I1195" s="1">
        <v>48</v>
      </c>
      <c r="J1195" s="1">
        <v>4</v>
      </c>
      <c r="K1195" s="1">
        <v>298</v>
      </c>
      <c r="M1195" s="1">
        <v>5700</v>
      </c>
      <c r="N1195" s="1">
        <f t="shared" si="197"/>
        <v>4.8846227626569139</v>
      </c>
    </row>
    <row r="1196" spans="1:14" ht="34.5" customHeight="1" x14ac:dyDescent="0.3">
      <c r="A1196" s="1" t="s">
        <v>11</v>
      </c>
      <c r="G1196" s="1">
        <v>251.1</v>
      </c>
      <c r="H1196" s="1">
        <v>0.28000000000000003</v>
      </c>
      <c r="I1196" s="1">
        <v>5.55</v>
      </c>
      <c r="J1196" s="1">
        <v>5</v>
      </c>
      <c r="K1196" s="1">
        <v>298</v>
      </c>
      <c r="M1196" s="1">
        <v>0.1</v>
      </c>
      <c r="N1196" s="1">
        <f t="shared" ref="N1196:N1201" si="198">27.71*17.19*M1196/(1+17.19*M1196)</f>
        <v>17.51875321809489</v>
      </c>
    </row>
    <row r="1197" spans="1:14" ht="34.5" customHeight="1" x14ac:dyDescent="0.3">
      <c r="A1197" s="1" t="s">
        <v>11</v>
      </c>
      <c r="G1197" s="1">
        <v>251.1</v>
      </c>
      <c r="H1197" s="1">
        <v>0.28000000000000003</v>
      </c>
      <c r="I1197" s="1">
        <v>5.55</v>
      </c>
      <c r="J1197" s="1">
        <v>5</v>
      </c>
      <c r="K1197" s="1">
        <v>298</v>
      </c>
      <c r="M1197" s="1">
        <v>1</v>
      </c>
      <c r="N1197" s="1">
        <f t="shared" si="198"/>
        <v>26.186635514018693</v>
      </c>
    </row>
    <row r="1198" spans="1:14" ht="34.5" customHeight="1" x14ac:dyDescent="0.3">
      <c r="A1198" s="1" t="s">
        <v>11</v>
      </c>
      <c r="G1198" s="1">
        <v>251.1</v>
      </c>
      <c r="H1198" s="1">
        <v>0.28000000000000003</v>
      </c>
      <c r="I1198" s="1">
        <v>5.55</v>
      </c>
      <c r="J1198" s="1">
        <v>5</v>
      </c>
      <c r="K1198" s="1">
        <v>298</v>
      </c>
      <c r="M1198" s="1">
        <v>2</v>
      </c>
      <c r="N1198" s="1">
        <f t="shared" si="198"/>
        <v>26.926789146410403</v>
      </c>
    </row>
    <row r="1199" spans="1:14" ht="34.5" customHeight="1" x14ac:dyDescent="0.3">
      <c r="A1199" s="1" t="s">
        <v>11</v>
      </c>
      <c r="G1199" s="1">
        <v>251.1</v>
      </c>
      <c r="H1199" s="1">
        <v>0.28000000000000003</v>
      </c>
      <c r="I1199" s="1">
        <v>5.55</v>
      </c>
      <c r="J1199" s="1">
        <v>5</v>
      </c>
      <c r="K1199" s="1">
        <v>298</v>
      </c>
      <c r="M1199" s="1">
        <v>4</v>
      </c>
      <c r="N1199" s="1">
        <f t="shared" si="198"/>
        <v>27.312780963302753</v>
      </c>
    </row>
    <row r="1200" spans="1:14" ht="34.5" customHeight="1" x14ac:dyDescent="0.3">
      <c r="A1200" s="1" t="s">
        <v>11</v>
      </c>
      <c r="G1200" s="1">
        <v>251.1</v>
      </c>
      <c r="H1200" s="1">
        <v>0.28000000000000003</v>
      </c>
      <c r="I1200" s="1">
        <v>5.55</v>
      </c>
      <c r="J1200" s="1">
        <v>5</v>
      </c>
      <c r="K1200" s="1">
        <v>298</v>
      </c>
      <c r="M1200" s="1">
        <v>6</v>
      </c>
      <c r="N1200" s="1">
        <f t="shared" si="198"/>
        <v>27.443915882465912</v>
      </c>
    </row>
    <row r="1201" spans="1:14" ht="34.5" customHeight="1" x14ac:dyDescent="0.3">
      <c r="A1201" s="1" t="s">
        <v>11</v>
      </c>
      <c r="G1201" s="1">
        <v>251.1</v>
      </c>
      <c r="H1201" s="1">
        <v>0.28000000000000003</v>
      </c>
      <c r="I1201" s="1">
        <v>5.55</v>
      </c>
      <c r="J1201" s="1">
        <v>5</v>
      </c>
      <c r="K1201" s="1">
        <v>298</v>
      </c>
      <c r="M1201" s="1">
        <v>8</v>
      </c>
      <c r="N1201" s="1">
        <f t="shared" si="198"/>
        <v>27.509956684955242</v>
      </c>
    </row>
    <row r="1202" spans="1:14" ht="34.5" customHeight="1" x14ac:dyDescent="0.3">
      <c r="D1202" s="1" t="s">
        <v>11</v>
      </c>
      <c r="G1202" s="1">
        <v>228</v>
      </c>
      <c r="J1202" s="1">
        <v>7</v>
      </c>
      <c r="K1202" s="1">
        <v>298</v>
      </c>
      <c r="M1202" s="1">
        <v>1</v>
      </c>
      <c r="N1202" s="1">
        <f t="shared" ref="N1202:N1207" si="199">51.8*0.937*M1202/(1+0.937*M1202)</f>
        <v>25.057614868353124</v>
      </c>
    </row>
    <row r="1203" spans="1:14" ht="34.5" customHeight="1" x14ac:dyDescent="0.3">
      <c r="D1203" s="1" t="s">
        <v>11</v>
      </c>
      <c r="G1203" s="1">
        <v>228</v>
      </c>
      <c r="J1203" s="1">
        <v>7</v>
      </c>
      <c r="K1203" s="1">
        <v>298</v>
      </c>
      <c r="M1203" s="1">
        <v>2</v>
      </c>
      <c r="N1203" s="1">
        <f t="shared" si="199"/>
        <v>33.776339596381348</v>
      </c>
    </row>
    <row r="1204" spans="1:14" ht="34.5" customHeight="1" x14ac:dyDescent="0.3">
      <c r="D1204" s="1" t="s">
        <v>11</v>
      </c>
      <c r="G1204" s="1">
        <v>228</v>
      </c>
      <c r="J1204" s="1">
        <v>7</v>
      </c>
      <c r="K1204" s="1">
        <v>298</v>
      </c>
      <c r="M1204" s="1">
        <v>4</v>
      </c>
      <c r="N1204" s="1">
        <f t="shared" si="199"/>
        <v>40.890143218197132</v>
      </c>
    </row>
    <row r="1205" spans="1:14" ht="34.5" customHeight="1" x14ac:dyDescent="0.3">
      <c r="D1205" s="1" t="s">
        <v>11</v>
      </c>
      <c r="G1205" s="1">
        <v>228</v>
      </c>
      <c r="J1205" s="1">
        <v>7</v>
      </c>
      <c r="K1205" s="1">
        <v>298</v>
      </c>
      <c r="M1205" s="1">
        <v>12</v>
      </c>
      <c r="N1205" s="1">
        <f t="shared" si="199"/>
        <v>47.569356419470765</v>
      </c>
    </row>
    <row r="1206" spans="1:14" ht="34.5" customHeight="1" x14ac:dyDescent="0.3">
      <c r="D1206" s="1" t="s">
        <v>11</v>
      </c>
      <c r="G1206" s="1">
        <v>228</v>
      </c>
      <c r="J1206" s="1">
        <v>7</v>
      </c>
      <c r="K1206" s="1">
        <v>298</v>
      </c>
      <c r="M1206" s="1">
        <v>20</v>
      </c>
      <c r="N1206" s="1">
        <f t="shared" si="199"/>
        <v>49.175886524822687</v>
      </c>
    </row>
    <row r="1207" spans="1:14" ht="34.5" customHeight="1" x14ac:dyDescent="0.3">
      <c r="D1207" s="1" t="s">
        <v>11</v>
      </c>
      <c r="G1207" s="1">
        <v>228</v>
      </c>
      <c r="J1207" s="1">
        <v>7</v>
      </c>
      <c r="K1207" s="1">
        <v>298</v>
      </c>
      <c r="M1207" s="1">
        <v>30</v>
      </c>
      <c r="N1207" s="1">
        <f t="shared" si="199"/>
        <v>50.020542768807964</v>
      </c>
    </row>
    <row r="1208" spans="1:14" ht="34.5" customHeight="1" x14ac:dyDescent="0.3">
      <c r="A1208" s="1" t="s">
        <v>11</v>
      </c>
      <c r="D1208" s="1">
        <v>7.0000000000000007E-2</v>
      </c>
      <c r="G1208" s="1">
        <v>173.92</v>
      </c>
      <c r="J1208" s="1">
        <v>7.9</v>
      </c>
      <c r="K1208" s="1">
        <v>298</v>
      </c>
      <c r="M1208" s="1">
        <v>5</v>
      </c>
      <c r="N1208" s="1">
        <f t="shared" ref="N1208:N1213" si="200">21.53*0.102*M1208/(1+0.102*M1208)</f>
        <v>7.2717218543046354</v>
      </c>
    </row>
    <row r="1209" spans="1:14" ht="34.5" customHeight="1" x14ac:dyDescent="0.3">
      <c r="A1209" s="1" t="s">
        <v>11</v>
      </c>
      <c r="D1209" s="1">
        <v>7.0000000000000007E-2</v>
      </c>
      <c r="G1209" s="1">
        <v>173.92</v>
      </c>
      <c r="J1209" s="1">
        <v>7.9</v>
      </c>
      <c r="K1209" s="1">
        <v>298</v>
      </c>
      <c r="M1209" s="1">
        <v>10</v>
      </c>
      <c r="N1209" s="1">
        <f t="shared" si="200"/>
        <v>10.871584158415841</v>
      </c>
    </row>
    <row r="1210" spans="1:14" ht="34.5" customHeight="1" x14ac:dyDescent="0.3">
      <c r="A1210" s="1" t="s">
        <v>11</v>
      </c>
      <c r="D1210" s="1">
        <v>7.0000000000000007E-2</v>
      </c>
      <c r="G1210" s="1">
        <v>173.92</v>
      </c>
      <c r="J1210" s="1">
        <v>7.9</v>
      </c>
      <c r="K1210" s="1">
        <v>298</v>
      </c>
      <c r="M1210" s="1">
        <v>15</v>
      </c>
      <c r="N1210" s="1">
        <f t="shared" si="200"/>
        <v>13.020118577075099</v>
      </c>
    </row>
    <row r="1211" spans="1:14" ht="34.5" customHeight="1" x14ac:dyDescent="0.3">
      <c r="A1211" s="1" t="s">
        <v>11</v>
      </c>
      <c r="D1211" s="1">
        <v>7.0000000000000007E-2</v>
      </c>
      <c r="G1211" s="1">
        <v>173.92</v>
      </c>
      <c r="J1211" s="1">
        <v>7.9</v>
      </c>
      <c r="K1211" s="1">
        <v>298</v>
      </c>
      <c r="M1211" s="1">
        <v>25</v>
      </c>
      <c r="N1211" s="1">
        <f t="shared" si="200"/>
        <v>15.465211267605635</v>
      </c>
    </row>
    <row r="1212" spans="1:14" ht="34.5" customHeight="1" x14ac:dyDescent="0.3">
      <c r="A1212" s="1" t="s">
        <v>11</v>
      </c>
      <c r="D1212" s="1">
        <v>7.0000000000000007E-2</v>
      </c>
      <c r="G1212" s="1">
        <v>173.92</v>
      </c>
      <c r="J1212" s="1">
        <v>7.9</v>
      </c>
      <c r="K1212" s="1">
        <v>298</v>
      </c>
      <c r="M1212" s="1">
        <v>30</v>
      </c>
      <c r="N1212" s="1">
        <f t="shared" si="200"/>
        <v>16.227044334975371</v>
      </c>
    </row>
    <row r="1213" spans="1:14" ht="34.5" customHeight="1" x14ac:dyDescent="0.3">
      <c r="A1213" s="1" t="s">
        <v>11</v>
      </c>
      <c r="D1213" s="1">
        <v>7.0000000000000007E-2</v>
      </c>
      <c r="G1213" s="1">
        <v>173.92</v>
      </c>
      <c r="J1213" s="1">
        <v>7.9</v>
      </c>
      <c r="K1213" s="1">
        <v>298</v>
      </c>
      <c r="M1213" s="1">
        <v>40</v>
      </c>
      <c r="N1213" s="1">
        <f t="shared" si="200"/>
        <v>17.291811023622046</v>
      </c>
    </row>
    <row r="1214" spans="1:14" ht="34.5" customHeight="1" x14ac:dyDescent="0.3">
      <c r="A1214" s="1" t="s">
        <v>11</v>
      </c>
      <c r="D1214" s="1">
        <v>0.13</v>
      </c>
      <c r="G1214" s="1">
        <v>192.33</v>
      </c>
      <c r="J1214" s="1">
        <v>7.9</v>
      </c>
      <c r="K1214" s="1">
        <v>298</v>
      </c>
      <c r="M1214" s="1">
        <v>5</v>
      </c>
      <c r="N1214" s="1">
        <f t="shared" ref="N1214:N1219" si="201">22.37*0.161*M1214/(1+0.161*M1214)</f>
        <v>9.9766481994459824</v>
      </c>
    </row>
    <row r="1215" spans="1:14" ht="34.5" customHeight="1" x14ac:dyDescent="0.3">
      <c r="A1215" s="1" t="s">
        <v>11</v>
      </c>
      <c r="D1215" s="1">
        <v>0.13</v>
      </c>
      <c r="G1215" s="1">
        <v>192.33</v>
      </c>
      <c r="J1215" s="1">
        <v>7.9</v>
      </c>
      <c r="K1215" s="1">
        <v>298</v>
      </c>
      <c r="M1215" s="1">
        <v>10</v>
      </c>
      <c r="N1215" s="1">
        <f t="shared" si="201"/>
        <v>13.799118773946359</v>
      </c>
    </row>
    <row r="1216" spans="1:14" ht="34.5" customHeight="1" x14ac:dyDescent="0.3">
      <c r="A1216" s="1" t="s">
        <v>11</v>
      </c>
      <c r="D1216" s="1">
        <v>0.13</v>
      </c>
      <c r="G1216" s="1">
        <v>192.33</v>
      </c>
      <c r="J1216" s="1">
        <v>7.9</v>
      </c>
      <c r="K1216" s="1">
        <v>298</v>
      </c>
      <c r="M1216" s="1">
        <v>15</v>
      </c>
      <c r="N1216" s="1">
        <f t="shared" si="201"/>
        <v>15.819487554904832</v>
      </c>
    </row>
    <row r="1217" spans="1:14" ht="34.5" customHeight="1" x14ac:dyDescent="0.3">
      <c r="A1217" s="1" t="s">
        <v>11</v>
      </c>
      <c r="D1217" s="1">
        <v>0.13</v>
      </c>
      <c r="G1217" s="1">
        <v>192.33</v>
      </c>
      <c r="J1217" s="1">
        <v>7.9</v>
      </c>
      <c r="K1217" s="1">
        <v>298</v>
      </c>
      <c r="M1217" s="1">
        <v>25</v>
      </c>
      <c r="N1217" s="1">
        <f t="shared" si="201"/>
        <v>17.918258706467661</v>
      </c>
    </row>
    <row r="1218" spans="1:14" ht="34.5" customHeight="1" x14ac:dyDescent="0.3">
      <c r="A1218" s="1" t="s">
        <v>11</v>
      </c>
      <c r="D1218" s="1">
        <v>0.13</v>
      </c>
      <c r="G1218" s="1">
        <v>192.33</v>
      </c>
      <c r="J1218" s="1">
        <v>7.9</v>
      </c>
      <c r="K1218" s="1">
        <v>298</v>
      </c>
      <c r="M1218" s="1">
        <v>30</v>
      </c>
      <c r="N1218" s="1">
        <f t="shared" si="201"/>
        <v>18.53295025728988</v>
      </c>
    </row>
    <row r="1219" spans="1:14" ht="34.5" customHeight="1" x14ac:dyDescent="0.3">
      <c r="A1219" s="1" t="s">
        <v>11</v>
      </c>
      <c r="D1219" s="1">
        <v>0.13</v>
      </c>
      <c r="G1219" s="1">
        <v>192.33</v>
      </c>
      <c r="J1219" s="1">
        <v>7.9</v>
      </c>
      <c r="K1219" s="1">
        <v>298</v>
      </c>
      <c r="M1219" s="1">
        <v>40</v>
      </c>
      <c r="N1219" s="1">
        <f t="shared" si="201"/>
        <v>19.363279569892473</v>
      </c>
    </row>
    <row r="1220" spans="1:14" ht="34.5" customHeight="1" x14ac:dyDescent="0.3">
      <c r="A1220" s="1" t="s">
        <v>11</v>
      </c>
      <c r="G1220" s="1">
        <v>232</v>
      </c>
      <c r="I1220" s="1">
        <v>3.9</v>
      </c>
      <c r="J1220" s="1">
        <v>6.8</v>
      </c>
      <c r="K1220" s="1">
        <v>293</v>
      </c>
      <c r="M1220" s="1">
        <v>5</v>
      </c>
      <c r="N1220" s="1">
        <f t="shared" ref="N1220:N1225" si="202">29.71*0.031*M1220/(1+0.031*M1220)</f>
        <v>3.9870562770562774</v>
      </c>
    </row>
    <row r="1221" spans="1:14" ht="34.5" customHeight="1" x14ac:dyDescent="0.3">
      <c r="A1221" s="1" t="s">
        <v>11</v>
      </c>
      <c r="G1221" s="1">
        <v>232</v>
      </c>
      <c r="I1221" s="1">
        <v>3.9</v>
      </c>
      <c r="J1221" s="1">
        <v>6.8</v>
      </c>
      <c r="K1221" s="1">
        <v>293</v>
      </c>
      <c r="M1221" s="1">
        <v>10</v>
      </c>
      <c r="N1221" s="1">
        <f t="shared" si="202"/>
        <v>7.030610687022901</v>
      </c>
    </row>
    <row r="1222" spans="1:14" ht="34.5" customHeight="1" x14ac:dyDescent="0.3">
      <c r="A1222" s="1" t="s">
        <v>11</v>
      </c>
      <c r="G1222" s="1">
        <v>232</v>
      </c>
      <c r="I1222" s="1">
        <v>3.9</v>
      </c>
      <c r="J1222" s="1">
        <v>6.8</v>
      </c>
      <c r="K1222" s="1">
        <v>293</v>
      </c>
      <c r="M1222" s="1">
        <v>25</v>
      </c>
      <c r="N1222" s="1">
        <f t="shared" si="202"/>
        <v>12.971971830985916</v>
      </c>
    </row>
    <row r="1223" spans="1:14" ht="34.5" customHeight="1" x14ac:dyDescent="0.3">
      <c r="A1223" s="1" t="s">
        <v>11</v>
      </c>
      <c r="G1223" s="1">
        <v>232</v>
      </c>
      <c r="I1223" s="1">
        <v>3.9</v>
      </c>
      <c r="J1223" s="1">
        <v>6.8</v>
      </c>
      <c r="K1223" s="1">
        <v>293</v>
      </c>
      <c r="M1223" s="1">
        <v>75</v>
      </c>
      <c r="N1223" s="1">
        <f t="shared" si="202"/>
        <v>20.774661654135336</v>
      </c>
    </row>
    <row r="1224" spans="1:14" ht="34.5" customHeight="1" x14ac:dyDescent="0.3">
      <c r="A1224" s="1" t="s">
        <v>11</v>
      </c>
      <c r="G1224" s="1">
        <v>232</v>
      </c>
      <c r="I1224" s="1">
        <v>3.9</v>
      </c>
      <c r="J1224" s="1">
        <v>6.8</v>
      </c>
      <c r="K1224" s="1">
        <v>293</v>
      </c>
      <c r="M1224" s="1">
        <v>150</v>
      </c>
      <c r="N1224" s="1">
        <f t="shared" si="202"/>
        <v>24.451592920353981</v>
      </c>
    </row>
    <row r="1225" spans="1:14" ht="34.5" customHeight="1" x14ac:dyDescent="0.3">
      <c r="A1225" s="1" t="s">
        <v>11</v>
      </c>
      <c r="G1225" s="1">
        <v>232</v>
      </c>
      <c r="I1225" s="1">
        <v>3.9</v>
      </c>
      <c r="J1225" s="1">
        <v>6.8</v>
      </c>
      <c r="K1225" s="1">
        <v>293</v>
      </c>
      <c r="M1225" s="1">
        <v>250</v>
      </c>
      <c r="N1225" s="1">
        <f t="shared" si="202"/>
        <v>26.31457142857143</v>
      </c>
    </row>
    <row r="1226" spans="1:14" ht="34.5" customHeight="1" x14ac:dyDescent="0.3">
      <c r="B1226" s="1" t="s">
        <v>11</v>
      </c>
      <c r="D1226" s="1" t="s">
        <v>11</v>
      </c>
      <c r="G1226" s="1">
        <v>198.6</v>
      </c>
      <c r="H1226" s="1">
        <v>7.0000000000000007E-2</v>
      </c>
      <c r="I1226" s="1">
        <v>2.4</v>
      </c>
      <c r="J1226" s="1">
        <v>5</v>
      </c>
      <c r="K1226" s="1">
        <v>298</v>
      </c>
      <c r="M1226" s="1">
        <v>1</v>
      </c>
      <c r="N1226" s="1">
        <f t="shared" ref="N1226:N1231" si="203">17.2*7.06*M1226/(1+7.06*M1226)</f>
        <v>15.066004962779157</v>
      </c>
    </row>
    <row r="1227" spans="1:14" ht="34.5" customHeight="1" x14ac:dyDescent="0.3">
      <c r="B1227" s="1" t="s">
        <v>11</v>
      </c>
      <c r="D1227" s="1" t="s">
        <v>11</v>
      </c>
      <c r="G1227" s="1">
        <v>198.6</v>
      </c>
      <c r="H1227" s="1">
        <v>7.0000000000000007E-2</v>
      </c>
      <c r="I1227" s="1">
        <v>2.4</v>
      </c>
      <c r="J1227" s="1">
        <v>5</v>
      </c>
      <c r="K1227" s="1">
        <v>298</v>
      </c>
      <c r="M1227" s="1">
        <v>2.5</v>
      </c>
      <c r="N1227" s="1">
        <f t="shared" si="203"/>
        <v>16.27774798927614</v>
      </c>
    </row>
    <row r="1228" spans="1:14" ht="34.5" customHeight="1" x14ac:dyDescent="0.3">
      <c r="B1228" s="1" t="s">
        <v>11</v>
      </c>
      <c r="D1228" s="1" t="s">
        <v>11</v>
      </c>
      <c r="G1228" s="1">
        <v>198.6</v>
      </c>
      <c r="H1228" s="1">
        <v>7.0000000000000007E-2</v>
      </c>
      <c r="I1228" s="1">
        <v>2.4</v>
      </c>
      <c r="J1228" s="1">
        <v>5</v>
      </c>
      <c r="K1228" s="1">
        <v>298</v>
      </c>
      <c r="M1228" s="1">
        <v>5</v>
      </c>
      <c r="N1228" s="1">
        <f t="shared" si="203"/>
        <v>16.726170798898071</v>
      </c>
    </row>
    <row r="1229" spans="1:14" ht="34.5" customHeight="1" x14ac:dyDescent="0.3">
      <c r="B1229" s="1" t="s">
        <v>11</v>
      </c>
      <c r="D1229" s="1" t="s">
        <v>11</v>
      </c>
      <c r="G1229" s="1">
        <v>198.6</v>
      </c>
      <c r="H1229" s="1">
        <v>7.0000000000000007E-2</v>
      </c>
      <c r="I1229" s="1">
        <v>2.4</v>
      </c>
      <c r="J1229" s="1">
        <v>5</v>
      </c>
      <c r="K1229" s="1">
        <v>298</v>
      </c>
      <c r="M1229" s="1">
        <v>7</v>
      </c>
      <c r="N1229" s="1">
        <f t="shared" si="203"/>
        <v>16.858865529551764</v>
      </c>
    </row>
    <row r="1230" spans="1:14" ht="34.5" customHeight="1" x14ac:dyDescent="0.3">
      <c r="B1230" s="1" t="s">
        <v>11</v>
      </c>
      <c r="D1230" s="1" t="s">
        <v>11</v>
      </c>
      <c r="G1230" s="1">
        <v>198.6</v>
      </c>
      <c r="H1230" s="1">
        <v>7.0000000000000007E-2</v>
      </c>
      <c r="I1230" s="1">
        <v>2.4</v>
      </c>
      <c r="J1230" s="1">
        <v>5</v>
      </c>
      <c r="K1230" s="1">
        <v>298</v>
      </c>
      <c r="M1230" s="1">
        <v>10</v>
      </c>
      <c r="N1230" s="1">
        <f t="shared" si="203"/>
        <v>16.959776536312848</v>
      </c>
    </row>
    <row r="1231" spans="1:14" ht="34.5" customHeight="1" x14ac:dyDescent="0.3">
      <c r="B1231" s="1" t="s">
        <v>11</v>
      </c>
      <c r="D1231" s="1" t="s">
        <v>11</v>
      </c>
      <c r="G1231" s="1">
        <v>198.6</v>
      </c>
      <c r="H1231" s="1">
        <v>7.0000000000000007E-2</v>
      </c>
      <c r="I1231" s="1">
        <v>2.4</v>
      </c>
      <c r="J1231" s="1">
        <v>5</v>
      </c>
      <c r="K1231" s="1">
        <v>298</v>
      </c>
      <c r="M1231" s="1">
        <v>12</v>
      </c>
      <c r="N1231" s="1">
        <f t="shared" si="203"/>
        <v>16.999346710219317</v>
      </c>
    </row>
    <row r="1232" spans="1:14" ht="34.5" customHeight="1" x14ac:dyDescent="0.3">
      <c r="B1232" s="1" t="s">
        <v>11</v>
      </c>
      <c r="D1232" s="1" t="s">
        <v>11</v>
      </c>
      <c r="G1232" s="1">
        <v>198.6</v>
      </c>
      <c r="H1232" s="1">
        <v>7.0000000000000007E-2</v>
      </c>
      <c r="I1232" s="1">
        <v>2.4</v>
      </c>
      <c r="J1232" s="1">
        <v>5</v>
      </c>
      <c r="K1232" s="1">
        <v>303</v>
      </c>
      <c r="M1232" s="1">
        <v>1</v>
      </c>
      <c r="N1232" s="1">
        <f t="shared" ref="N1232:N1237" si="204">18.1*8.59*M1232/(1+8.59*M1232)</f>
        <v>16.212617309697603</v>
      </c>
    </row>
    <row r="1233" spans="2:14" ht="34.5" customHeight="1" x14ac:dyDescent="0.3">
      <c r="B1233" s="1" t="s">
        <v>11</v>
      </c>
      <c r="D1233" s="1" t="s">
        <v>11</v>
      </c>
      <c r="G1233" s="1">
        <v>198.6</v>
      </c>
      <c r="H1233" s="1">
        <v>7.0000000000000007E-2</v>
      </c>
      <c r="I1233" s="1">
        <v>2.4</v>
      </c>
      <c r="J1233" s="1">
        <v>5</v>
      </c>
      <c r="K1233" s="1">
        <v>303</v>
      </c>
      <c r="M1233" s="1">
        <v>2.5</v>
      </c>
      <c r="N1233" s="1">
        <f t="shared" si="204"/>
        <v>17.294660734149055</v>
      </c>
    </row>
    <row r="1234" spans="2:14" ht="34.5" customHeight="1" x14ac:dyDescent="0.3">
      <c r="B1234" s="1" t="s">
        <v>11</v>
      </c>
      <c r="D1234" s="1" t="s">
        <v>11</v>
      </c>
      <c r="G1234" s="1">
        <v>198.6</v>
      </c>
      <c r="H1234" s="1">
        <v>7.0000000000000007E-2</v>
      </c>
      <c r="I1234" s="1">
        <v>2.4</v>
      </c>
      <c r="J1234" s="1">
        <v>5</v>
      </c>
      <c r="K1234" s="1">
        <v>303</v>
      </c>
      <c r="M1234" s="1">
        <v>5</v>
      </c>
      <c r="N1234" s="1">
        <f t="shared" si="204"/>
        <v>17.68816837315131</v>
      </c>
    </row>
    <row r="1235" spans="2:14" ht="34.5" customHeight="1" x14ac:dyDescent="0.3">
      <c r="B1235" s="1" t="s">
        <v>11</v>
      </c>
      <c r="D1235" s="1" t="s">
        <v>11</v>
      </c>
      <c r="G1235" s="1">
        <v>198.6</v>
      </c>
      <c r="H1235" s="1">
        <v>7.0000000000000007E-2</v>
      </c>
      <c r="I1235" s="1">
        <v>2.4</v>
      </c>
      <c r="J1235" s="1">
        <v>5</v>
      </c>
      <c r="K1235" s="1">
        <v>303</v>
      </c>
      <c r="M1235" s="1">
        <v>7</v>
      </c>
      <c r="N1235" s="1">
        <f t="shared" si="204"/>
        <v>17.803909700637988</v>
      </c>
    </row>
    <row r="1236" spans="2:14" ht="34.5" customHeight="1" x14ac:dyDescent="0.3">
      <c r="B1236" s="1" t="s">
        <v>11</v>
      </c>
      <c r="D1236" s="1" t="s">
        <v>11</v>
      </c>
      <c r="G1236" s="1">
        <v>198.6</v>
      </c>
      <c r="H1236" s="1">
        <v>7.0000000000000007E-2</v>
      </c>
      <c r="I1236" s="1">
        <v>2.4</v>
      </c>
      <c r="J1236" s="1">
        <v>5</v>
      </c>
      <c r="K1236" s="1">
        <v>303</v>
      </c>
      <c r="M1236" s="1">
        <v>10</v>
      </c>
      <c r="N1236" s="1">
        <f t="shared" si="204"/>
        <v>17.891714614499424</v>
      </c>
    </row>
    <row r="1237" spans="2:14" ht="34.5" customHeight="1" x14ac:dyDescent="0.3">
      <c r="B1237" s="1" t="s">
        <v>11</v>
      </c>
      <c r="D1237" s="1" t="s">
        <v>11</v>
      </c>
      <c r="G1237" s="1">
        <v>198.6</v>
      </c>
      <c r="H1237" s="1">
        <v>7.0000000000000007E-2</v>
      </c>
      <c r="I1237" s="1">
        <v>2.4</v>
      </c>
      <c r="J1237" s="1">
        <v>5</v>
      </c>
      <c r="K1237" s="1">
        <v>303</v>
      </c>
      <c r="M1237" s="1">
        <v>12</v>
      </c>
      <c r="N1237" s="1">
        <f t="shared" si="204"/>
        <v>17.926095311299001</v>
      </c>
    </row>
    <row r="1238" spans="2:14" ht="34.5" customHeight="1" x14ac:dyDescent="0.3">
      <c r="B1238" s="1" t="s">
        <v>11</v>
      </c>
      <c r="D1238" s="1" t="s">
        <v>11</v>
      </c>
      <c r="G1238" s="1">
        <v>198.6</v>
      </c>
      <c r="H1238" s="1">
        <v>7.0000000000000007E-2</v>
      </c>
      <c r="I1238" s="1">
        <v>2.4</v>
      </c>
      <c r="J1238" s="1">
        <v>5</v>
      </c>
      <c r="K1238" s="1">
        <v>308</v>
      </c>
      <c r="M1238" s="1">
        <v>1</v>
      </c>
      <c r="N1238" s="1">
        <f t="shared" ref="N1238:N1243" si="205">18.9*9.35*M1238/(1+9.35*M1238)</f>
        <v>17.07391304347826</v>
      </c>
    </row>
    <row r="1239" spans="2:14" ht="34.5" customHeight="1" x14ac:dyDescent="0.3">
      <c r="B1239" s="1" t="s">
        <v>11</v>
      </c>
      <c r="D1239" s="1" t="s">
        <v>11</v>
      </c>
      <c r="G1239" s="1">
        <v>198.6</v>
      </c>
      <c r="H1239" s="1">
        <v>7.0000000000000007E-2</v>
      </c>
      <c r="I1239" s="1">
        <v>2.4</v>
      </c>
      <c r="J1239" s="1">
        <v>5</v>
      </c>
      <c r="K1239" s="1">
        <v>308</v>
      </c>
      <c r="M1239" s="1">
        <v>2.5</v>
      </c>
      <c r="N1239" s="1">
        <f t="shared" si="205"/>
        <v>18.124615384615382</v>
      </c>
    </row>
    <row r="1240" spans="2:14" ht="34.5" customHeight="1" x14ac:dyDescent="0.3">
      <c r="B1240" s="1" t="s">
        <v>11</v>
      </c>
      <c r="D1240" s="1" t="s">
        <v>11</v>
      </c>
      <c r="G1240" s="1">
        <v>198.6</v>
      </c>
      <c r="H1240" s="1">
        <v>7.0000000000000007E-2</v>
      </c>
      <c r="I1240" s="1">
        <v>2.4</v>
      </c>
      <c r="J1240" s="1">
        <v>5</v>
      </c>
      <c r="K1240" s="1">
        <v>308</v>
      </c>
      <c r="M1240" s="1">
        <v>5</v>
      </c>
      <c r="N1240" s="1">
        <f t="shared" si="205"/>
        <v>18.504188481675389</v>
      </c>
    </row>
    <row r="1241" spans="2:14" ht="34.5" customHeight="1" x14ac:dyDescent="0.3">
      <c r="B1241" s="1" t="s">
        <v>11</v>
      </c>
      <c r="D1241" s="1" t="s">
        <v>11</v>
      </c>
      <c r="G1241" s="1">
        <v>198.6</v>
      </c>
      <c r="H1241" s="1">
        <v>7.0000000000000007E-2</v>
      </c>
      <c r="I1241" s="1">
        <v>2.4</v>
      </c>
      <c r="J1241" s="1">
        <v>5</v>
      </c>
      <c r="K1241" s="1">
        <v>308</v>
      </c>
      <c r="M1241" s="1">
        <v>7</v>
      </c>
      <c r="N1241" s="1">
        <f t="shared" si="205"/>
        <v>18.615575620767491</v>
      </c>
    </row>
    <row r="1242" spans="2:14" ht="34.5" customHeight="1" x14ac:dyDescent="0.3">
      <c r="B1242" s="1" t="s">
        <v>11</v>
      </c>
      <c r="D1242" s="1" t="s">
        <v>11</v>
      </c>
      <c r="G1242" s="1">
        <v>198.6</v>
      </c>
      <c r="H1242" s="1">
        <v>7.0000000000000007E-2</v>
      </c>
      <c r="I1242" s="1">
        <v>2.4</v>
      </c>
      <c r="J1242" s="1">
        <v>5</v>
      </c>
      <c r="K1242" s="1">
        <v>308</v>
      </c>
      <c r="M1242" s="1">
        <v>10</v>
      </c>
      <c r="N1242" s="1">
        <f t="shared" si="205"/>
        <v>18.699999999999996</v>
      </c>
    </row>
    <row r="1243" spans="2:14" ht="34.5" customHeight="1" x14ac:dyDescent="0.3">
      <c r="B1243" s="1" t="s">
        <v>11</v>
      </c>
      <c r="D1243" s="1" t="s">
        <v>11</v>
      </c>
      <c r="G1243" s="1">
        <v>198.6</v>
      </c>
      <c r="H1243" s="1">
        <v>7.0000000000000007E-2</v>
      </c>
      <c r="I1243" s="1">
        <v>2.4</v>
      </c>
      <c r="J1243" s="1">
        <v>5</v>
      </c>
      <c r="K1243" s="1">
        <v>308</v>
      </c>
      <c r="M1243" s="1">
        <v>12</v>
      </c>
      <c r="N1243" s="1">
        <f t="shared" si="205"/>
        <v>18.733038869257953</v>
      </c>
    </row>
    <row r="1244" spans="2:14" ht="34.5" customHeight="1" x14ac:dyDescent="0.3">
      <c r="B1244" s="1">
        <v>6.14</v>
      </c>
      <c r="C1244" s="1">
        <v>1.55</v>
      </c>
      <c r="D1244" s="1">
        <v>12.68</v>
      </c>
      <c r="E1244" s="1">
        <v>1.1499999999999999</v>
      </c>
      <c r="F1244" s="1">
        <v>0.73</v>
      </c>
      <c r="G1244" s="1">
        <v>108.02200000000001</v>
      </c>
      <c r="H1244" s="1">
        <v>0.1134</v>
      </c>
      <c r="J1244" s="1">
        <v>7</v>
      </c>
      <c r="K1244" s="1">
        <v>298</v>
      </c>
      <c r="M1244" s="1">
        <v>1</v>
      </c>
      <c r="N1244" s="1">
        <f t="shared" ref="N1244:N1249" si="206">9.06*0.938*M1244/(1+0.938*M1244)</f>
        <v>4.3850773993808048</v>
      </c>
    </row>
    <row r="1245" spans="2:14" ht="34.5" customHeight="1" x14ac:dyDescent="0.3">
      <c r="B1245" s="1">
        <v>6.14</v>
      </c>
      <c r="C1245" s="1">
        <v>1.55</v>
      </c>
      <c r="D1245" s="1">
        <v>12.68</v>
      </c>
      <c r="E1245" s="1">
        <v>1.1499999999999999</v>
      </c>
      <c r="F1245" s="1">
        <v>0.73</v>
      </c>
      <c r="G1245" s="1">
        <v>108.02200000000001</v>
      </c>
      <c r="H1245" s="1">
        <v>0.1134</v>
      </c>
      <c r="J1245" s="1">
        <v>7</v>
      </c>
      <c r="K1245" s="1">
        <v>298</v>
      </c>
      <c r="M1245" s="1">
        <v>3</v>
      </c>
      <c r="N1245" s="1">
        <f t="shared" si="206"/>
        <v>6.6845411641321437</v>
      </c>
    </row>
    <row r="1246" spans="2:14" ht="34.5" customHeight="1" x14ac:dyDescent="0.3">
      <c r="B1246" s="1">
        <v>6.14</v>
      </c>
      <c r="C1246" s="1">
        <v>1.55</v>
      </c>
      <c r="D1246" s="1">
        <v>12.68</v>
      </c>
      <c r="E1246" s="1">
        <v>1.1499999999999999</v>
      </c>
      <c r="F1246" s="1">
        <v>0.73</v>
      </c>
      <c r="G1246" s="1">
        <v>108.02200000000001</v>
      </c>
      <c r="H1246" s="1">
        <v>0.1134</v>
      </c>
      <c r="J1246" s="1">
        <v>7</v>
      </c>
      <c r="K1246" s="1">
        <v>298</v>
      </c>
      <c r="M1246" s="1">
        <v>5</v>
      </c>
      <c r="N1246" s="1">
        <f t="shared" si="206"/>
        <v>7.4677328646748684</v>
      </c>
    </row>
    <row r="1247" spans="2:14" ht="34.5" customHeight="1" x14ac:dyDescent="0.3">
      <c r="B1247" s="1">
        <v>6.14</v>
      </c>
      <c r="C1247" s="1">
        <v>1.55</v>
      </c>
      <c r="D1247" s="1">
        <v>12.68</v>
      </c>
      <c r="E1247" s="1">
        <v>1.1499999999999999</v>
      </c>
      <c r="F1247" s="1">
        <v>0.73</v>
      </c>
      <c r="G1247" s="1">
        <v>108.02200000000001</v>
      </c>
      <c r="H1247" s="1">
        <v>0.1134</v>
      </c>
      <c r="J1247" s="1">
        <v>7</v>
      </c>
      <c r="K1247" s="1">
        <v>298</v>
      </c>
      <c r="M1247" s="1">
        <v>10</v>
      </c>
      <c r="N1247" s="1">
        <f t="shared" si="206"/>
        <v>8.1871676300578038</v>
      </c>
    </row>
    <row r="1248" spans="2:14" ht="34.5" customHeight="1" x14ac:dyDescent="0.3">
      <c r="B1248" s="1">
        <v>6.14</v>
      </c>
      <c r="C1248" s="1">
        <v>1.55</v>
      </c>
      <c r="D1248" s="1">
        <v>12.68</v>
      </c>
      <c r="E1248" s="1">
        <v>1.1499999999999999</v>
      </c>
      <c r="F1248" s="1">
        <v>0.73</v>
      </c>
      <c r="G1248" s="1">
        <v>108.02200000000001</v>
      </c>
      <c r="H1248" s="1">
        <v>0.1134</v>
      </c>
      <c r="J1248" s="1">
        <v>7</v>
      </c>
      <c r="K1248" s="1">
        <v>298</v>
      </c>
      <c r="M1248" s="1">
        <v>15</v>
      </c>
      <c r="N1248" s="1">
        <f t="shared" si="206"/>
        <v>8.458805573988057</v>
      </c>
    </row>
    <row r="1249" spans="2:14" ht="34.5" customHeight="1" x14ac:dyDescent="0.3">
      <c r="B1249" s="1">
        <v>6.14</v>
      </c>
      <c r="C1249" s="1">
        <v>1.55</v>
      </c>
      <c r="D1249" s="1">
        <v>12.68</v>
      </c>
      <c r="E1249" s="1">
        <v>1.1499999999999999</v>
      </c>
      <c r="F1249" s="1">
        <v>0.73</v>
      </c>
      <c r="G1249" s="1">
        <v>108.02200000000001</v>
      </c>
      <c r="H1249" s="1">
        <v>0.1134</v>
      </c>
      <c r="J1249" s="1">
        <v>7</v>
      </c>
      <c r="K1249" s="1">
        <v>298</v>
      </c>
      <c r="M1249" s="1">
        <v>25</v>
      </c>
      <c r="N1249" s="1">
        <f t="shared" si="206"/>
        <v>8.6894478527607362</v>
      </c>
    </row>
    <row r="1250" spans="2:14" ht="34.5" customHeight="1" x14ac:dyDescent="0.3">
      <c r="B1250" s="1">
        <v>7.47</v>
      </c>
      <c r="C1250" s="1">
        <v>2.2599999999999998</v>
      </c>
      <c r="D1250" s="1">
        <v>14.66</v>
      </c>
      <c r="E1250" s="1">
        <v>0.76</v>
      </c>
      <c r="F1250" s="1">
        <v>1</v>
      </c>
      <c r="G1250" s="1">
        <v>88.606999999999999</v>
      </c>
      <c r="H1250" s="1">
        <v>9.7900000000000001E-2</v>
      </c>
      <c r="J1250" s="1">
        <v>7</v>
      </c>
      <c r="K1250" s="1">
        <v>298</v>
      </c>
      <c r="M1250" s="1">
        <v>1</v>
      </c>
      <c r="N1250" s="1">
        <f t="shared" ref="N1250:N1255" si="207">7.25*0.469*M1250/(7.25*M1250+1)</f>
        <v>0.4121515151515151</v>
      </c>
    </row>
    <row r="1251" spans="2:14" ht="34.5" customHeight="1" x14ac:dyDescent="0.3">
      <c r="B1251" s="1">
        <v>7.47</v>
      </c>
      <c r="C1251" s="1">
        <v>2.2599999999999998</v>
      </c>
      <c r="D1251" s="1">
        <v>14.66</v>
      </c>
      <c r="E1251" s="1">
        <v>0.76</v>
      </c>
      <c r="F1251" s="1">
        <v>1</v>
      </c>
      <c r="G1251" s="1">
        <v>88.606999999999999</v>
      </c>
      <c r="H1251" s="1">
        <v>9.7900000000000001E-2</v>
      </c>
      <c r="J1251" s="1">
        <v>7</v>
      </c>
      <c r="K1251" s="1">
        <v>298</v>
      </c>
      <c r="M1251" s="1">
        <v>3</v>
      </c>
      <c r="N1251" s="1">
        <f t="shared" si="207"/>
        <v>0.44838461538461538</v>
      </c>
    </row>
    <row r="1252" spans="2:14" ht="34.5" customHeight="1" x14ac:dyDescent="0.3">
      <c r="B1252" s="1">
        <v>7.47</v>
      </c>
      <c r="C1252" s="1">
        <v>2.2599999999999998</v>
      </c>
      <c r="D1252" s="1">
        <v>14.66</v>
      </c>
      <c r="E1252" s="1">
        <v>0.76</v>
      </c>
      <c r="F1252" s="1">
        <v>1</v>
      </c>
      <c r="G1252" s="1">
        <v>88.606999999999999</v>
      </c>
      <c r="H1252" s="1">
        <v>9.7900000000000001E-2</v>
      </c>
      <c r="J1252" s="1">
        <v>7</v>
      </c>
      <c r="K1252" s="1">
        <v>298</v>
      </c>
      <c r="M1252" s="1">
        <v>5</v>
      </c>
      <c r="N1252" s="1">
        <f t="shared" si="207"/>
        <v>0.45640939597315433</v>
      </c>
    </row>
    <row r="1253" spans="2:14" ht="34.5" customHeight="1" x14ac:dyDescent="0.3">
      <c r="B1253" s="1">
        <v>7.47</v>
      </c>
      <c r="C1253" s="1">
        <v>2.2599999999999998</v>
      </c>
      <c r="D1253" s="1">
        <v>14.66</v>
      </c>
      <c r="E1253" s="1">
        <v>0.76</v>
      </c>
      <c r="F1253" s="1">
        <v>1</v>
      </c>
      <c r="G1253" s="1">
        <v>88.606999999999999</v>
      </c>
      <c r="H1253" s="1">
        <v>9.7900000000000001E-2</v>
      </c>
      <c r="J1253" s="1">
        <v>7</v>
      </c>
      <c r="K1253" s="1">
        <v>298</v>
      </c>
      <c r="M1253" s="1">
        <v>10</v>
      </c>
      <c r="N1253" s="1">
        <f t="shared" si="207"/>
        <v>0.4626190476190476</v>
      </c>
    </row>
    <row r="1254" spans="2:14" ht="34.5" customHeight="1" x14ac:dyDescent="0.3">
      <c r="B1254" s="1">
        <v>7.47</v>
      </c>
      <c r="C1254" s="1">
        <v>2.2599999999999998</v>
      </c>
      <c r="D1254" s="1">
        <v>14.66</v>
      </c>
      <c r="E1254" s="1">
        <v>0.76</v>
      </c>
      <c r="F1254" s="1">
        <v>1</v>
      </c>
      <c r="G1254" s="1">
        <v>88.606999999999999</v>
      </c>
      <c r="H1254" s="1">
        <v>9.7900000000000001E-2</v>
      </c>
      <c r="J1254" s="1">
        <v>7</v>
      </c>
      <c r="K1254" s="1">
        <v>298</v>
      </c>
      <c r="M1254" s="1">
        <v>15</v>
      </c>
      <c r="N1254" s="1">
        <f t="shared" si="207"/>
        <v>0.4647266514806378</v>
      </c>
    </row>
    <row r="1255" spans="2:14" ht="34.5" customHeight="1" x14ac:dyDescent="0.3">
      <c r="B1255" s="1">
        <v>7.47</v>
      </c>
      <c r="C1255" s="1">
        <v>2.2599999999999998</v>
      </c>
      <c r="D1255" s="1">
        <v>14.66</v>
      </c>
      <c r="E1255" s="1">
        <v>0.76</v>
      </c>
      <c r="F1255" s="1">
        <v>1</v>
      </c>
      <c r="G1255" s="1">
        <v>88.606999999999999</v>
      </c>
      <c r="H1255" s="1">
        <v>9.7900000000000001E-2</v>
      </c>
      <c r="J1255" s="1">
        <v>7</v>
      </c>
      <c r="K1255" s="1">
        <v>298</v>
      </c>
      <c r="M1255" s="1">
        <v>25</v>
      </c>
      <c r="N1255" s="1">
        <f t="shared" si="207"/>
        <v>0.46642661179698214</v>
      </c>
    </row>
    <row r="1256" spans="2:14" ht="34.5" customHeight="1" x14ac:dyDescent="0.3">
      <c r="B1256" s="1">
        <v>7.47</v>
      </c>
      <c r="C1256" s="1">
        <v>3.15</v>
      </c>
      <c r="D1256" s="1">
        <v>18.86</v>
      </c>
      <c r="E1256" s="1">
        <v>3.8</v>
      </c>
      <c r="F1256" s="1">
        <v>0.99</v>
      </c>
      <c r="G1256" s="1">
        <v>108.449</v>
      </c>
      <c r="H1256" s="1">
        <v>0.1163</v>
      </c>
      <c r="J1256" s="1">
        <v>7</v>
      </c>
      <c r="K1256" s="1">
        <v>298</v>
      </c>
      <c r="M1256" s="1">
        <v>1</v>
      </c>
      <c r="N1256" s="1">
        <f t="shared" ref="N1256:N1261" si="208">13.4*0.986*M1256/(1+0.986*M1256)</f>
        <v>6.6527693856998997</v>
      </c>
    </row>
    <row r="1257" spans="2:14" ht="34.5" customHeight="1" x14ac:dyDescent="0.3">
      <c r="B1257" s="1">
        <v>7.47</v>
      </c>
      <c r="C1257" s="1">
        <v>3.15</v>
      </c>
      <c r="D1257" s="1">
        <v>18.86</v>
      </c>
      <c r="E1257" s="1">
        <v>3.8</v>
      </c>
      <c r="F1257" s="1">
        <v>0.99</v>
      </c>
      <c r="G1257" s="1">
        <v>108.449</v>
      </c>
      <c r="H1257" s="1">
        <v>0.1163</v>
      </c>
      <c r="J1257" s="1">
        <v>7</v>
      </c>
      <c r="K1257" s="1">
        <v>298</v>
      </c>
      <c r="M1257" s="1">
        <v>3</v>
      </c>
      <c r="N1257" s="1">
        <f t="shared" si="208"/>
        <v>10.014451743304699</v>
      </c>
    </row>
    <row r="1258" spans="2:14" ht="34.5" customHeight="1" x14ac:dyDescent="0.3">
      <c r="B1258" s="1">
        <v>7.47</v>
      </c>
      <c r="C1258" s="1">
        <v>3.15</v>
      </c>
      <c r="D1258" s="1">
        <v>18.86</v>
      </c>
      <c r="E1258" s="1">
        <v>3.8</v>
      </c>
      <c r="F1258" s="1">
        <v>0.99</v>
      </c>
      <c r="G1258" s="1">
        <v>108.449</v>
      </c>
      <c r="H1258" s="1">
        <v>0.1163</v>
      </c>
      <c r="J1258" s="1">
        <v>7</v>
      </c>
      <c r="K1258" s="1">
        <v>298</v>
      </c>
      <c r="M1258" s="1">
        <v>5</v>
      </c>
      <c r="N1258" s="1">
        <f t="shared" si="208"/>
        <v>11.140303541315346</v>
      </c>
    </row>
    <row r="1259" spans="2:14" ht="34.5" customHeight="1" x14ac:dyDescent="0.3">
      <c r="B1259" s="1">
        <v>7.47</v>
      </c>
      <c r="C1259" s="1">
        <v>3.15</v>
      </c>
      <c r="D1259" s="1">
        <v>18.86</v>
      </c>
      <c r="E1259" s="1">
        <v>3.8</v>
      </c>
      <c r="F1259" s="1">
        <v>0.99</v>
      </c>
      <c r="G1259" s="1">
        <v>108.449</v>
      </c>
      <c r="H1259" s="1">
        <v>0.1163</v>
      </c>
      <c r="J1259" s="1">
        <v>7</v>
      </c>
      <c r="K1259" s="1">
        <v>298</v>
      </c>
      <c r="M1259" s="1">
        <v>10</v>
      </c>
      <c r="N1259" s="1">
        <f t="shared" si="208"/>
        <v>12.166114180478822</v>
      </c>
    </row>
    <row r="1260" spans="2:14" ht="34.5" customHeight="1" x14ac:dyDescent="0.3">
      <c r="B1260" s="1">
        <v>7.47</v>
      </c>
      <c r="C1260" s="1">
        <v>3.15</v>
      </c>
      <c r="D1260" s="1">
        <v>18.86</v>
      </c>
      <c r="E1260" s="1">
        <v>3.8</v>
      </c>
      <c r="F1260" s="1">
        <v>0.99</v>
      </c>
      <c r="G1260" s="1">
        <v>108.449</v>
      </c>
      <c r="H1260" s="1">
        <v>0.1163</v>
      </c>
      <c r="J1260" s="1">
        <v>7</v>
      </c>
      <c r="K1260" s="1">
        <v>298</v>
      </c>
      <c r="M1260" s="1">
        <v>15</v>
      </c>
      <c r="N1260" s="1">
        <f t="shared" si="208"/>
        <v>12.551361621279291</v>
      </c>
    </row>
    <row r="1261" spans="2:14" ht="34.5" customHeight="1" x14ac:dyDescent="0.3">
      <c r="B1261" s="1">
        <v>7.47</v>
      </c>
      <c r="C1261" s="1">
        <v>3.15</v>
      </c>
      <c r="D1261" s="1">
        <v>18.86</v>
      </c>
      <c r="E1261" s="1">
        <v>3.8</v>
      </c>
      <c r="F1261" s="1">
        <v>0.99</v>
      </c>
      <c r="G1261" s="1">
        <v>108.449</v>
      </c>
      <c r="H1261" s="1">
        <v>0.1163</v>
      </c>
      <c r="J1261" s="1">
        <v>7</v>
      </c>
      <c r="K1261" s="1">
        <v>298</v>
      </c>
      <c r="M1261" s="1">
        <v>25</v>
      </c>
      <c r="N1261" s="1">
        <f t="shared" si="208"/>
        <v>12.8775828460039</v>
      </c>
    </row>
    <row r="1262" spans="2:14" ht="34.5" customHeight="1" x14ac:dyDescent="0.3">
      <c r="D1262" s="1" t="s">
        <v>11</v>
      </c>
      <c r="G1262" s="1">
        <v>166.4</v>
      </c>
      <c r="I1262" s="1">
        <v>526.79999999999995</v>
      </c>
      <c r="J1262" s="1">
        <v>7</v>
      </c>
      <c r="K1262" s="1">
        <v>298.14999999999998</v>
      </c>
      <c r="M1262" s="1">
        <v>10</v>
      </c>
      <c r="N1262" s="1">
        <f t="shared" ref="N1262:N1267" si="209">118.91*0.02*M1262/(1+0.02*M1262)</f>
        <v>19.818333333333335</v>
      </c>
    </row>
    <row r="1263" spans="2:14" ht="34.5" customHeight="1" x14ac:dyDescent="0.3">
      <c r="D1263" s="1" t="s">
        <v>11</v>
      </c>
      <c r="G1263" s="1">
        <v>166.4</v>
      </c>
      <c r="I1263" s="1">
        <v>526.79999999999995</v>
      </c>
      <c r="J1263" s="1">
        <v>7</v>
      </c>
      <c r="K1263" s="1">
        <v>298.14999999999998</v>
      </c>
      <c r="M1263" s="1">
        <v>25</v>
      </c>
      <c r="N1263" s="1">
        <f t="shared" si="209"/>
        <v>39.63666666666667</v>
      </c>
    </row>
    <row r="1264" spans="2:14" ht="34.5" customHeight="1" x14ac:dyDescent="0.3">
      <c r="D1264" s="1" t="s">
        <v>11</v>
      </c>
      <c r="G1264" s="1">
        <v>166.4</v>
      </c>
      <c r="I1264" s="1">
        <v>526.79999999999995</v>
      </c>
      <c r="J1264" s="1">
        <v>7</v>
      </c>
      <c r="K1264" s="1">
        <v>298.14999999999998</v>
      </c>
      <c r="M1264" s="1">
        <v>50</v>
      </c>
      <c r="N1264" s="1">
        <f t="shared" si="209"/>
        <v>59.455000000000005</v>
      </c>
    </row>
    <row r="1265" spans="3:14" ht="34.5" customHeight="1" x14ac:dyDescent="0.3">
      <c r="D1265" s="1" t="s">
        <v>11</v>
      </c>
      <c r="G1265" s="1">
        <v>166.4</v>
      </c>
      <c r="I1265" s="1">
        <v>526.79999999999995</v>
      </c>
      <c r="J1265" s="1">
        <v>7</v>
      </c>
      <c r="K1265" s="1">
        <v>298.14999999999998</v>
      </c>
      <c r="M1265" s="1">
        <v>100</v>
      </c>
      <c r="N1265" s="1">
        <f t="shared" si="209"/>
        <v>79.273333333333341</v>
      </c>
    </row>
    <row r="1266" spans="3:14" ht="34.5" customHeight="1" x14ac:dyDescent="0.3">
      <c r="D1266" s="1" t="s">
        <v>11</v>
      </c>
      <c r="G1266" s="1">
        <v>166.4</v>
      </c>
      <c r="I1266" s="1">
        <v>526.79999999999995</v>
      </c>
      <c r="J1266" s="1">
        <v>7</v>
      </c>
      <c r="K1266" s="1">
        <v>298.14999999999998</v>
      </c>
      <c r="M1266" s="1">
        <v>150</v>
      </c>
      <c r="N1266" s="1">
        <f t="shared" si="209"/>
        <v>89.182500000000005</v>
      </c>
    </row>
    <row r="1267" spans="3:14" ht="34.5" customHeight="1" x14ac:dyDescent="0.3">
      <c r="D1267" s="1" t="s">
        <v>11</v>
      </c>
      <c r="G1267" s="1">
        <v>166.4</v>
      </c>
      <c r="I1267" s="1">
        <v>526.79999999999995</v>
      </c>
      <c r="J1267" s="1">
        <v>7</v>
      </c>
      <c r="K1267" s="1">
        <v>298.14999999999998</v>
      </c>
      <c r="M1267" s="1">
        <v>200</v>
      </c>
      <c r="N1267" s="1">
        <f t="shared" si="209"/>
        <v>95.128000000000014</v>
      </c>
    </row>
    <row r="1268" spans="3:14" ht="34.5" customHeight="1" x14ac:dyDescent="0.3">
      <c r="C1268" s="1" t="s">
        <v>11</v>
      </c>
      <c r="D1268" s="1" t="s">
        <v>11</v>
      </c>
      <c r="I1268" s="1">
        <v>40</v>
      </c>
      <c r="J1268" s="1">
        <v>6.5</v>
      </c>
      <c r="K1268" s="1">
        <v>293.14999999999998</v>
      </c>
      <c r="M1268" s="1">
        <v>1</v>
      </c>
      <c r="N1268" s="1">
        <f t="shared" ref="N1268:N1273" si="210">3.68*M1268^0.27</f>
        <v>3.68</v>
      </c>
    </row>
    <row r="1269" spans="3:14" ht="34.5" customHeight="1" x14ac:dyDescent="0.3">
      <c r="C1269" s="1" t="s">
        <v>11</v>
      </c>
      <c r="D1269" s="1" t="s">
        <v>11</v>
      </c>
      <c r="I1269" s="1">
        <v>40</v>
      </c>
      <c r="J1269" s="1">
        <v>6.5</v>
      </c>
      <c r="K1269" s="1">
        <v>293.14999999999998</v>
      </c>
      <c r="M1269" s="1">
        <v>5</v>
      </c>
      <c r="N1269" s="1">
        <f t="shared" si="210"/>
        <v>5.6828961510745213</v>
      </c>
    </row>
    <row r="1270" spans="3:14" ht="34.5" customHeight="1" x14ac:dyDescent="0.3">
      <c r="C1270" s="1" t="s">
        <v>11</v>
      </c>
      <c r="D1270" s="1" t="s">
        <v>11</v>
      </c>
      <c r="I1270" s="1">
        <v>40</v>
      </c>
      <c r="J1270" s="1">
        <v>6.5</v>
      </c>
      <c r="K1270" s="1">
        <v>293.14999999999998</v>
      </c>
      <c r="M1270" s="1">
        <v>15</v>
      </c>
      <c r="N1270" s="1">
        <f t="shared" si="210"/>
        <v>7.6452635055008145</v>
      </c>
    </row>
    <row r="1271" spans="3:14" ht="34.5" customHeight="1" x14ac:dyDescent="0.3">
      <c r="C1271" s="1" t="s">
        <v>11</v>
      </c>
      <c r="D1271" s="1" t="s">
        <v>11</v>
      </c>
      <c r="I1271" s="1">
        <v>40</v>
      </c>
      <c r="J1271" s="1">
        <v>6.5</v>
      </c>
      <c r="K1271" s="1">
        <v>293.14999999999998</v>
      </c>
      <c r="M1271" s="1">
        <v>20</v>
      </c>
      <c r="N1271" s="1">
        <f t="shared" si="210"/>
        <v>8.2627748224477262</v>
      </c>
    </row>
    <row r="1272" spans="3:14" ht="34.5" customHeight="1" x14ac:dyDescent="0.3">
      <c r="C1272" s="1" t="s">
        <v>11</v>
      </c>
      <c r="D1272" s="1" t="s">
        <v>11</v>
      </c>
      <c r="I1272" s="1">
        <v>40</v>
      </c>
      <c r="J1272" s="1">
        <v>6.5</v>
      </c>
      <c r="K1272" s="1">
        <v>293.14999999999998</v>
      </c>
      <c r="M1272" s="1">
        <v>30</v>
      </c>
      <c r="N1272" s="1">
        <f t="shared" si="210"/>
        <v>9.2187185796913838</v>
      </c>
    </row>
    <row r="1273" spans="3:14" ht="34.5" customHeight="1" x14ac:dyDescent="0.3">
      <c r="C1273" s="1" t="s">
        <v>11</v>
      </c>
      <c r="D1273" s="1" t="s">
        <v>11</v>
      </c>
      <c r="I1273" s="1">
        <v>40</v>
      </c>
      <c r="J1273" s="1">
        <v>6.5</v>
      </c>
      <c r="K1273" s="1">
        <v>293.14999999999998</v>
      </c>
      <c r="M1273" s="1">
        <v>40</v>
      </c>
      <c r="N1273" s="1">
        <f t="shared" si="210"/>
        <v>9.9633185593536009</v>
      </c>
    </row>
    <row r="1274" spans="3:14" ht="34.5" customHeight="1" x14ac:dyDescent="0.3">
      <c r="C1274" s="1" t="s">
        <v>11</v>
      </c>
      <c r="D1274" s="1" t="s">
        <v>11</v>
      </c>
      <c r="I1274" s="1">
        <v>40</v>
      </c>
      <c r="J1274" s="1">
        <v>6.5</v>
      </c>
      <c r="K1274" s="1">
        <v>298.14999999999998</v>
      </c>
      <c r="M1274" s="1">
        <v>1</v>
      </c>
      <c r="N1274" s="1">
        <f t="shared" ref="N1274:N1279" si="211">4.53*M1274^0.28</f>
        <v>4.53</v>
      </c>
    </row>
    <row r="1275" spans="3:14" ht="34.5" customHeight="1" x14ac:dyDescent="0.3">
      <c r="C1275" s="1" t="s">
        <v>11</v>
      </c>
      <c r="D1275" s="1" t="s">
        <v>11</v>
      </c>
      <c r="I1275" s="1">
        <v>40</v>
      </c>
      <c r="J1275" s="1">
        <v>6.5</v>
      </c>
      <c r="K1275" s="1">
        <v>298.14999999999998</v>
      </c>
      <c r="M1275" s="1">
        <v>5</v>
      </c>
      <c r="N1275" s="1">
        <f t="shared" si="211"/>
        <v>7.1090210997505032</v>
      </c>
    </row>
    <row r="1276" spans="3:14" ht="34.5" customHeight="1" x14ac:dyDescent="0.3">
      <c r="C1276" s="1" t="s">
        <v>11</v>
      </c>
      <c r="D1276" s="1" t="s">
        <v>11</v>
      </c>
      <c r="I1276" s="1">
        <v>40</v>
      </c>
      <c r="J1276" s="1">
        <v>6.5</v>
      </c>
      <c r="K1276" s="1">
        <v>298.14999999999998</v>
      </c>
      <c r="M1276" s="1">
        <v>15</v>
      </c>
      <c r="N1276" s="1">
        <f t="shared" si="211"/>
        <v>9.6694941401237351</v>
      </c>
    </row>
    <row r="1277" spans="3:14" ht="34.5" customHeight="1" x14ac:dyDescent="0.3">
      <c r="C1277" s="1" t="s">
        <v>11</v>
      </c>
      <c r="D1277" s="1" t="s">
        <v>11</v>
      </c>
      <c r="I1277" s="1">
        <v>40</v>
      </c>
      <c r="J1277" s="1">
        <v>6.5</v>
      </c>
      <c r="K1277" s="1">
        <v>298.14999999999998</v>
      </c>
      <c r="M1277" s="1">
        <v>20</v>
      </c>
      <c r="N1277" s="1">
        <f t="shared" si="211"/>
        <v>10.480610972435098</v>
      </c>
    </row>
    <row r="1278" spans="3:14" ht="34.5" customHeight="1" x14ac:dyDescent="0.3">
      <c r="C1278" s="1" t="s">
        <v>11</v>
      </c>
      <c r="D1278" s="1" t="s">
        <v>11</v>
      </c>
      <c r="I1278" s="1">
        <v>40</v>
      </c>
      <c r="J1278" s="1">
        <v>6.5</v>
      </c>
      <c r="K1278" s="1">
        <v>298.14999999999998</v>
      </c>
      <c r="M1278" s="1">
        <v>30</v>
      </c>
      <c r="N1278" s="1">
        <f t="shared" si="211"/>
        <v>11.74065031962612</v>
      </c>
    </row>
    <row r="1279" spans="3:14" ht="34.5" customHeight="1" x14ac:dyDescent="0.3">
      <c r="C1279" s="1" t="s">
        <v>11</v>
      </c>
      <c r="D1279" s="1" t="s">
        <v>11</v>
      </c>
      <c r="I1279" s="1">
        <v>40</v>
      </c>
      <c r="J1279" s="1">
        <v>6.5</v>
      </c>
      <c r="K1279" s="1">
        <v>298.14999999999998</v>
      </c>
      <c r="M1279" s="1">
        <v>40</v>
      </c>
      <c r="N1279" s="1">
        <f t="shared" si="211"/>
        <v>12.725504228065294</v>
      </c>
    </row>
    <row r="1280" spans="3:14" ht="34.5" customHeight="1" x14ac:dyDescent="0.3">
      <c r="C1280" s="1" t="s">
        <v>11</v>
      </c>
      <c r="D1280" s="1" t="s">
        <v>11</v>
      </c>
      <c r="I1280" s="1">
        <v>40</v>
      </c>
      <c r="J1280" s="1">
        <v>6.5</v>
      </c>
      <c r="K1280" s="1">
        <v>303.14999999999998</v>
      </c>
      <c r="M1280" s="1">
        <v>1</v>
      </c>
      <c r="N1280" s="1">
        <f t="shared" ref="N1280:N1285" si="212">4.97*M1280^0.32</f>
        <v>4.97</v>
      </c>
    </row>
    <row r="1281" spans="3:14" ht="34.5" customHeight="1" x14ac:dyDescent="0.3">
      <c r="C1281" s="1" t="s">
        <v>11</v>
      </c>
      <c r="D1281" s="1" t="s">
        <v>11</v>
      </c>
      <c r="I1281" s="1">
        <v>40</v>
      </c>
      <c r="J1281" s="1">
        <v>6.5</v>
      </c>
      <c r="K1281" s="1">
        <v>303.14999999999998</v>
      </c>
      <c r="M1281" s="1">
        <v>5</v>
      </c>
      <c r="N1281" s="1">
        <f t="shared" si="212"/>
        <v>8.318150813084829</v>
      </c>
    </row>
    <row r="1282" spans="3:14" ht="34.5" customHeight="1" x14ac:dyDescent="0.3">
      <c r="C1282" s="1" t="s">
        <v>11</v>
      </c>
      <c r="D1282" s="1" t="s">
        <v>11</v>
      </c>
      <c r="I1282" s="1">
        <v>40</v>
      </c>
      <c r="J1282" s="1">
        <v>6.5</v>
      </c>
      <c r="K1282" s="1">
        <v>303.14999999999998</v>
      </c>
      <c r="M1282" s="1">
        <v>15</v>
      </c>
      <c r="N1282" s="1">
        <f t="shared" si="212"/>
        <v>11.822398432456247</v>
      </c>
    </row>
    <row r="1283" spans="3:14" ht="34.5" customHeight="1" x14ac:dyDescent="0.3">
      <c r="C1283" s="1" t="s">
        <v>11</v>
      </c>
      <c r="D1283" s="1" t="s">
        <v>11</v>
      </c>
      <c r="I1283" s="1">
        <v>40</v>
      </c>
      <c r="J1283" s="1">
        <v>6.5</v>
      </c>
      <c r="K1283" s="1">
        <v>303.14999999999998</v>
      </c>
      <c r="M1283" s="1">
        <v>20</v>
      </c>
      <c r="N1283" s="1">
        <f t="shared" si="212"/>
        <v>12.962416963659772</v>
      </c>
    </row>
    <row r="1284" spans="3:14" ht="34.5" customHeight="1" x14ac:dyDescent="0.3">
      <c r="C1284" s="1" t="s">
        <v>11</v>
      </c>
      <c r="D1284" s="1" t="s">
        <v>11</v>
      </c>
      <c r="I1284" s="1">
        <v>40</v>
      </c>
      <c r="J1284" s="1">
        <v>6.5</v>
      </c>
      <c r="K1284" s="1">
        <v>303.14999999999998</v>
      </c>
      <c r="M1284" s="1">
        <v>30</v>
      </c>
      <c r="N1284" s="1">
        <f t="shared" si="212"/>
        <v>14.758261124521665</v>
      </c>
    </row>
    <row r="1285" spans="3:14" ht="34.5" customHeight="1" x14ac:dyDescent="0.3">
      <c r="C1285" s="1" t="s">
        <v>11</v>
      </c>
      <c r="D1285" s="1" t="s">
        <v>11</v>
      </c>
      <c r="I1285" s="1">
        <v>40</v>
      </c>
      <c r="J1285" s="1">
        <v>6.5</v>
      </c>
      <c r="K1285" s="1">
        <v>303.14999999999998</v>
      </c>
      <c r="M1285" s="1">
        <v>40</v>
      </c>
      <c r="N1285" s="1">
        <f t="shared" si="212"/>
        <v>16.181381083336973</v>
      </c>
    </row>
    <row r="1286" spans="3:14" ht="34.5" customHeight="1" x14ac:dyDescent="0.3">
      <c r="D1286" s="1" t="s">
        <v>11</v>
      </c>
      <c r="G1286" s="1">
        <v>200</v>
      </c>
      <c r="I1286" s="1">
        <v>700</v>
      </c>
      <c r="J1286" s="1">
        <v>7</v>
      </c>
      <c r="K1286" s="1">
        <v>303.14999999999998</v>
      </c>
      <c r="M1286" s="1">
        <v>10</v>
      </c>
      <c r="N1286" s="1" t="e">
        <f>M1286/#REF!</f>
        <v>#REF!</v>
      </c>
    </row>
    <row r="1287" spans="3:14" ht="34.5" customHeight="1" x14ac:dyDescent="0.3">
      <c r="D1287" s="1" t="s">
        <v>11</v>
      </c>
      <c r="G1287" s="1">
        <v>200</v>
      </c>
      <c r="I1287" s="1">
        <v>700</v>
      </c>
      <c r="J1287" s="1">
        <v>7</v>
      </c>
      <c r="K1287" s="1">
        <v>303.14999999999998</v>
      </c>
      <c r="M1287" s="1">
        <v>50</v>
      </c>
      <c r="N1287" s="1" t="e">
        <f>M1287/#REF!</f>
        <v>#REF!</v>
      </c>
    </row>
    <row r="1288" spans="3:14" ht="34.5" customHeight="1" x14ac:dyDescent="0.3">
      <c r="D1288" s="1" t="s">
        <v>11</v>
      </c>
      <c r="G1288" s="1">
        <v>200</v>
      </c>
      <c r="I1288" s="1">
        <v>700</v>
      </c>
      <c r="J1288" s="1">
        <v>7</v>
      </c>
      <c r="K1288" s="1">
        <v>303.14999999999998</v>
      </c>
      <c r="M1288" s="1">
        <v>100</v>
      </c>
      <c r="N1288" s="1" t="e">
        <f>M1288/#REF!</f>
        <v>#REF!</v>
      </c>
    </row>
    <row r="1289" spans="3:14" ht="34.5" customHeight="1" x14ac:dyDescent="0.3">
      <c r="D1289" s="1" t="s">
        <v>11</v>
      </c>
      <c r="G1289" s="1">
        <v>200</v>
      </c>
      <c r="I1289" s="1">
        <v>700</v>
      </c>
      <c r="J1289" s="1">
        <v>7</v>
      </c>
      <c r="K1289" s="1">
        <v>303.14999999999998</v>
      </c>
      <c r="M1289" s="1">
        <v>150</v>
      </c>
      <c r="N1289" s="1" t="e">
        <f>M1289/#REF!</f>
        <v>#REF!</v>
      </c>
    </row>
    <row r="1290" spans="3:14" ht="34.5" customHeight="1" x14ac:dyDescent="0.3">
      <c r="D1290" s="1" t="s">
        <v>11</v>
      </c>
      <c r="G1290" s="1">
        <v>200</v>
      </c>
      <c r="I1290" s="1">
        <v>700</v>
      </c>
      <c r="J1290" s="1">
        <v>7</v>
      </c>
      <c r="K1290" s="1">
        <v>303.14999999999998</v>
      </c>
      <c r="M1290" s="1">
        <v>300</v>
      </c>
      <c r="N1290" s="1" t="e">
        <f>M1290/#REF!</f>
        <v>#REF!</v>
      </c>
    </row>
    <row r="1291" spans="3:14" ht="34.5" customHeight="1" x14ac:dyDescent="0.3">
      <c r="D1291" s="1" t="s">
        <v>11</v>
      </c>
      <c r="G1291" s="1">
        <v>200</v>
      </c>
      <c r="I1291" s="1">
        <v>700</v>
      </c>
      <c r="J1291" s="1">
        <v>7</v>
      </c>
      <c r="K1291" s="1">
        <v>303.14999999999998</v>
      </c>
      <c r="M1291" s="1">
        <v>500</v>
      </c>
      <c r="N1291" s="1" t="e">
        <f>M1291/#REF!</f>
        <v>#REF!</v>
      </c>
    </row>
    <row r="1292" spans="3:14" ht="34.5" customHeight="1" x14ac:dyDescent="0.3">
      <c r="D1292" s="1" t="s">
        <v>11</v>
      </c>
      <c r="G1292" s="1">
        <v>270.60000000000002</v>
      </c>
      <c r="H1292" s="1">
        <v>0.56999999999999995</v>
      </c>
      <c r="I1292" s="1">
        <v>8.4220000000000006</v>
      </c>
      <c r="J1292" s="1">
        <v>6.2</v>
      </c>
      <c r="K1292" s="1">
        <v>298.14999999999998</v>
      </c>
      <c r="M1292" s="1">
        <v>2</v>
      </c>
      <c r="N1292" s="1">
        <f t="shared" ref="N1292:N1297" si="213">112.23*0.698*M1292/(1+0.698*M1292)</f>
        <v>65.389432387312183</v>
      </c>
    </row>
    <row r="1293" spans="3:14" ht="34.5" customHeight="1" x14ac:dyDescent="0.3">
      <c r="D1293" s="1" t="s">
        <v>11</v>
      </c>
      <c r="G1293" s="1">
        <v>270.60000000000002</v>
      </c>
      <c r="H1293" s="1">
        <v>0.56999999999999995</v>
      </c>
      <c r="I1293" s="1">
        <v>8.4220000000000006</v>
      </c>
      <c r="J1293" s="1">
        <v>6.2</v>
      </c>
      <c r="K1293" s="1">
        <v>298.14999999999998</v>
      </c>
      <c r="M1293" s="1">
        <v>5</v>
      </c>
      <c r="N1293" s="1">
        <f t="shared" si="213"/>
        <v>87.234454342984407</v>
      </c>
    </row>
    <row r="1294" spans="3:14" ht="34.5" customHeight="1" x14ac:dyDescent="0.3">
      <c r="D1294" s="1" t="s">
        <v>11</v>
      </c>
      <c r="G1294" s="1">
        <v>270.60000000000002</v>
      </c>
      <c r="H1294" s="1">
        <v>0.56999999999999995</v>
      </c>
      <c r="I1294" s="1">
        <v>8.4220000000000006</v>
      </c>
      <c r="J1294" s="1">
        <v>6.2</v>
      </c>
      <c r="K1294" s="1">
        <v>298.14999999999998</v>
      </c>
      <c r="M1294" s="1">
        <v>10</v>
      </c>
      <c r="N1294" s="1">
        <f t="shared" si="213"/>
        <v>98.16609022556392</v>
      </c>
    </row>
    <row r="1295" spans="3:14" ht="34.5" customHeight="1" x14ac:dyDescent="0.3">
      <c r="D1295" s="1" t="s">
        <v>11</v>
      </c>
      <c r="G1295" s="1">
        <v>270.60000000000002</v>
      </c>
      <c r="H1295" s="1">
        <v>0.56999999999999995</v>
      </c>
      <c r="I1295" s="1">
        <v>8.4220000000000006</v>
      </c>
      <c r="J1295" s="1">
        <v>6.2</v>
      </c>
      <c r="K1295" s="1">
        <v>298.14999999999998</v>
      </c>
      <c r="M1295" s="1">
        <v>20</v>
      </c>
      <c r="N1295" s="1">
        <f t="shared" si="213"/>
        <v>104.72799465240642</v>
      </c>
    </row>
    <row r="1296" spans="3:14" ht="34.5" customHeight="1" x14ac:dyDescent="0.3">
      <c r="D1296" s="1" t="s">
        <v>11</v>
      </c>
      <c r="G1296" s="1">
        <v>270.60000000000002</v>
      </c>
      <c r="H1296" s="1">
        <v>0.56999999999999995</v>
      </c>
      <c r="I1296" s="1">
        <v>8.4220000000000006</v>
      </c>
      <c r="J1296" s="1">
        <v>6.2</v>
      </c>
      <c r="K1296" s="1">
        <v>298.14999999999998</v>
      </c>
      <c r="M1296" s="1">
        <v>30</v>
      </c>
      <c r="N1296" s="1">
        <f t="shared" si="213"/>
        <v>107.11468550592527</v>
      </c>
    </row>
    <row r="1297" spans="2:14" ht="34.5" customHeight="1" x14ac:dyDescent="0.3">
      <c r="D1297" s="1" t="s">
        <v>11</v>
      </c>
      <c r="G1297" s="1">
        <v>270.60000000000002</v>
      </c>
      <c r="H1297" s="1">
        <v>0.56999999999999995</v>
      </c>
      <c r="I1297" s="1">
        <v>8.4220000000000006</v>
      </c>
      <c r="J1297" s="1">
        <v>6.2</v>
      </c>
      <c r="K1297" s="1">
        <v>298.14999999999998</v>
      </c>
      <c r="M1297" s="1">
        <v>50</v>
      </c>
      <c r="N1297" s="1">
        <f t="shared" si="213"/>
        <v>109.10381615598885</v>
      </c>
    </row>
    <row r="1298" spans="2:14" ht="34.5" customHeight="1" x14ac:dyDescent="0.3">
      <c r="C1298" s="1" t="s">
        <v>11</v>
      </c>
      <c r="D1298" s="1" t="s">
        <v>11</v>
      </c>
      <c r="G1298" s="1">
        <v>339</v>
      </c>
      <c r="H1298" s="1">
        <v>0.28100000000000003</v>
      </c>
      <c r="I1298" s="1">
        <v>2000</v>
      </c>
      <c r="J1298" s="1">
        <v>5.5</v>
      </c>
      <c r="K1298" s="1">
        <v>298</v>
      </c>
      <c r="M1298" s="1">
        <v>1</v>
      </c>
      <c r="N1298" s="1">
        <f t="shared" ref="N1298:N1303" si="214">33.4*4.73*M1298/(1+4.73*M1298)</f>
        <v>27.571029668411864</v>
      </c>
    </row>
    <row r="1299" spans="2:14" ht="34.5" customHeight="1" x14ac:dyDescent="0.3">
      <c r="C1299" s="1" t="s">
        <v>11</v>
      </c>
      <c r="D1299" s="1" t="s">
        <v>11</v>
      </c>
      <c r="G1299" s="1">
        <v>339</v>
      </c>
      <c r="H1299" s="1">
        <v>0.28100000000000003</v>
      </c>
      <c r="I1299" s="1">
        <v>2000</v>
      </c>
      <c r="J1299" s="1">
        <v>5.5</v>
      </c>
      <c r="K1299" s="1">
        <v>298</v>
      </c>
      <c r="M1299" s="1">
        <v>3</v>
      </c>
      <c r="N1299" s="1">
        <f t="shared" si="214"/>
        <v>31.201184990125082</v>
      </c>
    </row>
    <row r="1300" spans="2:14" ht="34.5" customHeight="1" x14ac:dyDescent="0.3">
      <c r="C1300" s="1" t="s">
        <v>11</v>
      </c>
      <c r="D1300" s="1" t="s">
        <v>11</v>
      </c>
      <c r="G1300" s="1">
        <v>339</v>
      </c>
      <c r="H1300" s="1">
        <v>0.28100000000000003</v>
      </c>
      <c r="I1300" s="1">
        <v>2000</v>
      </c>
      <c r="J1300" s="1">
        <v>5.5</v>
      </c>
      <c r="K1300" s="1">
        <v>298</v>
      </c>
      <c r="M1300" s="1">
        <v>5</v>
      </c>
      <c r="N1300" s="1">
        <f t="shared" si="214"/>
        <v>32.045030425963482</v>
      </c>
    </row>
    <row r="1301" spans="2:14" ht="34.5" customHeight="1" x14ac:dyDescent="0.3">
      <c r="C1301" s="1" t="s">
        <v>11</v>
      </c>
      <c r="D1301" s="1" t="s">
        <v>11</v>
      </c>
      <c r="G1301" s="1">
        <v>339</v>
      </c>
      <c r="H1301" s="1">
        <v>0.28100000000000003</v>
      </c>
      <c r="I1301" s="1">
        <v>2000</v>
      </c>
      <c r="J1301" s="1">
        <v>5.5</v>
      </c>
      <c r="K1301" s="1">
        <v>298</v>
      </c>
      <c r="M1301" s="1">
        <v>10</v>
      </c>
      <c r="N1301" s="1">
        <f t="shared" si="214"/>
        <v>32.708488612836433</v>
      </c>
    </row>
    <row r="1302" spans="2:14" ht="34.5" customHeight="1" x14ac:dyDescent="0.3">
      <c r="C1302" s="1" t="s">
        <v>11</v>
      </c>
      <c r="D1302" s="1" t="s">
        <v>11</v>
      </c>
      <c r="G1302" s="1">
        <v>339</v>
      </c>
      <c r="H1302" s="1">
        <v>0.28100000000000003</v>
      </c>
      <c r="I1302" s="1">
        <v>2000</v>
      </c>
      <c r="J1302" s="1">
        <v>5.5</v>
      </c>
      <c r="K1302" s="1">
        <v>298</v>
      </c>
      <c r="M1302" s="1">
        <v>20</v>
      </c>
      <c r="N1302" s="1">
        <f t="shared" si="214"/>
        <v>33.050627615062758</v>
      </c>
    </row>
    <row r="1303" spans="2:14" ht="34.5" customHeight="1" x14ac:dyDescent="0.3">
      <c r="C1303" s="1" t="s">
        <v>11</v>
      </c>
      <c r="D1303" s="1" t="s">
        <v>11</v>
      </c>
      <c r="G1303" s="1">
        <v>339</v>
      </c>
      <c r="H1303" s="1">
        <v>0.28100000000000003</v>
      </c>
      <c r="I1303" s="1">
        <v>2000</v>
      </c>
      <c r="J1303" s="1">
        <v>5.5</v>
      </c>
      <c r="K1303" s="1">
        <v>298</v>
      </c>
      <c r="M1303" s="1">
        <v>35</v>
      </c>
      <c r="N1303" s="1">
        <f t="shared" si="214"/>
        <v>33.199459621735208</v>
      </c>
    </row>
    <row r="1304" spans="2:14" ht="34.5" customHeight="1" x14ac:dyDescent="0.3">
      <c r="B1304" s="1">
        <v>6.32</v>
      </c>
      <c r="C1304" s="1">
        <v>1.61</v>
      </c>
      <c r="D1304" s="1">
        <v>8.2799999999999994</v>
      </c>
      <c r="E1304" s="1">
        <v>1.01</v>
      </c>
      <c r="F1304" s="1">
        <v>0.27</v>
      </c>
      <c r="G1304" s="1">
        <v>71.831000000000003</v>
      </c>
      <c r="H1304" s="1">
        <v>6.7645999999999998E-2</v>
      </c>
      <c r="J1304" s="1">
        <v>7</v>
      </c>
      <c r="K1304" s="1">
        <v>298</v>
      </c>
      <c r="M1304" s="1">
        <v>0.2</v>
      </c>
      <c r="N1304" s="1">
        <f t="shared" ref="N1304:N1309" si="215">5.96*4.91*M1304/(1+4.91*M1304)</f>
        <v>2.952936427850656</v>
      </c>
    </row>
    <row r="1305" spans="2:14" ht="34.5" customHeight="1" x14ac:dyDescent="0.3">
      <c r="B1305" s="1">
        <v>6.32</v>
      </c>
      <c r="C1305" s="1">
        <v>1.61</v>
      </c>
      <c r="D1305" s="1">
        <v>8.2799999999999994</v>
      </c>
      <c r="E1305" s="1">
        <v>1.01</v>
      </c>
      <c r="F1305" s="1">
        <v>0.27</v>
      </c>
      <c r="G1305" s="1">
        <v>71.831000000000003</v>
      </c>
      <c r="H1305" s="1">
        <v>6.7645999999999998E-2</v>
      </c>
      <c r="J1305" s="1">
        <v>7</v>
      </c>
      <c r="K1305" s="1">
        <v>298</v>
      </c>
      <c r="M1305" s="1">
        <v>0.4</v>
      </c>
      <c r="N1305" s="1">
        <f t="shared" si="215"/>
        <v>3.9492037786774628</v>
      </c>
    </row>
    <row r="1306" spans="2:14" ht="34.5" customHeight="1" x14ac:dyDescent="0.3">
      <c r="B1306" s="1">
        <v>6.32</v>
      </c>
      <c r="C1306" s="1">
        <v>1.61</v>
      </c>
      <c r="D1306" s="1">
        <v>8.2799999999999994</v>
      </c>
      <c r="E1306" s="1">
        <v>1.01</v>
      </c>
      <c r="F1306" s="1">
        <v>0.27</v>
      </c>
      <c r="G1306" s="1">
        <v>71.831000000000003</v>
      </c>
      <c r="H1306" s="1">
        <v>6.7645999999999998E-2</v>
      </c>
      <c r="J1306" s="1">
        <v>7</v>
      </c>
      <c r="K1306" s="1">
        <v>298</v>
      </c>
      <c r="M1306" s="1">
        <v>0.8</v>
      </c>
      <c r="N1306" s="1">
        <f t="shared" si="215"/>
        <v>4.7505844155844157</v>
      </c>
    </row>
    <row r="1307" spans="2:14" ht="34.5" customHeight="1" x14ac:dyDescent="0.3">
      <c r="B1307" s="1">
        <v>6.32</v>
      </c>
      <c r="C1307" s="1">
        <v>1.61</v>
      </c>
      <c r="D1307" s="1">
        <v>8.2799999999999994</v>
      </c>
      <c r="E1307" s="1">
        <v>1.01</v>
      </c>
      <c r="F1307" s="1">
        <v>0.27</v>
      </c>
      <c r="G1307" s="1">
        <v>71.831000000000003</v>
      </c>
      <c r="H1307" s="1">
        <v>6.7645999999999998E-2</v>
      </c>
      <c r="J1307" s="1">
        <v>7</v>
      </c>
      <c r="K1307" s="1">
        <v>298</v>
      </c>
      <c r="M1307" s="1">
        <v>1.2</v>
      </c>
      <c r="N1307" s="1">
        <f t="shared" si="215"/>
        <v>5.0952292513058621</v>
      </c>
    </row>
    <row r="1308" spans="2:14" ht="34.5" customHeight="1" x14ac:dyDescent="0.3">
      <c r="B1308" s="1">
        <v>6.32</v>
      </c>
      <c r="C1308" s="1">
        <v>1.61</v>
      </c>
      <c r="D1308" s="1">
        <v>8.2799999999999994</v>
      </c>
      <c r="E1308" s="1">
        <v>1.01</v>
      </c>
      <c r="F1308" s="1">
        <v>0.27</v>
      </c>
      <c r="G1308" s="1">
        <v>71.831000000000003</v>
      </c>
      <c r="H1308" s="1">
        <v>6.7645999999999998E-2</v>
      </c>
      <c r="J1308" s="1">
        <v>7</v>
      </c>
      <c r="K1308" s="1">
        <v>298</v>
      </c>
      <c r="M1308" s="1">
        <v>1.6</v>
      </c>
      <c r="N1308" s="1">
        <f t="shared" si="215"/>
        <v>5.2870099367660339</v>
      </c>
    </row>
    <row r="1309" spans="2:14" ht="34.5" customHeight="1" x14ac:dyDescent="0.3">
      <c r="B1309" s="1">
        <v>6.32</v>
      </c>
      <c r="C1309" s="1">
        <v>1.61</v>
      </c>
      <c r="D1309" s="1">
        <v>8.2799999999999994</v>
      </c>
      <c r="E1309" s="1">
        <v>1.01</v>
      </c>
      <c r="F1309" s="1">
        <v>0.27</v>
      </c>
      <c r="G1309" s="1">
        <v>71.831000000000003</v>
      </c>
      <c r="H1309" s="1">
        <v>6.7645999999999998E-2</v>
      </c>
      <c r="J1309" s="1">
        <v>7</v>
      </c>
      <c r="K1309" s="1">
        <v>298</v>
      </c>
      <c r="M1309" s="1">
        <v>2.4</v>
      </c>
      <c r="N1309" s="1">
        <f t="shared" si="215"/>
        <v>5.4937922403003752</v>
      </c>
    </row>
    <row r="1310" spans="2:14" ht="34.5" customHeight="1" x14ac:dyDescent="0.3">
      <c r="B1310" s="1">
        <v>4.7</v>
      </c>
      <c r="C1310" s="1">
        <v>0.35</v>
      </c>
      <c r="D1310" s="1">
        <v>2.65</v>
      </c>
      <c r="E1310" s="1">
        <v>1.05</v>
      </c>
      <c r="G1310" s="1">
        <v>56.288200000000003</v>
      </c>
      <c r="H1310" s="1">
        <v>4.8469000000000003E-3</v>
      </c>
      <c r="J1310" s="1">
        <v>7</v>
      </c>
      <c r="K1310" s="1">
        <v>298</v>
      </c>
      <c r="M1310" s="1">
        <v>0.2</v>
      </c>
      <c r="N1310" s="1">
        <f t="shared" ref="N1310:N1315" si="216">5.37*4.43*M1310/(1+4.43*M1310)</f>
        <v>2.5227041357370092</v>
      </c>
    </row>
    <row r="1311" spans="2:14" ht="34.5" customHeight="1" x14ac:dyDescent="0.3">
      <c r="B1311" s="1">
        <v>4.7</v>
      </c>
      <c r="C1311" s="1">
        <v>0.35</v>
      </c>
      <c r="D1311" s="1">
        <v>2.65</v>
      </c>
      <c r="E1311" s="1">
        <v>1.05</v>
      </c>
      <c r="G1311" s="1">
        <v>56.288200000000003</v>
      </c>
      <c r="H1311" s="1">
        <v>4.8469000000000003E-3</v>
      </c>
      <c r="J1311" s="1">
        <v>7</v>
      </c>
      <c r="K1311" s="1">
        <v>298</v>
      </c>
      <c r="M1311" s="1">
        <v>0.4</v>
      </c>
      <c r="N1311" s="1">
        <f t="shared" si="216"/>
        <v>3.4327705627705623</v>
      </c>
    </row>
    <row r="1312" spans="2:14" ht="34.5" customHeight="1" x14ac:dyDescent="0.3">
      <c r="B1312" s="1">
        <v>4.7</v>
      </c>
      <c r="C1312" s="1">
        <v>0.35</v>
      </c>
      <c r="D1312" s="1">
        <v>2.65</v>
      </c>
      <c r="E1312" s="1">
        <v>1.05</v>
      </c>
      <c r="G1312" s="1">
        <v>56.288200000000003</v>
      </c>
      <c r="H1312" s="1">
        <v>4.8469000000000003E-3</v>
      </c>
      <c r="J1312" s="1">
        <v>7</v>
      </c>
      <c r="K1312" s="1">
        <v>298</v>
      </c>
      <c r="M1312" s="1">
        <v>0.8</v>
      </c>
      <c r="N1312" s="1">
        <f t="shared" si="216"/>
        <v>4.1882218309859152</v>
      </c>
    </row>
    <row r="1313" spans="2:14" ht="34.5" customHeight="1" x14ac:dyDescent="0.3">
      <c r="B1313" s="1">
        <v>4.7</v>
      </c>
      <c r="C1313" s="1">
        <v>0.35</v>
      </c>
      <c r="D1313" s="1">
        <v>2.65</v>
      </c>
      <c r="E1313" s="1">
        <v>1.05</v>
      </c>
      <c r="G1313" s="1">
        <v>56.288200000000003</v>
      </c>
      <c r="H1313" s="1">
        <v>4.8469000000000003E-3</v>
      </c>
      <c r="J1313" s="1">
        <v>7</v>
      </c>
      <c r="K1313" s="1">
        <v>298</v>
      </c>
      <c r="M1313" s="1">
        <v>1.2</v>
      </c>
      <c r="N1313" s="1">
        <f t="shared" si="216"/>
        <v>4.5197783407219756</v>
      </c>
    </row>
    <row r="1314" spans="2:14" ht="34.5" customHeight="1" x14ac:dyDescent="0.3">
      <c r="B1314" s="1">
        <v>4.7</v>
      </c>
      <c r="C1314" s="1">
        <v>0.35</v>
      </c>
      <c r="D1314" s="1">
        <v>2.65</v>
      </c>
      <c r="E1314" s="1">
        <v>1.05</v>
      </c>
      <c r="G1314" s="1">
        <v>56.288200000000003</v>
      </c>
      <c r="H1314" s="1">
        <v>4.8469000000000003E-3</v>
      </c>
      <c r="J1314" s="1">
        <v>7</v>
      </c>
      <c r="K1314" s="1">
        <v>298</v>
      </c>
      <c r="M1314" s="1">
        <v>1.6</v>
      </c>
      <c r="N1314" s="1">
        <f t="shared" si="216"/>
        <v>4.7060534124629072</v>
      </c>
    </row>
    <row r="1315" spans="2:14" ht="34.5" customHeight="1" x14ac:dyDescent="0.3">
      <c r="B1315" s="1">
        <v>4.7</v>
      </c>
      <c r="C1315" s="1">
        <v>0.35</v>
      </c>
      <c r="D1315" s="1">
        <v>2.65</v>
      </c>
      <c r="E1315" s="1">
        <v>1.05</v>
      </c>
      <c r="G1315" s="1">
        <v>56.288200000000003</v>
      </c>
      <c r="H1315" s="1">
        <v>4.8469000000000003E-3</v>
      </c>
      <c r="J1315" s="1">
        <v>7</v>
      </c>
      <c r="K1315" s="1">
        <v>298</v>
      </c>
      <c r="M1315" s="1">
        <v>2.4</v>
      </c>
      <c r="N1315" s="1">
        <f t="shared" si="216"/>
        <v>4.9083425034387895</v>
      </c>
    </row>
    <row r="1316" spans="2:14" ht="34.5" customHeight="1" x14ac:dyDescent="0.3">
      <c r="B1316" s="1">
        <v>1.94</v>
      </c>
      <c r="D1316" s="1">
        <v>6.39</v>
      </c>
      <c r="E1316" s="1">
        <v>0.46</v>
      </c>
      <c r="G1316" s="1">
        <v>50.610399999999998</v>
      </c>
      <c r="H1316" s="1">
        <v>4.9404000000000003E-2</v>
      </c>
      <c r="J1316" s="1">
        <v>7</v>
      </c>
      <c r="K1316" s="1">
        <v>298</v>
      </c>
      <c r="M1316" s="1">
        <v>0.2</v>
      </c>
      <c r="N1316" s="1">
        <f>4.21*4.3*M1316/(1+M1316*4.3)</f>
        <v>1.9465591397849462</v>
      </c>
    </row>
    <row r="1317" spans="2:14" ht="34.5" customHeight="1" x14ac:dyDescent="0.3">
      <c r="B1317" s="1">
        <v>1.94</v>
      </c>
      <c r="D1317" s="1">
        <v>6.39</v>
      </c>
      <c r="E1317" s="1">
        <v>0.46</v>
      </c>
      <c r="G1317" s="1">
        <v>50.610399999999998</v>
      </c>
      <c r="H1317" s="1">
        <v>4.9404000000000003E-2</v>
      </c>
      <c r="J1317" s="1">
        <v>7</v>
      </c>
      <c r="K1317" s="1">
        <v>298</v>
      </c>
      <c r="M1317" s="1">
        <v>0.4</v>
      </c>
      <c r="N1317" s="1">
        <f t="shared" ref="N1317:N1321" si="217">4.21*4.3*M1317/(1+M1317*4.3)</f>
        <v>2.6622058823529411</v>
      </c>
    </row>
    <row r="1318" spans="2:14" ht="34.5" customHeight="1" x14ac:dyDescent="0.3">
      <c r="B1318" s="1">
        <v>1.94</v>
      </c>
      <c r="D1318" s="1">
        <v>6.39</v>
      </c>
      <c r="E1318" s="1">
        <v>0.46</v>
      </c>
      <c r="G1318" s="1">
        <v>50.610399999999998</v>
      </c>
      <c r="H1318" s="1">
        <v>4.9404000000000003E-2</v>
      </c>
      <c r="J1318" s="1">
        <v>7</v>
      </c>
      <c r="K1318" s="1">
        <v>298</v>
      </c>
      <c r="M1318" s="1">
        <v>0.8</v>
      </c>
      <c r="N1318" s="1">
        <f t="shared" si="217"/>
        <v>3.261801801801802</v>
      </c>
    </row>
    <row r="1319" spans="2:14" ht="34.5" customHeight="1" x14ac:dyDescent="0.3">
      <c r="B1319" s="1">
        <v>1.94</v>
      </c>
      <c r="D1319" s="1">
        <v>6.39</v>
      </c>
      <c r="E1319" s="1">
        <v>0.46</v>
      </c>
      <c r="G1319" s="1">
        <v>50.610399999999998</v>
      </c>
      <c r="H1319" s="1">
        <v>4.9404000000000003E-2</v>
      </c>
      <c r="J1319" s="1">
        <v>7</v>
      </c>
      <c r="K1319" s="1">
        <v>298</v>
      </c>
      <c r="M1319" s="1">
        <v>1.2</v>
      </c>
      <c r="N1319" s="1">
        <f t="shared" si="217"/>
        <v>3.5265584415584414</v>
      </c>
    </row>
    <row r="1320" spans="2:14" ht="34.5" customHeight="1" x14ac:dyDescent="0.3">
      <c r="B1320" s="1">
        <v>1.94</v>
      </c>
      <c r="D1320" s="1">
        <v>6.39</v>
      </c>
      <c r="E1320" s="1">
        <v>0.46</v>
      </c>
      <c r="G1320" s="1">
        <v>50.610399999999998</v>
      </c>
      <c r="H1320" s="1">
        <v>4.9404000000000003E-2</v>
      </c>
      <c r="J1320" s="1">
        <v>7</v>
      </c>
      <c r="K1320" s="1">
        <v>298</v>
      </c>
      <c r="M1320" s="1">
        <v>1.6</v>
      </c>
      <c r="N1320" s="1">
        <f t="shared" si="217"/>
        <v>3.6757360406091366</v>
      </c>
    </row>
    <row r="1321" spans="2:14" ht="34.5" customHeight="1" x14ac:dyDescent="0.3">
      <c r="B1321" s="1">
        <v>1.94</v>
      </c>
      <c r="D1321" s="1">
        <v>6.39</v>
      </c>
      <c r="E1321" s="1">
        <v>0.46</v>
      </c>
      <c r="G1321" s="1">
        <v>50.610399999999998</v>
      </c>
      <c r="H1321" s="1">
        <v>4.9404000000000003E-2</v>
      </c>
      <c r="J1321" s="1">
        <v>7</v>
      </c>
      <c r="K1321" s="1">
        <v>298</v>
      </c>
      <c r="M1321" s="1">
        <v>2.4</v>
      </c>
      <c r="N1321" s="1">
        <f t="shared" si="217"/>
        <v>3.8380918727915194</v>
      </c>
    </row>
    <row r="1322" spans="2:14" ht="34.5" customHeight="1" x14ac:dyDescent="0.3">
      <c r="D1322" s="1">
        <v>4.5999999999999996</v>
      </c>
      <c r="G1322" s="1">
        <v>48</v>
      </c>
      <c r="H1322" s="1">
        <v>0.3</v>
      </c>
      <c r="I1322" s="1">
        <v>21.2</v>
      </c>
      <c r="J1322" s="1">
        <v>3</v>
      </c>
      <c r="K1322" s="1">
        <v>298</v>
      </c>
      <c r="M1322" s="1">
        <v>2</v>
      </c>
      <c r="N1322" s="1">
        <f t="shared" ref="N1322:N1327" si="218">246.23*0.56*M1322/(1+0.56*M1322)</f>
        <v>130.08377358490566</v>
      </c>
    </row>
    <row r="1323" spans="2:14" ht="34.5" customHeight="1" x14ac:dyDescent="0.3">
      <c r="D1323" s="1">
        <v>4.5999999999999996</v>
      </c>
      <c r="G1323" s="1">
        <v>48</v>
      </c>
      <c r="H1323" s="1">
        <v>0.3</v>
      </c>
      <c r="I1323" s="1">
        <v>21.2</v>
      </c>
      <c r="J1323" s="1">
        <v>3</v>
      </c>
      <c r="K1323" s="1">
        <v>298</v>
      </c>
      <c r="M1323" s="1">
        <v>5</v>
      </c>
      <c r="N1323" s="1">
        <f t="shared" si="218"/>
        <v>181.43263157894734</v>
      </c>
    </row>
    <row r="1324" spans="2:14" ht="34.5" customHeight="1" x14ac:dyDescent="0.3">
      <c r="D1324" s="1">
        <v>4.5999999999999996</v>
      </c>
      <c r="G1324" s="1">
        <v>48</v>
      </c>
      <c r="H1324" s="1">
        <v>0.3</v>
      </c>
      <c r="I1324" s="1">
        <v>21.2</v>
      </c>
      <c r="J1324" s="1">
        <v>3</v>
      </c>
      <c r="K1324" s="1">
        <v>298</v>
      </c>
      <c r="M1324" s="1">
        <v>10</v>
      </c>
      <c r="N1324" s="1">
        <f t="shared" si="218"/>
        <v>208.9224242424242</v>
      </c>
    </row>
    <row r="1325" spans="2:14" ht="34.5" customHeight="1" x14ac:dyDescent="0.3">
      <c r="D1325" s="1">
        <v>4.5999999999999996</v>
      </c>
      <c r="G1325" s="1">
        <v>48</v>
      </c>
      <c r="H1325" s="1">
        <v>0.3</v>
      </c>
      <c r="I1325" s="1">
        <v>21.2</v>
      </c>
      <c r="J1325" s="1">
        <v>3</v>
      </c>
      <c r="K1325" s="1">
        <v>298</v>
      </c>
      <c r="M1325" s="1">
        <v>20</v>
      </c>
      <c r="N1325" s="1">
        <f t="shared" si="218"/>
        <v>226.04721311475407</v>
      </c>
    </row>
    <row r="1326" spans="2:14" ht="34.5" customHeight="1" x14ac:dyDescent="0.3">
      <c r="D1326" s="1">
        <v>4.5999999999999996</v>
      </c>
      <c r="G1326" s="1">
        <v>48</v>
      </c>
      <c r="H1326" s="1">
        <v>0.3</v>
      </c>
      <c r="I1326" s="1">
        <v>21.2</v>
      </c>
      <c r="J1326" s="1">
        <v>3</v>
      </c>
      <c r="K1326" s="1">
        <v>298</v>
      </c>
      <c r="M1326" s="1">
        <v>40</v>
      </c>
      <c r="N1326" s="1">
        <f t="shared" si="218"/>
        <v>235.70735042735041</v>
      </c>
    </row>
    <row r="1327" spans="2:14" ht="34.5" customHeight="1" x14ac:dyDescent="0.3">
      <c r="D1327" s="1">
        <v>4.5999999999999996</v>
      </c>
      <c r="G1327" s="1">
        <v>48</v>
      </c>
      <c r="H1327" s="1">
        <v>0.3</v>
      </c>
      <c r="I1327" s="1">
        <v>21.2</v>
      </c>
      <c r="J1327" s="1">
        <v>3</v>
      </c>
      <c r="K1327" s="1">
        <v>298</v>
      </c>
      <c r="M1327" s="1">
        <v>80</v>
      </c>
      <c r="N1327" s="1">
        <f t="shared" si="218"/>
        <v>240.85379912663751</v>
      </c>
    </row>
    <row r="1328" spans="2:14" ht="34.5" customHeight="1" x14ac:dyDescent="0.3">
      <c r="D1328" s="1">
        <v>4.5999999999999996</v>
      </c>
      <c r="G1328" s="1">
        <v>48</v>
      </c>
      <c r="H1328" s="1">
        <v>0.3</v>
      </c>
      <c r="I1328" s="1">
        <v>21.2</v>
      </c>
      <c r="J1328" s="1">
        <v>5</v>
      </c>
      <c r="K1328" s="1">
        <v>298</v>
      </c>
      <c r="M1328" s="1">
        <v>5</v>
      </c>
      <c r="N1328" s="1">
        <f t="shared" ref="N1328:N1333" si="219">24.31*M1328^(1/3.01)</f>
        <v>41.49549093658699</v>
      </c>
    </row>
    <row r="1329" spans="4:14" ht="34.5" customHeight="1" x14ac:dyDescent="0.3">
      <c r="D1329" s="1">
        <v>4.5999999999999996</v>
      </c>
      <c r="G1329" s="1">
        <v>48</v>
      </c>
      <c r="H1329" s="1">
        <v>0.3</v>
      </c>
      <c r="I1329" s="1">
        <v>21.2</v>
      </c>
      <c r="J1329" s="1">
        <v>5</v>
      </c>
      <c r="K1329" s="1">
        <v>298</v>
      </c>
      <c r="M1329" s="1">
        <v>10</v>
      </c>
      <c r="N1329" s="1">
        <f t="shared" si="219"/>
        <v>52.240926723382884</v>
      </c>
    </row>
    <row r="1330" spans="4:14" ht="34.5" customHeight="1" x14ac:dyDescent="0.3">
      <c r="D1330" s="1">
        <v>4.5999999999999996</v>
      </c>
      <c r="G1330" s="1">
        <v>48</v>
      </c>
      <c r="H1330" s="1">
        <v>0.3</v>
      </c>
      <c r="I1330" s="1">
        <v>21.2</v>
      </c>
      <c r="J1330" s="1">
        <v>5</v>
      </c>
      <c r="K1330" s="1">
        <v>298</v>
      </c>
      <c r="M1330" s="1">
        <v>20</v>
      </c>
      <c r="N1330" s="1">
        <f t="shared" si="219"/>
        <v>65.76893930688675</v>
      </c>
    </row>
    <row r="1331" spans="4:14" ht="34.5" customHeight="1" x14ac:dyDescent="0.3">
      <c r="D1331" s="1">
        <v>4.5999999999999996</v>
      </c>
      <c r="G1331" s="1">
        <v>48</v>
      </c>
      <c r="H1331" s="1">
        <v>0.3</v>
      </c>
      <c r="I1331" s="1">
        <v>21.2</v>
      </c>
      <c r="J1331" s="1">
        <v>5</v>
      </c>
      <c r="K1331" s="1">
        <v>298</v>
      </c>
      <c r="M1331" s="1">
        <v>40</v>
      </c>
      <c r="N1331" s="1">
        <f t="shared" si="219"/>
        <v>82.800088912221554</v>
      </c>
    </row>
    <row r="1332" spans="4:14" ht="34.5" customHeight="1" x14ac:dyDescent="0.3">
      <c r="D1332" s="1">
        <v>4.5999999999999996</v>
      </c>
      <c r="G1332" s="1">
        <v>48</v>
      </c>
      <c r="H1332" s="1">
        <v>0.3</v>
      </c>
      <c r="I1332" s="1">
        <v>21.2</v>
      </c>
      <c r="J1332" s="1">
        <v>5</v>
      </c>
      <c r="K1332" s="1">
        <v>298</v>
      </c>
      <c r="M1332" s="1">
        <v>60</v>
      </c>
      <c r="N1332" s="1">
        <f t="shared" si="219"/>
        <v>94.739891399307638</v>
      </c>
    </row>
    <row r="1333" spans="4:14" ht="34.5" customHeight="1" x14ac:dyDescent="0.3">
      <c r="D1333" s="1">
        <v>4.5999999999999996</v>
      </c>
      <c r="G1333" s="1">
        <v>48</v>
      </c>
      <c r="H1333" s="1">
        <v>0.3</v>
      </c>
      <c r="I1333" s="1">
        <v>21.2</v>
      </c>
      <c r="J1333" s="1">
        <v>5</v>
      </c>
      <c r="K1333" s="1">
        <v>298</v>
      </c>
      <c r="M1333" s="1">
        <v>100</v>
      </c>
      <c r="N1333" s="1">
        <f t="shared" si="219"/>
        <v>112.26303681274618</v>
      </c>
    </row>
    <row r="1334" spans="4:14" ht="34.5" customHeight="1" x14ac:dyDescent="0.3">
      <c r="D1334" s="1">
        <v>4.5999999999999996</v>
      </c>
      <c r="G1334" s="1">
        <v>48</v>
      </c>
      <c r="H1334" s="1">
        <v>0.3</v>
      </c>
      <c r="I1334" s="1">
        <v>21.2</v>
      </c>
      <c r="J1334" s="1">
        <v>7</v>
      </c>
      <c r="K1334" s="1">
        <v>298</v>
      </c>
      <c r="M1334" s="1">
        <v>5</v>
      </c>
      <c r="N1334" s="1">
        <f t="shared" ref="N1334:N1339" si="220">22.36*M1334^(1/2.97)</f>
        <v>38.44281972352853</v>
      </c>
    </row>
    <row r="1335" spans="4:14" ht="34.5" customHeight="1" x14ac:dyDescent="0.3">
      <c r="D1335" s="1">
        <v>4.5999999999999996</v>
      </c>
      <c r="G1335" s="1">
        <v>48</v>
      </c>
      <c r="H1335" s="1">
        <v>0.3</v>
      </c>
      <c r="I1335" s="1">
        <v>21.2</v>
      </c>
      <c r="J1335" s="1">
        <v>7</v>
      </c>
      <c r="K1335" s="1">
        <v>298</v>
      </c>
      <c r="M1335" s="1">
        <v>10</v>
      </c>
      <c r="N1335" s="1">
        <f t="shared" si="220"/>
        <v>48.548088606737487</v>
      </c>
    </row>
    <row r="1336" spans="4:14" ht="34.5" customHeight="1" x14ac:dyDescent="0.3">
      <c r="D1336" s="1">
        <v>4.5999999999999996</v>
      </c>
      <c r="G1336" s="1">
        <v>48</v>
      </c>
      <c r="H1336" s="1">
        <v>0.3</v>
      </c>
      <c r="I1336" s="1">
        <v>21.2</v>
      </c>
      <c r="J1336" s="1">
        <v>7</v>
      </c>
      <c r="K1336" s="1">
        <v>298</v>
      </c>
      <c r="M1336" s="1">
        <v>20</v>
      </c>
      <c r="N1336" s="1">
        <f t="shared" si="220"/>
        <v>61.30967822646754</v>
      </c>
    </row>
    <row r="1337" spans="4:14" ht="34.5" customHeight="1" x14ac:dyDescent="0.3">
      <c r="D1337" s="1">
        <v>4.5999999999999996</v>
      </c>
      <c r="G1337" s="1">
        <v>48</v>
      </c>
      <c r="H1337" s="1">
        <v>0.3</v>
      </c>
      <c r="I1337" s="1">
        <v>21.2</v>
      </c>
      <c r="J1337" s="1">
        <v>7</v>
      </c>
      <c r="K1337" s="1">
        <v>298</v>
      </c>
      <c r="M1337" s="1">
        <v>40</v>
      </c>
      <c r="N1337" s="1">
        <f t="shared" si="220"/>
        <v>77.425842131122167</v>
      </c>
    </row>
    <row r="1338" spans="4:14" ht="34.5" customHeight="1" x14ac:dyDescent="0.3">
      <c r="D1338" s="1">
        <v>4.5999999999999996</v>
      </c>
      <c r="G1338" s="1">
        <v>48</v>
      </c>
      <c r="H1338" s="1">
        <v>0.3</v>
      </c>
      <c r="I1338" s="1">
        <v>21.2</v>
      </c>
      <c r="J1338" s="1">
        <v>7</v>
      </c>
      <c r="K1338" s="1">
        <v>298</v>
      </c>
      <c r="M1338" s="1">
        <v>60</v>
      </c>
      <c r="N1338" s="1">
        <f t="shared" si="220"/>
        <v>88.751545381593303</v>
      </c>
    </row>
    <row r="1339" spans="4:14" ht="34.5" customHeight="1" x14ac:dyDescent="0.3">
      <c r="D1339" s="1">
        <v>4.5999999999999996</v>
      </c>
      <c r="G1339" s="1">
        <v>48</v>
      </c>
      <c r="H1339" s="1">
        <v>0.3</v>
      </c>
      <c r="I1339" s="1">
        <v>21.2</v>
      </c>
      <c r="J1339" s="1">
        <v>7</v>
      </c>
      <c r="K1339" s="1">
        <v>298</v>
      </c>
      <c r="M1339" s="1">
        <v>100</v>
      </c>
      <c r="N1339" s="1">
        <f t="shared" si="220"/>
        <v>105.40773288764019</v>
      </c>
    </row>
    <row r="1340" spans="4:14" ht="34.5" customHeight="1" x14ac:dyDescent="0.3">
      <c r="D1340" s="1" t="s">
        <v>11</v>
      </c>
      <c r="G1340" s="1">
        <v>990</v>
      </c>
      <c r="H1340" s="1">
        <v>0.55000000000000004</v>
      </c>
      <c r="I1340" s="1">
        <v>350</v>
      </c>
      <c r="J1340" s="1">
        <v>6</v>
      </c>
      <c r="K1340" s="1">
        <v>293.14999999999998</v>
      </c>
      <c r="M1340" s="1">
        <v>2</v>
      </c>
      <c r="N1340" s="1">
        <f t="shared" ref="N1340:N1345" si="221">85*0.073*M1340/(1+0.073*M1340)</f>
        <v>10.828970331588133</v>
      </c>
    </row>
    <row r="1341" spans="4:14" ht="34.5" customHeight="1" x14ac:dyDescent="0.3">
      <c r="D1341" s="1" t="s">
        <v>11</v>
      </c>
      <c r="G1341" s="1">
        <v>990</v>
      </c>
      <c r="H1341" s="1">
        <v>0.55000000000000004</v>
      </c>
      <c r="I1341" s="1">
        <v>350</v>
      </c>
      <c r="J1341" s="1">
        <v>6</v>
      </c>
      <c r="K1341" s="1">
        <v>293.14999999999998</v>
      </c>
      <c r="M1341" s="1">
        <v>5</v>
      </c>
      <c r="N1341" s="1">
        <f t="shared" si="221"/>
        <v>22.728937728937726</v>
      </c>
    </row>
    <row r="1342" spans="4:14" ht="34.5" customHeight="1" x14ac:dyDescent="0.3">
      <c r="D1342" s="1" t="s">
        <v>11</v>
      </c>
      <c r="G1342" s="1">
        <v>990</v>
      </c>
      <c r="H1342" s="1">
        <v>0.55000000000000004</v>
      </c>
      <c r="I1342" s="1">
        <v>350</v>
      </c>
      <c r="J1342" s="1">
        <v>6</v>
      </c>
      <c r="K1342" s="1">
        <v>293.14999999999998</v>
      </c>
      <c r="M1342" s="1">
        <v>10</v>
      </c>
      <c r="N1342" s="1">
        <f t="shared" si="221"/>
        <v>35.867052023121381</v>
      </c>
    </row>
    <row r="1343" spans="4:14" ht="34.5" customHeight="1" x14ac:dyDescent="0.3">
      <c r="D1343" s="1" t="s">
        <v>11</v>
      </c>
      <c r="G1343" s="1">
        <v>990</v>
      </c>
      <c r="H1343" s="1">
        <v>0.55000000000000004</v>
      </c>
      <c r="I1343" s="1">
        <v>350</v>
      </c>
      <c r="J1343" s="1">
        <v>6</v>
      </c>
      <c r="K1343" s="1">
        <v>293.14999999999998</v>
      </c>
      <c r="M1343" s="1">
        <v>15</v>
      </c>
      <c r="N1343" s="1">
        <f t="shared" si="221"/>
        <v>44.427207637231504</v>
      </c>
    </row>
    <row r="1344" spans="4:14" ht="34.5" customHeight="1" x14ac:dyDescent="0.3">
      <c r="D1344" s="1" t="s">
        <v>11</v>
      </c>
      <c r="G1344" s="1">
        <v>990</v>
      </c>
      <c r="H1344" s="1">
        <v>0.55000000000000004</v>
      </c>
      <c r="I1344" s="1">
        <v>350</v>
      </c>
      <c r="J1344" s="1">
        <v>6</v>
      </c>
      <c r="K1344" s="1">
        <v>293.14999999999998</v>
      </c>
      <c r="M1344" s="1">
        <v>25</v>
      </c>
      <c r="N1344" s="1">
        <f t="shared" si="221"/>
        <v>54.911504424778748</v>
      </c>
    </row>
    <row r="1345" spans="2:14" ht="34.5" customHeight="1" x14ac:dyDescent="0.3">
      <c r="D1345" s="1" t="s">
        <v>11</v>
      </c>
      <c r="G1345" s="1">
        <v>990</v>
      </c>
      <c r="H1345" s="1">
        <v>0.55000000000000004</v>
      </c>
      <c r="I1345" s="1">
        <v>350</v>
      </c>
      <c r="J1345" s="1">
        <v>6</v>
      </c>
      <c r="K1345" s="1">
        <v>293.14999999999998</v>
      </c>
      <c r="M1345" s="1">
        <v>35</v>
      </c>
      <c r="N1345" s="1">
        <f t="shared" si="221"/>
        <v>61.090014064697613</v>
      </c>
    </row>
    <row r="1346" spans="2:14" ht="34.5" customHeight="1" x14ac:dyDescent="0.3">
      <c r="D1346" s="1" t="s">
        <v>11</v>
      </c>
      <c r="G1346" s="1">
        <v>815</v>
      </c>
      <c r="H1346" s="1">
        <v>0.45</v>
      </c>
      <c r="I1346" s="1">
        <v>350</v>
      </c>
      <c r="J1346" s="1">
        <v>6</v>
      </c>
      <c r="K1346" s="1">
        <v>293.14999999999998</v>
      </c>
      <c r="M1346" s="1">
        <v>2</v>
      </c>
      <c r="N1346" s="1">
        <f>92*0.078*M1346/(1+0.078*M1346)</f>
        <v>12.415224913494811</v>
      </c>
    </row>
    <row r="1347" spans="2:14" ht="34.5" customHeight="1" x14ac:dyDescent="0.3">
      <c r="D1347" s="1" t="s">
        <v>11</v>
      </c>
      <c r="G1347" s="1">
        <v>815</v>
      </c>
      <c r="H1347" s="1">
        <v>0.45</v>
      </c>
      <c r="I1347" s="1">
        <v>350</v>
      </c>
      <c r="J1347" s="1">
        <v>6</v>
      </c>
      <c r="K1347" s="1">
        <v>293.14999999999998</v>
      </c>
      <c r="M1347" s="1">
        <v>5</v>
      </c>
      <c r="N1347" s="1">
        <f t="shared" ref="N1347:N1351" si="222">92*0.078*M1347/(1+0.078*M1347)</f>
        <v>25.812949640287769</v>
      </c>
    </row>
    <row r="1348" spans="2:14" ht="34.5" customHeight="1" x14ac:dyDescent="0.3">
      <c r="D1348" s="1" t="s">
        <v>11</v>
      </c>
      <c r="G1348" s="1">
        <v>815</v>
      </c>
      <c r="H1348" s="1">
        <v>0.45</v>
      </c>
      <c r="I1348" s="1">
        <v>350</v>
      </c>
      <c r="J1348" s="1">
        <v>6</v>
      </c>
      <c r="K1348" s="1">
        <v>293.14999999999998</v>
      </c>
      <c r="M1348" s="1">
        <v>10</v>
      </c>
      <c r="N1348" s="1">
        <f t="shared" si="222"/>
        <v>40.314606741573037</v>
      </c>
    </row>
    <row r="1349" spans="2:14" ht="34.5" customHeight="1" x14ac:dyDescent="0.3">
      <c r="D1349" s="1" t="s">
        <v>11</v>
      </c>
      <c r="G1349" s="1">
        <v>815</v>
      </c>
      <c r="H1349" s="1">
        <v>0.45</v>
      </c>
      <c r="I1349" s="1">
        <v>350</v>
      </c>
      <c r="J1349" s="1">
        <v>6</v>
      </c>
      <c r="K1349" s="1">
        <v>293.14999999999998</v>
      </c>
      <c r="M1349" s="1">
        <v>15</v>
      </c>
      <c r="N1349" s="1">
        <f t="shared" si="222"/>
        <v>49.603686635944705</v>
      </c>
    </row>
    <row r="1350" spans="2:14" ht="34.5" customHeight="1" x14ac:dyDescent="0.3">
      <c r="D1350" s="1" t="s">
        <v>11</v>
      </c>
      <c r="G1350" s="1">
        <v>815</v>
      </c>
      <c r="H1350" s="1">
        <v>0.45</v>
      </c>
      <c r="I1350" s="1">
        <v>350</v>
      </c>
      <c r="J1350" s="1">
        <v>6</v>
      </c>
      <c r="K1350" s="1">
        <v>293.14999999999998</v>
      </c>
      <c r="M1350" s="1">
        <v>25</v>
      </c>
      <c r="N1350" s="1">
        <f t="shared" si="222"/>
        <v>60.813559322033896</v>
      </c>
    </row>
    <row r="1351" spans="2:14" ht="34.5" customHeight="1" x14ac:dyDescent="0.3">
      <c r="D1351" s="1" t="s">
        <v>11</v>
      </c>
      <c r="G1351" s="1">
        <v>815</v>
      </c>
      <c r="H1351" s="1">
        <v>0.45</v>
      </c>
      <c r="I1351" s="1">
        <v>350</v>
      </c>
      <c r="J1351" s="1">
        <v>6</v>
      </c>
      <c r="K1351" s="1">
        <v>293.14999999999998</v>
      </c>
      <c r="M1351" s="1">
        <v>35</v>
      </c>
      <c r="N1351" s="1">
        <f t="shared" si="222"/>
        <v>67.335120643431637</v>
      </c>
    </row>
    <row r="1352" spans="2:14" ht="34.5" customHeight="1" x14ac:dyDescent="0.3">
      <c r="B1352" s="1">
        <v>4.75</v>
      </c>
      <c r="C1352" s="1">
        <v>1.8</v>
      </c>
      <c r="D1352" s="1">
        <v>22.24</v>
      </c>
      <c r="E1352" s="1">
        <v>1.75</v>
      </c>
      <c r="F1352" s="1">
        <v>0.57999999999999996</v>
      </c>
      <c r="G1352" s="1">
        <v>69.503</v>
      </c>
      <c r="H1352" s="1">
        <v>9.1990000000000002E-2</v>
      </c>
      <c r="J1352" s="1">
        <v>7</v>
      </c>
      <c r="K1352" s="1">
        <v>298</v>
      </c>
      <c r="M1352" s="1">
        <v>1</v>
      </c>
      <c r="N1352" s="1">
        <f t="shared" ref="N1352:N1357" si="223">7.79*1.29*M1352/(1+1.29*M1352)</f>
        <v>4.3882532751091707</v>
      </c>
    </row>
    <row r="1353" spans="2:14" ht="34.5" customHeight="1" x14ac:dyDescent="0.3">
      <c r="B1353" s="1">
        <v>4.75</v>
      </c>
      <c r="C1353" s="1">
        <v>1.8</v>
      </c>
      <c r="D1353" s="1">
        <v>22.24</v>
      </c>
      <c r="E1353" s="1">
        <v>1.75</v>
      </c>
      <c r="F1353" s="1">
        <v>0.57999999999999996</v>
      </c>
      <c r="G1353" s="1">
        <v>69.503</v>
      </c>
      <c r="H1353" s="1">
        <v>9.1990000000000002E-2</v>
      </c>
      <c r="J1353" s="1">
        <v>7</v>
      </c>
      <c r="K1353" s="1">
        <v>298</v>
      </c>
      <c r="M1353" s="1">
        <v>2</v>
      </c>
      <c r="N1353" s="1">
        <f t="shared" si="223"/>
        <v>5.6140223463687153</v>
      </c>
    </row>
    <row r="1354" spans="2:14" ht="34.5" customHeight="1" x14ac:dyDescent="0.3">
      <c r="B1354" s="1">
        <v>4.75</v>
      </c>
      <c r="C1354" s="1">
        <v>1.8</v>
      </c>
      <c r="D1354" s="1">
        <v>22.24</v>
      </c>
      <c r="E1354" s="1">
        <v>1.75</v>
      </c>
      <c r="F1354" s="1">
        <v>0.57999999999999996</v>
      </c>
      <c r="G1354" s="1">
        <v>69.503</v>
      </c>
      <c r="H1354" s="1">
        <v>9.1990000000000002E-2</v>
      </c>
      <c r="J1354" s="1">
        <v>7</v>
      </c>
      <c r="K1354" s="1">
        <v>298</v>
      </c>
      <c r="M1354" s="1">
        <v>4</v>
      </c>
      <c r="N1354" s="1">
        <f t="shared" si="223"/>
        <v>6.5253896103896105</v>
      </c>
    </row>
    <row r="1355" spans="2:14" ht="34.5" customHeight="1" x14ac:dyDescent="0.3">
      <c r="B1355" s="1">
        <v>4.75</v>
      </c>
      <c r="C1355" s="1">
        <v>1.8</v>
      </c>
      <c r="D1355" s="1">
        <v>22.24</v>
      </c>
      <c r="E1355" s="1">
        <v>1.75</v>
      </c>
      <c r="F1355" s="1">
        <v>0.57999999999999996</v>
      </c>
      <c r="G1355" s="1">
        <v>69.503</v>
      </c>
      <c r="H1355" s="1">
        <v>9.1990000000000002E-2</v>
      </c>
      <c r="J1355" s="1">
        <v>7</v>
      </c>
      <c r="K1355" s="1">
        <v>298</v>
      </c>
      <c r="M1355" s="1">
        <v>8</v>
      </c>
      <c r="N1355" s="1">
        <f t="shared" si="223"/>
        <v>7.1018374558303892</v>
      </c>
    </row>
    <row r="1356" spans="2:14" ht="34.5" customHeight="1" x14ac:dyDescent="0.3">
      <c r="B1356" s="1">
        <v>4.75</v>
      </c>
      <c r="C1356" s="1">
        <v>1.8</v>
      </c>
      <c r="D1356" s="1">
        <v>22.24</v>
      </c>
      <c r="E1356" s="1">
        <v>1.75</v>
      </c>
      <c r="F1356" s="1">
        <v>0.57999999999999996</v>
      </c>
      <c r="G1356" s="1">
        <v>69.503</v>
      </c>
      <c r="H1356" s="1">
        <v>9.1990000000000002E-2</v>
      </c>
      <c r="J1356" s="1">
        <v>7</v>
      </c>
      <c r="K1356" s="1">
        <v>298</v>
      </c>
      <c r="M1356" s="1">
        <v>14</v>
      </c>
      <c r="N1356" s="1">
        <f t="shared" si="223"/>
        <v>7.3812906610703051</v>
      </c>
    </row>
    <row r="1357" spans="2:14" ht="34.5" customHeight="1" x14ac:dyDescent="0.3">
      <c r="B1357" s="1">
        <v>4.75</v>
      </c>
      <c r="C1357" s="1">
        <v>1.8</v>
      </c>
      <c r="D1357" s="1">
        <v>22.24</v>
      </c>
      <c r="E1357" s="1">
        <v>1.75</v>
      </c>
      <c r="F1357" s="1">
        <v>0.57999999999999996</v>
      </c>
      <c r="G1357" s="1">
        <v>69.503</v>
      </c>
      <c r="H1357" s="1">
        <v>9.1990000000000002E-2</v>
      </c>
      <c r="J1357" s="1">
        <v>7</v>
      </c>
      <c r="K1357" s="1">
        <v>298</v>
      </c>
      <c r="M1357" s="1">
        <v>20</v>
      </c>
      <c r="N1357" s="1">
        <f t="shared" si="223"/>
        <v>7.499328358208956</v>
      </c>
    </row>
    <row r="1358" spans="2:14" ht="34.5" customHeight="1" x14ac:dyDescent="0.3">
      <c r="B1358" s="1">
        <v>6.13</v>
      </c>
      <c r="C1358" s="1">
        <v>2.0299999999999998</v>
      </c>
      <c r="D1358" s="1">
        <v>16.66</v>
      </c>
      <c r="E1358" s="1">
        <v>0.45</v>
      </c>
      <c r="F1358" s="1">
        <v>4.17</v>
      </c>
      <c r="G1358" s="1">
        <v>125.11499999999999</v>
      </c>
      <c r="H1358" s="1">
        <v>0.14910000000000001</v>
      </c>
      <c r="J1358" s="1">
        <v>7</v>
      </c>
      <c r="K1358" s="1">
        <v>298</v>
      </c>
      <c r="M1358" s="1">
        <v>1</v>
      </c>
      <c r="N1358" s="1">
        <f>6.7*M1358^0.229</f>
        <v>6.7</v>
      </c>
    </row>
    <row r="1359" spans="2:14" ht="34.5" customHeight="1" x14ac:dyDescent="0.3">
      <c r="B1359" s="1">
        <v>6.13</v>
      </c>
      <c r="C1359" s="1">
        <v>2.0299999999999998</v>
      </c>
      <c r="D1359" s="1">
        <v>16.66</v>
      </c>
      <c r="E1359" s="1">
        <v>0.45</v>
      </c>
      <c r="F1359" s="1">
        <v>4.17</v>
      </c>
      <c r="G1359" s="1">
        <v>125.11499999999999</v>
      </c>
      <c r="H1359" s="1">
        <v>0.14910000000000001</v>
      </c>
      <c r="J1359" s="1">
        <v>7</v>
      </c>
      <c r="K1359" s="1">
        <v>298</v>
      </c>
      <c r="M1359" s="1">
        <v>2</v>
      </c>
      <c r="N1359" s="1">
        <f t="shared" ref="N1359:N1363" si="224">6.7*M1359^0.229</f>
        <v>7.8525493006192422</v>
      </c>
    </row>
    <row r="1360" spans="2:14" ht="34.5" customHeight="1" x14ac:dyDescent="0.3">
      <c r="B1360" s="1">
        <v>6.13</v>
      </c>
      <c r="C1360" s="1">
        <v>2.0299999999999998</v>
      </c>
      <c r="D1360" s="1">
        <v>16.66</v>
      </c>
      <c r="E1360" s="1">
        <v>0.45</v>
      </c>
      <c r="F1360" s="1">
        <v>4.17</v>
      </c>
      <c r="G1360" s="1">
        <v>125.11499999999999</v>
      </c>
      <c r="H1360" s="1">
        <v>0.14910000000000001</v>
      </c>
      <c r="J1360" s="1">
        <v>7</v>
      </c>
      <c r="K1360" s="1">
        <v>298</v>
      </c>
      <c r="M1360" s="1">
        <v>4</v>
      </c>
      <c r="N1360" s="1">
        <f t="shared" si="224"/>
        <v>9.2033627639784701</v>
      </c>
    </row>
    <row r="1361" spans="2:14" ht="34.5" customHeight="1" x14ac:dyDescent="0.3">
      <c r="B1361" s="1">
        <v>6.13</v>
      </c>
      <c r="C1361" s="1">
        <v>2.0299999999999998</v>
      </c>
      <c r="D1361" s="1">
        <v>16.66</v>
      </c>
      <c r="E1361" s="1">
        <v>0.45</v>
      </c>
      <c r="F1361" s="1">
        <v>4.17</v>
      </c>
      <c r="G1361" s="1">
        <v>125.11499999999999</v>
      </c>
      <c r="H1361" s="1">
        <v>0.14910000000000001</v>
      </c>
      <c r="J1361" s="1">
        <v>7</v>
      </c>
      <c r="K1361" s="1">
        <v>298</v>
      </c>
      <c r="M1361" s="1">
        <v>8</v>
      </c>
      <c r="N1361" s="1">
        <f t="shared" si="224"/>
        <v>10.786546244123032</v>
      </c>
    </row>
    <row r="1362" spans="2:14" ht="34.5" customHeight="1" x14ac:dyDescent="0.3">
      <c r="B1362" s="1">
        <v>6.13</v>
      </c>
      <c r="C1362" s="1">
        <v>2.0299999999999998</v>
      </c>
      <c r="D1362" s="1">
        <v>16.66</v>
      </c>
      <c r="E1362" s="1">
        <v>0.45</v>
      </c>
      <c r="F1362" s="1">
        <v>4.17</v>
      </c>
      <c r="G1362" s="1">
        <v>125.11499999999999</v>
      </c>
      <c r="H1362" s="1">
        <v>0.14910000000000001</v>
      </c>
      <c r="J1362" s="1">
        <v>7</v>
      </c>
      <c r="K1362" s="1">
        <v>298</v>
      </c>
      <c r="M1362" s="1">
        <v>14</v>
      </c>
      <c r="N1362" s="1">
        <f t="shared" si="224"/>
        <v>12.261345294589839</v>
      </c>
    </row>
    <row r="1363" spans="2:14" ht="34.5" customHeight="1" x14ac:dyDescent="0.3">
      <c r="B1363" s="1">
        <v>6.13</v>
      </c>
      <c r="C1363" s="1">
        <v>2.0299999999999998</v>
      </c>
      <c r="D1363" s="1">
        <v>16.66</v>
      </c>
      <c r="E1363" s="1">
        <v>0.45</v>
      </c>
      <c r="F1363" s="1">
        <v>4.17</v>
      </c>
      <c r="G1363" s="1">
        <v>125.11499999999999</v>
      </c>
      <c r="H1363" s="1">
        <v>0.14910000000000001</v>
      </c>
      <c r="J1363" s="1">
        <v>7</v>
      </c>
      <c r="K1363" s="1">
        <v>298</v>
      </c>
      <c r="M1363" s="1">
        <v>20</v>
      </c>
      <c r="N1363" s="1">
        <f t="shared" si="224"/>
        <v>13.304871109915412</v>
      </c>
    </row>
    <row r="1364" spans="2:14" ht="34.5" customHeight="1" x14ac:dyDescent="0.3">
      <c r="D1364" s="1" t="s">
        <v>11</v>
      </c>
      <c r="G1364" s="1">
        <v>11.81</v>
      </c>
      <c r="H1364" s="1">
        <v>7.6300000000000007E-2</v>
      </c>
      <c r="J1364" s="1">
        <v>7</v>
      </c>
      <c r="K1364" s="1">
        <v>298</v>
      </c>
      <c r="M1364" s="1">
        <v>1</v>
      </c>
      <c r="N1364" s="1">
        <f>27.55*0.83*M1364/(1+0.83*M1364)</f>
        <v>12.495355191256829</v>
      </c>
    </row>
    <row r="1365" spans="2:14" ht="34.5" customHeight="1" x14ac:dyDescent="0.3">
      <c r="D1365" s="1" t="s">
        <v>11</v>
      </c>
      <c r="G1365" s="1">
        <v>11.81</v>
      </c>
      <c r="H1365" s="1">
        <v>7.6300000000000007E-2</v>
      </c>
      <c r="J1365" s="1">
        <v>7</v>
      </c>
      <c r="K1365" s="1">
        <v>298</v>
      </c>
      <c r="M1365" s="1">
        <v>2</v>
      </c>
      <c r="N1365" s="1">
        <f t="shared" ref="N1365:N1369" si="225">27.55*0.83*M1365/(1+0.83*M1365)</f>
        <v>17.19285714285714</v>
      </c>
    </row>
    <row r="1366" spans="2:14" ht="34.5" customHeight="1" x14ac:dyDescent="0.3">
      <c r="D1366" s="1" t="s">
        <v>11</v>
      </c>
      <c r="G1366" s="1">
        <v>11.81</v>
      </c>
      <c r="H1366" s="1">
        <v>7.6300000000000007E-2</v>
      </c>
      <c r="J1366" s="1">
        <v>7</v>
      </c>
      <c r="K1366" s="1">
        <v>298</v>
      </c>
      <c r="M1366" s="1">
        <v>5</v>
      </c>
      <c r="N1366" s="1">
        <f t="shared" si="225"/>
        <v>22.200485436893207</v>
      </c>
    </row>
    <row r="1367" spans="2:14" ht="34.5" customHeight="1" x14ac:dyDescent="0.3">
      <c r="D1367" s="1" t="s">
        <v>11</v>
      </c>
      <c r="G1367" s="1">
        <v>11.81</v>
      </c>
      <c r="H1367" s="1">
        <v>7.6300000000000007E-2</v>
      </c>
      <c r="J1367" s="1">
        <v>7</v>
      </c>
      <c r="K1367" s="1">
        <v>298</v>
      </c>
      <c r="M1367" s="1">
        <v>10</v>
      </c>
      <c r="N1367" s="1">
        <f t="shared" si="225"/>
        <v>24.587634408602153</v>
      </c>
    </row>
    <row r="1368" spans="2:14" ht="34.5" customHeight="1" x14ac:dyDescent="0.3">
      <c r="D1368" s="1" t="s">
        <v>11</v>
      </c>
      <c r="G1368" s="1">
        <v>11.81</v>
      </c>
      <c r="H1368" s="1">
        <v>7.6300000000000007E-2</v>
      </c>
      <c r="J1368" s="1">
        <v>7</v>
      </c>
      <c r="K1368" s="1">
        <v>298</v>
      </c>
      <c r="M1368" s="1">
        <v>20</v>
      </c>
      <c r="N1368" s="1">
        <f t="shared" si="225"/>
        <v>25.984659090909094</v>
      </c>
    </row>
    <row r="1369" spans="2:14" ht="34.5" customHeight="1" x14ac:dyDescent="0.3">
      <c r="D1369" s="1" t="s">
        <v>11</v>
      </c>
      <c r="G1369" s="1">
        <v>11.81</v>
      </c>
      <c r="H1369" s="1">
        <v>7.6300000000000007E-2</v>
      </c>
      <c r="J1369" s="1">
        <v>7</v>
      </c>
      <c r="K1369" s="1">
        <v>298</v>
      </c>
      <c r="M1369" s="1">
        <v>35</v>
      </c>
      <c r="N1369" s="1">
        <f t="shared" si="225"/>
        <v>26.633194675540768</v>
      </c>
    </row>
    <row r="1370" spans="2:14" ht="34.5" customHeight="1" x14ac:dyDescent="0.3">
      <c r="C1370" s="1" t="s">
        <v>11</v>
      </c>
      <c r="D1370" s="1" t="s">
        <v>11</v>
      </c>
      <c r="G1370" s="1">
        <v>282.02</v>
      </c>
      <c r="H1370" s="1">
        <v>0.2</v>
      </c>
      <c r="I1370" s="1">
        <v>2.2000000000000002</v>
      </c>
      <c r="J1370" s="1">
        <v>4</v>
      </c>
      <c r="K1370" s="1">
        <v>293</v>
      </c>
      <c r="M1370" s="1">
        <v>5</v>
      </c>
      <c r="N1370" s="1">
        <f t="shared" ref="N1370:N1375" si="226">2.59*M1370^(1/4.34)</f>
        <v>3.7527770192395957</v>
      </c>
    </row>
    <row r="1371" spans="2:14" ht="34.5" customHeight="1" x14ac:dyDescent="0.3">
      <c r="C1371" s="1" t="s">
        <v>11</v>
      </c>
      <c r="D1371" s="1" t="s">
        <v>11</v>
      </c>
      <c r="G1371" s="1">
        <v>282.02</v>
      </c>
      <c r="H1371" s="1">
        <v>0.2</v>
      </c>
      <c r="I1371" s="1">
        <v>2.2000000000000002</v>
      </c>
      <c r="J1371" s="1">
        <v>4</v>
      </c>
      <c r="K1371" s="1">
        <v>293</v>
      </c>
      <c r="M1371" s="1">
        <v>20</v>
      </c>
      <c r="N1371" s="1">
        <f t="shared" si="226"/>
        <v>5.1650705836358402</v>
      </c>
    </row>
    <row r="1372" spans="2:14" ht="34.5" customHeight="1" x14ac:dyDescent="0.3">
      <c r="C1372" s="1" t="s">
        <v>11</v>
      </c>
      <c r="D1372" s="1" t="s">
        <v>11</v>
      </c>
      <c r="G1372" s="1">
        <v>282.02</v>
      </c>
      <c r="H1372" s="1">
        <v>0.2</v>
      </c>
      <c r="I1372" s="1">
        <v>2.2000000000000002</v>
      </c>
      <c r="J1372" s="1">
        <v>4</v>
      </c>
      <c r="K1372" s="1">
        <v>293</v>
      </c>
      <c r="M1372" s="1">
        <v>50</v>
      </c>
      <c r="N1372" s="1">
        <f t="shared" si="226"/>
        <v>6.3792189292556687</v>
      </c>
    </row>
    <row r="1373" spans="2:14" ht="34.5" customHeight="1" x14ac:dyDescent="0.3">
      <c r="C1373" s="1" t="s">
        <v>11</v>
      </c>
      <c r="D1373" s="1" t="s">
        <v>11</v>
      </c>
      <c r="G1373" s="1">
        <v>282.02</v>
      </c>
      <c r="H1373" s="1">
        <v>0.2</v>
      </c>
      <c r="I1373" s="1">
        <v>2.2000000000000002</v>
      </c>
      <c r="J1373" s="1">
        <v>4</v>
      </c>
      <c r="K1373" s="1">
        <v>293</v>
      </c>
      <c r="M1373" s="1">
        <v>70</v>
      </c>
      <c r="N1373" s="1">
        <f t="shared" si="226"/>
        <v>6.8934647844463433</v>
      </c>
    </row>
    <row r="1374" spans="2:14" ht="34.5" customHeight="1" x14ac:dyDescent="0.3">
      <c r="C1374" s="1" t="s">
        <v>11</v>
      </c>
      <c r="D1374" s="1" t="s">
        <v>11</v>
      </c>
      <c r="G1374" s="1">
        <v>282.02</v>
      </c>
      <c r="H1374" s="1">
        <v>0.2</v>
      </c>
      <c r="I1374" s="1">
        <v>2.2000000000000002</v>
      </c>
      <c r="J1374" s="1">
        <v>4</v>
      </c>
      <c r="K1374" s="1">
        <v>293</v>
      </c>
      <c r="M1374" s="1">
        <v>90</v>
      </c>
      <c r="N1374" s="1">
        <f t="shared" si="226"/>
        <v>7.3044253761877851</v>
      </c>
    </row>
    <row r="1375" spans="2:14" ht="34.5" customHeight="1" x14ac:dyDescent="0.3">
      <c r="C1375" s="1" t="s">
        <v>11</v>
      </c>
      <c r="D1375" s="1" t="s">
        <v>11</v>
      </c>
      <c r="G1375" s="1">
        <v>282.02</v>
      </c>
      <c r="H1375" s="1">
        <v>0.2</v>
      </c>
      <c r="I1375" s="1">
        <v>2.2000000000000002</v>
      </c>
      <c r="J1375" s="1">
        <v>4</v>
      </c>
      <c r="K1375" s="1">
        <v>293</v>
      </c>
      <c r="M1375" s="1">
        <v>100</v>
      </c>
      <c r="N1375" s="1">
        <f t="shared" si="226"/>
        <v>7.483922080702329</v>
      </c>
    </row>
    <row r="1376" spans="2:14" ht="34.5" customHeight="1" x14ac:dyDescent="0.3">
      <c r="C1376" s="1" t="s">
        <v>11</v>
      </c>
      <c r="D1376" s="1" t="s">
        <v>11</v>
      </c>
      <c r="G1376" s="1">
        <v>213.5</v>
      </c>
      <c r="H1376" s="1">
        <v>2.69</v>
      </c>
      <c r="I1376" s="1">
        <v>0.19</v>
      </c>
      <c r="J1376" s="1">
        <v>4</v>
      </c>
      <c r="K1376" s="1">
        <v>293</v>
      </c>
      <c r="M1376" s="1">
        <v>5</v>
      </c>
      <c r="N1376" s="1">
        <f t="shared" ref="N1376:N1381" si="227">2.51*M1376^(1/4.11)</f>
        <v>3.7131236854357543</v>
      </c>
    </row>
    <row r="1377" spans="3:14" ht="34.5" customHeight="1" x14ac:dyDescent="0.3">
      <c r="C1377" s="1" t="s">
        <v>11</v>
      </c>
      <c r="D1377" s="1" t="s">
        <v>11</v>
      </c>
      <c r="G1377" s="1">
        <v>213.5</v>
      </c>
      <c r="H1377" s="1">
        <v>2.69</v>
      </c>
      <c r="I1377" s="1">
        <v>0.19</v>
      </c>
      <c r="J1377" s="1">
        <v>4</v>
      </c>
      <c r="K1377" s="1">
        <v>293</v>
      </c>
      <c r="M1377" s="1">
        <v>20</v>
      </c>
      <c r="N1377" s="1">
        <f t="shared" si="227"/>
        <v>5.2026670283874186</v>
      </c>
    </row>
    <row r="1378" spans="3:14" ht="34.5" customHeight="1" x14ac:dyDescent="0.3">
      <c r="C1378" s="1" t="s">
        <v>11</v>
      </c>
      <c r="D1378" s="1" t="s">
        <v>11</v>
      </c>
      <c r="G1378" s="1">
        <v>213.5</v>
      </c>
      <c r="H1378" s="1">
        <v>2.69</v>
      </c>
      <c r="I1378" s="1">
        <v>0.19</v>
      </c>
      <c r="J1378" s="1">
        <v>4</v>
      </c>
      <c r="K1378" s="1">
        <v>293</v>
      </c>
      <c r="M1378" s="1">
        <v>50</v>
      </c>
      <c r="N1378" s="1">
        <f t="shared" si="227"/>
        <v>6.502021757080815</v>
      </c>
    </row>
    <row r="1379" spans="3:14" ht="34.5" customHeight="1" x14ac:dyDescent="0.3">
      <c r="C1379" s="1" t="s">
        <v>11</v>
      </c>
      <c r="D1379" s="1" t="s">
        <v>11</v>
      </c>
      <c r="G1379" s="1">
        <v>213.5</v>
      </c>
      <c r="H1379" s="1">
        <v>2.69</v>
      </c>
      <c r="I1379" s="1">
        <v>0.19</v>
      </c>
      <c r="J1379" s="1">
        <v>4</v>
      </c>
      <c r="K1379" s="1">
        <v>293</v>
      </c>
      <c r="M1379" s="1">
        <v>70</v>
      </c>
      <c r="N1379" s="1">
        <f t="shared" si="227"/>
        <v>7.0567167398909882</v>
      </c>
    </row>
    <row r="1380" spans="3:14" ht="34.5" customHeight="1" x14ac:dyDescent="0.3">
      <c r="C1380" s="1" t="s">
        <v>11</v>
      </c>
      <c r="D1380" s="1" t="s">
        <v>11</v>
      </c>
      <c r="G1380" s="1">
        <v>213.5</v>
      </c>
      <c r="H1380" s="1">
        <v>2.69</v>
      </c>
      <c r="I1380" s="1">
        <v>0.19</v>
      </c>
      <c r="J1380" s="1">
        <v>4</v>
      </c>
      <c r="K1380" s="1">
        <v>293</v>
      </c>
      <c r="M1380" s="1">
        <v>90</v>
      </c>
      <c r="N1380" s="1">
        <f t="shared" si="227"/>
        <v>7.5016796977761482</v>
      </c>
    </row>
    <row r="1381" spans="3:14" ht="34.5" customHeight="1" x14ac:dyDescent="0.3">
      <c r="C1381" s="1" t="s">
        <v>11</v>
      </c>
      <c r="D1381" s="1" t="s">
        <v>11</v>
      </c>
      <c r="G1381" s="1">
        <v>213.5</v>
      </c>
      <c r="H1381" s="1">
        <v>2.69</v>
      </c>
      <c r="I1381" s="1">
        <v>0.19</v>
      </c>
      <c r="J1381" s="1">
        <v>4</v>
      </c>
      <c r="K1381" s="1">
        <v>293</v>
      </c>
      <c r="M1381" s="1">
        <v>100</v>
      </c>
      <c r="N1381" s="1">
        <f t="shared" si="227"/>
        <v>7.6964725779047738</v>
      </c>
    </row>
    <row r="1382" spans="3:14" ht="34.5" customHeight="1" x14ac:dyDescent="0.3">
      <c r="C1382" s="1" t="s">
        <v>11</v>
      </c>
      <c r="D1382" s="1" t="s">
        <v>11</v>
      </c>
      <c r="G1382" s="1">
        <v>150.34</v>
      </c>
      <c r="H1382" s="1">
        <v>3.56</v>
      </c>
      <c r="I1382" s="1">
        <v>0.2</v>
      </c>
      <c r="J1382" s="1">
        <v>4</v>
      </c>
      <c r="K1382" s="1">
        <v>293</v>
      </c>
      <c r="M1382" s="1">
        <v>5</v>
      </c>
      <c r="N1382" s="1">
        <f t="shared" ref="N1382:N1387" si="228">2.28*M1382^(1/4.66)</f>
        <v>3.2205378686134818</v>
      </c>
    </row>
    <row r="1383" spans="3:14" ht="34.5" customHeight="1" x14ac:dyDescent="0.3">
      <c r="C1383" s="1" t="s">
        <v>11</v>
      </c>
      <c r="D1383" s="1" t="s">
        <v>11</v>
      </c>
      <c r="G1383" s="1">
        <v>150.34</v>
      </c>
      <c r="H1383" s="1">
        <v>3.56</v>
      </c>
      <c r="I1383" s="1">
        <v>0.2</v>
      </c>
      <c r="J1383" s="1">
        <v>4</v>
      </c>
      <c r="K1383" s="1">
        <v>293</v>
      </c>
      <c r="M1383" s="1">
        <v>20</v>
      </c>
      <c r="N1383" s="1">
        <f t="shared" si="228"/>
        <v>4.3363650273782763</v>
      </c>
    </row>
    <row r="1384" spans="3:14" ht="34.5" customHeight="1" x14ac:dyDescent="0.3">
      <c r="C1384" s="1" t="s">
        <v>11</v>
      </c>
      <c r="D1384" s="1" t="s">
        <v>11</v>
      </c>
      <c r="G1384" s="1">
        <v>150.34</v>
      </c>
      <c r="H1384" s="1">
        <v>3.56</v>
      </c>
      <c r="I1384" s="1">
        <v>0.2</v>
      </c>
      <c r="J1384" s="1">
        <v>4</v>
      </c>
      <c r="K1384" s="1">
        <v>293</v>
      </c>
      <c r="M1384" s="1">
        <v>50</v>
      </c>
      <c r="N1384" s="1">
        <f t="shared" si="228"/>
        <v>5.278623475306774</v>
      </c>
    </row>
    <row r="1385" spans="3:14" ht="34.5" customHeight="1" x14ac:dyDescent="0.3">
      <c r="C1385" s="1" t="s">
        <v>11</v>
      </c>
      <c r="D1385" s="1" t="s">
        <v>11</v>
      </c>
      <c r="G1385" s="1">
        <v>150.34</v>
      </c>
      <c r="H1385" s="1">
        <v>3.56</v>
      </c>
      <c r="I1385" s="1">
        <v>0.2</v>
      </c>
      <c r="J1385" s="1">
        <v>4</v>
      </c>
      <c r="K1385" s="1">
        <v>293</v>
      </c>
      <c r="M1385" s="1">
        <v>70</v>
      </c>
      <c r="N1385" s="1">
        <f t="shared" si="228"/>
        <v>5.6738602200661115</v>
      </c>
    </row>
    <row r="1386" spans="3:14" ht="34.5" customHeight="1" x14ac:dyDescent="0.3">
      <c r="C1386" s="1" t="s">
        <v>11</v>
      </c>
      <c r="D1386" s="1" t="s">
        <v>11</v>
      </c>
      <c r="G1386" s="1">
        <v>150.34</v>
      </c>
      <c r="H1386" s="1">
        <v>3.56</v>
      </c>
      <c r="I1386" s="1">
        <v>0.2</v>
      </c>
      <c r="J1386" s="1">
        <v>4</v>
      </c>
      <c r="K1386" s="1">
        <v>293</v>
      </c>
      <c r="M1386" s="1">
        <v>90</v>
      </c>
      <c r="N1386" s="1">
        <f t="shared" si="228"/>
        <v>5.9882537120467587</v>
      </c>
    </row>
    <row r="1387" spans="3:14" ht="34.5" customHeight="1" x14ac:dyDescent="0.3">
      <c r="C1387" s="1" t="s">
        <v>11</v>
      </c>
      <c r="D1387" s="1" t="s">
        <v>11</v>
      </c>
      <c r="G1387" s="1">
        <v>150.34</v>
      </c>
      <c r="H1387" s="1">
        <v>3.56</v>
      </c>
      <c r="I1387" s="1">
        <v>0.2</v>
      </c>
      <c r="J1387" s="1">
        <v>4</v>
      </c>
      <c r="K1387" s="1">
        <v>293</v>
      </c>
      <c r="M1387" s="1">
        <v>100</v>
      </c>
      <c r="N1387" s="1">
        <f t="shared" si="228"/>
        <v>6.125187624036351</v>
      </c>
    </row>
    <row r="1388" spans="3:14" ht="34.5" customHeight="1" x14ac:dyDescent="0.3">
      <c r="C1388" s="1" t="s">
        <v>11</v>
      </c>
      <c r="D1388" s="1" t="s">
        <v>11</v>
      </c>
      <c r="G1388" s="1">
        <v>124.36</v>
      </c>
      <c r="H1388" s="1">
        <v>4.1399999999999997</v>
      </c>
      <c r="I1388" s="1">
        <v>0.2</v>
      </c>
      <c r="J1388" s="1">
        <v>4</v>
      </c>
      <c r="K1388" s="1">
        <v>293</v>
      </c>
      <c r="M1388" s="1">
        <v>5</v>
      </c>
      <c r="N1388" s="1">
        <f>2.16*M1388^(1/4.87)</f>
        <v>3.0059338522553407</v>
      </c>
    </row>
    <row r="1389" spans="3:14" ht="34.5" customHeight="1" x14ac:dyDescent="0.3">
      <c r="C1389" s="1" t="s">
        <v>11</v>
      </c>
      <c r="D1389" s="1" t="s">
        <v>11</v>
      </c>
      <c r="G1389" s="1">
        <v>124.36</v>
      </c>
      <c r="H1389" s="1">
        <v>4.1399999999999997</v>
      </c>
      <c r="I1389" s="1">
        <v>0.2</v>
      </c>
      <c r="J1389" s="1">
        <v>4</v>
      </c>
      <c r="K1389" s="1">
        <v>293</v>
      </c>
      <c r="M1389" s="1">
        <v>20</v>
      </c>
      <c r="N1389" s="1">
        <f t="shared" ref="N1389:N1393" si="229">2.16*M1389^(1/4.87)</f>
        <v>3.9958180189064305</v>
      </c>
    </row>
    <row r="1390" spans="3:14" ht="34.5" customHeight="1" x14ac:dyDescent="0.3">
      <c r="C1390" s="1" t="s">
        <v>11</v>
      </c>
      <c r="D1390" s="1" t="s">
        <v>11</v>
      </c>
      <c r="G1390" s="1">
        <v>124.36</v>
      </c>
      <c r="H1390" s="1">
        <v>4.1399999999999997</v>
      </c>
      <c r="I1390" s="1">
        <v>0.2</v>
      </c>
      <c r="J1390" s="1">
        <v>4</v>
      </c>
      <c r="K1390" s="1">
        <v>293</v>
      </c>
      <c r="M1390" s="1">
        <v>50</v>
      </c>
      <c r="N1390" s="1">
        <f t="shared" si="229"/>
        <v>4.8230107334104151</v>
      </c>
    </row>
    <row r="1391" spans="3:14" ht="34.5" customHeight="1" x14ac:dyDescent="0.3">
      <c r="C1391" s="1" t="s">
        <v>11</v>
      </c>
      <c r="D1391" s="1" t="s">
        <v>11</v>
      </c>
      <c r="G1391" s="1">
        <v>124.36</v>
      </c>
      <c r="H1391" s="1">
        <v>4.1399999999999997</v>
      </c>
      <c r="I1391" s="1">
        <v>0.2</v>
      </c>
      <c r="J1391" s="1">
        <v>4</v>
      </c>
      <c r="K1391" s="1">
        <v>293</v>
      </c>
      <c r="M1391" s="1">
        <v>70</v>
      </c>
      <c r="N1391" s="1">
        <f t="shared" si="229"/>
        <v>5.1680176146859731</v>
      </c>
    </row>
    <row r="1392" spans="3:14" ht="34.5" customHeight="1" x14ac:dyDescent="0.3">
      <c r="C1392" s="1" t="s">
        <v>11</v>
      </c>
      <c r="D1392" s="1" t="s">
        <v>11</v>
      </c>
      <c r="G1392" s="1">
        <v>124.36</v>
      </c>
      <c r="H1392" s="1">
        <v>4.1399999999999997</v>
      </c>
      <c r="I1392" s="1">
        <v>0.2</v>
      </c>
      <c r="J1392" s="1">
        <v>4</v>
      </c>
      <c r="K1392" s="1">
        <v>293</v>
      </c>
      <c r="M1392" s="1">
        <v>90</v>
      </c>
      <c r="N1392" s="1">
        <f t="shared" si="229"/>
        <v>5.4417123430714138</v>
      </c>
    </row>
    <row r="1393" spans="2:14" ht="34.5" customHeight="1" x14ac:dyDescent="0.3">
      <c r="C1393" s="1" t="s">
        <v>11</v>
      </c>
      <c r="D1393" s="1" t="s">
        <v>11</v>
      </c>
      <c r="G1393" s="1">
        <v>124.36</v>
      </c>
      <c r="H1393" s="1">
        <v>4.1399999999999997</v>
      </c>
      <c r="I1393" s="1">
        <v>0.2</v>
      </c>
      <c r="J1393" s="1">
        <v>4</v>
      </c>
      <c r="K1393" s="1">
        <v>293</v>
      </c>
      <c r="M1393" s="1">
        <v>100</v>
      </c>
      <c r="N1393" s="1">
        <f t="shared" si="229"/>
        <v>5.5607243752234776</v>
      </c>
    </row>
    <row r="1394" spans="2:14" ht="34.5" customHeight="1" x14ac:dyDescent="0.3">
      <c r="B1394" s="1" t="s">
        <v>11</v>
      </c>
      <c r="G1394" s="1">
        <v>200</v>
      </c>
      <c r="H1394" s="1">
        <v>0.152</v>
      </c>
      <c r="I1394" s="1">
        <v>3.03</v>
      </c>
      <c r="J1394" s="1">
        <v>3</v>
      </c>
      <c r="K1394" s="1">
        <v>298</v>
      </c>
      <c r="M1394" s="1">
        <v>1</v>
      </c>
      <c r="N1394" s="1">
        <f t="shared" ref="N1394:N1399" si="230">12.7*1.61*M1394/(1+1.61*M1394)</f>
        <v>7.8340996168582366</v>
      </c>
    </row>
    <row r="1395" spans="2:14" ht="34.5" customHeight="1" x14ac:dyDescent="0.3">
      <c r="B1395" s="1" t="s">
        <v>11</v>
      </c>
      <c r="G1395" s="1">
        <v>200</v>
      </c>
      <c r="H1395" s="1">
        <v>0.152</v>
      </c>
      <c r="I1395" s="1">
        <v>3.03</v>
      </c>
      <c r="J1395" s="1">
        <v>3</v>
      </c>
      <c r="K1395" s="1">
        <v>298</v>
      </c>
      <c r="M1395" s="1">
        <v>2</v>
      </c>
      <c r="N1395" s="1">
        <f t="shared" si="230"/>
        <v>9.690521327014217</v>
      </c>
    </row>
    <row r="1396" spans="2:14" ht="34.5" customHeight="1" x14ac:dyDescent="0.3">
      <c r="B1396" s="1" t="s">
        <v>11</v>
      </c>
      <c r="G1396" s="1">
        <v>200</v>
      </c>
      <c r="H1396" s="1">
        <v>0.152</v>
      </c>
      <c r="I1396" s="1">
        <v>3.03</v>
      </c>
      <c r="J1396" s="1">
        <v>3</v>
      </c>
      <c r="K1396" s="1">
        <v>298</v>
      </c>
      <c r="M1396" s="1">
        <v>4</v>
      </c>
      <c r="N1396" s="1">
        <f t="shared" si="230"/>
        <v>10.993010752688171</v>
      </c>
    </row>
    <row r="1397" spans="2:14" ht="34.5" customHeight="1" x14ac:dyDescent="0.3">
      <c r="B1397" s="1" t="s">
        <v>11</v>
      </c>
      <c r="G1397" s="1">
        <v>200</v>
      </c>
      <c r="H1397" s="1">
        <v>0.152</v>
      </c>
      <c r="I1397" s="1">
        <v>3.03</v>
      </c>
      <c r="J1397" s="1">
        <v>3</v>
      </c>
      <c r="K1397" s="1">
        <v>298</v>
      </c>
      <c r="M1397" s="1">
        <v>6</v>
      </c>
      <c r="N1397" s="1">
        <f t="shared" si="230"/>
        <v>11.508630393996246</v>
      </c>
    </row>
    <row r="1398" spans="2:14" ht="34.5" customHeight="1" x14ac:dyDescent="0.3">
      <c r="B1398" s="1" t="s">
        <v>11</v>
      </c>
      <c r="G1398" s="1">
        <v>200</v>
      </c>
      <c r="H1398" s="1">
        <v>0.152</v>
      </c>
      <c r="I1398" s="1">
        <v>3.03</v>
      </c>
      <c r="J1398" s="1">
        <v>3</v>
      </c>
      <c r="K1398" s="1">
        <v>298</v>
      </c>
      <c r="M1398" s="1">
        <v>9</v>
      </c>
      <c r="N1398" s="1">
        <f t="shared" si="230"/>
        <v>11.880116204002581</v>
      </c>
    </row>
    <row r="1399" spans="2:14" ht="34.5" customHeight="1" x14ac:dyDescent="0.3">
      <c r="B1399" s="1" t="s">
        <v>11</v>
      </c>
      <c r="G1399" s="1">
        <v>200</v>
      </c>
      <c r="H1399" s="1">
        <v>0.152</v>
      </c>
      <c r="I1399" s="1">
        <v>3.03</v>
      </c>
      <c r="J1399" s="1">
        <v>3</v>
      </c>
      <c r="K1399" s="1">
        <v>298</v>
      </c>
      <c r="M1399" s="1">
        <v>14</v>
      </c>
      <c r="N1399" s="1">
        <f t="shared" si="230"/>
        <v>12.160492778249786</v>
      </c>
    </row>
    <row r="1400" spans="2:14" ht="34.5" customHeight="1" x14ac:dyDescent="0.3">
      <c r="C1400" s="1" t="s">
        <v>11</v>
      </c>
      <c r="G1400" s="1">
        <v>143</v>
      </c>
      <c r="H1400" s="1">
        <v>0.21099999999999999</v>
      </c>
      <c r="I1400" s="1">
        <v>5.91</v>
      </c>
      <c r="J1400" s="1">
        <v>3</v>
      </c>
      <c r="K1400" s="1">
        <v>298</v>
      </c>
      <c r="M1400" s="1">
        <v>1</v>
      </c>
      <c r="N1400" s="1">
        <f t="shared" ref="N1400:N1405" si="231">11.2*1.83*M1400/(1+1.83*M1400)</f>
        <v>7.2424028268551233</v>
      </c>
    </row>
    <row r="1401" spans="2:14" ht="34.5" customHeight="1" x14ac:dyDescent="0.3">
      <c r="C1401" s="1" t="s">
        <v>11</v>
      </c>
      <c r="G1401" s="1">
        <v>143</v>
      </c>
      <c r="H1401" s="1">
        <v>0.21099999999999999</v>
      </c>
      <c r="I1401" s="1">
        <v>5.91</v>
      </c>
      <c r="J1401" s="1">
        <v>3</v>
      </c>
      <c r="K1401" s="1">
        <v>298</v>
      </c>
      <c r="M1401" s="1">
        <v>2</v>
      </c>
      <c r="N1401" s="1">
        <f t="shared" si="231"/>
        <v>8.7965665236051489</v>
      </c>
    </row>
    <row r="1402" spans="2:14" ht="34.5" customHeight="1" x14ac:dyDescent="0.3">
      <c r="C1402" s="1" t="s">
        <v>11</v>
      </c>
      <c r="G1402" s="1">
        <v>143</v>
      </c>
      <c r="H1402" s="1">
        <v>0.21099999999999999</v>
      </c>
      <c r="I1402" s="1">
        <v>5.91</v>
      </c>
      <c r="J1402" s="1">
        <v>3</v>
      </c>
      <c r="K1402" s="1">
        <v>298</v>
      </c>
      <c r="M1402" s="1">
        <v>4</v>
      </c>
      <c r="N1402" s="1">
        <f t="shared" si="231"/>
        <v>9.8538461538461526</v>
      </c>
    </row>
    <row r="1403" spans="2:14" ht="34.5" customHeight="1" x14ac:dyDescent="0.3">
      <c r="C1403" s="1" t="s">
        <v>11</v>
      </c>
      <c r="G1403" s="1">
        <v>143</v>
      </c>
      <c r="H1403" s="1">
        <v>0.21099999999999999</v>
      </c>
      <c r="I1403" s="1">
        <v>5.91</v>
      </c>
      <c r="J1403" s="1">
        <v>3</v>
      </c>
      <c r="K1403" s="1">
        <v>298</v>
      </c>
      <c r="M1403" s="1">
        <v>6</v>
      </c>
      <c r="N1403" s="1">
        <f t="shared" si="231"/>
        <v>10.265108514190317</v>
      </c>
    </row>
    <row r="1404" spans="2:14" ht="34.5" customHeight="1" x14ac:dyDescent="0.3">
      <c r="C1404" s="1" t="s">
        <v>11</v>
      </c>
      <c r="G1404" s="1">
        <v>143</v>
      </c>
      <c r="H1404" s="1">
        <v>0.21099999999999999</v>
      </c>
      <c r="I1404" s="1">
        <v>5.91</v>
      </c>
      <c r="J1404" s="1">
        <v>3</v>
      </c>
      <c r="K1404" s="1">
        <v>298</v>
      </c>
      <c r="M1404" s="1">
        <v>9</v>
      </c>
      <c r="N1404" s="1">
        <f t="shared" si="231"/>
        <v>10.558900973096739</v>
      </c>
    </row>
    <row r="1405" spans="2:14" ht="34.5" customHeight="1" x14ac:dyDescent="0.3">
      <c r="C1405" s="1" t="s">
        <v>11</v>
      </c>
      <c r="G1405" s="1">
        <v>143</v>
      </c>
      <c r="H1405" s="1">
        <v>0.21099999999999999</v>
      </c>
      <c r="I1405" s="1">
        <v>5.91</v>
      </c>
      <c r="J1405" s="1">
        <v>3</v>
      </c>
      <c r="K1405" s="1">
        <v>298</v>
      </c>
      <c r="M1405" s="1">
        <v>14</v>
      </c>
      <c r="N1405" s="1">
        <f t="shared" si="231"/>
        <v>10.779263711495114</v>
      </c>
    </row>
    <row r="1406" spans="2:14" ht="34.5" customHeight="1" x14ac:dyDescent="0.3">
      <c r="B1406" s="1" t="s">
        <v>11</v>
      </c>
      <c r="C1406" s="1" t="s">
        <v>11</v>
      </c>
      <c r="G1406" s="1">
        <v>94.9</v>
      </c>
      <c r="H1406" s="1">
        <v>9.7299999999999998E-2</v>
      </c>
      <c r="I1406" s="1">
        <v>4.0999999999999996</v>
      </c>
      <c r="J1406" s="1">
        <v>3</v>
      </c>
      <c r="K1406" s="1">
        <v>298</v>
      </c>
      <c r="M1406" s="1">
        <v>1</v>
      </c>
      <c r="N1406" s="1">
        <f>10.5*1.25*M1406/(1+1.25*M1406)</f>
        <v>5.833333333333333</v>
      </c>
    </row>
    <row r="1407" spans="2:14" ht="34.5" customHeight="1" x14ac:dyDescent="0.3">
      <c r="B1407" s="1" t="s">
        <v>11</v>
      </c>
      <c r="C1407" s="1" t="s">
        <v>11</v>
      </c>
      <c r="G1407" s="1">
        <v>94.9</v>
      </c>
      <c r="H1407" s="1">
        <v>9.7299999999999998E-2</v>
      </c>
      <c r="I1407" s="1">
        <v>4.0999999999999996</v>
      </c>
      <c r="J1407" s="1">
        <v>3</v>
      </c>
      <c r="K1407" s="1">
        <v>298</v>
      </c>
      <c r="M1407" s="1">
        <v>2</v>
      </c>
      <c r="N1407" s="1">
        <f t="shared" ref="N1407:N1411" si="232">10.5*1.25*M1407/(1+1.25*M1407)</f>
        <v>7.5</v>
      </c>
    </row>
    <row r="1408" spans="2:14" ht="34.5" customHeight="1" x14ac:dyDescent="0.3">
      <c r="B1408" s="1" t="s">
        <v>11</v>
      </c>
      <c r="C1408" s="1" t="s">
        <v>11</v>
      </c>
      <c r="G1408" s="1">
        <v>94.9</v>
      </c>
      <c r="H1408" s="1">
        <v>9.7299999999999998E-2</v>
      </c>
      <c r="I1408" s="1">
        <v>4.0999999999999996</v>
      </c>
      <c r="J1408" s="1">
        <v>3</v>
      </c>
      <c r="K1408" s="1">
        <v>298</v>
      </c>
      <c r="M1408" s="1">
        <v>4</v>
      </c>
      <c r="N1408" s="1">
        <f t="shared" si="232"/>
        <v>8.75</v>
      </c>
    </row>
    <row r="1409" spans="2:14" ht="34.5" customHeight="1" x14ac:dyDescent="0.3">
      <c r="B1409" s="1" t="s">
        <v>11</v>
      </c>
      <c r="C1409" s="1" t="s">
        <v>11</v>
      </c>
      <c r="G1409" s="1">
        <v>94.9</v>
      </c>
      <c r="H1409" s="1">
        <v>9.7299999999999998E-2</v>
      </c>
      <c r="I1409" s="1">
        <v>4.0999999999999996</v>
      </c>
      <c r="J1409" s="1">
        <v>3</v>
      </c>
      <c r="K1409" s="1">
        <v>298</v>
      </c>
      <c r="M1409" s="1">
        <v>6</v>
      </c>
      <c r="N1409" s="1">
        <f t="shared" si="232"/>
        <v>9.264705882352942</v>
      </c>
    </row>
    <row r="1410" spans="2:14" ht="34.5" customHeight="1" x14ac:dyDescent="0.3">
      <c r="B1410" s="1" t="s">
        <v>11</v>
      </c>
      <c r="C1410" s="1" t="s">
        <v>11</v>
      </c>
      <c r="G1410" s="1">
        <v>94.9</v>
      </c>
      <c r="H1410" s="1">
        <v>9.7299999999999998E-2</v>
      </c>
      <c r="I1410" s="1">
        <v>4.0999999999999996</v>
      </c>
      <c r="J1410" s="1">
        <v>3</v>
      </c>
      <c r="K1410" s="1">
        <v>298</v>
      </c>
      <c r="M1410" s="1">
        <v>9</v>
      </c>
      <c r="N1410" s="1">
        <f t="shared" si="232"/>
        <v>9.6428571428571423</v>
      </c>
    </row>
    <row r="1411" spans="2:14" ht="34.5" customHeight="1" x14ac:dyDescent="0.3">
      <c r="B1411" s="1" t="s">
        <v>11</v>
      </c>
      <c r="C1411" s="1" t="s">
        <v>11</v>
      </c>
      <c r="G1411" s="1">
        <v>94.9</v>
      </c>
      <c r="H1411" s="1">
        <v>9.7299999999999998E-2</v>
      </c>
      <c r="I1411" s="1">
        <v>4.0999999999999996</v>
      </c>
      <c r="J1411" s="1">
        <v>3</v>
      </c>
      <c r="K1411" s="1">
        <v>298</v>
      </c>
      <c r="M1411" s="1">
        <v>14</v>
      </c>
      <c r="N1411" s="1">
        <f t="shared" si="232"/>
        <v>9.9324324324324316</v>
      </c>
    </row>
    <row r="1412" spans="2:14" ht="34.5" customHeight="1" x14ac:dyDescent="0.3">
      <c r="C1412" s="1">
        <v>4.8000000000000001E-2</v>
      </c>
      <c r="G1412" s="1">
        <v>920</v>
      </c>
      <c r="J1412" s="1">
        <v>6.5</v>
      </c>
      <c r="K1412" s="1">
        <v>295.14999999999998</v>
      </c>
      <c r="M1412" s="1">
        <v>2</v>
      </c>
      <c r="N1412" s="1">
        <f t="shared" ref="N1412:N1417" si="233">10.4*0.05*M1412/(1+0.05*M1412)</f>
        <v>0.94545454545454544</v>
      </c>
    </row>
    <row r="1413" spans="2:14" ht="34.5" customHeight="1" x14ac:dyDescent="0.3">
      <c r="C1413" s="1">
        <v>4.8000000000000001E-2</v>
      </c>
      <c r="G1413" s="1">
        <v>920</v>
      </c>
      <c r="J1413" s="1">
        <v>6.5</v>
      </c>
      <c r="K1413" s="1">
        <v>295.14999999999998</v>
      </c>
      <c r="M1413" s="1">
        <v>5</v>
      </c>
      <c r="N1413" s="1">
        <f t="shared" si="233"/>
        <v>2.08</v>
      </c>
    </row>
    <row r="1414" spans="2:14" ht="34.5" customHeight="1" x14ac:dyDescent="0.3">
      <c r="C1414" s="1">
        <v>4.8000000000000001E-2</v>
      </c>
      <c r="G1414" s="1">
        <v>920</v>
      </c>
      <c r="J1414" s="1">
        <v>6.5</v>
      </c>
      <c r="K1414" s="1">
        <v>295.14999999999998</v>
      </c>
      <c r="M1414" s="1">
        <v>10</v>
      </c>
      <c r="N1414" s="1">
        <f t="shared" si="233"/>
        <v>3.4666666666666668</v>
      </c>
    </row>
    <row r="1415" spans="2:14" ht="34.5" customHeight="1" x14ac:dyDescent="0.3">
      <c r="C1415" s="1">
        <v>4.8000000000000001E-2</v>
      </c>
      <c r="G1415" s="1">
        <v>920</v>
      </c>
      <c r="J1415" s="1">
        <v>6.5</v>
      </c>
      <c r="K1415" s="1">
        <v>295.14999999999998</v>
      </c>
      <c r="M1415" s="1">
        <v>15</v>
      </c>
      <c r="N1415" s="1">
        <f t="shared" si="233"/>
        <v>4.4571428571428573</v>
      </c>
    </row>
    <row r="1416" spans="2:14" ht="34.5" customHeight="1" x14ac:dyDescent="0.3">
      <c r="C1416" s="1">
        <v>4.8000000000000001E-2</v>
      </c>
      <c r="G1416" s="1">
        <v>920</v>
      </c>
      <c r="J1416" s="1">
        <v>6.5</v>
      </c>
      <c r="K1416" s="1">
        <v>295.14999999999998</v>
      </c>
      <c r="M1416" s="1">
        <v>40</v>
      </c>
      <c r="N1416" s="1">
        <f t="shared" si="233"/>
        <v>6.9333333333333336</v>
      </c>
    </row>
    <row r="1417" spans="2:14" ht="34.5" customHeight="1" x14ac:dyDescent="0.3">
      <c r="C1417" s="1">
        <v>4.8000000000000001E-2</v>
      </c>
      <c r="G1417" s="1">
        <v>920</v>
      </c>
      <c r="J1417" s="1">
        <v>6.5</v>
      </c>
      <c r="K1417" s="1">
        <v>295.14999999999998</v>
      </c>
      <c r="M1417" s="1">
        <v>90</v>
      </c>
      <c r="N1417" s="1">
        <f t="shared" si="233"/>
        <v>8.5090909090909097</v>
      </c>
    </row>
    <row r="1418" spans="2:14" ht="34.5" customHeight="1" x14ac:dyDescent="0.3">
      <c r="C1418" s="1">
        <v>6.9000000000000006E-2</v>
      </c>
      <c r="G1418" s="1">
        <v>441</v>
      </c>
      <c r="J1418" s="1">
        <v>6.5</v>
      </c>
      <c r="K1418" s="1">
        <v>295.14999999999998</v>
      </c>
      <c r="M1418" s="1">
        <v>2</v>
      </c>
      <c r="N1418" s="1">
        <f t="shared" ref="N1418:N1423" si="234">10.8*0.13*M1418/(1+0.13*M1418)</f>
        <v>2.2285714285714286</v>
      </c>
    </row>
    <row r="1419" spans="2:14" ht="34.5" customHeight="1" x14ac:dyDescent="0.3">
      <c r="C1419" s="1">
        <v>6.9000000000000006E-2</v>
      </c>
      <c r="G1419" s="1">
        <v>441</v>
      </c>
      <c r="J1419" s="1">
        <v>6.5</v>
      </c>
      <c r="K1419" s="1">
        <v>295.14999999999998</v>
      </c>
      <c r="M1419" s="1">
        <v>5</v>
      </c>
      <c r="N1419" s="1">
        <f t="shared" si="234"/>
        <v>4.2545454545454549</v>
      </c>
    </row>
    <row r="1420" spans="2:14" ht="34.5" customHeight="1" x14ac:dyDescent="0.3">
      <c r="C1420" s="1">
        <v>6.9000000000000006E-2</v>
      </c>
      <c r="G1420" s="1">
        <v>441</v>
      </c>
      <c r="J1420" s="1">
        <v>6.5</v>
      </c>
      <c r="K1420" s="1">
        <v>295.14999999999998</v>
      </c>
      <c r="M1420" s="1">
        <v>10</v>
      </c>
      <c r="N1420" s="1">
        <f t="shared" si="234"/>
        <v>6.1043478260869577</v>
      </c>
    </row>
    <row r="1421" spans="2:14" ht="34.5" customHeight="1" x14ac:dyDescent="0.3">
      <c r="C1421" s="1">
        <v>6.9000000000000006E-2</v>
      </c>
      <c r="G1421" s="1">
        <v>441</v>
      </c>
      <c r="J1421" s="1">
        <v>6.5</v>
      </c>
      <c r="K1421" s="1">
        <v>295.14999999999998</v>
      </c>
      <c r="M1421" s="1">
        <v>15</v>
      </c>
      <c r="N1421" s="1">
        <f t="shared" si="234"/>
        <v>7.1389830508474583</v>
      </c>
    </row>
    <row r="1422" spans="2:14" ht="34.5" customHeight="1" x14ac:dyDescent="0.3">
      <c r="C1422" s="1">
        <v>6.9000000000000006E-2</v>
      </c>
      <c r="G1422" s="1">
        <v>441</v>
      </c>
      <c r="J1422" s="1">
        <v>6.5</v>
      </c>
      <c r="K1422" s="1">
        <v>295.14999999999998</v>
      </c>
      <c r="M1422" s="1">
        <v>40</v>
      </c>
      <c r="N1422" s="1">
        <f t="shared" si="234"/>
        <v>9.0580645161290327</v>
      </c>
    </row>
    <row r="1423" spans="2:14" ht="34.5" customHeight="1" x14ac:dyDescent="0.3">
      <c r="C1423" s="1">
        <v>6.9000000000000006E-2</v>
      </c>
      <c r="G1423" s="1">
        <v>441</v>
      </c>
      <c r="J1423" s="1">
        <v>6.5</v>
      </c>
      <c r="K1423" s="1">
        <v>295.14999999999998</v>
      </c>
      <c r="M1423" s="1">
        <v>90</v>
      </c>
      <c r="N1423" s="1">
        <f t="shared" si="234"/>
        <v>9.9496062992125989</v>
      </c>
    </row>
    <row r="1424" spans="2:14" ht="34.5" customHeight="1" x14ac:dyDescent="0.3">
      <c r="C1424" s="1">
        <v>0.113</v>
      </c>
      <c r="G1424" s="1">
        <v>794</v>
      </c>
      <c r="J1424" s="1">
        <v>6.5</v>
      </c>
      <c r="K1424" s="1">
        <v>295.14999999999998</v>
      </c>
      <c r="M1424" s="1">
        <v>2</v>
      </c>
      <c r="N1424" s="1">
        <f>10.8*0.25*M1424/(1+0.25*M1424)</f>
        <v>3.6</v>
      </c>
    </row>
    <row r="1425" spans="2:14" ht="34.5" customHeight="1" x14ac:dyDescent="0.3">
      <c r="C1425" s="1">
        <v>0.113</v>
      </c>
      <c r="G1425" s="1">
        <v>794</v>
      </c>
      <c r="J1425" s="1">
        <v>6.5</v>
      </c>
      <c r="K1425" s="1">
        <v>295.14999999999998</v>
      </c>
      <c r="M1425" s="1">
        <v>5</v>
      </c>
      <c r="N1425" s="1">
        <f t="shared" ref="N1425:N1429" si="235">10.8*0.25*M1425/(1+0.25*M1425)</f>
        <v>6</v>
      </c>
    </row>
    <row r="1426" spans="2:14" ht="34.5" customHeight="1" x14ac:dyDescent="0.3">
      <c r="C1426" s="1">
        <v>0.113</v>
      </c>
      <c r="G1426" s="1">
        <v>794</v>
      </c>
      <c r="J1426" s="1">
        <v>6.5</v>
      </c>
      <c r="K1426" s="1">
        <v>295.14999999999998</v>
      </c>
      <c r="M1426" s="1">
        <v>10</v>
      </c>
      <c r="N1426" s="1">
        <f t="shared" si="235"/>
        <v>7.7142857142857144</v>
      </c>
    </row>
    <row r="1427" spans="2:14" ht="34.5" customHeight="1" x14ac:dyDescent="0.3">
      <c r="C1427" s="1">
        <v>0.113</v>
      </c>
      <c r="G1427" s="1">
        <v>794</v>
      </c>
      <c r="J1427" s="1">
        <v>6.5</v>
      </c>
      <c r="K1427" s="1">
        <v>295.14999999999998</v>
      </c>
      <c r="M1427" s="1">
        <v>15</v>
      </c>
      <c r="N1427" s="1">
        <f t="shared" si="235"/>
        <v>8.526315789473685</v>
      </c>
    </row>
    <row r="1428" spans="2:14" ht="34.5" customHeight="1" x14ac:dyDescent="0.3">
      <c r="C1428" s="1">
        <v>0.113</v>
      </c>
      <c r="G1428" s="1">
        <v>794</v>
      </c>
      <c r="J1428" s="1">
        <v>6.5</v>
      </c>
      <c r="K1428" s="1">
        <v>295.14999999999998</v>
      </c>
      <c r="M1428" s="1">
        <v>40</v>
      </c>
      <c r="N1428" s="1">
        <f t="shared" si="235"/>
        <v>9.8181818181818183</v>
      </c>
    </row>
    <row r="1429" spans="2:14" ht="34.5" customHeight="1" x14ac:dyDescent="0.3">
      <c r="C1429" s="1">
        <v>0.113</v>
      </c>
      <c r="G1429" s="1">
        <v>794</v>
      </c>
      <c r="J1429" s="1">
        <v>6.5</v>
      </c>
      <c r="K1429" s="1">
        <v>295.14999999999998</v>
      </c>
      <c r="M1429" s="1">
        <v>90</v>
      </c>
      <c r="N1429" s="1">
        <f t="shared" si="235"/>
        <v>10.340425531914894</v>
      </c>
    </row>
    <row r="1430" spans="2:14" ht="34.5" customHeight="1" x14ac:dyDescent="0.3">
      <c r="C1430" s="1" t="s">
        <v>11</v>
      </c>
      <c r="G1430" s="1">
        <v>70.459999999999994</v>
      </c>
      <c r="I1430" s="1">
        <v>5.6</v>
      </c>
      <c r="J1430" s="1">
        <v>4</v>
      </c>
      <c r="K1430" s="1">
        <v>295.14999999999998</v>
      </c>
      <c r="M1430" s="1">
        <v>3</v>
      </c>
      <c r="N1430" s="1">
        <f t="shared" ref="N1430:N1435" si="236">5.13*0.029*M1430/(1+0.029*M1430)</f>
        <v>0.41058877644894209</v>
      </c>
    </row>
    <row r="1431" spans="2:14" ht="34.5" customHeight="1" x14ac:dyDescent="0.3">
      <c r="C1431" s="1" t="s">
        <v>11</v>
      </c>
      <c r="G1431" s="1">
        <v>70.459999999999994</v>
      </c>
      <c r="I1431" s="1">
        <v>5.6</v>
      </c>
      <c r="J1431" s="1">
        <v>4</v>
      </c>
      <c r="K1431" s="1">
        <v>295.14999999999998</v>
      </c>
      <c r="M1431" s="1">
        <v>5</v>
      </c>
      <c r="N1431" s="1">
        <f t="shared" si="236"/>
        <v>0.64965065502183417</v>
      </c>
    </row>
    <row r="1432" spans="2:14" ht="34.5" customHeight="1" x14ac:dyDescent="0.3">
      <c r="C1432" s="1" t="s">
        <v>11</v>
      </c>
      <c r="G1432" s="1">
        <v>70.459999999999994</v>
      </c>
      <c r="I1432" s="1">
        <v>5.6</v>
      </c>
      <c r="J1432" s="1">
        <v>4</v>
      </c>
      <c r="K1432" s="1">
        <v>295.14999999999998</v>
      </c>
      <c r="M1432" s="1">
        <v>10</v>
      </c>
      <c r="N1432" s="1">
        <f t="shared" si="236"/>
        <v>1.1532558139534885</v>
      </c>
    </row>
    <row r="1433" spans="2:14" ht="34.5" customHeight="1" x14ac:dyDescent="0.3">
      <c r="C1433" s="1" t="s">
        <v>11</v>
      </c>
      <c r="G1433" s="1">
        <v>70.459999999999994</v>
      </c>
      <c r="I1433" s="1">
        <v>5.6</v>
      </c>
      <c r="J1433" s="1">
        <v>4</v>
      </c>
      <c r="K1433" s="1">
        <v>295.14999999999998</v>
      </c>
      <c r="M1433" s="1">
        <v>20</v>
      </c>
      <c r="N1433" s="1">
        <f t="shared" si="236"/>
        <v>1.8831645569620254</v>
      </c>
    </row>
    <row r="1434" spans="2:14" ht="34.5" customHeight="1" x14ac:dyDescent="0.3">
      <c r="C1434" s="1" t="s">
        <v>11</v>
      </c>
      <c r="G1434" s="1">
        <v>70.459999999999994</v>
      </c>
      <c r="I1434" s="1">
        <v>5.6</v>
      </c>
      <c r="J1434" s="1">
        <v>4</v>
      </c>
      <c r="K1434" s="1">
        <v>295.14999999999998</v>
      </c>
      <c r="M1434" s="1">
        <v>50</v>
      </c>
      <c r="N1434" s="1">
        <f t="shared" si="236"/>
        <v>3.0361224489795919</v>
      </c>
    </row>
    <row r="1435" spans="2:14" ht="34.5" customHeight="1" x14ac:dyDescent="0.3">
      <c r="C1435" s="1" t="s">
        <v>11</v>
      </c>
      <c r="G1435" s="1">
        <v>70.459999999999994</v>
      </c>
      <c r="I1435" s="1">
        <v>5.6</v>
      </c>
      <c r="J1435" s="1">
        <v>4</v>
      </c>
      <c r="K1435" s="1">
        <v>295.14999999999998</v>
      </c>
      <c r="M1435" s="1">
        <v>90</v>
      </c>
      <c r="N1435" s="1">
        <f t="shared" si="236"/>
        <v>3.7089473684210525</v>
      </c>
    </row>
    <row r="1436" spans="2:14" ht="34.5" customHeight="1" x14ac:dyDescent="0.3">
      <c r="B1436" s="1">
        <v>21</v>
      </c>
      <c r="C1436" s="1">
        <v>21.2</v>
      </c>
      <c r="G1436" s="1">
        <v>74</v>
      </c>
      <c r="J1436" s="1">
        <v>7</v>
      </c>
      <c r="K1436" s="1">
        <v>303.14999999999998</v>
      </c>
      <c r="M1436" s="1">
        <v>1</v>
      </c>
      <c r="N1436" s="1">
        <v>5</v>
      </c>
    </row>
    <row r="1437" spans="2:14" ht="34.5" customHeight="1" x14ac:dyDescent="0.3">
      <c r="B1437" s="1">
        <v>21</v>
      </c>
      <c r="C1437" s="1">
        <v>21.2</v>
      </c>
      <c r="G1437" s="1">
        <v>74</v>
      </c>
      <c r="J1437" s="1">
        <v>7</v>
      </c>
      <c r="K1437" s="1">
        <v>303.14999999999998</v>
      </c>
      <c r="M1437" s="1">
        <v>3</v>
      </c>
      <c r="N1437" s="1">
        <v>5.8</v>
      </c>
    </row>
    <row r="1438" spans="2:14" ht="34.5" customHeight="1" x14ac:dyDescent="0.3">
      <c r="B1438" s="1">
        <v>21</v>
      </c>
      <c r="C1438" s="1">
        <v>21.2</v>
      </c>
      <c r="G1438" s="1">
        <v>74</v>
      </c>
      <c r="J1438" s="1">
        <v>7</v>
      </c>
      <c r="K1438" s="1">
        <v>303.14999999999998</v>
      </c>
      <c r="M1438" s="1">
        <v>6</v>
      </c>
      <c r="N1438" s="1">
        <v>6.8</v>
      </c>
    </row>
    <row r="1439" spans="2:14" ht="34.5" customHeight="1" x14ac:dyDescent="0.3">
      <c r="B1439" s="1">
        <v>21</v>
      </c>
      <c r="C1439" s="1">
        <v>21.2</v>
      </c>
      <c r="G1439" s="1">
        <v>74</v>
      </c>
      <c r="J1439" s="1">
        <v>7</v>
      </c>
      <c r="K1439" s="1">
        <v>303.14999999999998</v>
      </c>
      <c r="M1439" s="1">
        <v>9</v>
      </c>
      <c r="N1439" s="1">
        <v>7.2</v>
      </c>
    </row>
    <row r="1440" spans="2:14" ht="34.5" customHeight="1" x14ac:dyDescent="0.3">
      <c r="B1440" s="1">
        <v>21</v>
      </c>
      <c r="C1440" s="1">
        <v>21.2</v>
      </c>
      <c r="G1440" s="1">
        <v>74</v>
      </c>
      <c r="J1440" s="1">
        <v>7</v>
      </c>
      <c r="K1440" s="1">
        <v>303.14999999999998</v>
      </c>
      <c r="M1440" s="1">
        <v>12</v>
      </c>
      <c r="N1440" s="1">
        <v>7.6</v>
      </c>
    </row>
    <row r="1441" spans="2:14" ht="34.5" customHeight="1" x14ac:dyDescent="0.3">
      <c r="B1441" s="1">
        <v>21</v>
      </c>
      <c r="C1441" s="1">
        <v>21.2</v>
      </c>
      <c r="G1441" s="1">
        <v>74</v>
      </c>
      <c r="J1441" s="1">
        <v>7</v>
      </c>
      <c r="K1441" s="1">
        <v>303.14999999999998</v>
      </c>
      <c r="M1441" s="1">
        <v>17</v>
      </c>
      <c r="N1441" s="1">
        <v>7.8</v>
      </c>
    </row>
    <row r="1442" spans="2:14" ht="34.5" customHeight="1" x14ac:dyDescent="0.3">
      <c r="C1442" s="1">
        <v>22.9</v>
      </c>
      <c r="G1442" s="1">
        <v>178.8</v>
      </c>
      <c r="H1442" s="1">
        <v>0.32700000000000001</v>
      </c>
      <c r="J1442" s="1">
        <v>7</v>
      </c>
      <c r="K1442" s="1">
        <v>308.14999999999998</v>
      </c>
      <c r="M1442" s="1">
        <v>50</v>
      </c>
      <c r="N1442" s="1">
        <f>66.6*0.0053*M1442/(1+0.0053*M1442)</f>
        <v>13.951778656126478</v>
      </c>
    </row>
    <row r="1443" spans="2:14" ht="34.5" customHeight="1" x14ac:dyDescent="0.3">
      <c r="C1443" s="1">
        <v>22.9</v>
      </c>
      <c r="G1443" s="1">
        <v>178.8</v>
      </c>
      <c r="H1443" s="1">
        <v>0.32700000000000001</v>
      </c>
      <c r="J1443" s="1">
        <v>7</v>
      </c>
      <c r="K1443" s="1">
        <v>308.14999999999998</v>
      </c>
      <c r="M1443" s="1">
        <v>150</v>
      </c>
      <c r="N1443" s="1">
        <f t="shared" ref="N1443:N1447" si="237">66.6*0.0053*M1443/(1+0.0053*M1443)</f>
        <v>29.496935933147633</v>
      </c>
    </row>
    <row r="1444" spans="2:14" ht="34.5" customHeight="1" x14ac:dyDescent="0.3">
      <c r="C1444" s="1">
        <v>22.9</v>
      </c>
      <c r="G1444" s="1">
        <v>178.8</v>
      </c>
      <c r="H1444" s="1">
        <v>0.32700000000000001</v>
      </c>
      <c r="J1444" s="1">
        <v>7</v>
      </c>
      <c r="K1444" s="1">
        <v>308.14999999999998</v>
      </c>
      <c r="M1444" s="1">
        <v>200</v>
      </c>
      <c r="N1444" s="1">
        <f t="shared" si="237"/>
        <v>34.269902912621355</v>
      </c>
    </row>
    <row r="1445" spans="2:14" ht="34.5" customHeight="1" x14ac:dyDescent="0.3">
      <c r="C1445" s="1">
        <v>22.9</v>
      </c>
      <c r="G1445" s="1">
        <v>178.8</v>
      </c>
      <c r="H1445" s="1">
        <v>0.32700000000000001</v>
      </c>
      <c r="J1445" s="1">
        <v>7</v>
      </c>
      <c r="K1445" s="1">
        <v>308.14999999999998</v>
      </c>
      <c r="M1445" s="1">
        <v>300</v>
      </c>
      <c r="N1445" s="1">
        <f t="shared" si="237"/>
        <v>40.885714285714286</v>
      </c>
    </row>
    <row r="1446" spans="2:14" ht="34.5" customHeight="1" x14ac:dyDescent="0.3">
      <c r="C1446" s="1">
        <v>22.9</v>
      </c>
      <c r="G1446" s="1">
        <v>178.8</v>
      </c>
      <c r="H1446" s="1">
        <v>0.32700000000000001</v>
      </c>
      <c r="J1446" s="1">
        <v>7</v>
      </c>
      <c r="K1446" s="1">
        <v>308.14999999999998</v>
      </c>
      <c r="M1446" s="1">
        <v>400</v>
      </c>
      <c r="N1446" s="1">
        <f t="shared" si="237"/>
        <v>45.253846153846148</v>
      </c>
    </row>
    <row r="1447" spans="2:14" ht="34.5" customHeight="1" x14ac:dyDescent="0.3">
      <c r="C1447" s="1">
        <v>22.9</v>
      </c>
      <c r="G1447" s="1">
        <v>178.8</v>
      </c>
      <c r="H1447" s="1">
        <v>0.32700000000000001</v>
      </c>
      <c r="J1447" s="1">
        <v>7</v>
      </c>
      <c r="K1447" s="1">
        <v>308.14999999999998</v>
      </c>
      <c r="M1447" s="1">
        <v>600</v>
      </c>
      <c r="N1447" s="1">
        <f t="shared" si="237"/>
        <v>50.666985645933011</v>
      </c>
    </row>
    <row r="1448" spans="2:14" ht="34.5" customHeight="1" x14ac:dyDescent="0.3">
      <c r="C1448" s="1">
        <v>31.1</v>
      </c>
      <c r="G1448" s="1">
        <v>123.1</v>
      </c>
      <c r="H1448" s="1">
        <v>0.41599999999999998</v>
      </c>
      <c r="J1448" s="1">
        <v>7</v>
      </c>
      <c r="K1448" s="1">
        <v>308.14999999999998</v>
      </c>
      <c r="M1448" s="1">
        <v>50</v>
      </c>
      <c r="N1448" s="1">
        <f>57.8*0.0058*M1448/(1+0.0058*M1448)</f>
        <v>12.993798449612402</v>
      </c>
    </row>
    <row r="1449" spans="2:14" ht="34.5" customHeight="1" x14ac:dyDescent="0.3">
      <c r="C1449" s="1">
        <v>31.1</v>
      </c>
      <c r="G1449" s="1">
        <v>123.1</v>
      </c>
      <c r="H1449" s="1">
        <v>0.41599999999999998</v>
      </c>
      <c r="J1449" s="1">
        <v>7</v>
      </c>
      <c r="K1449" s="1">
        <v>308.14999999999998</v>
      </c>
      <c r="M1449" s="1">
        <v>150</v>
      </c>
      <c r="N1449" s="1">
        <f t="shared" ref="N1449:N1453" si="238">57.8*0.0058*M1449/(1+0.0058*M1449)</f>
        <v>26.890909090909091</v>
      </c>
    </row>
    <row r="1450" spans="2:14" ht="34.5" customHeight="1" x14ac:dyDescent="0.3">
      <c r="C1450" s="1">
        <v>31.1</v>
      </c>
      <c r="G1450" s="1">
        <v>123.1</v>
      </c>
      <c r="H1450" s="1">
        <v>0.41599999999999998</v>
      </c>
      <c r="J1450" s="1">
        <v>7</v>
      </c>
      <c r="K1450" s="1">
        <v>308.14999999999998</v>
      </c>
      <c r="M1450" s="1">
        <v>200</v>
      </c>
      <c r="N1450" s="1">
        <f t="shared" si="238"/>
        <v>31.040740740740741</v>
      </c>
    </row>
    <row r="1451" spans="2:14" ht="34.5" customHeight="1" x14ac:dyDescent="0.3">
      <c r="C1451" s="1">
        <v>31.1</v>
      </c>
      <c r="G1451" s="1">
        <v>123.1</v>
      </c>
      <c r="H1451" s="1">
        <v>0.41599999999999998</v>
      </c>
      <c r="J1451" s="1">
        <v>7</v>
      </c>
      <c r="K1451" s="1">
        <v>308.14999999999998</v>
      </c>
      <c r="M1451" s="1">
        <v>300</v>
      </c>
      <c r="N1451" s="1">
        <f t="shared" si="238"/>
        <v>36.705109489051097</v>
      </c>
    </row>
    <row r="1452" spans="2:14" ht="34.5" customHeight="1" x14ac:dyDescent="0.3">
      <c r="C1452" s="1">
        <v>31.1</v>
      </c>
      <c r="G1452" s="1">
        <v>123.1</v>
      </c>
      <c r="H1452" s="1">
        <v>0.41599999999999998</v>
      </c>
      <c r="J1452" s="1">
        <v>7</v>
      </c>
      <c r="K1452" s="1">
        <v>308.14999999999998</v>
      </c>
      <c r="M1452" s="1">
        <v>400</v>
      </c>
      <c r="N1452" s="1">
        <f t="shared" si="238"/>
        <v>40.390361445783135</v>
      </c>
    </row>
    <row r="1453" spans="2:14" ht="34.5" customHeight="1" x14ac:dyDescent="0.3">
      <c r="C1453" s="1">
        <v>31.1</v>
      </c>
      <c r="G1453" s="1">
        <v>123.1</v>
      </c>
      <c r="H1453" s="1">
        <v>0.41599999999999998</v>
      </c>
      <c r="J1453" s="1">
        <v>7</v>
      </c>
      <c r="K1453" s="1">
        <v>308.14999999999998</v>
      </c>
      <c r="M1453" s="1">
        <v>600</v>
      </c>
      <c r="N1453" s="1">
        <f t="shared" si="238"/>
        <v>44.898214285714282</v>
      </c>
    </row>
    <row r="1454" spans="2:14" ht="34.5" customHeight="1" x14ac:dyDescent="0.3">
      <c r="C1454" s="1">
        <v>19.7</v>
      </c>
      <c r="G1454" s="1">
        <v>86.95</v>
      </c>
      <c r="H1454" s="1">
        <v>0.112</v>
      </c>
      <c r="J1454" s="1">
        <v>7</v>
      </c>
      <c r="K1454" s="1">
        <v>308.14999999999998</v>
      </c>
      <c r="M1454" s="1">
        <v>50</v>
      </c>
      <c r="N1454" s="1">
        <f>50.5*0.0061*M1454/(1+0.0061*M1454)</f>
        <v>11.802681992337167</v>
      </c>
    </row>
    <row r="1455" spans="2:14" ht="34.5" customHeight="1" x14ac:dyDescent="0.3">
      <c r="C1455" s="1">
        <v>19.7</v>
      </c>
      <c r="G1455" s="1">
        <v>86.95</v>
      </c>
      <c r="H1455" s="1">
        <v>0.112</v>
      </c>
      <c r="J1455" s="1">
        <v>7</v>
      </c>
      <c r="K1455" s="1">
        <v>308.14999999999998</v>
      </c>
      <c r="M1455" s="1">
        <v>150</v>
      </c>
      <c r="N1455" s="1">
        <f t="shared" ref="N1455:N1459" si="239">50.5*0.0061*M1455/(1+0.0061*M1455)</f>
        <v>24.129242819843348</v>
      </c>
    </row>
    <row r="1456" spans="2:14" ht="34.5" customHeight="1" x14ac:dyDescent="0.3">
      <c r="C1456" s="1">
        <v>19.7</v>
      </c>
      <c r="G1456" s="1">
        <v>86.95</v>
      </c>
      <c r="H1456" s="1">
        <v>0.112</v>
      </c>
      <c r="J1456" s="1">
        <v>7</v>
      </c>
      <c r="K1456" s="1">
        <v>308.14999999999998</v>
      </c>
      <c r="M1456" s="1">
        <v>200</v>
      </c>
      <c r="N1456" s="1">
        <f t="shared" si="239"/>
        <v>27.752252252252259</v>
      </c>
    </row>
    <row r="1457" spans="2:14" ht="34.5" customHeight="1" x14ac:dyDescent="0.3">
      <c r="C1457" s="1">
        <v>19.7</v>
      </c>
      <c r="G1457" s="1">
        <v>86.95</v>
      </c>
      <c r="H1457" s="1">
        <v>0.112</v>
      </c>
      <c r="J1457" s="1">
        <v>7</v>
      </c>
      <c r="K1457" s="1">
        <v>308.14999999999998</v>
      </c>
      <c r="M1457" s="1">
        <v>300</v>
      </c>
      <c r="N1457" s="1">
        <f t="shared" si="239"/>
        <v>32.655477031802128</v>
      </c>
    </row>
    <row r="1458" spans="2:14" ht="34.5" customHeight="1" x14ac:dyDescent="0.3">
      <c r="C1458" s="1">
        <v>19.7</v>
      </c>
      <c r="G1458" s="1">
        <v>86.95</v>
      </c>
      <c r="H1458" s="1">
        <v>0.112</v>
      </c>
      <c r="J1458" s="1">
        <v>7</v>
      </c>
      <c r="K1458" s="1">
        <v>308.14999999999998</v>
      </c>
      <c r="M1458" s="1">
        <v>400</v>
      </c>
      <c r="N1458" s="1">
        <f t="shared" si="239"/>
        <v>35.819767441860471</v>
      </c>
    </row>
    <row r="1459" spans="2:14" ht="34.5" customHeight="1" x14ac:dyDescent="0.3">
      <c r="C1459" s="1">
        <v>19.7</v>
      </c>
      <c r="G1459" s="1">
        <v>86.95</v>
      </c>
      <c r="H1459" s="1">
        <v>0.112</v>
      </c>
      <c r="J1459" s="1">
        <v>7</v>
      </c>
      <c r="K1459" s="1">
        <v>308.14999999999998</v>
      </c>
      <c r="M1459" s="1">
        <v>600</v>
      </c>
      <c r="N1459" s="1">
        <f t="shared" si="239"/>
        <v>39.663090128755371</v>
      </c>
    </row>
    <row r="1460" spans="2:14" ht="34.5" customHeight="1" x14ac:dyDescent="0.3">
      <c r="C1460" s="1" t="s">
        <v>11</v>
      </c>
      <c r="G1460" s="1">
        <v>0.152</v>
      </c>
      <c r="J1460" s="1">
        <v>7</v>
      </c>
      <c r="K1460" s="1">
        <v>298</v>
      </c>
      <c r="M1460" s="1">
        <v>5</v>
      </c>
      <c r="N1460" s="1">
        <f>2.66*M1460^0.31</f>
        <v>4.3808898929064011</v>
      </c>
    </row>
    <row r="1461" spans="2:14" ht="34.5" customHeight="1" x14ac:dyDescent="0.3">
      <c r="C1461" s="1" t="s">
        <v>11</v>
      </c>
      <c r="G1461" s="1">
        <v>0.152</v>
      </c>
      <c r="J1461" s="1">
        <v>7</v>
      </c>
      <c r="K1461" s="1">
        <v>298</v>
      </c>
      <c r="M1461" s="1">
        <v>15</v>
      </c>
      <c r="N1461" s="1">
        <f t="shared" ref="N1461:N1465" si="240">2.66*M1461^0.31</f>
        <v>6.1584288311587079</v>
      </c>
    </row>
    <row r="1462" spans="2:14" ht="34.5" customHeight="1" x14ac:dyDescent="0.3">
      <c r="C1462" s="1" t="s">
        <v>11</v>
      </c>
      <c r="G1462" s="1">
        <v>0.152</v>
      </c>
      <c r="J1462" s="1">
        <v>7</v>
      </c>
      <c r="K1462" s="1">
        <v>298</v>
      </c>
      <c r="M1462" s="1">
        <v>20</v>
      </c>
      <c r="N1462" s="1">
        <f t="shared" si="240"/>
        <v>6.7328809483633467</v>
      </c>
    </row>
    <row r="1463" spans="2:14" ht="34.5" customHeight="1" x14ac:dyDescent="0.3">
      <c r="C1463" s="1" t="s">
        <v>11</v>
      </c>
      <c r="G1463" s="1">
        <v>0.152</v>
      </c>
      <c r="J1463" s="1">
        <v>7</v>
      </c>
      <c r="K1463" s="1">
        <v>298</v>
      </c>
      <c r="M1463" s="1">
        <v>50</v>
      </c>
      <c r="N1463" s="1">
        <f t="shared" si="240"/>
        <v>8.9446291257662303</v>
      </c>
    </row>
    <row r="1464" spans="2:14" ht="34.5" customHeight="1" x14ac:dyDescent="0.3">
      <c r="C1464" s="1" t="s">
        <v>11</v>
      </c>
      <c r="G1464" s="1">
        <v>0.152</v>
      </c>
      <c r="J1464" s="1">
        <v>7</v>
      </c>
      <c r="K1464" s="1">
        <v>298</v>
      </c>
      <c r="M1464" s="1">
        <v>100</v>
      </c>
      <c r="N1464" s="1">
        <f t="shared" si="240"/>
        <v>11.088725600310925</v>
      </c>
    </row>
    <row r="1465" spans="2:14" ht="34.5" customHeight="1" x14ac:dyDescent="0.3">
      <c r="C1465" s="1" t="s">
        <v>11</v>
      </c>
      <c r="G1465" s="1">
        <v>0.152</v>
      </c>
      <c r="J1465" s="1">
        <v>7</v>
      </c>
      <c r="K1465" s="1">
        <v>298</v>
      </c>
      <c r="M1465" s="1">
        <v>200</v>
      </c>
      <c r="N1465" s="1">
        <f t="shared" si="240"/>
        <v>13.746778509216011</v>
      </c>
    </row>
    <row r="1466" spans="2:14" ht="34.5" customHeight="1" x14ac:dyDescent="0.3">
      <c r="B1466" s="1" t="s">
        <v>11</v>
      </c>
      <c r="C1466" s="1" t="s">
        <v>11</v>
      </c>
      <c r="F1466" s="1" t="s">
        <v>11</v>
      </c>
      <c r="G1466" s="1">
        <v>212.87200000000001</v>
      </c>
      <c r="J1466" s="1">
        <v>5</v>
      </c>
      <c r="K1466" s="1">
        <v>298</v>
      </c>
      <c r="M1466" s="1">
        <v>5</v>
      </c>
      <c r="N1466" s="1">
        <f>1.09*M1466^0.145</f>
        <v>1.3765029566473646</v>
      </c>
    </row>
    <row r="1467" spans="2:14" ht="34.5" customHeight="1" x14ac:dyDescent="0.3">
      <c r="B1467" s="1" t="s">
        <v>11</v>
      </c>
      <c r="C1467" s="1" t="s">
        <v>11</v>
      </c>
      <c r="F1467" s="1" t="s">
        <v>11</v>
      </c>
      <c r="G1467" s="1">
        <v>212.87200000000001</v>
      </c>
      <c r="J1467" s="1">
        <v>5</v>
      </c>
      <c r="K1467" s="1">
        <v>298</v>
      </c>
      <c r="M1467" s="1">
        <v>10</v>
      </c>
      <c r="N1467" s="1">
        <f t="shared" ref="N1467:N1471" si="241">1.09*M1467^0.145</f>
        <v>1.5220415135509722</v>
      </c>
    </row>
    <row r="1468" spans="2:14" ht="34.5" customHeight="1" x14ac:dyDescent="0.3">
      <c r="B1468" s="1" t="s">
        <v>11</v>
      </c>
      <c r="C1468" s="1" t="s">
        <v>11</v>
      </c>
      <c r="F1468" s="1" t="s">
        <v>11</v>
      </c>
      <c r="G1468" s="1">
        <v>212.87200000000001</v>
      </c>
      <c r="J1468" s="1">
        <v>5</v>
      </c>
      <c r="K1468" s="1">
        <v>298</v>
      </c>
      <c r="M1468" s="1">
        <v>50</v>
      </c>
      <c r="N1468" s="1">
        <f t="shared" si="241"/>
        <v>1.9221051775623326</v>
      </c>
    </row>
    <row r="1469" spans="2:14" ht="34.5" customHeight="1" x14ac:dyDescent="0.3">
      <c r="B1469" s="1" t="s">
        <v>11</v>
      </c>
      <c r="C1469" s="1" t="s">
        <v>11</v>
      </c>
      <c r="F1469" s="1" t="s">
        <v>11</v>
      </c>
      <c r="G1469" s="1">
        <v>212.87200000000001</v>
      </c>
      <c r="J1469" s="1">
        <v>5</v>
      </c>
      <c r="K1469" s="1">
        <v>298</v>
      </c>
      <c r="M1469" s="1">
        <v>200</v>
      </c>
      <c r="N1469" s="1">
        <f t="shared" si="241"/>
        <v>2.3500432080481728</v>
      </c>
    </row>
    <row r="1470" spans="2:14" ht="34.5" customHeight="1" x14ac:dyDescent="0.3">
      <c r="B1470" s="1" t="s">
        <v>11</v>
      </c>
      <c r="C1470" s="1" t="s">
        <v>11</v>
      </c>
      <c r="F1470" s="1" t="s">
        <v>11</v>
      </c>
      <c r="G1470" s="1">
        <v>212.87200000000001</v>
      </c>
      <c r="J1470" s="1">
        <v>5</v>
      </c>
      <c r="K1470" s="1">
        <v>298</v>
      </c>
      <c r="M1470" s="1">
        <v>400</v>
      </c>
      <c r="N1470" s="1">
        <f t="shared" si="241"/>
        <v>2.5985148117659667</v>
      </c>
    </row>
    <row r="1471" spans="2:14" ht="34.5" customHeight="1" x14ac:dyDescent="0.3">
      <c r="B1471" s="1" t="s">
        <v>11</v>
      </c>
      <c r="C1471" s="1" t="s">
        <v>11</v>
      </c>
      <c r="F1471" s="1" t="s">
        <v>11</v>
      </c>
      <c r="G1471" s="1">
        <v>212.87200000000001</v>
      </c>
      <c r="J1471" s="1">
        <v>5</v>
      </c>
      <c r="K1471" s="1">
        <v>298</v>
      </c>
      <c r="M1471" s="1">
        <v>800</v>
      </c>
      <c r="N1471" s="1">
        <f t="shared" si="241"/>
        <v>2.873257480476378</v>
      </c>
    </row>
    <row r="1472" spans="2:14" ht="34.5" customHeight="1" x14ac:dyDescent="0.3">
      <c r="B1472" s="1" t="s">
        <v>11</v>
      </c>
      <c r="C1472" s="1" t="s">
        <v>11</v>
      </c>
      <c r="F1472" s="1" t="s">
        <v>11</v>
      </c>
      <c r="G1472" s="1">
        <v>212.87200000000001</v>
      </c>
      <c r="J1472" s="1">
        <v>5</v>
      </c>
      <c r="K1472" s="1">
        <v>308</v>
      </c>
      <c r="M1472" s="1">
        <v>5</v>
      </c>
      <c r="N1472" s="1">
        <f>1.27*M1472^0.397</f>
        <v>2.4059955107795559</v>
      </c>
    </row>
    <row r="1473" spans="2:14" ht="34.5" customHeight="1" x14ac:dyDescent="0.3">
      <c r="B1473" s="1" t="s">
        <v>11</v>
      </c>
      <c r="C1473" s="1" t="s">
        <v>11</v>
      </c>
      <c r="F1473" s="1" t="s">
        <v>11</v>
      </c>
      <c r="G1473" s="1">
        <v>212.87200000000001</v>
      </c>
      <c r="J1473" s="1">
        <v>5</v>
      </c>
      <c r="K1473" s="1">
        <v>308</v>
      </c>
      <c r="M1473" s="1">
        <v>10</v>
      </c>
      <c r="N1473" s="1">
        <f t="shared" ref="N1473:N1477" si="242">1.27*M1473^0.397</f>
        <v>3.1681353032175532</v>
      </c>
    </row>
    <row r="1474" spans="2:14" ht="34.5" customHeight="1" x14ac:dyDescent="0.3">
      <c r="B1474" s="1" t="s">
        <v>11</v>
      </c>
      <c r="C1474" s="1" t="s">
        <v>11</v>
      </c>
      <c r="F1474" s="1" t="s">
        <v>11</v>
      </c>
      <c r="G1474" s="1">
        <v>212.87200000000001</v>
      </c>
      <c r="J1474" s="1">
        <v>5</v>
      </c>
      <c r="K1474" s="1">
        <v>308</v>
      </c>
      <c r="M1474" s="1">
        <v>50</v>
      </c>
      <c r="N1474" s="1">
        <f t="shared" si="242"/>
        <v>6.0019837142391017</v>
      </c>
    </row>
    <row r="1475" spans="2:14" ht="34.5" customHeight="1" x14ac:dyDescent="0.3">
      <c r="B1475" s="1" t="s">
        <v>11</v>
      </c>
      <c r="C1475" s="1" t="s">
        <v>11</v>
      </c>
      <c r="F1475" s="1" t="s">
        <v>11</v>
      </c>
      <c r="G1475" s="1">
        <v>212.87200000000001</v>
      </c>
      <c r="J1475" s="1">
        <v>5</v>
      </c>
      <c r="K1475" s="1">
        <v>308</v>
      </c>
      <c r="M1475" s="1">
        <v>200</v>
      </c>
      <c r="N1475" s="1">
        <f t="shared" si="242"/>
        <v>10.406690274954547</v>
      </c>
    </row>
    <row r="1476" spans="2:14" ht="34.5" customHeight="1" x14ac:dyDescent="0.3">
      <c r="B1476" s="1" t="s">
        <v>11</v>
      </c>
      <c r="C1476" s="1" t="s">
        <v>11</v>
      </c>
      <c r="F1476" s="1" t="s">
        <v>11</v>
      </c>
      <c r="G1476" s="1">
        <v>212.87200000000001</v>
      </c>
      <c r="J1476" s="1">
        <v>5</v>
      </c>
      <c r="K1476" s="1">
        <v>308</v>
      </c>
      <c r="M1476" s="1">
        <v>400</v>
      </c>
      <c r="N1476" s="1">
        <f t="shared" si="242"/>
        <v>13.703185522175762</v>
      </c>
    </row>
    <row r="1477" spans="2:14" ht="34.5" customHeight="1" x14ac:dyDescent="0.3">
      <c r="B1477" s="1" t="s">
        <v>11</v>
      </c>
      <c r="C1477" s="1" t="s">
        <v>11</v>
      </c>
      <c r="F1477" s="1" t="s">
        <v>11</v>
      </c>
      <c r="G1477" s="1">
        <v>212.87200000000001</v>
      </c>
      <c r="J1477" s="1">
        <v>5</v>
      </c>
      <c r="K1477" s="1">
        <v>308</v>
      </c>
      <c r="M1477" s="1">
        <v>800</v>
      </c>
      <c r="N1477" s="1">
        <f t="shared" si="242"/>
        <v>18.043901422442172</v>
      </c>
    </row>
    <row r="1478" spans="2:14" ht="34.5" customHeight="1" x14ac:dyDescent="0.3">
      <c r="B1478" s="1" t="s">
        <v>11</v>
      </c>
      <c r="C1478" s="1" t="s">
        <v>11</v>
      </c>
      <c r="F1478" s="1" t="s">
        <v>11</v>
      </c>
      <c r="G1478" s="1">
        <v>212.87200000000001</v>
      </c>
      <c r="J1478" s="1">
        <v>5</v>
      </c>
      <c r="K1478" s="1">
        <v>318</v>
      </c>
      <c r="M1478" s="1">
        <v>5</v>
      </c>
      <c r="N1478" s="1">
        <f>2.09*M1478^0.313</f>
        <v>3.458787632959766</v>
      </c>
    </row>
    <row r="1479" spans="2:14" ht="34.5" customHeight="1" x14ac:dyDescent="0.3">
      <c r="B1479" s="1" t="s">
        <v>11</v>
      </c>
      <c r="C1479" s="1" t="s">
        <v>11</v>
      </c>
      <c r="F1479" s="1" t="s">
        <v>11</v>
      </c>
      <c r="G1479" s="1">
        <v>212.87200000000001</v>
      </c>
      <c r="J1479" s="1">
        <v>5</v>
      </c>
      <c r="K1479" s="1">
        <v>318</v>
      </c>
      <c r="M1479" s="1">
        <v>10</v>
      </c>
      <c r="N1479" s="1">
        <f t="shared" ref="N1479:N1483" si="243">2.09*M1479^0.313</f>
        <v>4.296811345606856</v>
      </c>
    </row>
    <row r="1480" spans="2:14" ht="34.5" customHeight="1" x14ac:dyDescent="0.3">
      <c r="B1480" s="1" t="s">
        <v>11</v>
      </c>
      <c r="C1480" s="1" t="s">
        <v>11</v>
      </c>
      <c r="F1480" s="1" t="s">
        <v>11</v>
      </c>
      <c r="G1480" s="1">
        <v>212.87200000000001</v>
      </c>
      <c r="J1480" s="1">
        <v>5</v>
      </c>
      <c r="K1480" s="1">
        <v>318</v>
      </c>
      <c r="M1480" s="1">
        <v>50</v>
      </c>
      <c r="N1480" s="1">
        <f t="shared" si="243"/>
        <v>7.1108889681082319</v>
      </c>
    </row>
    <row r="1481" spans="2:14" ht="34.5" customHeight="1" x14ac:dyDescent="0.3">
      <c r="B1481" s="1" t="s">
        <v>11</v>
      </c>
      <c r="C1481" s="1" t="s">
        <v>11</v>
      </c>
      <c r="F1481" s="1" t="s">
        <v>11</v>
      </c>
      <c r="G1481" s="1">
        <v>212.87200000000001</v>
      </c>
      <c r="J1481" s="1">
        <v>5</v>
      </c>
      <c r="K1481" s="1">
        <v>318</v>
      </c>
      <c r="M1481" s="1">
        <v>200</v>
      </c>
      <c r="N1481" s="1">
        <f t="shared" si="243"/>
        <v>10.97409397152672</v>
      </c>
    </row>
    <row r="1482" spans="2:14" ht="34.5" customHeight="1" x14ac:dyDescent="0.3">
      <c r="B1482" s="1" t="s">
        <v>11</v>
      </c>
      <c r="C1482" s="1" t="s">
        <v>11</v>
      </c>
      <c r="F1482" s="1" t="s">
        <v>11</v>
      </c>
      <c r="G1482" s="1">
        <v>212.87200000000001</v>
      </c>
      <c r="J1482" s="1">
        <v>5</v>
      </c>
      <c r="K1482" s="1">
        <v>318</v>
      </c>
      <c r="M1482" s="1">
        <v>400</v>
      </c>
      <c r="N1482" s="1">
        <f t="shared" si="243"/>
        <v>13.632988344028904</v>
      </c>
    </row>
    <row r="1483" spans="2:14" ht="34.5" customHeight="1" x14ac:dyDescent="0.3">
      <c r="B1483" s="1" t="s">
        <v>11</v>
      </c>
      <c r="C1483" s="1" t="s">
        <v>11</v>
      </c>
      <c r="F1483" s="1" t="s">
        <v>11</v>
      </c>
      <c r="G1483" s="1">
        <v>212.87200000000001</v>
      </c>
      <c r="J1483" s="1">
        <v>5</v>
      </c>
      <c r="K1483" s="1">
        <v>318</v>
      </c>
      <c r="M1483" s="1">
        <v>800</v>
      </c>
      <c r="N1483" s="1">
        <f t="shared" si="243"/>
        <v>16.936101665490959</v>
      </c>
    </row>
    <row r="1484" spans="2:14" ht="34.5" customHeight="1" x14ac:dyDescent="0.3">
      <c r="B1484" s="1" t="s">
        <v>11</v>
      </c>
      <c r="G1484" s="1">
        <v>53.01</v>
      </c>
      <c r="H1484" s="1">
        <v>119.7</v>
      </c>
      <c r="J1484" s="1">
        <v>6</v>
      </c>
      <c r="K1484" s="1">
        <v>298</v>
      </c>
      <c r="M1484" s="1">
        <v>2</v>
      </c>
      <c r="N1484" s="1">
        <f>37.988*0.074*M1484/(1+0.074*M1484)</f>
        <v>4.8974076655052263</v>
      </c>
    </row>
    <row r="1485" spans="2:14" ht="34.5" customHeight="1" x14ac:dyDescent="0.3">
      <c r="B1485" s="1" t="s">
        <v>11</v>
      </c>
      <c r="G1485" s="1">
        <v>53.01</v>
      </c>
      <c r="H1485" s="1">
        <v>119.7</v>
      </c>
      <c r="J1485" s="1">
        <v>6</v>
      </c>
      <c r="K1485" s="1">
        <v>298</v>
      </c>
      <c r="M1485" s="1">
        <v>3</v>
      </c>
      <c r="N1485" s="1">
        <f t="shared" ref="N1485:N1489" si="244">37.988*0.074*M1485/(1+0.074*M1485)</f>
        <v>6.9012569558101466</v>
      </c>
    </row>
    <row r="1486" spans="2:14" ht="34.5" customHeight="1" x14ac:dyDescent="0.3">
      <c r="B1486" s="1" t="s">
        <v>11</v>
      </c>
      <c r="G1486" s="1">
        <v>53.01</v>
      </c>
      <c r="H1486" s="1">
        <v>119.7</v>
      </c>
      <c r="J1486" s="1">
        <v>6</v>
      </c>
      <c r="K1486" s="1">
        <v>298</v>
      </c>
      <c r="M1486" s="1">
        <v>5</v>
      </c>
      <c r="N1486" s="1">
        <f t="shared" si="244"/>
        <v>10.259532846715326</v>
      </c>
    </row>
    <row r="1487" spans="2:14" ht="34.5" customHeight="1" x14ac:dyDescent="0.3">
      <c r="B1487" s="1" t="s">
        <v>11</v>
      </c>
      <c r="G1487" s="1">
        <v>53.01</v>
      </c>
      <c r="H1487" s="1">
        <v>119.7</v>
      </c>
      <c r="J1487" s="1">
        <v>6</v>
      </c>
      <c r="K1487" s="1">
        <v>298</v>
      </c>
      <c r="M1487" s="1">
        <v>8</v>
      </c>
      <c r="N1487" s="1">
        <f t="shared" si="244"/>
        <v>14.126190954773866</v>
      </c>
    </row>
    <row r="1488" spans="2:14" ht="34.5" customHeight="1" x14ac:dyDescent="0.3">
      <c r="B1488" s="1" t="s">
        <v>11</v>
      </c>
      <c r="G1488" s="1">
        <v>53.01</v>
      </c>
      <c r="H1488" s="1">
        <v>119.7</v>
      </c>
      <c r="J1488" s="1">
        <v>6</v>
      </c>
      <c r="K1488" s="1">
        <v>298</v>
      </c>
      <c r="M1488" s="1">
        <v>10</v>
      </c>
      <c r="N1488" s="1">
        <f t="shared" si="244"/>
        <v>16.155816091954019</v>
      </c>
    </row>
    <row r="1489" spans="2:14" ht="34.5" customHeight="1" x14ac:dyDescent="0.3">
      <c r="B1489" s="1" t="s">
        <v>11</v>
      </c>
      <c r="G1489" s="1">
        <v>53.01</v>
      </c>
      <c r="H1489" s="1">
        <v>119.7</v>
      </c>
      <c r="J1489" s="1">
        <v>6</v>
      </c>
      <c r="K1489" s="1">
        <v>298</v>
      </c>
      <c r="M1489" s="1">
        <v>15</v>
      </c>
      <c r="N1489" s="1">
        <f t="shared" si="244"/>
        <v>19.984208530805684</v>
      </c>
    </row>
    <row r="1490" spans="2:14" ht="34.5" customHeight="1" x14ac:dyDescent="0.3">
      <c r="B1490" s="1" t="s">
        <v>11</v>
      </c>
      <c r="G1490" s="1">
        <v>2.89</v>
      </c>
      <c r="H1490" s="1">
        <v>93.8</v>
      </c>
      <c r="J1490" s="1">
        <v>6</v>
      </c>
      <c r="K1490" s="1">
        <v>298</v>
      </c>
      <c r="M1490" s="1">
        <v>2</v>
      </c>
      <c r="N1490" s="1">
        <f>48.206*1.595*M1490/(1+1.595*M1490)</f>
        <v>36.700988066825779</v>
      </c>
    </row>
    <row r="1491" spans="2:14" ht="34.5" customHeight="1" x14ac:dyDescent="0.3">
      <c r="B1491" s="1" t="s">
        <v>11</v>
      </c>
      <c r="G1491" s="1">
        <v>2.89</v>
      </c>
      <c r="H1491" s="1">
        <v>93.8</v>
      </c>
      <c r="J1491" s="1">
        <v>6</v>
      </c>
      <c r="K1491" s="1">
        <v>298</v>
      </c>
      <c r="M1491" s="1">
        <v>3</v>
      </c>
      <c r="N1491" s="1">
        <f t="shared" ref="N1491:N1495" si="245">48.206*1.595*M1491/(1+1.595*M1491)</f>
        <v>39.87307000864304</v>
      </c>
    </row>
    <row r="1492" spans="2:14" ht="34.5" customHeight="1" x14ac:dyDescent="0.3">
      <c r="B1492" s="1" t="s">
        <v>11</v>
      </c>
      <c r="G1492" s="1">
        <v>2.89</v>
      </c>
      <c r="H1492" s="1">
        <v>93.8</v>
      </c>
      <c r="J1492" s="1">
        <v>6</v>
      </c>
      <c r="K1492" s="1">
        <v>298</v>
      </c>
      <c r="M1492" s="1">
        <v>5</v>
      </c>
      <c r="N1492" s="1">
        <f t="shared" si="245"/>
        <v>42.83485793871867</v>
      </c>
    </row>
    <row r="1493" spans="2:14" ht="34.5" customHeight="1" x14ac:dyDescent="0.3">
      <c r="B1493" s="1" t="s">
        <v>11</v>
      </c>
      <c r="G1493" s="1">
        <v>2.89</v>
      </c>
      <c r="H1493" s="1">
        <v>93.8</v>
      </c>
      <c r="J1493" s="1">
        <v>6</v>
      </c>
      <c r="K1493" s="1">
        <v>298</v>
      </c>
      <c r="M1493" s="1">
        <v>8</v>
      </c>
      <c r="N1493" s="1">
        <f t="shared" si="245"/>
        <v>44.702656976744187</v>
      </c>
    </row>
    <row r="1494" spans="2:14" ht="34.5" customHeight="1" x14ac:dyDescent="0.3">
      <c r="B1494" s="1" t="s">
        <v>11</v>
      </c>
      <c r="G1494" s="1">
        <v>2.89</v>
      </c>
      <c r="H1494" s="1">
        <v>93.8</v>
      </c>
      <c r="J1494" s="1">
        <v>6</v>
      </c>
      <c r="K1494" s="1">
        <v>298</v>
      </c>
      <c r="M1494" s="1">
        <v>10</v>
      </c>
      <c r="N1494" s="1">
        <f t="shared" si="245"/>
        <v>45.361988200589977</v>
      </c>
    </row>
    <row r="1495" spans="2:14" ht="34.5" customHeight="1" x14ac:dyDescent="0.3">
      <c r="B1495" s="1" t="s">
        <v>11</v>
      </c>
      <c r="G1495" s="1">
        <v>2.89</v>
      </c>
      <c r="H1495" s="1">
        <v>93.8</v>
      </c>
      <c r="J1495" s="1">
        <v>6</v>
      </c>
      <c r="K1495" s="1">
        <v>298</v>
      </c>
      <c r="M1495" s="1">
        <v>15</v>
      </c>
      <c r="N1495" s="1">
        <f t="shared" si="245"/>
        <v>46.271957873620856</v>
      </c>
    </row>
    <row r="1496" spans="2:14" ht="34.5" customHeight="1" x14ac:dyDescent="0.3">
      <c r="B1496" s="1" t="s">
        <v>11</v>
      </c>
      <c r="G1496" s="1">
        <v>37.1</v>
      </c>
      <c r="H1496" s="1">
        <v>0.08</v>
      </c>
      <c r="I1496" s="1">
        <v>9.1</v>
      </c>
      <c r="J1496" s="1">
        <v>7</v>
      </c>
      <c r="K1496" s="1">
        <v>303.14999999999998</v>
      </c>
      <c r="M1496" s="1">
        <v>5</v>
      </c>
      <c r="N1496" s="1">
        <f>54.1*0.0242*M1496/(1+M1496*0.0242)</f>
        <v>5.8395182872435329</v>
      </c>
    </row>
    <row r="1497" spans="2:14" ht="34.5" customHeight="1" x14ac:dyDescent="0.3">
      <c r="B1497" s="1" t="s">
        <v>11</v>
      </c>
      <c r="G1497" s="1">
        <v>37.1</v>
      </c>
      <c r="H1497" s="1">
        <v>0.08</v>
      </c>
      <c r="I1497" s="1">
        <v>9.1</v>
      </c>
      <c r="J1497" s="1">
        <v>7</v>
      </c>
      <c r="K1497" s="1">
        <v>303.14999999999998</v>
      </c>
      <c r="M1497" s="1">
        <v>25</v>
      </c>
      <c r="N1497" s="1">
        <f t="shared" ref="N1497:N1501" si="246">54.1*0.0242*M1497/(1+M1497*0.0242)</f>
        <v>20.39283489096573</v>
      </c>
    </row>
    <row r="1498" spans="2:14" ht="34.5" customHeight="1" x14ac:dyDescent="0.3">
      <c r="B1498" s="1" t="s">
        <v>11</v>
      </c>
      <c r="G1498" s="1">
        <v>37.1</v>
      </c>
      <c r="H1498" s="1">
        <v>0.08</v>
      </c>
      <c r="I1498" s="1">
        <v>9.1</v>
      </c>
      <c r="J1498" s="1">
        <v>7</v>
      </c>
      <c r="K1498" s="1">
        <v>303.14999999999998</v>
      </c>
      <c r="M1498" s="1">
        <v>50</v>
      </c>
      <c r="N1498" s="1">
        <f t="shared" si="246"/>
        <v>29.620361990950226</v>
      </c>
    </row>
    <row r="1499" spans="2:14" ht="34.5" customHeight="1" x14ac:dyDescent="0.3">
      <c r="B1499" s="1" t="s">
        <v>11</v>
      </c>
      <c r="G1499" s="1">
        <v>37.1</v>
      </c>
      <c r="H1499" s="1">
        <v>0.08</v>
      </c>
      <c r="I1499" s="1">
        <v>9.1</v>
      </c>
      <c r="J1499" s="1">
        <v>7</v>
      </c>
      <c r="K1499" s="1">
        <v>303.14999999999998</v>
      </c>
      <c r="M1499" s="1">
        <v>100</v>
      </c>
      <c r="N1499" s="1">
        <f t="shared" si="246"/>
        <v>38.281286549707602</v>
      </c>
    </row>
    <row r="1500" spans="2:14" ht="34.5" customHeight="1" x14ac:dyDescent="0.3">
      <c r="B1500" s="1" t="s">
        <v>11</v>
      </c>
      <c r="G1500" s="1">
        <v>37.1</v>
      </c>
      <c r="H1500" s="1">
        <v>0.08</v>
      </c>
      <c r="I1500" s="1">
        <v>9.1</v>
      </c>
      <c r="J1500" s="1">
        <v>7</v>
      </c>
      <c r="K1500" s="1">
        <v>303.14999999999998</v>
      </c>
      <c r="M1500" s="1">
        <v>150</v>
      </c>
      <c r="N1500" s="1">
        <f t="shared" si="246"/>
        <v>42.415334773218149</v>
      </c>
    </row>
    <row r="1501" spans="2:14" ht="34.5" customHeight="1" x14ac:dyDescent="0.3">
      <c r="B1501" s="1" t="s">
        <v>11</v>
      </c>
      <c r="G1501" s="1">
        <v>37.1</v>
      </c>
      <c r="H1501" s="1">
        <v>0.08</v>
      </c>
      <c r="I1501" s="1">
        <v>9.1</v>
      </c>
      <c r="J1501" s="1">
        <v>7</v>
      </c>
      <c r="K1501" s="1">
        <v>303.14999999999998</v>
      </c>
      <c r="M1501" s="1">
        <v>250</v>
      </c>
      <c r="N1501" s="1">
        <f t="shared" si="246"/>
        <v>46.426241134751777</v>
      </c>
    </row>
    <row r="1502" spans="2:14" ht="34.5" customHeight="1" x14ac:dyDescent="0.3">
      <c r="B1502" s="1" t="s">
        <v>11</v>
      </c>
      <c r="G1502" s="1">
        <v>64.900000000000006</v>
      </c>
      <c r="H1502" s="1">
        <v>0.19</v>
      </c>
      <c r="I1502" s="1">
        <v>11.7</v>
      </c>
      <c r="J1502" s="1">
        <v>7</v>
      </c>
      <c r="K1502" s="1">
        <v>303.14999999999998</v>
      </c>
      <c r="M1502" s="1">
        <v>5</v>
      </c>
      <c r="N1502" s="1">
        <f>0.0258*76.1*M1502/(1+0.0258*M1502)</f>
        <v>8.6952170062001777</v>
      </c>
    </row>
    <row r="1503" spans="2:14" ht="34.5" customHeight="1" x14ac:dyDescent="0.3">
      <c r="B1503" s="1" t="s">
        <v>11</v>
      </c>
      <c r="G1503" s="1">
        <v>64.900000000000006</v>
      </c>
      <c r="H1503" s="1">
        <v>0.19</v>
      </c>
      <c r="I1503" s="1">
        <v>11.7</v>
      </c>
      <c r="J1503" s="1">
        <v>7</v>
      </c>
      <c r="K1503" s="1">
        <v>303.14999999999998</v>
      </c>
      <c r="M1503" s="1">
        <v>25</v>
      </c>
      <c r="N1503" s="1">
        <f t="shared" ref="N1503:N1507" si="247">0.0258*76.1*M1503/(1+0.0258*M1503)</f>
        <v>29.838601823708206</v>
      </c>
    </row>
    <row r="1504" spans="2:14" ht="34.5" customHeight="1" x14ac:dyDescent="0.3">
      <c r="B1504" s="1" t="s">
        <v>11</v>
      </c>
      <c r="G1504" s="1">
        <v>64.900000000000006</v>
      </c>
      <c r="H1504" s="1">
        <v>0.19</v>
      </c>
      <c r="I1504" s="1">
        <v>11.7</v>
      </c>
      <c r="J1504" s="1">
        <v>7</v>
      </c>
      <c r="K1504" s="1">
        <v>303.14999999999998</v>
      </c>
      <c r="M1504" s="1">
        <v>50</v>
      </c>
      <c r="N1504" s="1">
        <f t="shared" si="247"/>
        <v>42.868558951965063</v>
      </c>
    </row>
    <row r="1505" spans="2:14" ht="34.5" customHeight="1" x14ac:dyDescent="0.3">
      <c r="B1505" s="1" t="s">
        <v>11</v>
      </c>
      <c r="G1505" s="1">
        <v>64.900000000000006</v>
      </c>
      <c r="H1505" s="1">
        <v>0.19</v>
      </c>
      <c r="I1505" s="1">
        <v>11.7</v>
      </c>
      <c r="J1505" s="1">
        <v>7</v>
      </c>
      <c r="K1505" s="1">
        <v>303.14999999999998</v>
      </c>
      <c r="M1505" s="1">
        <v>100</v>
      </c>
      <c r="N1505" s="1">
        <f t="shared" si="247"/>
        <v>54.843016759776532</v>
      </c>
    </row>
    <row r="1506" spans="2:14" ht="34.5" customHeight="1" x14ac:dyDescent="0.3">
      <c r="B1506" s="1" t="s">
        <v>11</v>
      </c>
      <c r="G1506" s="1">
        <v>64.900000000000006</v>
      </c>
      <c r="H1506" s="1">
        <v>0.19</v>
      </c>
      <c r="I1506" s="1">
        <v>11.7</v>
      </c>
      <c r="J1506" s="1">
        <v>7</v>
      </c>
      <c r="K1506" s="1">
        <v>303.14999999999998</v>
      </c>
      <c r="M1506" s="1">
        <v>150</v>
      </c>
      <c r="N1506" s="1">
        <f t="shared" si="247"/>
        <v>60.473716632443534</v>
      </c>
    </row>
    <row r="1507" spans="2:14" ht="34.5" customHeight="1" x14ac:dyDescent="0.3">
      <c r="B1507" s="1" t="s">
        <v>11</v>
      </c>
      <c r="G1507" s="1">
        <v>64.900000000000006</v>
      </c>
      <c r="H1507" s="1">
        <v>0.19</v>
      </c>
      <c r="I1507" s="1">
        <v>11.7</v>
      </c>
      <c r="J1507" s="1">
        <v>7</v>
      </c>
      <c r="K1507" s="1">
        <v>303.14999999999998</v>
      </c>
      <c r="M1507" s="1">
        <v>250</v>
      </c>
      <c r="N1507" s="1">
        <f t="shared" si="247"/>
        <v>65.88523489932885</v>
      </c>
    </row>
    <row r="1508" spans="2:14" ht="34.5" customHeight="1" x14ac:dyDescent="0.3">
      <c r="B1508" s="1" t="s">
        <v>11</v>
      </c>
      <c r="G1508" s="1">
        <v>136.6</v>
      </c>
      <c r="H1508" s="1">
        <v>0.24</v>
      </c>
      <c r="I1508" s="1">
        <v>7</v>
      </c>
      <c r="J1508" s="1">
        <v>7</v>
      </c>
      <c r="K1508" s="1">
        <v>303.14999999999998</v>
      </c>
      <c r="M1508" s="1">
        <v>5</v>
      </c>
      <c r="N1508" s="1">
        <f>146.8*0.0313*M1508/(1+0.0313*M1508)</f>
        <v>19.8652831820147</v>
      </c>
    </row>
    <row r="1509" spans="2:14" ht="34.5" customHeight="1" x14ac:dyDescent="0.3">
      <c r="B1509" s="1" t="s">
        <v>11</v>
      </c>
      <c r="G1509" s="1">
        <v>136.6</v>
      </c>
      <c r="H1509" s="1">
        <v>0.24</v>
      </c>
      <c r="I1509" s="1">
        <v>7</v>
      </c>
      <c r="J1509" s="1">
        <v>7</v>
      </c>
      <c r="K1509" s="1">
        <v>303.14999999999998</v>
      </c>
      <c r="M1509" s="1">
        <v>25</v>
      </c>
      <c r="N1509" s="1">
        <f t="shared" ref="N1509:N1513" si="248">146.8*0.0313*M1509/(1+0.0313*M1509)</f>
        <v>64.443758765778398</v>
      </c>
    </row>
    <row r="1510" spans="2:14" ht="34.5" customHeight="1" x14ac:dyDescent="0.3">
      <c r="B1510" s="1" t="s">
        <v>11</v>
      </c>
      <c r="G1510" s="1">
        <v>136.6</v>
      </c>
      <c r="H1510" s="1">
        <v>0.24</v>
      </c>
      <c r="I1510" s="1">
        <v>7</v>
      </c>
      <c r="J1510" s="1">
        <v>7</v>
      </c>
      <c r="K1510" s="1">
        <v>303.14999999999998</v>
      </c>
      <c r="M1510" s="1">
        <v>50</v>
      </c>
      <c r="N1510" s="1">
        <f t="shared" si="248"/>
        <v>89.568031189083811</v>
      </c>
    </row>
    <row r="1511" spans="2:14" ht="34.5" customHeight="1" x14ac:dyDescent="0.3">
      <c r="B1511" s="1" t="s">
        <v>11</v>
      </c>
      <c r="G1511" s="1">
        <v>136.6</v>
      </c>
      <c r="H1511" s="1">
        <v>0.24</v>
      </c>
      <c r="I1511" s="1">
        <v>7</v>
      </c>
      <c r="J1511" s="1">
        <v>7</v>
      </c>
      <c r="K1511" s="1">
        <v>303.14999999999998</v>
      </c>
      <c r="M1511" s="1">
        <v>100</v>
      </c>
      <c r="N1511" s="1">
        <f t="shared" si="248"/>
        <v>111.255205811138</v>
      </c>
    </row>
    <row r="1512" spans="2:14" ht="34.5" customHeight="1" x14ac:dyDescent="0.3">
      <c r="B1512" s="1" t="s">
        <v>11</v>
      </c>
      <c r="G1512" s="1">
        <v>136.6</v>
      </c>
      <c r="H1512" s="1">
        <v>0.24</v>
      </c>
      <c r="I1512" s="1">
        <v>7</v>
      </c>
      <c r="J1512" s="1">
        <v>7</v>
      </c>
      <c r="K1512" s="1">
        <v>303.14999999999998</v>
      </c>
      <c r="M1512" s="1">
        <v>150</v>
      </c>
      <c r="N1512" s="1">
        <f t="shared" si="248"/>
        <v>121.02300263388939</v>
      </c>
    </row>
    <row r="1513" spans="2:14" ht="34.5" customHeight="1" x14ac:dyDescent="0.3">
      <c r="B1513" s="1" t="s">
        <v>11</v>
      </c>
      <c r="G1513" s="1">
        <v>136.6</v>
      </c>
      <c r="H1513" s="1">
        <v>0.24</v>
      </c>
      <c r="I1513" s="1">
        <v>7</v>
      </c>
      <c r="J1513" s="1">
        <v>7</v>
      </c>
      <c r="K1513" s="1">
        <v>303.14999999999998</v>
      </c>
      <c r="M1513" s="1">
        <v>250</v>
      </c>
      <c r="N1513" s="1">
        <f t="shared" si="248"/>
        <v>130.16543909348442</v>
      </c>
    </row>
    <row r="1514" spans="2:14" ht="34.5" customHeight="1" x14ac:dyDescent="0.3">
      <c r="B1514" s="1" t="s">
        <v>11</v>
      </c>
      <c r="G1514" s="1">
        <v>158.30000000000001</v>
      </c>
      <c r="H1514" s="1">
        <v>0.28999999999999998</v>
      </c>
      <c r="I1514" s="1">
        <v>7.4</v>
      </c>
      <c r="J1514" s="1">
        <v>7</v>
      </c>
      <c r="K1514" s="1">
        <v>303.14999999999998</v>
      </c>
      <c r="M1514" s="1">
        <v>5</v>
      </c>
      <c r="N1514" s="1">
        <f>232*0.0292*M1514/(1+0.0292*M1514)</f>
        <v>29.556719022687613</v>
      </c>
    </row>
    <row r="1515" spans="2:14" ht="34.5" customHeight="1" x14ac:dyDescent="0.3">
      <c r="B1515" s="1" t="s">
        <v>11</v>
      </c>
      <c r="G1515" s="1">
        <v>158.30000000000001</v>
      </c>
      <c r="H1515" s="1">
        <v>0.28999999999999998</v>
      </c>
      <c r="I1515" s="1">
        <v>7.4</v>
      </c>
      <c r="J1515" s="1">
        <v>7</v>
      </c>
      <c r="K1515" s="1">
        <v>303.14999999999998</v>
      </c>
      <c r="M1515" s="1">
        <v>25</v>
      </c>
      <c r="N1515" s="1">
        <f t="shared" ref="N1515:N1519" si="249">232*0.0292*M1515/(1+0.0292*M1515)</f>
        <v>97.895953757225442</v>
      </c>
    </row>
    <row r="1516" spans="2:14" ht="34.5" customHeight="1" x14ac:dyDescent="0.3">
      <c r="B1516" s="1" t="s">
        <v>11</v>
      </c>
      <c r="G1516" s="1">
        <v>158.30000000000001</v>
      </c>
      <c r="H1516" s="1">
        <v>0.28999999999999998</v>
      </c>
      <c r="I1516" s="1">
        <v>7.4</v>
      </c>
      <c r="J1516" s="1">
        <v>7</v>
      </c>
      <c r="K1516" s="1">
        <v>303.14999999999998</v>
      </c>
      <c r="M1516" s="1">
        <v>50</v>
      </c>
      <c r="N1516" s="1">
        <f t="shared" si="249"/>
        <v>137.69105691056913</v>
      </c>
    </row>
    <row r="1517" spans="2:14" ht="34.5" customHeight="1" x14ac:dyDescent="0.3">
      <c r="B1517" s="1" t="s">
        <v>11</v>
      </c>
      <c r="G1517" s="1">
        <v>158.30000000000001</v>
      </c>
      <c r="H1517" s="1">
        <v>0.28999999999999998</v>
      </c>
      <c r="I1517" s="1">
        <v>7.4</v>
      </c>
      <c r="J1517" s="1">
        <v>7</v>
      </c>
      <c r="K1517" s="1">
        <v>303.14999999999998</v>
      </c>
      <c r="M1517" s="1">
        <v>100</v>
      </c>
      <c r="N1517" s="1">
        <f t="shared" si="249"/>
        <v>172.81632653061226</v>
      </c>
    </row>
    <row r="1518" spans="2:14" ht="34.5" customHeight="1" x14ac:dyDescent="0.3">
      <c r="B1518" s="1" t="s">
        <v>11</v>
      </c>
      <c r="G1518" s="1">
        <v>158.30000000000001</v>
      </c>
      <c r="H1518" s="1">
        <v>0.28999999999999998</v>
      </c>
      <c r="I1518" s="1">
        <v>7.4</v>
      </c>
      <c r="J1518" s="1">
        <v>7</v>
      </c>
      <c r="K1518" s="1">
        <v>303.14999999999998</v>
      </c>
      <c r="M1518" s="1">
        <v>150</v>
      </c>
      <c r="N1518" s="1">
        <f t="shared" si="249"/>
        <v>188.87732342007433</v>
      </c>
    </row>
    <row r="1519" spans="2:14" ht="34.5" customHeight="1" x14ac:dyDescent="0.3">
      <c r="B1519" s="1" t="s">
        <v>11</v>
      </c>
      <c r="G1519" s="1">
        <v>158.30000000000001</v>
      </c>
      <c r="H1519" s="1">
        <v>0.28999999999999998</v>
      </c>
      <c r="I1519" s="1">
        <v>7.4</v>
      </c>
      <c r="J1519" s="1">
        <v>7</v>
      </c>
      <c r="K1519" s="1">
        <v>303.14999999999998</v>
      </c>
      <c r="M1519" s="1">
        <v>250</v>
      </c>
      <c r="N1519" s="1">
        <f t="shared" si="249"/>
        <v>204.0481927710843</v>
      </c>
    </row>
    <row r="1520" spans="2:14" ht="34.5" customHeight="1" x14ac:dyDescent="0.3">
      <c r="B1520" s="1" t="s">
        <v>11</v>
      </c>
      <c r="C1520" s="1" t="s">
        <v>11</v>
      </c>
      <c r="G1520" s="1">
        <v>1020</v>
      </c>
      <c r="H1520" s="1">
        <v>0.98</v>
      </c>
      <c r="I1520" s="1">
        <v>2.35</v>
      </c>
      <c r="J1520" s="1">
        <v>10</v>
      </c>
      <c r="K1520" s="1">
        <v>298</v>
      </c>
      <c r="M1520" s="1">
        <v>5</v>
      </c>
      <c r="N1520" s="1">
        <f>142*0.008*M1520/(1+0.008*M1520)</f>
        <v>5.4615384615384617</v>
      </c>
    </row>
    <row r="1521" spans="2:14" ht="34.5" customHeight="1" x14ac:dyDescent="0.3">
      <c r="B1521" s="1" t="s">
        <v>11</v>
      </c>
      <c r="C1521" s="1" t="s">
        <v>11</v>
      </c>
      <c r="G1521" s="1">
        <v>1020</v>
      </c>
      <c r="H1521" s="1">
        <v>0.98</v>
      </c>
      <c r="I1521" s="1">
        <v>2.35</v>
      </c>
      <c r="J1521" s="1">
        <v>10</v>
      </c>
      <c r="K1521" s="1">
        <v>298</v>
      </c>
      <c r="M1521" s="1">
        <v>10</v>
      </c>
      <c r="N1521" s="1">
        <f t="shared" ref="N1521:N1525" si="250">142*0.008*M1521/(1+0.008*M1521)</f>
        <v>10.518518518518519</v>
      </c>
    </row>
    <row r="1522" spans="2:14" ht="34.5" customHeight="1" x14ac:dyDescent="0.3">
      <c r="B1522" s="1" t="s">
        <v>11</v>
      </c>
      <c r="C1522" s="1" t="s">
        <v>11</v>
      </c>
      <c r="G1522" s="1">
        <v>1020</v>
      </c>
      <c r="H1522" s="1">
        <v>0.98</v>
      </c>
      <c r="I1522" s="1">
        <v>2.35</v>
      </c>
      <c r="J1522" s="1">
        <v>10</v>
      </c>
      <c r="K1522" s="1">
        <v>298</v>
      </c>
      <c r="M1522" s="1">
        <v>20</v>
      </c>
      <c r="N1522" s="1">
        <f t="shared" si="250"/>
        <v>19.586206896551726</v>
      </c>
    </row>
    <row r="1523" spans="2:14" ht="34.5" customHeight="1" x14ac:dyDescent="0.3">
      <c r="B1523" s="1" t="s">
        <v>11</v>
      </c>
      <c r="C1523" s="1" t="s">
        <v>11</v>
      </c>
      <c r="G1523" s="1">
        <v>1020</v>
      </c>
      <c r="H1523" s="1">
        <v>0.98</v>
      </c>
      <c r="I1523" s="1">
        <v>2.35</v>
      </c>
      <c r="J1523" s="1">
        <v>10</v>
      </c>
      <c r="K1523" s="1">
        <v>298</v>
      </c>
      <c r="M1523" s="1">
        <v>40</v>
      </c>
      <c r="N1523" s="1">
        <f t="shared" si="250"/>
        <v>34.424242424242429</v>
      </c>
    </row>
    <row r="1524" spans="2:14" ht="34.5" customHeight="1" x14ac:dyDescent="0.3">
      <c r="B1524" s="1" t="s">
        <v>11</v>
      </c>
      <c r="C1524" s="1" t="s">
        <v>11</v>
      </c>
      <c r="G1524" s="1">
        <v>1020</v>
      </c>
      <c r="H1524" s="1">
        <v>0.98</v>
      </c>
      <c r="I1524" s="1">
        <v>2.35</v>
      </c>
      <c r="J1524" s="1">
        <v>10</v>
      </c>
      <c r="K1524" s="1">
        <v>298</v>
      </c>
      <c r="M1524" s="1">
        <v>60</v>
      </c>
      <c r="N1524" s="1">
        <f t="shared" si="250"/>
        <v>46.054054054054063</v>
      </c>
    </row>
    <row r="1525" spans="2:14" ht="34.5" customHeight="1" x14ac:dyDescent="0.3">
      <c r="B1525" s="1" t="s">
        <v>11</v>
      </c>
      <c r="C1525" s="1" t="s">
        <v>11</v>
      </c>
      <c r="G1525" s="1">
        <v>1020</v>
      </c>
      <c r="H1525" s="1">
        <v>0.98</v>
      </c>
      <c r="I1525" s="1">
        <v>2.35</v>
      </c>
      <c r="J1525" s="1">
        <v>10</v>
      </c>
      <c r="K1525" s="1">
        <v>298</v>
      </c>
      <c r="M1525" s="1">
        <v>100</v>
      </c>
      <c r="N1525" s="1">
        <f t="shared" si="250"/>
        <v>63.111111111111114</v>
      </c>
    </row>
    <row r="1526" spans="2:14" ht="34.5" customHeight="1" x14ac:dyDescent="0.3">
      <c r="B1526" s="1" t="s">
        <v>11</v>
      </c>
      <c r="C1526" s="1" t="s">
        <v>11</v>
      </c>
      <c r="G1526" s="1">
        <v>1020</v>
      </c>
      <c r="H1526" s="1">
        <v>0.98</v>
      </c>
      <c r="I1526" s="1">
        <v>2.35</v>
      </c>
      <c r="J1526" s="1">
        <v>10</v>
      </c>
      <c r="K1526" s="1">
        <v>308</v>
      </c>
      <c r="M1526" s="1">
        <v>5</v>
      </c>
      <c r="N1526" s="1">
        <f>94.2*0.011*M1526/(1+0.011*M1526)</f>
        <v>4.9109004739336495</v>
      </c>
    </row>
    <row r="1527" spans="2:14" ht="34.5" customHeight="1" x14ac:dyDescent="0.3">
      <c r="B1527" s="1" t="s">
        <v>11</v>
      </c>
      <c r="C1527" s="1" t="s">
        <v>11</v>
      </c>
      <c r="G1527" s="1">
        <v>1020</v>
      </c>
      <c r="H1527" s="1">
        <v>0.98</v>
      </c>
      <c r="I1527" s="1">
        <v>2.35</v>
      </c>
      <c r="J1527" s="1">
        <v>10</v>
      </c>
      <c r="K1527" s="1">
        <v>308</v>
      </c>
      <c r="M1527" s="1">
        <v>10</v>
      </c>
      <c r="N1527" s="1">
        <f t="shared" ref="N1527:N1531" si="251">94.2*0.011*M1527/(1+0.011*M1527)</f>
        <v>9.3351351351351362</v>
      </c>
    </row>
    <row r="1528" spans="2:14" ht="34.5" customHeight="1" x14ac:dyDescent="0.3">
      <c r="B1528" s="1" t="s">
        <v>11</v>
      </c>
      <c r="C1528" s="1" t="s">
        <v>11</v>
      </c>
      <c r="G1528" s="1">
        <v>1020</v>
      </c>
      <c r="H1528" s="1">
        <v>0.98</v>
      </c>
      <c r="I1528" s="1">
        <v>2.35</v>
      </c>
      <c r="J1528" s="1">
        <v>10</v>
      </c>
      <c r="K1528" s="1">
        <v>308</v>
      </c>
      <c r="M1528" s="1">
        <v>20</v>
      </c>
      <c r="N1528" s="1">
        <f t="shared" si="251"/>
        <v>16.98688524590164</v>
      </c>
    </row>
    <row r="1529" spans="2:14" ht="34.5" customHeight="1" x14ac:dyDescent="0.3">
      <c r="B1529" s="1" t="s">
        <v>11</v>
      </c>
      <c r="C1529" s="1" t="s">
        <v>11</v>
      </c>
      <c r="G1529" s="1">
        <v>1020</v>
      </c>
      <c r="H1529" s="1">
        <v>0.98</v>
      </c>
      <c r="I1529" s="1">
        <v>2.35</v>
      </c>
      <c r="J1529" s="1">
        <v>10</v>
      </c>
      <c r="K1529" s="1">
        <v>308</v>
      </c>
      <c r="M1529" s="1">
        <v>40</v>
      </c>
      <c r="N1529" s="1">
        <f t="shared" si="251"/>
        <v>28.783333333333335</v>
      </c>
    </row>
    <row r="1530" spans="2:14" ht="34.5" customHeight="1" x14ac:dyDescent="0.3">
      <c r="B1530" s="1" t="s">
        <v>11</v>
      </c>
      <c r="C1530" s="1" t="s">
        <v>11</v>
      </c>
      <c r="G1530" s="1">
        <v>1020</v>
      </c>
      <c r="H1530" s="1">
        <v>0.98</v>
      </c>
      <c r="I1530" s="1">
        <v>2.35</v>
      </c>
      <c r="J1530" s="1">
        <v>10</v>
      </c>
      <c r="K1530" s="1">
        <v>308</v>
      </c>
      <c r="M1530" s="1">
        <v>60</v>
      </c>
      <c r="N1530" s="1">
        <f t="shared" si="251"/>
        <v>37.453012048192768</v>
      </c>
    </row>
    <row r="1531" spans="2:14" ht="34.5" customHeight="1" x14ac:dyDescent="0.3">
      <c r="B1531" s="1" t="s">
        <v>11</v>
      </c>
      <c r="C1531" s="1" t="s">
        <v>11</v>
      </c>
      <c r="G1531" s="1">
        <v>1020</v>
      </c>
      <c r="H1531" s="1">
        <v>0.98</v>
      </c>
      <c r="I1531" s="1">
        <v>2.35</v>
      </c>
      <c r="J1531" s="1">
        <v>10</v>
      </c>
      <c r="K1531" s="1">
        <v>308</v>
      </c>
      <c r="M1531" s="1">
        <v>100</v>
      </c>
      <c r="N1531" s="1">
        <f t="shared" si="251"/>
        <v>49.342857142857156</v>
      </c>
    </row>
    <row r="1532" spans="2:14" ht="34.5" customHeight="1" x14ac:dyDescent="0.3">
      <c r="B1532" s="1" t="s">
        <v>11</v>
      </c>
      <c r="C1532" s="1" t="s">
        <v>11</v>
      </c>
      <c r="G1532" s="1">
        <v>1020</v>
      </c>
      <c r="H1532" s="1">
        <v>0.98</v>
      </c>
      <c r="I1532" s="1">
        <v>2.35</v>
      </c>
      <c r="J1532" s="1">
        <v>10</v>
      </c>
      <c r="K1532" s="1">
        <v>318</v>
      </c>
      <c r="M1532" s="1">
        <v>5</v>
      </c>
      <c r="N1532" s="1">
        <f>90.4*0.009*M1532/(1+0.009*M1532)</f>
        <v>3.8928229665071767</v>
      </c>
    </row>
    <row r="1533" spans="2:14" ht="34.5" customHeight="1" x14ac:dyDescent="0.3">
      <c r="B1533" s="1" t="s">
        <v>11</v>
      </c>
      <c r="C1533" s="1" t="s">
        <v>11</v>
      </c>
      <c r="G1533" s="1">
        <v>1020</v>
      </c>
      <c r="H1533" s="1">
        <v>0.98</v>
      </c>
      <c r="I1533" s="1">
        <v>2.35</v>
      </c>
      <c r="J1533" s="1">
        <v>10</v>
      </c>
      <c r="K1533" s="1">
        <v>318</v>
      </c>
      <c r="M1533" s="1">
        <v>10</v>
      </c>
      <c r="N1533" s="1">
        <f t="shared" ref="N1533:N1537" si="252">90.4*0.009*M1533/(1+0.009*M1533)</f>
        <v>7.4642201834862369</v>
      </c>
    </row>
    <row r="1534" spans="2:14" ht="34.5" customHeight="1" x14ac:dyDescent="0.3">
      <c r="B1534" s="1" t="s">
        <v>11</v>
      </c>
      <c r="C1534" s="1" t="s">
        <v>11</v>
      </c>
      <c r="G1534" s="1">
        <v>1020</v>
      </c>
      <c r="H1534" s="1">
        <v>0.98</v>
      </c>
      <c r="I1534" s="1">
        <v>2.35</v>
      </c>
      <c r="J1534" s="1">
        <v>10</v>
      </c>
      <c r="K1534" s="1">
        <v>318</v>
      </c>
      <c r="M1534" s="1">
        <v>20</v>
      </c>
      <c r="N1534" s="1">
        <f t="shared" si="252"/>
        <v>13.789830508474576</v>
      </c>
    </row>
    <row r="1535" spans="2:14" ht="34.5" customHeight="1" x14ac:dyDescent="0.3">
      <c r="B1535" s="1" t="s">
        <v>11</v>
      </c>
      <c r="C1535" s="1" t="s">
        <v>11</v>
      </c>
      <c r="G1535" s="1">
        <v>1020</v>
      </c>
      <c r="H1535" s="1">
        <v>0.98</v>
      </c>
      <c r="I1535" s="1">
        <v>2.35</v>
      </c>
      <c r="J1535" s="1">
        <v>10</v>
      </c>
      <c r="K1535" s="1">
        <v>318</v>
      </c>
      <c r="M1535" s="1">
        <v>40</v>
      </c>
      <c r="N1535" s="1">
        <f t="shared" si="252"/>
        <v>23.929411764705883</v>
      </c>
    </row>
    <row r="1536" spans="2:14" ht="34.5" customHeight="1" x14ac:dyDescent="0.3">
      <c r="B1536" s="1" t="s">
        <v>11</v>
      </c>
      <c r="C1536" s="1" t="s">
        <v>11</v>
      </c>
      <c r="G1536" s="1">
        <v>1020</v>
      </c>
      <c r="H1536" s="1">
        <v>0.98</v>
      </c>
      <c r="I1536" s="1">
        <v>2.35</v>
      </c>
      <c r="J1536" s="1">
        <v>10</v>
      </c>
      <c r="K1536" s="1">
        <v>318</v>
      </c>
      <c r="M1536" s="1">
        <v>60</v>
      </c>
      <c r="N1536" s="1">
        <f t="shared" si="252"/>
        <v>31.698701298701298</v>
      </c>
    </row>
    <row r="1537" spans="2:14" ht="34.5" customHeight="1" x14ac:dyDescent="0.3">
      <c r="B1537" s="1" t="s">
        <v>11</v>
      </c>
      <c r="C1537" s="1" t="s">
        <v>11</v>
      </c>
      <c r="G1537" s="1">
        <v>1020</v>
      </c>
      <c r="H1537" s="1">
        <v>0.98</v>
      </c>
      <c r="I1537" s="1">
        <v>2.35</v>
      </c>
      <c r="J1537" s="1">
        <v>10</v>
      </c>
      <c r="K1537" s="1">
        <v>318</v>
      </c>
      <c r="M1537" s="1">
        <v>100</v>
      </c>
      <c r="N1537" s="1">
        <f t="shared" si="252"/>
        <v>42.821052631578951</v>
      </c>
    </row>
    <row r="1538" spans="2:14" ht="34.5" customHeight="1" x14ac:dyDescent="0.3">
      <c r="B1538" s="1" t="s">
        <v>11</v>
      </c>
      <c r="C1538" s="1" t="s">
        <v>11</v>
      </c>
      <c r="G1538" s="1">
        <v>92.24</v>
      </c>
      <c r="J1538" s="1">
        <v>4.5</v>
      </c>
      <c r="K1538" s="1">
        <v>298</v>
      </c>
      <c r="M1538" s="1">
        <v>51.97</v>
      </c>
      <c r="N1538" s="1">
        <f>M1538*0.052*25.64/(1+0.052*M1538)</f>
        <v>18.714837134430265</v>
      </c>
    </row>
    <row r="1539" spans="2:14" ht="34.5" customHeight="1" x14ac:dyDescent="0.3">
      <c r="B1539" s="1" t="s">
        <v>11</v>
      </c>
      <c r="C1539" s="1" t="s">
        <v>11</v>
      </c>
      <c r="G1539" s="1">
        <v>92.24</v>
      </c>
      <c r="J1539" s="1">
        <v>4.5</v>
      </c>
      <c r="K1539" s="1">
        <v>298</v>
      </c>
      <c r="M1539" s="1">
        <v>92.68</v>
      </c>
      <c r="N1539" s="1">
        <f t="shared" ref="N1539:N1543" si="253">M1539*0.052*25.64/(1+0.052*M1539)</f>
        <v>21.234017211514669</v>
      </c>
    </row>
    <row r="1540" spans="2:14" ht="34.5" customHeight="1" x14ac:dyDescent="0.3">
      <c r="B1540" s="1" t="s">
        <v>11</v>
      </c>
      <c r="C1540" s="1" t="s">
        <v>11</v>
      </c>
      <c r="G1540" s="1">
        <v>92.24</v>
      </c>
      <c r="J1540" s="1">
        <v>4.5</v>
      </c>
      <c r="K1540" s="1">
        <v>298</v>
      </c>
      <c r="M1540" s="1">
        <v>134.75</v>
      </c>
      <c r="N1540" s="1">
        <f t="shared" si="253"/>
        <v>22.4378019233171</v>
      </c>
    </row>
    <row r="1541" spans="2:14" ht="34.5" customHeight="1" x14ac:dyDescent="0.3">
      <c r="B1541" s="1" t="s">
        <v>11</v>
      </c>
      <c r="C1541" s="1" t="s">
        <v>11</v>
      </c>
      <c r="G1541" s="1">
        <v>92.24</v>
      </c>
      <c r="J1541" s="1">
        <v>4.5</v>
      </c>
      <c r="K1541" s="1">
        <v>298</v>
      </c>
      <c r="M1541" s="1">
        <v>165.96</v>
      </c>
      <c r="N1541" s="1">
        <f t="shared" si="253"/>
        <v>22.977464901058369</v>
      </c>
    </row>
    <row r="1542" spans="2:14" ht="34.5" customHeight="1" x14ac:dyDescent="0.3">
      <c r="B1542" s="1" t="s">
        <v>11</v>
      </c>
      <c r="C1542" s="1" t="s">
        <v>11</v>
      </c>
      <c r="G1542" s="1">
        <v>92.24</v>
      </c>
      <c r="J1542" s="1">
        <v>4.5</v>
      </c>
      <c r="K1542" s="1">
        <v>298</v>
      </c>
      <c r="M1542" s="1">
        <v>180.2</v>
      </c>
      <c r="N1542" s="1">
        <f t="shared" si="253"/>
        <v>23.167578492632877</v>
      </c>
    </row>
    <row r="1543" spans="2:14" ht="34.5" customHeight="1" x14ac:dyDescent="0.3">
      <c r="B1543" s="1" t="s">
        <v>11</v>
      </c>
      <c r="C1543" s="1" t="s">
        <v>11</v>
      </c>
      <c r="G1543" s="1">
        <v>92.24</v>
      </c>
      <c r="J1543" s="1">
        <v>4.5</v>
      </c>
      <c r="K1543" s="1">
        <v>298</v>
      </c>
      <c r="M1543" s="1">
        <v>203.96</v>
      </c>
      <c r="N1543" s="1">
        <f t="shared" si="253"/>
        <v>23.430782635069001</v>
      </c>
    </row>
    <row r="1544" spans="2:14" ht="34.5" customHeight="1" x14ac:dyDescent="0.3">
      <c r="B1544" s="1">
        <v>20.85</v>
      </c>
      <c r="G1544" s="1">
        <v>526</v>
      </c>
      <c r="H1544" s="1">
        <v>0.81</v>
      </c>
      <c r="J1544" s="1">
        <v>7</v>
      </c>
      <c r="K1544" s="1">
        <v>293</v>
      </c>
      <c r="M1544" s="1">
        <v>1</v>
      </c>
      <c r="N1544" s="1">
        <f>67.629*0.3104*M1544/(0.3104*M1544+1)</f>
        <v>16.019567765567768</v>
      </c>
    </row>
    <row r="1545" spans="2:14" ht="34.5" customHeight="1" x14ac:dyDescent="0.3">
      <c r="B1545" s="1">
        <v>20.85</v>
      </c>
      <c r="G1545" s="1">
        <v>526</v>
      </c>
      <c r="H1545" s="1">
        <v>0.81</v>
      </c>
      <c r="J1545" s="1">
        <v>7</v>
      </c>
      <c r="K1545" s="1">
        <v>293</v>
      </c>
      <c r="M1545" s="1">
        <v>3</v>
      </c>
      <c r="N1545" s="1">
        <f t="shared" ref="N1545:N1549" si="254">67.629*0.3104*M1545/(0.3104*M1545+1)</f>
        <v>32.609840927920466</v>
      </c>
    </row>
    <row r="1546" spans="2:14" ht="34.5" customHeight="1" x14ac:dyDescent="0.3">
      <c r="B1546" s="1">
        <v>20.85</v>
      </c>
      <c r="G1546" s="1">
        <v>526</v>
      </c>
      <c r="H1546" s="1">
        <v>0.81</v>
      </c>
      <c r="J1546" s="1">
        <v>7</v>
      </c>
      <c r="K1546" s="1">
        <v>293</v>
      </c>
      <c r="M1546" s="1">
        <v>5</v>
      </c>
      <c r="N1546" s="1">
        <f t="shared" si="254"/>
        <v>41.128608150470228</v>
      </c>
    </row>
    <row r="1547" spans="2:14" ht="34.5" customHeight="1" x14ac:dyDescent="0.3">
      <c r="B1547" s="1">
        <v>20.85</v>
      </c>
      <c r="G1547" s="1">
        <v>526</v>
      </c>
      <c r="H1547" s="1">
        <v>0.81</v>
      </c>
      <c r="J1547" s="1">
        <v>7</v>
      </c>
      <c r="K1547" s="1">
        <v>293</v>
      </c>
      <c r="M1547" s="1">
        <v>10</v>
      </c>
      <c r="N1547" s="1">
        <f t="shared" si="254"/>
        <v>51.150198830409366</v>
      </c>
    </row>
    <row r="1548" spans="2:14" ht="34.5" customHeight="1" x14ac:dyDescent="0.3">
      <c r="B1548" s="1">
        <v>20.85</v>
      </c>
      <c r="G1548" s="1">
        <v>526</v>
      </c>
      <c r="H1548" s="1">
        <v>0.81</v>
      </c>
      <c r="J1548" s="1">
        <v>7</v>
      </c>
      <c r="K1548" s="1">
        <v>293</v>
      </c>
      <c r="M1548" s="1">
        <v>30</v>
      </c>
      <c r="N1548" s="1">
        <f t="shared" si="254"/>
        <v>61.070718386346009</v>
      </c>
    </row>
    <row r="1549" spans="2:14" ht="34.5" customHeight="1" x14ac:dyDescent="0.3">
      <c r="B1549" s="1">
        <v>20.85</v>
      </c>
      <c r="G1549" s="1">
        <v>526</v>
      </c>
      <c r="H1549" s="1">
        <v>0.81</v>
      </c>
      <c r="J1549" s="1">
        <v>7</v>
      </c>
      <c r="K1549" s="1">
        <v>293</v>
      </c>
      <c r="M1549" s="1">
        <v>50</v>
      </c>
      <c r="N1549" s="1">
        <f t="shared" si="254"/>
        <v>63.535234866828098</v>
      </c>
    </row>
    <row r="1550" spans="2:14" ht="34.5" customHeight="1" x14ac:dyDescent="0.3">
      <c r="B1550" s="1" t="s">
        <v>11</v>
      </c>
      <c r="G1550" s="1">
        <v>1069</v>
      </c>
      <c r="H1550" s="1">
        <v>0.753</v>
      </c>
      <c r="J1550" s="1">
        <v>7</v>
      </c>
      <c r="K1550" s="1">
        <v>293</v>
      </c>
      <c r="M1550" s="1">
        <v>1</v>
      </c>
      <c r="N1550" s="1">
        <f>47.576*0.1053*M1550/(1+0.1053*M1550)</f>
        <v>4.5324824029675206</v>
      </c>
    </row>
    <row r="1551" spans="2:14" ht="34.5" customHeight="1" x14ac:dyDescent="0.3">
      <c r="B1551" s="1" t="s">
        <v>11</v>
      </c>
      <c r="G1551" s="1">
        <v>1069</v>
      </c>
      <c r="H1551" s="1">
        <v>0.753</v>
      </c>
      <c r="J1551" s="1">
        <v>7</v>
      </c>
      <c r="K1551" s="1">
        <v>293</v>
      </c>
      <c r="M1551" s="1">
        <v>3</v>
      </c>
      <c r="N1551" s="1">
        <f t="shared" ref="N1551:N1555" si="255">47.576*0.1053*M1551/(1+0.1053*M1551)</f>
        <v>11.421276996732274</v>
      </c>
    </row>
    <row r="1552" spans="2:14" ht="34.5" customHeight="1" x14ac:dyDescent="0.3">
      <c r="B1552" s="1" t="s">
        <v>11</v>
      </c>
      <c r="G1552" s="1">
        <v>1069</v>
      </c>
      <c r="H1552" s="1">
        <v>0.753</v>
      </c>
      <c r="J1552" s="1">
        <v>7</v>
      </c>
      <c r="K1552" s="1">
        <v>293</v>
      </c>
      <c r="M1552" s="1">
        <v>5</v>
      </c>
      <c r="N1552" s="1">
        <f t="shared" si="255"/>
        <v>16.409278742220767</v>
      </c>
    </row>
    <row r="1553" spans="2:14" ht="34.5" customHeight="1" x14ac:dyDescent="0.3">
      <c r="B1553" s="1" t="s">
        <v>11</v>
      </c>
      <c r="G1553" s="1">
        <v>1069</v>
      </c>
      <c r="H1553" s="1">
        <v>0.753</v>
      </c>
      <c r="J1553" s="1">
        <v>7</v>
      </c>
      <c r="K1553" s="1">
        <v>293</v>
      </c>
      <c r="M1553" s="1">
        <v>10</v>
      </c>
      <c r="N1553" s="1">
        <f t="shared" si="255"/>
        <v>24.402108134437412</v>
      </c>
    </row>
    <row r="1554" spans="2:14" ht="34.5" customHeight="1" x14ac:dyDescent="0.3">
      <c r="B1554" s="1" t="s">
        <v>11</v>
      </c>
      <c r="G1554" s="1">
        <v>1069</v>
      </c>
      <c r="H1554" s="1">
        <v>0.753</v>
      </c>
      <c r="J1554" s="1">
        <v>7</v>
      </c>
      <c r="K1554" s="1">
        <v>293</v>
      </c>
      <c r="M1554" s="1">
        <v>30</v>
      </c>
      <c r="N1554" s="1">
        <f t="shared" si="255"/>
        <v>36.136711709545558</v>
      </c>
    </row>
    <row r="1555" spans="2:14" ht="34.5" customHeight="1" x14ac:dyDescent="0.3">
      <c r="B1555" s="1" t="s">
        <v>11</v>
      </c>
      <c r="G1555" s="1">
        <v>1069</v>
      </c>
      <c r="H1555" s="1">
        <v>0.753</v>
      </c>
      <c r="J1555" s="1">
        <v>7</v>
      </c>
      <c r="K1555" s="1">
        <v>293</v>
      </c>
      <c r="M1555" s="1">
        <v>50</v>
      </c>
      <c r="N1555" s="1">
        <f t="shared" si="255"/>
        <v>39.98206544293695</v>
      </c>
    </row>
    <row r="1556" spans="2:14" ht="34.5" customHeight="1" x14ac:dyDescent="0.3">
      <c r="B1556" s="1" t="s">
        <v>11</v>
      </c>
      <c r="G1556" s="1">
        <v>550</v>
      </c>
      <c r="H1556" s="1">
        <v>0.25900000000000001</v>
      </c>
      <c r="J1556" s="1">
        <v>7</v>
      </c>
      <c r="K1556" s="1">
        <v>293</v>
      </c>
      <c r="M1556" s="1">
        <v>1</v>
      </c>
      <c r="N1556" s="1">
        <f>23.172*0.3327*M1556/(1+0.3327*M1556)</f>
        <v>5.7847410519997</v>
      </c>
    </row>
    <row r="1557" spans="2:14" ht="34.5" customHeight="1" x14ac:dyDescent="0.3">
      <c r="B1557" s="1" t="s">
        <v>11</v>
      </c>
      <c r="G1557" s="1">
        <v>550</v>
      </c>
      <c r="H1557" s="1">
        <v>0.25900000000000001</v>
      </c>
      <c r="J1557" s="1">
        <v>7</v>
      </c>
      <c r="K1557" s="1">
        <v>293</v>
      </c>
      <c r="M1557" s="1">
        <v>3</v>
      </c>
      <c r="N1557" s="1">
        <f t="shared" ref="N1557:N1561" si="256">23.172*0.3327*M1557/(1+0.3327*M1557)</f>
        <v>11.574982833692006</v>
      </c>
    </row>
    <row r="1558" spans="2:14" ht="34.5" customHeight="1" x14ac:dyDescent="0.3">
      <c r="B1558" s="1" t="s">
        <v>11</v>
      </c>
      <c r="G1558" s="1">
        <v>550</v>
      </c>
      <c r="H1558" s="1">
        <v>0.25900000000000001</v>
      </c>
      <c r="J1558" s="1">
        <v>7</v>
      </c>
      <c r="K1558" s="1">
        <v>293</v>
      </c>
      <c r="M1558" s="1">
        <v>5</v>
      </c>
      <c r="N1558" s="1">
        <f t="shared" si="256"/>
        <v>14.472168950628872</v>
      </c>
    </row>
    <row r="1559" spans="2:14" ht="34.5" customHeight="1" x14ac:dyDescent="0.3">
      <c r="B1559" s="1" t="s">
        <v>11</v>
      </c>
      <c r="G1559" s="1">
        <v>550</v>
      </c>
      <c r="H1559" s="1">
        <v>0.25900000000000001</v>
      </c>
      <c r="J1559" s="1">
        <v>7</v>
      </c>
      <c r="K1559" s="1">
        <v>293</v>
      </c>
      <c r="M1559" s="1">
        <v>10</v>
      </c>
      <c r="N1559" s="1">
        <f t="shared" si="256"/>
        <v>17.816788537092673</v>
      </c>
    </row>
    <row r="1560" spans="2:14" ht="34.5" customHeight="1" x14ac:dyDescent="0.3">
      <c r="B1560" s="1" t="s">
        <v>11</v>
      </c>
      <c r="G1560" s="1">
        <v>550</v>
      </c>
      <c r="H1560" s="1">
        <v>0.25900000000000001</v>
      </c>
      <c r="J1560" s="1">
        <v>7</v>
      </c>
      <c r="K1560" s="1">
        <v>293</v>
      </c>
      <c r="M1560" s="1">
        <v>30</v>
      </c>
      <c r="N1560" s="1">
        <f t="shared" si="256"/>
        <v>21.061809671250341</v>
      </c>
    </row>
    <row r="1561" spans="2:14" ht="34.5" customHeight="1" x14ac:dyDescent="0.3">
      <c r="B1561" s="1" t="s">
        <v>11</v>
      </c>
      <c r="G1561" s="1">
        <v>550</v>
      </c>
      <c r="H1561" s="1">
        <v>0.25900000000000001</v>
      </c>
      <c r="J1561" s="1">
        <v>7</v>
      </c>
      <c r="K1561" s="1">
        <v>293</v>
      </c>
      <c r="M1561" s="1">
        <v>50</v>
      </c>
      <c r="N1561" s="1">
        <f t="shared" si="256"/>
        <v>21.858022115111996</v>
      </c>
    </row>
    <row r="1562" spans="2:14" ht="34.5" customHeight="1" x14ac:dyDescent="0.3">
      <c r="B1562" s="1" t="s">
        <v>11</v>
      </c>
      <c r="G1562" s="1">
        <v>219</v>
      </c>
      <c r="H1562" s="1">
        <v>0.32</v>
      </c>
      <c r="I1562" s="1">
        <v>4.9800000000000004</v>
      </c>
      <c r="J1562" s="1">
        <v>10</v>
      </c>
      <c r="K1562" s="1">
        <v>298</v>
      </c>
      <c r="M1562" s="1">
        <v>2</v>
      </c>
      <c r="N1562" s="1">
        <f>5.69*M1562^(1/3.88)</f>
        <v>6.8029505922490312</v>
      </c>
    </row>
    <row r="1563" spans="2:14" ht="34.5" customHeight="1" x14ac:dyDescent="0.3">
      <c r="B1563" s="1" t="s">
        <v>11</v>
      </c>
      <c r="G1563" s="1">
        <v>219</v>
      </c>
      <c r="H1563" s="1">
        <v>0.32</v>
      </c>
      <c r="I1563" s="1">
        <v>4.9800000000000004</v>
      </c>
      <c r="J1563" s="1">
        <v>10</v>
      </c>
      <c r="K1563" s="1">
        <v>298</v>
      </c>
      <c r="M1563" s="1">
        <v>3</v>
      </c>
      <c r="N1563" s="1">
        <f t="shared" ref="N1563:N1567" si="257">5.69*M1563^(1/3.88)</f>
        <v>7.5523422370142574</v>
      </c>
    </row>
    <row r="1564" spans="2:14" ht="34.5" customHeight="1" x14ac:dyDescent="0.3">
      <c r="B1564" s="1" t="s">
        <v>11</v>
      </c>
      <c r="G1564" s="1">
        <v>219</v>
      </c>
      <c r="H1564" s="1">
        <v>0.32</v>
      </c>
      <c r="I1564" s="1">
        <v>4.9800000000000004</v>
      </c>
      <c r="J1564" s="1">
        <v>10</v>
      </c>
      <c r="K1564" s="1">
        <v>298</v>
      </c>
      <c r="M1564" s="1">
        <v>5</v>
      </c>
      <c r="N1564" s="1">
        <f t="shared" si="257"/>
        <v>8.6150772238039206</v>
      </c>
    </row>
    <row r="1565" spans="2:14" ht="34.5" customHeight="1" x14ac:dyDescent="0.3">
      <c r="B1565" s="1" t="s">
        <v>11</v>
      </c>
      <c r="G1565" s="1">
        <v>219</v>
      </c>
      <c r="H1565" s="1">
        <v>0.32</v>
      </c>
      <c r="I1565" s="1">
        <v>4.9800000000000004</v>
      </c>
      <c r="J1565" s="1">
        <v>10</v>
      </c>
      <c r="K1565" s="1">
        <v>298</v>
      </c>
      <c r="M1565" s="1">
        <v>10</v>
      </c>
      <c r="N1565" s="1">
        <f t="shared" si="257"/>
        <v>10.300166028461867</v>
      </c>
    </row>
    <row r="1566" spans="2:14" ht="34.5" customHeight="1" x14ac:dyDescent="0.3">
      <c r="B1566" s="1" t="s">
        <v>11</v>
      </c>
      <c r="G1566" s="1">
        <v>219</v>
      </c>
      <c r="H1566" s="1">
        <v>0.32</v>
      </c>
      <c r="I1566" s="1">
        <v>4.9800000000000004</v>
      </c>
      <c r="J1566" s="1">
        <v>10</v>
      </c>
      <c r="K1566" s="1">
        <v>298</v>
      </c>
      <c r="M1566" s="1">
        <v>30</v>
      </c>
      <c r="N1566" s="1">
        <f t="shared" si="257"/>
        <v>13.671419849738479</v>
      </c>
    </row>
    <row r="1567" spans="2:14" ht="34.5" customHeight="1" x14ac:dyDescent="0.3">
      <c r="B1567" s="1" t="s">
        <v>11</v>
      </c>
      <c r="G1567" s="1">
        <v>219</v>
      </c>
      <c r="H1567" s="1">
        <v>0.32</v>
      </c>
      <c r="I1567" s="1">
        <v>4.9800000000000004</v>
      </c>
      <c r="J1567" s="1">
        <v>10</v>
      </c>
      <c r="K1567" s="1">
        <v>298</v>
      </c>
      <c r="M1567" s="1">
        <v>70</v>
      </c>
      <c r="N1567" s="1">
        <f t="shared" si="257"/>
        <v>17.007990255555487</v>
      </c>
    </row>
    <row r="1568" spans="2:14" ht="34.5" customHeight="1" x14ac:dyDescent="0.3">
      <c r="B1568" s="1" t="s">
        <v>11</v>
      </c>
      <c r="G1568" s="1">
        <v>187</v>
      </c>
      <c r="H1568" s="1">
        <v>0.31</v>
      </c>
      <c r="I1568" s="1">
        <v>4.67</v>
      </c>
      <c r="J1568" s="1">
        <v>10</v>
      </c>
      <c r="K1568" s="1">
        <v>298</v>
      </c>
      <c r="M1568" s="1">
        <v>2</v>
      </c>
      <c r="N1568" s="1">
        <f>7.99*M1568^(1/3.73)</f>
        <v>9.6217013359712027</v>
      </c>
    </row>
    <row r="1569" spans="2:14" ht="34.5" customHeight="1" x14ac:dyDescent="0.3">
      <c r="B1569" s="1" t="s">
        <v>11</v>
      </c>
      <c r="G1569" s="1">
        <v>187</v>
      </c>
      <c r="H1569" s="1">
        <v>0.31</v>
      </c>
      <c r="I1569" s="1">
        <v>4.67</v>
      </c>
      <c r="J1569" s="1">
        <v>10</v>
      </c>
      <c r="K1569" s="1">
        <v>298</v>
      </c>
      <c r="M1569" s="1">
        <v>3</v>
      </c>
      <c r="N1569" s="1">
        <f t="shared" ref="N1569:N1573" si="258">7.99*M1569^(1/3.73)</f>
        <v>10.726581202615941</v>
      </c>
    </row>
    <row r="1570" spans="2:14" ht="34.5" customHeight="1" x14ac:dyDescent="0.3">
      <c r="B1570" s="1" t="s">
        <v>11</v>
      </c>
      <c r="G1570" s="1">
        <v>187</v>
      </c>
      <c r="H1570" s="1">
        <v>0.31</v>
      </c>
      <c r="I1570" s="1">
        <v>4.67</v>
      </c>
      <c r="J1570" s="1">
        <v>10</v>
      </c>
      <c r="K1570" s="1">
        <v>298</v>
      </c>
      <c r="M1570" s="1">
        <v>5</v>
      </c>
      <c r="N1570" s="1">
        <f t="shared" si="258"/>
        <v>12.300937202498421</v>
      </c>
    </row>
    <row r="1571" spans="2:14" ht="34.5" customHeight="1" x14ac:dyDescent="0.3">
      <c r="B1571" s="1" t="s">
        <v>11</v>
      </c>
      <c r="G1571" s="1">
        <v>187</v>
      </c>
      <c r="H1571" s="1">
        <v>0.31</v>
      </c>
      <c r="I1571" s="1">
        <v>4.67</v>
      </c>
      <c r="J1571" s="1">
        <v>10</v>
      </c>
      <c r="K1571" s="1">
        <v>298</v>
      </c>
      <c r="M1571" s="1">
        <v>10</v>
      </c>
      <c r="N1571" s="1">
        <f t="shared" si="258"/>
        <v>14.813009250935785</v>
      </c>
    </row>
    <row r="1572" spans="2:14" ht="34.5" customHeight="1" x14ac:dyDescent="0.3">
      <c r="B1572" s="1" t="s">
        <v>11</v>
      </c>
      <c r="G1572" s="1">
        <v>187</v>
      </c>
      <c r="H1572" s="1">
        <v>0.31</v>
      </c>
      <c r="I1572" s="1">
        <v>4.67</v>
      </c>
      <c r="J1572" s="1">
        <v>10</v>
      </c>
      <c r="K1572" s="1">
        <v>298</v>
      </c>
      <c r="M1572" s="1">
        <v>30</v>
      </c>
      <c r="N1572" s="1">
        <f t="shared" si="258"/>
        <v>19.886476418681333</v>
      </c>
    </row>
    <row r="1573" spans="2:14" ht="34.5" customHeight="1" x14ac:dyDescent="0.3">
      <c r="B1573" s="1" t="s">
        <v>11</v>
      </c>
      <c r="G1573" s="1">
        <v>187</v>
      </c>
      <c r="H1573" s="1">
        <v>0.31</v>
      </c>
      <c r="I1573" s="1">
        <v>4.67</v>
      </c>
      <c r="J1573" s="1">
        <v>10</v>
      </c>
      <c r="K1573" s="1">
        <v>298</v>
      </c>
      <c r="M1573" s="1">
        <v>70</v>
      </c>
      <c r="N1573" s="1">
        <f t="shared" si="258"/>
        <v>24.958077744240647</v>
      </c>
    </row>
    <row r="1574" spans="2:14" ht="34.5" customHeight="1" x14ac:dyDescent="0.3">
      <c r="B1574" s="1">
        <v>3.13</v>
      </c>
      <c r="E1574" s="1">
        <v>25.14</v>
      </c>
      <c r="F1574" s="1">
        <v>1.68</v>
      </c>
      <c r="G1574" s="1">
        <v>2.6</v>
      </c>
      <c r="J1574" s="1">
        <v>8.5</v>
      </c>
      <c r="K1574" s="1">
        <v>293.14999999999998</v>
      </c>
      <c r="M1574" s="1">
        <v>2</v>
      </c>
      <c r="N1574" s="1">
        <f>3.811*M1574^(1/2.699)</f>
        <v>4.9268898012967393</v>
      </c>
    </row>
    <row r="1575" spans="2:14" ht="34.5" customHeight="1" x14ac:dyDescent="0.3">
      <c r="B1575" s="1">
        <v>3.13</v>
      </c>
      <c r="E1575" s="1">
        <v>25.14</v>
      </c>
      <c r="F1575" s="1">
        <v>1.68</v>
      </c>
      <c r="G1575" s="1">
        <v>2.6</v>
      </c>
      <c r="J1575" s="1">
        <v>8.5</v>
      </c>
      <c r="K1575" s="1">
        <v>293.14999999999998</v>
      </c>
      <c r="M1575" s="1">
        <v>3</v>
      </c>
      <c r="N1575" s="1">
        <f t="shared" ref="N1575:N1579" si="259">3.811*M1575^(1/2.699)</f>
        <v>5.7255339945589245</v>
      </c>
    </row>
    <row r="1576" spans="2:14" ht="34.5" customHeight="1" x14ac:dyDescent="0.3">
      <c r="B1576" s="1">
        <v>3.13</v>
      </c>
      <c r="E1576" s="1">
        <v>25.14</v>
      </c>
      <c r="F1576" s="1">
        <v>1.68</v>
      </c>
      <c r="G1576" s="1">
        <v>2.6</v>
      </c>
      <c r="J1576" s="1">
        <v>8.5</v>
      </c>
      <c r="K1576" s="1">
        <v>293.14999999999998</v>
      </c>
      <c r="M1576" s="1">
        <v>5</v>
      </c>
      <c r="N1576" s="1">
        <f t="shared" si="259"/>
        <v>6.9185111364081777</v>
      </c>
    </row>
    <row r="1577" spans="2:14" ht="34.5" customHeight="1" x14ac:dyDescent="0.3">
      <c r="B1577" s="1">
        <v>3.13</v>
      </c>
      <c r="E1577" s="1">
        <v>25.14</v>
      </c>
      <c r="F1577" s="1">
        <v>1.68</v>
      </c>
      <c r="G1577" s="1">
        <v>2.6</v>
      </c>
      <c r="J1577" s="1">
        <v>8.5</v>
      </c>
      <c r="K1577" s="1">
        <v>293.14999999999998</v>
      </c>
      <c r="M1577" s="1">
        <v>15</v>
      </c>
      <c r="N1577" s="1">
        <f t="shared" si="259"/>
        <v>10.394167069860803</v>
      </c>
    </row>
    <row r="1578" spans="2:14" ht="34.5" customHeight="1" x14ac:dyDescent="0.3">
      <c r="B1578" s="1">
        <v>3.13</v>
      </c>
      <c r="E1578" s="1">
        <v>25.14</v>
      </c>
      <c r="F1578" s="1">
        <v>1.68</v>
      </c>
      <c r="G1578" s="1">
        <v>2.6</v>
      </c>
      <c r="J1578" s="1">
        <v>8.5</v>
      </c>
      <c r="K1578" s="1">
        <v>293.14999999999998</v>
      </c>
      <c r="M1578" s="1">
        <v>20</v>
      </c>
      <c r="N1578" s="1">
        <f t="shared" si="259"/>
        <v>11.563264077637633</v>
      </c>
    </row>
    <row r="1579" spans="2:14" ht="34.5" customHeight="1" x14ac:dyDescent="0.3">
      <c r="B1579" s="1">
        <v>3.13</v>
      </c>
      <c r="E1579" s="1">
        <v>25.14</v>
      </c>
      <c r="F1579" s="1">
        <v>1.68</v>
      </c>
      <c r="G1579" s="1">
        <v>2.6</v>
      </c>
      <c r="J1579" s="1">
        <v>8.5</v>
      </c>
      <c r="K1579" s="1">
        <v>293.14999999999998</v>
      </c>
      <c r="M1579" s="1">
        <v>30</v>
      </c>
      <c r="N1579" s="1">
        <f t="shared" si="259"/>
        <v>13.437658286400316</v>
      </c>
    </row>
    <row r="1580" spans="2:14" ht="34.5" customHeight="1" x14ac:dyDescent="0.3">
      <c r="E1580" s="1">
        <v>49.96</v>
      </c>
      <c r="F1580" s="1">
        <v>0.56999999999999995</v>
      </c>
      <c r="G1580" s="1">
        <v>92.81</v>
      </c>
      <c r="H1580" s="1">
        <v>265000</v>
      </c>
      <c r="I1580" s="1">
        <v>11.16</v>
      </c>
      <c r="J1580" s="1">
        <v>8</v>
      </c>
      <c r="K1580" s="1">
        <v>298</v>
      </c>
      <c r="M1580" s="1">
        <v>1</v>
      </c>
      <c r="N1580" s="1">
        <f>263.16*1.03*M1580/(1+1.03*M1580)</f>
        <v>133.52453201970445</v>
      </c>
    </row>
    <row r="1581" spans="2:14" ht="34.5" customHeight="1" x14ac:dyDescent="0.3">
      <c r="E1581" s="1">
        <v>49.96</v>
      </c>
      <c r="F1581" s="1">
        <v>0.56999999999999995</v>
      </c>
      <c r="G1581" s="1">
        <v>92.81</v>
      </c>
      <c r="H1581" s="1">
        <v>265000</v>
      </c>
      <c r="I1581" s="1">
        <v>11.16</v>
      </c>
      <c r="J1581" s="1">
        <v>8</v>
      </c>
      <c r="K1581" s="1">
        <v>298</v>
      </c>
      <c r="M1581" s="1">
        <v>10</v>
      </c>
      <c r="N1581" s="1">
        <f t="shared" ref="N1581:N1585" si="260">263.16*1.03*M1581/(1+1.03*M1581)</f>
        <v>239.87150442477881</v>
      </c>
    </row>
    <row r="1582" spans="2:14" ht="34.5" customHeight="1" x14ac:dyDescent="0.3">
      <c r="E1582" s="1">
        <v>49.96</v>
      </c>
      <c r="F1582" s="1">
        <v>0.56999999999999995</v>
      </c>
      <c r="G1582" s="1">
        <v>92.81</v>
      </c>
      <c r="H1582" s="1">
        <v>265000</v>
      </c>
      <c r="I1582" s="1">
        <v>11.16</v>
      </c>
      <c r="J1582" s="1">
        <v>8</v>
      </c>
      <c r="K1582" s="1">
        <v>298</v>
      </c>
      <c r="M1582" s="1">
        <v>15</v>
      </c>
      <c r="N1582" s="1">
        <f t="shared" si="260"/>
        <v>247.16243161094226</v>
      </c>
    </row>
    <row r="1583" spans="2:14" ht="34.5" customHeight="1" x14ac:dyDescent="0.3">
      <c r="E1583" s="1">
        <v>49.96</v>
      </c>
      <c r="F1583" s="1">
        <v>0.56999999999999995</v>
      </c>
      <c r="G1583" s="1">
        <v>92.81</v>
      </c>
      <c r="H1583" s="1">
        <v>265000</v>
      </c>
      <c r="I1583" s="1">
        <v>11.16</v>
      </c>
      <c r="J1583" s="1">
        <v>8</v>
      </c>
      <c r="K1583" s="1">
        <v>298</v>
      </c>
      <c r="M1583" s="1">
        <v>50</v>
      </c>
      <c r="N1583" s="1">
        <f t="shared" si="260"/>
        <v>258.14742857142863</v>
      </c>
    </row>
    <row r="1584" spans="2:14" ht="34.5" customHeight="1" x14ac:dyDescent="0.3">
      <c r="E1584" s="1">
        <v>49.96</v>
      </c>
      <c r="F1584" s="1">
        <v>0.56999999999999995</v>
      </c>
      <c r="G1584" s="1">
        <v>92.81</v>
      </c>
      <c r="H1584" s="1">
        <v>265000</v>
      </c>
      <c r="I1584" s="1">
        <v>11.16</v>
      </c>
      <c r="J1584" s="1">
        <v>8</v>
      </c>
      <c r="K1584" s="1">
        <v>298</v>
      </c>
      <c r="M1584" s="1">
        <v>100</v>
      </c>
      <c r="N1584" s="1">
        <f t="shared" si="260"/>
        <v>260.62961538461548</v>
      </c>
    </row>
    <row r="1585" spans="5:14" ht="34.5" customHeight="1" x14ac:dyDescent="0.3">
      <c r="E1585" s="1">
        <v>49.96</v>
      </c>
      <c r="F1585" s="1">
        <v>0.56999999999999995</v>
      </c>
      <c r="G1585" s="1">
        <v>92.81</v>
      </c>
      <c r="H1585" s="1">
        <v>265000</v>
      </c>
      <c r="I1585" s="1">
        <v>11.16</v>
      </c>
      <c r="J1585" s="1">
        <v>8</v>
      </c>
      <c r="K1585" s="1">
        <v>298</v>
      </c>
      <c r="M1585" s="1">
        <v>200</v>
      </c>
      <c r="N1585" s="1">
        <f t="shared" si="260"/>
        <v>261.88869565217396</v>
      </c>
    </row>
    <row r="1586" spans="5:14" ht="34.5" customHeight="1" x14ac:dyDescent="0.3">
      <c r="E1586" s="1">
        <v>25.66</v>
      </c>
      <c r="F1586" s="1">
        <v>11.07</v>
      </c>
      <c r="G1586" s="1">
        <v>106.67</v>
      </c>
      <c r="H1586" s="1">
        <v>397000</v>
      </c>
      <c r="I1586" s="1">
        <v>13.72</v>
      </c>
      <c r="J1586" s="1">
        <v>8</v>
      </c>
      <c r="K1586" s="1">
        <v>298</v>
      </c>
      <c r="M1586" s="1">
        <v>1</v>
      </c>
      <c r="N1586" s="1">
        <f>128.21*1.42*M1586/(1+1.42*M1586)</f>
        <v>75.230661157024798</v>
      </c>
    </row>
    <row r="1587" spans="5:14" ht="34.5" customHeight="1" x14ac:dyDescent="0.3">
      <c r="E1587" s="1">
        <v>25.66</v>
      </c>
      <c r="F1587" s="1">
        <v>11.07</v>
      </c>
      <c r="G1587" s="1">
        <v>106.67</v>
      </c>
      <c r="H1587" s="1">
        <v>397000</v>
      </c>
      <c r="I1587" s="1">
        <v>13.72</v>
      </c>
      <c r="J1587" s="1">
        <v>8</v>
      </c>
      <c r="K1587" s="1">
        <v>298</v>
      </c>
      <c r="M1587" s="1">
        <v>10</v>
      </c>
      <c r="N1587" s="1">
        <f t="shared" ref="N1587:N1591" si="261">128.21*1.42*M1587/(1+1.42*M1587)</f>
        <v>119.77513157894737</v>
      </c>
    </row>
    <row r="1588" spans="5:14" ht="34.5" customHeight="1" x14ac:dyDescent="0.3">
      <c r="E1588" s="1">
        <v>25.66</v>
      </c>
      <c r="F1588" s="1">
        <v>11.07</v>
      </c>
      <c r="G1588" s="1">
        <v>106.67</v>
      </c>
      <c r="H1588" s="1">
        <v>397000</v>
      </c>
      <c r="I1588" s="1">
        <v>13.72</v>
      </c>
      <c r="J1588" s="1">
        <v>8</v>
      </c>
      <c r="K1588" s="1">
        <v>298</v>
      </c>
      <c r="M1588" s="1">
        <v>15</v>
      </c>
      <c r="N1588" s="1">
        <f t="shared" si="261"/>
        <v>122.46067264573993</v>
      </c>
    </row>
    <row r="1589" spans="5:14" ht="34.5" customHeight="1" x14ac:dyDescent="0.3">
      <c r="E1589" s="1">
        <v>25.66</v>
      </c>
      <c r="F1589" s="1">
        <v>11.07</v>
      </c>
      <c r="G1589" s="1">
        <v>106.67</v>
      </c>
      <c r="H1589" s="1">
        <v>397000</v>
      </c>
      <c r="I1589" s="1">
        <v>13.72</v>
      </c>
      <c r="J1589" s="1">
        <v>8</v>
      </c>
      <c r="K1589" s="1">
        <v>298</v>
      </c>
      <c r="M1589" s="1">
        <v>50</v>
      </c>
      <c r="N1589" s="1">
        <f t="shared" si="261"/>
        <v>126.42930555555556</v>
      </c>
    </row>
    <row r="1590" spans="5:14" ht="34.5" customHeight="1" x14ac:dyDescent="0.3">
      <c r="E1590" s="1">
        <v>25.66</v>
      </c>
      <c r="F1590" s="1">
        <v>11.07</v>
      </c>
      <c r="G1590" s="1">
        <v>106.67</v>
      </c>
      <c r="H1590" s="1">
        <v>397000</v>
      </c>
      <c r="I1590" s="1">
        <v>13.72</v>
      </c>
      <c r="J1590" s="1">
        <v>8</v>
      </c>
      <c r="K1590" s="1">
        <v>298</v>
      </c>
      <c r="M1590" s="1">
        <v>100</v>
      </c>
      <c r="N1590" s="1">
        <f t="shared" si="261"/>
        <v>127.31342657342657</v>
      </c>
    </row>
    <row r="1591" spans="5:14" ht="34.5" customHeight="1" x14ac:dyDescent="0.3">
      <c r="E1591" s="1">
        <v>25.66</v>
      </c>
      <c r="F1591" s="1">
        <v>11.07</v>
      </c>
      <c r="G1591" s="1">
        <v>106.67</v>
      </c>
      <c r="H1591" s="1">
        <v>397000</v>
      </c>
      <c r="I1591" s="1">
        <v>13.72</v>
      </c>
      <c r="J1591" s="1">
        <v>8</v>
      </c>
      <c r="K1591" s="1">
        <v>298</v>
      </c>
      <c r="M1591" s="1">
        <v>200</v>
      </c>
      <c r="N1591" s="1">
        <f t="shared" si="261"/>
        <v>127.76014035087719</v>
      </c>
    </row>
    <row r="1592" spans="5:14" ht="34.5" customHeight="1" x14ac:dyDescent="0.3">
      <c r="E1592" s="1" t="s">
        <v>11</v>
      </c>
      <c r="G1592" s="1">
        <v>37.200000000000003</v>
      </c>
      <c r="H1592" s="1">
        <v>6.5100000000000005E-2</v>
      </c>
      <c r="J1592" s="1">
        <v>5</v>
      </c>
      <c r="K1592" s="1">
        <v>288</v>
      </c>
      <c r="M1592" s="1">
        <v>1</v>
      </c>
      <c r="N1592" s="1">
        <f>23.32*M1592^0.316</f>
        <v>23.32</v>
      </c>
    </row>
    <row r="1593" spans="5:14" ht="34.5" customHeight="1" x14ac:dyDescent="0.3">
      <c r="E1593" s="1" t="s">
        <v>11</v>
      </c>
      <c r="G1593" s="1">
        <v>37.200000000000003</v>
      </c>
      <c r="H1593" s="1">
        <v>6.5100000000000005E-2</v>
      </c>
      <c r="J1593" s="1">
        <v>5</v>
      </c>
      <c r="K1593" s="1">
        <v>288</v>
      </c>
      <c r="M1593" s="1">
        <v>5</v>
      </c>
      <c r="N1593" s="1">
        <f t="shared" ref="N1593:N1597" si="262">23.32*M1593^0.316</f>
        <v>38.779576989949277</v>
      </c>
    </row>
    <row r="1594" spans="5:14" ht="34.5" customHeight="1" x14ac:dyDescent="0.3">
      <c r="E1594" s="1" t="s">
        <v>11</v>
      </c>
      <c r="G1594" s="1">
        <v>37.200000000000003</v>
      </c>
      <c r="H1594" s="1">
        <v>6.5100000000000005E-2</v>
      </c>
      <c r="J1594" s="1">
        <v>5</v>
      </c>
      <c r="K1594" s="1">
        <v>288</v>
      </c>
      <c r="M1594" s="1">
        <v>10</v>
      </c>
      <c r="N1594" s="1">
        <f t="shared" si="262"/>
        <v>48.275696253807105</v>
      </c>
    </row>
    <row r="1595" spans="5:14" ht="34.5" customHeight="1" x14ac:dyDescent="0.3">
      <c r="E1595" s="1" t="s">
        <v>11</v>
      </c>
      <c r="G1595" s="1">
        <v>37.200000000000003</v>
      </c>
      <c r="H1595" s="1">
        <v>6.5100000000000005E-2</v>
      </c>
      <c r="J1595" s="1">
        <v>5</v>
      </c>
      <c r="K1595" s="1">
        <v>288</v>
      </c>
      <c r="M1595" s="1">
        <v>20</v>
      </c>
      <c r="N1595" s="1">
        <f t="shared" si="262"/>
        <v>60.097170461500014</v>
      </c>
    </row>
    <row r="1596" spans="5:14" ht="34.5" customHeight="1" x14ac:dyDescent="0.3">
      <c r="E1596" s="1" t="s">
        <v>11</v>
      </c>
      <c r="G1596" s="1">
        <v>37.200000000000003</v>
      </c>
      <c r="H1596" s="1">
        <v>6.5100000000000005E-2</v>
      </c>
      <c r="J1596" s="1">
        <v>5</v>
      </c>
      <c r="K1596" s="1">
        <v>288</v>
      </c>
      <c r="M1596" s="1">
        <v>35</v>
      </c>
      <c r="N1596" s="1">
        <f t="shared" si="262"/>
        <v>71.722273572659887</v>
      </c>
    </row>
    <row r="1597" spans="5:14" ht="34.5" customHeight="1" x14ac:dyDescent="0.3">
      <c r="E1597" s="1" t="s">
        <v>11</v>
      </c>
      <c r="G1597" s="1">
        <v>37.200000000000003</v>
      </c>
      <c r="H1597" s="1">
        <v>6.5100000000000005E-2</v>
      </c>
      <c r="J1597" s="1">
        <v>5</v>
      </c>
      <c r="K1597" s="1">
        <v>288</v>
      </c>
      <c r="M1597" s="1">
        <v>60</v>
      </c>
      <c r="N1597" s="1">
        <f t="shared" si="262"/>
        <v>85.040213375048666</v>
      </c>
    </row>
    <row r="1598" spans="5:14" ht="34.5" customHeight="1" x14ac:dyDescent="0.3">
      <c r="E1598" s="1" t="s">
        <v>11</v>
      </c>
      <c r="G1598" s="1">
        <v>37.200000000000003</v>
      </c>
      <c r="H1598" s="1">
        <v>6.5100000000000005E-2</v>
      </c>
      <c r="J1598" s="1">
        <v>5</v>
      </c>
      <c r="K1598" s="1">
        <v>298</v>
      </c>
      <c r="M1598" s="1">
        <v>1</v>
      </c>
      <c r="N1598" s="1">
        <f>109.4*0.139*M1598/(1+0.139*M1598)</f>
        <v>13.350834064969273</v>
      </c>
    </row>
    <row r="1599" spans="5:14" ht="34.5" customHeight="1" x14ac:dyDescent="0.3">
      <c r="E1599" s="1" t="s">
        <v>11</v>
      </c>
      <c r="G1599" s="1">
        <v>37.200000000000003</v>
      </c>
      <c r="H1599" s="1">
        <v>6.5100000000000005E-2</v>
      </c>
      <c r="J1599" s="1">
        <v>5</v>
      </c>
      <c r="K1599" s="1">
        <v>298</v>
      </c>
      <c r="M1599" s="1">
        <v>5</v>
      </c>
      <c r="N1599" s="1">
        <f t="shared" ref="N1599:N1603" si="263">109.4*0.139*M1599/(1+0.139*M1599)</f>
        <v>44.857227138643076</v>
      </c>
    </row>
    <row r="1600" spans="5:14" ht="34.5" customHeight="1" x14ac:dyDescent="0.3">
      <c r="E1600" s="1" t="s">
        <v>11</v>
      </c>
      <c r="G1600" s="1">
        <v>37.200000000000003</v>
      </c>
      <c r="H1600" s="1">
        <v>6.5100000000000005E-2</v>
      </c>
      <c r="J1600" s="1">
        <v>5</v>
      </c>
      <c r="K1600" s="1">
        <v>298</v>
      </c>
      <c r="M1600" s="1">
        <v>10</v>
      </c>
      <c r="N1600" s="1">
        <f t="shared" si="263"/>
        <v>63.625941422594153</v>
      </c>
    </row>
    <row r="1601" spans="5:14" ht="34.5" customHeight="1" x14ac:dyDescent="0.3">
      <c r="E1601" s="1" t="s">
        <v>11</v>
      </c>
      <c r="G1601" s="1">
        <v>37.200000000000003</v>
      </c>
      <c r="H1601" s="1">
        <v>6.5100000000000005E-2</v>
      </c>
      <c r="J1601" s="1">
        <v>5</v>
      </c>
      <c r="K1601" s="1">
        <v>298</v>
      </c>
      <c r="M1601" s="1">
        <v>20</v>
      </c>
      <c r="N1601" s="1">
        <f t="shared" si="263"/>
        <v>80.45820105820107</v>
      </c>
    </row>
    <row r="1602" spans="5:14" ht="34.5" customHeight="1" x14ac:dyDescent="0.3">
      <c r="E1602" s="1" t="s">
        <v>11</v>
      </c>
      <c r="G1602" s="1">
        <v>37.200000000000003</v>
      </c>
      <c r="H1602" s="1">
        <v>6.5100000000000005E-2</v>
      </c>
      <c r="J1602" s="1">
        <v>5</v>
      </c>
      <c r="K1602" s="1">
        <v>298</v>
      </c>
      <c r="M1602" s="1">
        <v>35</v>
      </c>
      <c r="N1602" s="1">
        <f t="shared" si="263"/>
        <v>90.746973572037533</v>
      </c>
    </row>
    <row r="1603" spans="5:14" ht="34.5" customHeight="1" x14ac:dyDescent="0.3">
      <c r="E1603" s="1" t="s">
        <v>11</v>
      </c>
      <c r="G1603" s="1">
        <v>37.200000000000003</v>
      </c>
      <c r="H1603" s="1">
        <v>6.5100000000000005E-2</v>
      </c>
      <c r="J1603" s="1">
        <v>5</v>
      </c>
      <c r="K1603" s="1">
        <v>298</v>
      </c>
      <c r="M1603" s="1">
        <v>60</v>
      </c>
      <c r="N1603" s="1">
        <f t="shared" si="263"/>
        <v>97.686937901498936</v>
      </c>
    </row>
    <row r="1604" spans="5:14" ht="34.5" customHeight="1" x14ac:dyDescent="0.3">
      <c r="E1604" s="1" t="s">
        <v>11</v>
      </c>
      <c r="G1604" s="1">
        <v>37.200000000000003</v>
      </c>
      <c r="H1604" s="1">
        <v>6.5100000000000005E-2</v>
      </c>
      <c r="J1604" s="1">
        <v>5</v>
      </c>
      <c r="K1604" s="1">
        <v>308</v>
      </c>
      <c r="M1604" s="1">
        <v>1</v>
      </c>
      <c r="N1604" s="1">
        <f>117.2*0.173*M1604/(1+0.173*M1604)</f>
        <v>17.285251491901107</v>
      </c>
    </row>
    <row r="1605" spans="5:14" ht="34.5" customHeight="1" x14ac:dyDescent="0.3">
      <c r="E1605" s="1" t="s">
        <v>11</v>
      </c>
      <c r="G1605" s="1">
        <v>37.200000000000003</v>
      </c>
      <c r="H1605" s="1">
        <v>6.5100000000000005E-2</v>
      </c>
      <c r="J1605" s="1">
        <v>5</v>
      </c>
      <c r="K1605" s="1">
        <v>308</v>
      </c>
      <c r="M1605" s="1">
        <v>5</v>
      </c>
      <c r="N1605" s="1">
        <f t="shared" ref="N1605:N1609" si="264">117.2*0.173*M1605/(1+0.173*M1605)</f>
        <v>54.358176943699732</v>
      </c>
    </row>
    <row r="1606" spans="5:14" ht="34.5" customHeight="1" x14ac:dyDescent="0.3">
      <c r="E1606" s="1" t="s">
        <v>11</v>
      </c>
      <c r="G1606" s="1">
        <v>37.200000000000003</v>
      </c>
      <c r="H1606" s="1">
        <v>6.5100000000000005E-2</v>
      </c>
      <c r="J1606" s="1">
        <v>5</v>
      </c>
      <c r="K1606" s="1">
        <v>308</v>
      </c>
      <c r="M1606" s="1">
        <v>10</v>
      </c>
      <c r="N1606" s="1">
        <f t="shared" si="264"/>
        <v>74.269597069597069</v>
      </c>
    </row>
    <row r="1607" spans="5:14" ht="34.5" customHeight="1" x14ac:dyDescent="0.3">
      <c r="E1607" s="1" t="s">
        <v>11</v>
      </c>
      <c r="G1607" s="1">
        <v>37.200000000000003</v>
      </c>
      <c r="H1607" s="1">
        <v>6.5100000000000005E-2</v>
      </c>
      <c r="J1607" s="1">
        <v>5</v>
      </c>
      <c r="K1607" s="1">
        <v>308</v>
      </c>
      <c r="M1607" s="1">
        <v>20</v>
      </c>
      <c r="N1607" s="1">
        <f t="shared" si="264"/>
        <v>90.921973094170411</v>
      </c>
    </row>
    <row r="1608" spans="5:14" ht="34.5" customHeight="1" x14ac:dyDescent="0.3">
      <c r="E1608" s="1" t="s">
        <v>11</v>
      </c>
      <c r="G1608" s="1">
        <v>37.200000000000003</v>
      </c>
      <c r="H1608" s="1">
        <v>6.5100000000000005E-2</v>
      </c>
      <c r="J1608" s="1">
        <v>5</v>
      </c>
      <c r="K1608" s="1">
        <v>308</v>
      </c>
      <c r="M1608" s="1">
        <v>35</v>
      </c>
      <c r="N1608" s="1">
        <f t="shared" si="264"/>
        <v>100.5876683203402</v>
      </c>
    </row>
    <row r="1609" spans="5:14" ht="34.5" customHeight="1" x14ac:dyDescent="0.3">
      <c r="E1609" s="1" t="s">
        <v>11</v>
      </c>
      <c r="G1609" s="1">
        <v>37.200000000000003</v>
      </c>
      <c r="H1609" s="1">
        <v>6.5100000000000005E-2</v>
      </c>
      <c r="J1609" s="1">
        <v>5</v>
      </c>
      <c r="K1609" s="1">
        <v>308</v>
      </c>
      <c r="M1609" s="1">
        <v>60</v>
      </c>
      <c r="N1609" s="1">
        <f t="shared" si="264"/>
        <v>106.90123022847102</v>
      </c>
    </row>
    <row r="1610" spans="5:14" ht="34.5" customHeight="1" x14ac:dyDescent="0.3">
      <c r="E1610" s="1" t="s">
        <v>11</v>
      </c>
      <c r="G1610" s="1">
        <v>181.32</v>
      </c>
      <c r="H1610" s="1">
        <v>0.09</v>
      </c>
      <c r="I1610" s="1">
        <v>3.673</v>
      </c>
      <c r="J1610" s="1">
        <v>10</v>
      </c>
      <c r="K1610" s="1">
        <v>298</v>
      </c>
      <c r="M1610" s="1">
        <v>5</v>
      </c>
      <c r="N1610" s="1">
        <f>103.9*67.3*M1610/(1+67.3*M1610)</f>
        <v>103.59214814814814</v>
      </c>
    </row>
    <row r="1611" spans="5:14" ht="34.5" customHeight="1" x14ac:dyDescent="0.3">
      <c r="E1611" s="1" t="s">
        <v>11</v>
      </c>
      <c r="G1611" s="1">
        <v>181.32</v>
      </c>
      <c r="H1611" s="1">
        <v>0.09</v>
      </c>
      <c r="I1611" s="1">
        <v>3.673</v>
      </c>
      <c r="J1611" s="1">
        <v>10</v>
      </c>
      <c r="K1611" s="1">
        <v>298</v>
      </c>
      <c r="M1611" s="1">
        <v>10</v>
      </c>
      <c r="N1611" s="1">
        <f t="shared" ref="N1611:N1615" si="265">103.9*67.3*M1611/(1+67.3*M1611)</f>
        <v>103.74584569732937</v>
      </c>
    </row>
    <row r="1612" spans="5:14" ht="34.5" customHeight="1" x14ac:dyDescent="0.3">
      <c r="E1612" s="1" t="s">
        <v>11</v>
      </c>
      <c r="G1612" s="1">
        <v>181.32</v>
      </c>
      <c r="H1612" s="1">
        <v>0.09</v>
      </c>
      <c r="I1612" s="1">
        <v>3.673</v>
      </c>
      <c r="J1612" s="1">
        <v>10</v>
      </c>
      <c r="K1612" s="1">
        <v>298</v>
      </c>
      <c r="M1612" s="1">
        <v>20</v>
      </c>
      <c r="N1612" s="1">
        <f t="shared" si="265"/>
        <v>103.82286562731997</v>
      </c>
    </row>
    <row r="1613" spans="5:14" ht="34.5" customHeight="1" x14ac:dyDescent="0.3">
      <c r="E1613" s="1" t="s">
        <v>11</v>
      </c>
      <c r="G1613" s="1">
        <v>181.32</v>
      </c>
      <c r="H1613" s="1">
        <v>0.09</v>
      </c>
      <c r="I1613" s="1">
        <v>3.673</v>
      </c>
      <c r="J1613" s="1">
        <v>10</v>
      </c>
      <c r="K1613" s="1">
        <v>298</v>
      </c>
      <c r="M1613" s="1">
        <v>40</v>
      </c>
      <c r="N1613" s="1">
        <f t="shared" si="265"/>
        <v>103.86141849238767</v>
      </c>
    </row>
    <row r="1614" spans="5:14" ht="34.5" customHeight="1" x14ac:dyDescent="0.3">
      <c r="E1614" s="1" t="s">
        <v>11</v>
      </c>
      <c r="G1614" s="1">
        <v>181.32</v>
      </c>
      <c r="H1614" s="1">
        <v>0.09</v>
      </c>
      <c r="I1614" s="1">
        <v>3.673</v>
      </c>
      <c r="J1614" s="1">
        <v>10</v>
      </c>
      <c r="K1614" s="1">
        <v>298</v>
      </c>
      <c r="M1614" s="1">
        <v>60</v>
      </c>
      <c r="N1614" s="1">
        <f t="shared" si="265"/>
        <v>103.87427581084427</v>
      </c>
    </row>
    <row r="1615" spans="5:14" ht="34.5" customHeight="1" x14ac:dyDescent="0.3">
      <c r="E1615" s="1" t="s">
        <v>11</v>
      </c>
      <c r="G1615" s="1">
        <v>181.32</v>
      </c>
      <c r="H1615" s="1">
        <v>0.09</v>
      </c>
      <c r="I1615" s="1">
        <v>3.673</v>
      </c>
      <c r="J1615" s="1">
        <v>10</v>
      </c>
      <c r="K1615" s="1">
        <v>298</v>
      </c>
      <c r="M1615" s="1">
        <v>80</v>
      </c>
      <c r="N1615" s="1">
        <f t="shared" si="265"/>
        <v>103.88070566388114</v>
      </c>
    </row>
    <row r="1616" spans="5:14" ht="34.5" customHeight="1" x14ac:dyDescent="0.3">
      <c r="E1616" s="1" t="s">
        <v>11</v>
      </c>
      <c r="G1616" s="1">
        <v>32.229999999999997</v>
      </c>
      <c r="H1616" s="1">
        <v>2.4E-2</v>
      </c>
      <c r="I1616" s="1">
        <v>5.157</v>
      </c>
      <c r="J1616" s="1">
        <v>10</v>
      </c>
      <c r="K1616" s="1">
        <v>298</v>
      </c>
      <c r="M1616" s="1">
        <v>5</v>
      </c>
      <c r="N1616" s="1">
        <f>96.56*19.41*M1616/(1+19.41*M1616)</f>
        <v>95.575196328403891</v>
      </c>
    </row>
    <row r="1617" spans="2:14" ht="34.5" customHeight="1" x14ac:dyDescent="0.3">
      <c r="E1617" s="1" t="s">
        <v>11</v>
      </c>
      <c r="G1617" s="1">
        <v>32.229999999999997</v>
      </c>
      <c r="H1617" s="1">
        <v>2.4E-2</v>
      </c>
      <c r="I1617" s="1">
        <v>5.157</v>
      </c>
      <c r="J1617" s="1">
        <v>10</v>
      </c>
      <c r="K1617" s="1">
        <v>298</v>
      </c>
      <c r="M1617" s="1">
        <v>10</v>
      </c>
      <c r="N1617" s="1">
        <f t="shared" ref="N1617:N1621" si="266">96.56*19.41*M1617/(1+19.41*M1617)</f>
        <v>96.065074320861115</v>
      </c>
    </row>
    <row r="1618" spans="2:14" ht="34.5" customHeight="1" x14ac:dyDescent="0.3">
      <c r="E1618" s="1" t="s">
        <v>11</v>
      </c>
      <c r="G1618" s="1">
        <v>32.229999999999997</v>
      </c>
      <c r="H1618" s="1">
        <v>2.4E-2</v>
      </c>
      <c r="I1618" s="1">
        <v>5.157</v>
      </c>
      <c r="J1618" s="1">
        <v>10</v>
      </c>
      <c r="K1618" s="1">
        <v>298</v>
      </c>
      <c r="M1618" s="1">
        <v>20</v>
      </c>
      <c r="N1618" s="1">
        <f t="shared" si="266"/>
        <v>96.311901336074015</v>
      </c>
    </row>
    <row r="1619" spans="2:14" ht="34.5" customHeight="1" x14ac:dyDescent="0.3">
      <c r="E1619" s="1" t="s">
        <v>11</v>
      </c>
      <c r="G1619" s="1">
        <v>32.229999999999997</v>
      </c>
      <c r="H1619" s="1">
        <v>2.4E-2</v>
      </c>
      <c r="I1619" s="1">
        <v>5.157</v>
      </c>
      <c r="J1619" s="1">
        <v>10</v>
      </c>
      <c r="K1619" s="1">
        <v>298</v>
      </c>
      <c r="M1619" s="1">
        <v>40</v>
      </c>
      <c r="N1619" s="1">
        <f t="shared" si="266"/>
        <v>96.435791098533585</v>
      </c>
    </row>
    <row r="1620" spans="2:14" ht="34.5" customHeight="1" x14ac:dyDescent="0.3">
      <c r="E1620" s="1" t="s">
        <v>11</v>
      </c>
      <c r="G1620" s="1">
        <v>32.229999999999997</v>
      </c>
      <c r="H1620" s="1">
        <v>2.4E-2</v>
      </c>
      <c r="I1620" s="1">
        <v>5.157</v>
      </c>
      <c r="J1620" s="1">
        <v>10</v>
      </c>
      <c r="K1620" s="1">
        <v>298</v>
      </c>
      <c r="M1620" s="1">
        <v>60</v>
      </c>
      <c r="N1620" s="1">
        <f t="shared" si="266"/>
        <v>96.477158544955401</v>
      </c>
    </row>
    <row r="1621" spans="2:14" ht="34.5" customHeight="1" x14ac:dyDescent="0.3">
      <c r="E1621" s="1" t="s">
        <v>11</v>
      </c>
      <c r="G1621" s="1">
        <v>32.229999999999997</v>
      </c>
      <c r="H1621" s="1">
        <v>2.4E-2</v>
      </c>
      <c r="I1621" s="1">
        <v>5.157</v>
      </c>
      <c r="J1621" s="1">
        <v>10</v>
      </c>
      <c r="K1621" s="1">
        <v>298</v>
      </c>
      <c r="M1621" s="1">
        <v>80</v>
      </c>
      <c r="N1621" s="1">
        <f t="shared" si="266"/>
        <v>96.497855579868727</v>
      </c>
    </row>
    <row r="1622" spans="2:14" ht="34.5" customHeight="1" x14ac:dyDescent="0.3">
      <c r="B1622" s="1" t="s">
        <v>11</v>
      </c>
      <c r="C1622" s="1" t="s">
        <v>11</v>
      </c>
      <c r="E1622" s="1" t="s">
        <v>11</v>
      </c>
      <c r="F1622" s="1" t="s">
        <v>11</v>
      </c>
      <c r="G1622" s="1">
        <v>25.1</v>
      </c>
      <c r="H1622" s="1">
        <v>7.0000000000000007E-2</v>
      </c>
      <c r="I1622" s="1">
        <v>9.26</v>
      </c>
      <c r="J1622" s="1">
        <v>9.86</v>
      </c>
      <c r="K1622" s="1">
        <v>298</v>
      </c>
      <c r="M1622" s="1">
        <v>1</v>
      </c>
      <c r="N1622" s="1">
        <f>73*0.077*M1622/(1+0.077*M1622)</f>
        <v>5.2191272051996282</v>
      </c>
    </row>
    <row r="1623" spans="2:14" ht="34.5" customHeight="1" x14ac:dyDescent="0.3">
      <c r="B1623" s="1" t="s">
        <v>11</v>
      </c>
      <c r="C1623" s="1" t="s">
        <v>11</v>
      </c>
      <c r="E1623" s="1" t="s">
        <v>11</v>
      </c>
      <c r="F1623" s="1" t="s">
        <v>11</v>
      </c>
      <c r="G1623" s="1">
        <v>25.1</v>
      </c>
      <c r="H1623" s="1">
        <v>7.0000000000000007E-2</v>
      </c>
      <c r="I1623" s="1">
        <v>9.26</v>
      </c>
      <c r="J1623" s="1">
        <v>9.86</v>
      </c>
      <c r="K1623" s="1">
        <v>298</v>
      </c>
      <c r="M1623" s="1">
        <v>10</v>
      </c>
      <c r="N1623" s="1">
        <f t="shared" ref="N1623:N1627" si="267">73*0.077*M1623/(1+0.077*M1623)</f>
        <v>31.75706214689265</v>
      </c>
    </row>
    <row r="1624" spans="2:14" ht="34.5" customHeight="1" x14ac:dyDescent="0.3">
      <c r="B1624" s="1" t="s">
        <v>11</v>
      </c>
      <c r="C1624" s="1" t="s">
        <v>11</v>
      </c>
      <c r="E1624" s="1" t="s">
        <v>11</v>
      </c>
      <c r="F1624" s="1" t="s">
        <v>11</v>
      </c>
      <c r="G1624" s="1">
        <v>25.1</v>
      </c>
      <c r="H1624" s="1">
        <v>7.0000000000000007E-2</v>
      </c>
      <c r="I1624" s="1">
        <v>9.26</v>
      </c>
      <c r="J1624" s="1">
        <v>9.86</v>
      </c>
      <c r="K1624" s="1">
        <v>298</v>
      </c>
      <c r="M1624" s="1">
        <v>25</v>
      </c>
      <c r="N1624" s="1">
        <f t="shared" si="267"/>
        <v>48.042735042735039</v>
      </c>
    </row>
    <row r="1625" spans="2:14" ht="34.5" customHeight="1" x14ac:dyDescent="0.3">
      <c r="B1625" s="1" t="s">
        <v>11</v>
      </c>
      <c r="C1625" s="1" t="s">
        <v>11</v>
      </c>
      <c r="E1625" s="1" t="s">
        <v>11</v>
      </c>
      <c r="F1625" s="1" t="s">
        <v>11</v>
      </c>
      <c r="G1625" s="1">
        <v>25.1</v>
      </c>
      <c r="H1625" s="1">
        <v>7.0000000000000007E-2</v>
      </c>
      <c r="I1625" s="1">
        <v>9.26</v>
      </c>
      <c r="J1625" s="1">
        <v>9.86</v>
      </c>
      <c r="K1625" s="1">
        <v>298</v>
      </c>
      <c r="M1625" s="1">
        <v>75</v>
      </c>
      <c r="N1625" s="1">
        <f t="shared" si="267"/>
        <v>62.225092250922508</v>
      </c>
    </row>
    <row r="1626" spans="2:14" ht="34.5" customHeight="1" x14ac:dyDescent="0.3">
      <c r="B1626" s="1" t="s">
        <v>11</v>
      </c>
      <c r="C1626" s="1" t="s">
        <v>11</v>
      </c>
      <c r="E1626" s="1" t="s">
        <v>11</v>
      </c>
      <c r="F1626" s="1" t="s">
        <v>11</v>
      </c>
      <c r="G1626" s="1">
        <v>25.1</v>
      </c>
      <c r="H1626" s="1">
        <v>7.0000000000000007E-2</v>
      </c>
      <c r="I1626" s="1">
        <v>9.26</v>
      </c>
      <c r="J1626" s="1">
        <v>9.86</v>
      </c>
      <c r="K1626" s="1">
        <v>298</v>
      </c>
      <c r="M1626" s="1">
        <v>150</v>
      </c>
      <c r="N1626" s="1">
        <f t="shared" si="267"/>
        <v>67.183266932270911</v>
      </c>
    </row>
    <row r="1627" spans="2:14" ht="34.5" customHeight="1" x14ac:dyDescent="0.3">
      <c r="B1627" s="1" t="s">
        <v>11</v>
      </c>
      <c r="C1627" s="1" t="s">
        <v>11</v>
      </c>
      <c r="E1627" s="1" t="s">
        <v>11</v>
      </c>
      <c r="F1627" s="1" t="s">
        <v>11</v>
      </c>
      <c r="G1627" s="1">
        <v>25.1</v>
      </c>
      <c r="H1627" s="1">
        <v>7.0000000000000007E-2</v>
      </c>
      <c r="I1627" s="1">
        <v>9.26</v>
      </c>
      <c r="J1627" s="1">
        <v>9.86</v>
      </c>
      <c r="K1627" s="1">
        <v>298</v>
      </c>
      <c r="M1627" s="1">
        <v>300</v>
      </c>
      <c r="N1627" s="1">
        <f t="shared" si="267"/>
        <v>69.970954356846462</v>
      </c>
    </row>
    <row r="1628" spans="2:14" ht="34.5" customHeight="1" x14ac:dyDescent="0.3">
      <c r="B1628" s="1" t="s">
        <v>11</v>
      </c>
      <c r="C1628" s="1" t="s">
        <v>11</v>
      </c>
      <c r="E1628" s="1" t="s">
        <v>11</v>
      </c>
      <c r="F1628" s="1" t="s">
        <v>11</v>
      </c>
      <c r="G1628" s="1">
        <v>163</v>
      </c>
      <c r="H1628" s="1">
        <v>0.33</v>
      </c>
      <c r="I1628" s="1">
        <v>11.4</v>
      </c>
      <c r="J1628" s="1">
        <v>10.5</v>
      </c>
      <c r="K1628" s="1">
        <v>298</v>
      </c>
      <c r="M1628" s="1">
        <v>1</v>
      </c>
      <c r="N1628" s="1">
        <f>120*0.113*M1628/(1+0.113*M1628)</f>
        <v>12.183288409703504</v>
      </c>
    </row>
    <row r="1629" spans="2:14" ht="34.5" customHeight="1" x14ac:dyDescent="0.3">
      <c r="B1629" s="1" t="s">
        <v>11</v>
      </c>
      <c r="C1629" s="1" t="s">
        <v>11</v>
      </c>
      <c r="E1629" s="1" t="s">
        <v>11</v>
      </c>
      <c r="F1629" s="1" t="s">
        <v>11</v>
      </c>
      <c r="G1629" s="1">
        <v>163</v>
      </c>
      <c r="H1629" s="1">
        <v>0.33</v>
      </c>
      <c r="I1629" s="1">
        <v>11.4</v>
      </c>
      <c r="J1629" s="1">
        <v>10.5</v>
      </c>
      <c r="K1629" s="1">
        <v>298</v>
      </c>
      <c r="M1629" s="1">
        <v>10</v>
      </c>
      <c r="N1629" s="1">
        <f t="shared" ref="N1629:N1633" si="268">120*0.113*M1629/(1+0.113*M1629)</f>
        <v>63.661971830985919</v>
      </c>
    </row>
    <row r="1630" spans="2:14" ht="34.5" customHeight="1" x14ac:dyDescent="0.3">
      <c r="B1630" s="1" t="s">
        <v>11</v>
      </c>
      <c r="C1630" s="1" t="s">
        <v>11</v>
      </c>
      <c r="E1630" s="1" t="s">
        <v>11</v>
      </c>
      <c r="F1630" s="1" t="s">
        <v>11</v>
      </c>
      <c r="G1630" s="1">
        <v>163</v>
      </c>
      <c r="H1630" s="1">
        <v>0.33</v>
      </c>
      <c r="I1630" s="1">
        <v>11.4</v>
      </c>
      <c r="J1630" s="1">
        <v>10.5</v>
      </c>
      <c r="K1630" s="1">
        <v>298</v>
      </c>
      <c r="M1630" s="1">
        <v>30</v>
      </c>
      <c r="N1630" s="1">
        <f t="shared" si="268"/>
        <v>92.665148063781317</v>
      </c>
    </row>
    <row r="1631" spans="2:14" ht="34.5" customHeight="1" x14ac:dyDescent="0.3">
      <c r="B1631" s="1" t="s">
        <v>11</v>
      </c>
      <c r="C1631" s="1" t="s">
        <v>11</v>
      </c>
      <c r="E1631" s="1" t="s">
        <v>11</v>
      </c>
      <c r="F1631" s="1" t="s">
        <v>11</v>
      </c>
      <c r="G1631" s="1">
        <v>163</v>
      </c>
      <c r="H1631" s="1">
        <v>0.33</v>
      </c>
      <c r="I1631" s="1">
        <v>11.4</v>
      </c>
      <c r="J1631" s="1">
        <v>10.5</v>
      </c>
      <c r="K1631" s="1">
        <v>298</v>
      </c>
      <c r="M1631" s="1">
        <v>50</v>
      </c>
      <c r="N1631" s="1">
        <f t="shared" si="268"/>
        <v>101.9548872180451</v>
      </c>
    </row>
    <row r="1632" spans="2:14" ht="34.5" customHeight="1" x14ac:dyDescent="0.3">
      <c r="B1632" s="1" t="s">
        <v>11</v>
      </c>
      <c r="C1632" s="1" t="s">
        <v>11</v>
      </c>
      <c r="E1632" s="1" t="s">
        <v>11</v>
      </c>
      <c r="F1632" s="1" t="s">
        <v>11</v>
      </c>
      <c r="G1632" s="1">
        <v>163</v>
      </c>
      <c r="H1632" s="1">
        <v>0.33</v>
      </c>
      <c r="I1632" s="1">
        <v>11.4</v>
      </c>
      <c r="J1632" s="1">
        <v>10.5</v>
      </c>
      <c r="K1632" s="1">
        <v>298</v>
      </c>
      <c r="M1632" s="1">
        <v>100</v>
      </c>
      <c r="N1632" s="1">
        <f t="shared" si="268"/>
        <v>110.24390243902438</v>
      </c>
    </row>
    <row r="1633" spans="2:14" ht="34.5" customHeight="1" x14ac:dyDescent="0.3">
      <c r="B1633" s="1" t="s">
        <v>11</v>
      </c>
      <c r="C1633" s="1" t="s">
        <v>11</v>
      </c>
      <c r="E1633" s="1" t="s">
        <v>11</v>
      </c>
      <c r="F1633" s="1" t="s">
        <v>11</v>
      </c>
      <c r="G1633" s="1">
        <v>163</v>
      </c>
      <c r="H1633" s="1">
        <v>0.33</v>
      </c>
      <c r="I1633" s="1">
        <v>11.4</v>
      </c>
      <c r="J1633" s="1">
        <v>10.5</v>
      </c>
      <c r="K1633" s="1">
        <v>298</v>
      </c>
      <c r="M1633" s="1">
        <v>200</v>
      </c>
      <c r="N1633" s="1">
        <f t="shared" si="268"/>
        <v>114.91525423728812</v>
      </c>
    </row>
    <row r="1634" spans="2:14" ht="34.5" customHeight="1" x14ac:dyDescent="0.3">
      <c r="B1634" s="1">
        <v>5.9</v>
      </c>
      <c r="C1634" s="1">
        <v>0.23</v>
      </c>
      <c r="E1634" s="1">
        <v>19.899999999999999</v>
      </c>
      <c r="F1634" s="1">
        <v>3</v>
      </c>
      <c r="G1634" s="1">
        <v>154</v>
      </c>
      <c r="H1634" s="1">
        <v>0.62</v>
      </c>
      <c r="J1634" s="1">
        <v>7</v>
      </c>
      <c r="K1634" s="1">
        <v>298</v>
      </c>
      <c r="M1634" s="1">
        <v>1</v>
      </c>
      <c r="N1634" s="1">
        <f>27.71*M1634^0.222</f>
        <v>27.71</v>
      </c>
    </row>
    <row r="1635" spans="2:14" ht="34.5" customHeight="1" x14ac:dyDescent="0.3">
      <c r="B1635" s="1">
        <v>5.9</v>
      </c>
      <c r="C1635" s="1">
        <v>0.23</v>
      </c>
      <c r="E1635" s="1">
        <v>19.899999999999999</v>
      </c>
      <c r="F1635" s="1">
        <v>3</v>
      </c>
      <c r="G1635" s="1">
        <v>154</v>
      </c>
      <c r="H1635" s="1">
        <v>0.62</v>
      </c>
      <c r="J1635" s="1">
        <v>7</v>
      </c>
      <c r="K1635" s="1">
        <v>298</v>
      </c>
      <c r="M1635" s="1">
        <v>3</v>
      </c>
      <c r="N1635" s="1">
        <f t="shared" ref="N1635:N1639" si="269">27.71*M1635^0.222</f>
        <v>35.363679370764537</v>
      </c>
    </row>
    <row r="1636" spans="2:14" ht="34.5" customHeight="1" x14ac:dyDescent="0.3">
      <c r="B1636" s="1">
        <v>5.9</v>
      </c>
      <c r="C1636" s="1">
        <v>0.23</v>
      </c>
      <c r="E1636" s="1">
        <v>19.899999999999999</v>
      </c>
      <c r="F1636" s="1">
        <v>3</v>
      </c>
      <c r="G1636" s="1">
        <v>154</v>
      </c>
      <c r="H1636" s="1">
        <v>0.62</v>
      </c>
      <c r="J1636" s="1">
        <v>7</v>
      </c>
      <c r="K1636" s="1">
        <v>298</v>
      </c>
      <c r="M1636" s="1">
        <v>5</v>
      </c>
      <c r="N1636" s="1">
        <f t="shared" si="269"/>
        <v>39.610275837135163</v>
      </c>
    </row>
    <row r="1637" spans="2:14" ht="34.5" customHeight="1" x14ac:dyDescent="0.3">
      <c r="B1637" s="1">
        <v>5.9</v>
      </c>
      <c r="C1637" s="1">
        <v>0.23</v>
      </c>
      <c r="E1637" s="1">
        <v>19.899999999999999</v>
      </c>
      <c r="F1637" s="1">
        <v>3</v>
      </c>
      <c r="G1637" s="1">
        <v>154</v>
      </c>
      <c r="H1637" s="1">
        <v>0.62</v>
      </c>
      <c r="J1637" s="1">
        <v>7</v>
      </c>
      <c r="K1637" s="1">
        <v>298</v>
      </c>
      <c r="M1637" s="1">
        <v>10</v>
      </c>
      <c r="N1637" s="1">
        <f t="shared" si="269"/>
        <v>46.199420259789953</v>
      </c>
    </row>
    <row r="1638" spans="2:14" ht="34.5" customHeight="1" x14ac:dyDescent="0.3">
      <c r="B1638" s="1">
        <v>5.9</v>
      </c>
      <c r="C1638" s="1">
        <v>0.23</v>
      </c>
      <c r="E1638" s="1">
        <v>19.899999999999999</v>
      </c>
      <c r="F1638" s="1">
        <v>3</v>
      </c>
      <c r="G1638" s="1">
        <v>154</v>
      </c>
      <c r="H1638" s="1">
        <v>0.62</v>
      </c>
      <c r="J1638" s="1">
        <v>7</v>
      </c>
      <c r="K1638" s="1">
        <v>298</v>
      </c>
      <c r="M1638" s="1">
        <v>15</v>
      </c>
      <c r="N1638" s="1">
        <f t="shared" si="269"/>
        <v>50.550887567376023</v>
      </c>
    </row>
    <row r="1639" spans="2:14" ht="34.5" customHeight="1" x14ac:dyDescent="0.3">
      <c r="B1639" s="1">
        <v>5.9</v>
      </c>
      <c r="C1639" s="1">
        <v>0.23</v>
      </c>
      <c r="E1639" s="1">
        <v>19.899999999999999</v>
      </c>
      <c r="F1639" s="1">
        <v>3</v>
      </c>
      <c r="G1639" s="1">
        <v>154</v>
      </c>
      <c r="H1639" s="1">
        <v>0.62</v>
      </c>
      <c r="J1639" s="1">
        <v>7</v>
      </c>
      <c r="K1639" s="1">
        <v>298</v>
      </c>
      <c r="M1639" s="1">
        <v>25</v>
      </c>
      <c r="N1639" s="1">
        <f t="shared" si="269"/>
        <v>56.6212180401997</v>
      </c>
    </row>
    <row r="1640" spans="2:14" ht="34.5" customHeight="1" x14ac:dyDescent="0.3">
      <c r="B1640" s="1" t="s">
        <v>11</v>
      </c>
      <c r="C1640" s="1" t="s">
        <v>11</v>
      </c>
      <c r="E1640" s="1" t="s">
        <v>11</v>
      </c>
      <c r="F1640" s="1" t="s">
        <v>11</v>
      </c>
      <c r="G1640" s="1">
        <v>0.75</v>
      </c>
      <c r="J1640" s="1">
        <v>7.1</v>
      </c>
      <c r="K1640" s="1">
        <v>298</v>
      </c>
      <c r="M1640" s="1">
        <v>2</v>
      </c>
      <c r="N1640" s="1">
        <f>5.0262*M1640^0.508</f>
        <v>7.1476454810937602</v>
      </c>
    </row>
    <row r="1641" spans="2:14" ht="34.5" customHeight="1" x14ac:dyDescent="0.3">
      <c r="B1641" s="1" t="s">
        <v>11</v>
      </c>
      <c r="C1641" s="1" t="s">
        <v>11</v>
      </c>
      <c r="E1641" s="1" t="s">
        <v>11</v>
      </c>
      <c r="F1641" s="1" t="s">
        <v>11</v>
      </c>
      <c r="G1641" s="1">
        <v>0.75</v>
      </c>
      <c r="J1641" s="1">
        <v>7.1</v>
      </c>
      <c r="K1641" s="1">
        <v>298</v>
      </c>
      <c r="M1641" s="1">
        <v>5</v>
      </c>
      <c r="N1641" s="1">
        <f t="shared" ref="N1641:N1645" si="270">5.0262*M1641^0.508</f>
        <v>11.384567280386609</v>
      </c>
    </row>
    <row r="1642" spans="2:14" ht="34.5" customHeight="1" x14ac:dyDescent="0.3">
      <c r="B1642" s="1" t="s">
        <v>11</v>
      </c>
      <c r="C1642" s="1" t="s">
        <v>11</v>
      </c>
      <c r="E1642" s="1" t="s">
        <v>11</v>
      </c>
      <c r="F1642" s="1" t="s">
        <v>11</v>
      </c>
      <c r="G1642" s="1">
        <v>0.75</v>
      </c>
      <c r="J1642" s="1">
        <v>7.1</v>
      </c>
      <c r="K1642" s="1">
        <v>298</v>
      </c>
      <c r="M1642" s="1">
        <v>10</v>
      </c>
      <c r="N1642" s="1">
        <f t="shared" si="270"/>
        <v>16.189735958748802</v>
      </c>
    </row>
    <row r="1643" spans="2:14" ht="34.5" customHeight="1" x14ac:dyDescent="0.3">
      <c r="B1643" s="1" t="s">
        <v>11</v>
      </c>
      <c r="C1643" s="1" t="s">
        <v>11</v>
      </c>
      <c r="E1643" s="1" t="s">
        <v>11</v>
      </c>
      <c r="F1643" s="1" t="s">
        <v>11</v>
      </c>
      <c r="G1643" s="1">
        <v>0.75</v>
      </c>
      <c r="J1643" s="1">
        <v>7.1</v>
      </c>
      <c r="K1643" s="1">
        <v>298</v>
      </c>
      <c r="M1643" s="1">
        <v>20</v>
      </c>
      <c r="N1643" s="1">
        <f t="shared" si="270"/>
        <v>23.023057790309181</v>
      </c>
    </row>
    <row r="1644" spans="2:14" ht="34.5" customHeight="1" x14ac:dyDescent="0.3">
      <c r="B1644" s="1" t="s">
        <v>11</v>
      </c>
      <c r="C1644" s="1" t="s">
        <v>11</v>
      </c>
      <c r="E1644" s="1" t="s">
        <v>11</v>
      </c>
      <c r="F1644" s="1" t="s">
        <v>11</v>
      </c>
      <c r="G1644" s="1">
        <v>0.75</v>
      </c>
      <c r="J1644" s="1">
        <v>7.1</v>
      </c>
      <c r="K1644" s="1">
        <v>298</v>
      </c>
      <c r="M1644" s="1">
        <v>40</v>
      </c>
      <c r="N1644" s="1">
        <f t="shared" si="270"/>
        <v>32.740570406244068</v>
      </c>
    </row>
    <row r="1645" spans="2:14" ht="34.5" customHeight="1" x14ac:dyDescent="0.3">
      <c r="B1645" s="1" t="s">
        <v>11</v>
      </c>
      <c r="C1645" s="1" t="s">
        <v>11</v>
      </c>
      <c r="E1645" s="1" t="s">
        <v>11</v>
      </c>
      <c r="F1645" s="1" t="s">
        <v>11</v>
      </c>
      <c r="G1645" s="1">
        <v>0.75</v>
      </c>
      <c r="J1645" s="1">
        <v>7.1</v>
      </c>
      <c r="K1645" s="1">
        <v>298</v>
      </c>
      <c r="M1645" s="1">
        <v>60</v>
      </c>
      <c r="N1645" s="1">
        <f t="shared" si="270"/>
        <v>40.22912633670132</v>
      </c>
    </row>
    <row r="1646" spans="2:14" ht="34.5" customHeight="1" x14ac:dyDescent="0.3">
      <c r="B1646" s="1" t="s">
        <v>11</v>
      </c>
      <c r="C1646" s="1" t="s">
        <v>11</v>
      </c>
      <c r="E1646" s="1" t="s">
        <v>11</v>
      </c>
      <c r="F1646" s="1" t="s">
        <v>11</v>
      </c>
      <c r="G1646" s="1">
        <v>0.9</v>
      </c>
      <c r="J1646" s="1">
        <v>7.1</v>
      </c>
      <c r="K1646" s="1">
        <v>298</v>
      </c>
      <c r="M1646" s="1">
        <v>2</v>
      </c>
      <c r="N1646" s="1">
        <f>2.65588*M1646^0.594</f>
        <v>4.0088542412743839</v>
      </c>
    </row>
    <row r="1647" spans="2:14" ht="34.5" customHeight="1" x14ac:dyDescent="0.3">
      <c r="B1647" s="1" t="s">
        <v>11</v>
      </c>
      <c r="C1647" s="1" t="s">
        <v>11</v>
      </c>
      <c r="E1647" s="1" t="s">
        <v>11</v>
      </c>
      <c r="F1647" s="1" t="s">
        <v>11</v>
      </c>
      <c r="G1647" s="1">
        <v>0.9</v>
      </c>
      <c r="J1647" s="1">
        <v>7.1</v>
      </c>
      <c r="K1647" s="1">
        <v>298</v>
      </c>
      <c r="M1647" s="1">
        <v>5</v>
      </c>
      <c r="N1647" s="1">
        <f t="shared" ref="N1647:N1651" si="271">2.65588*M1647^0.594</f>
        <v>6.9087047180670318</v>
      </c>
    </row>
    <row r="1648" spans="2:14" ht="34.5" customHeight="1" x14ac:dyDescent="0.3">
      <c r="B1648" s="1" t="s">
        <v>11</v>
      </c>
      <c r="C1648" s="1" t="s">
        <v>11</v>
      </c>
      <c r="E1648" s="1" t="s">
        <v>11</v>
      </c>
      <c r="F1648" s="1" t="s">
        <v>11</v>
      </c>
      <c r="G1648" s="1">
        <v>0.9</v>
      </c>
      <c r="J1648" s="1">
        <v>7.1</v>
      </c>
      <c r="K1648" s="1">
        <v>298</v>
      </c>
      <c r="M1648" s="1">
        <v>10</v>
      </c>
      <c r="N1648" s="1">
        <f t="shared" si="271"/>
        <v>10.428178310290892</v>
      </c>
    </row>
    <row r="1649" spans="2:14" ht="34.5" customHeight="1" x14ac:dyDescent="0.3">
      <c r="B1649" s="1" t="s">
        <v>11</v>
      </c>
      <c r="C1649" s="1" t="s">
        <v>11</v>
      </c>
      <c r="E1649" s="1" t="s">
        <v>11</v>
      </c>
      <c r="F1649" s="1" t="s">
        <v>11</v>
      </c>
      <c r="G1649" s="1">
        <v>0.9</v>
      </c>
      <c r="J1649" s="1">
        <v>7.1</v>
      </c>
      <c r="K1649" s="1">
        <v>298</v>
      </c>
      <c r="M1649" s="1">
        <v>20</v>
      </c>
      <c r="N1649" s="1">
        <f t="shared" si="271"/>
        <v>15.740563145915921</v>
      </c>
    </row>
    <row r="1650" spans="2:14" ht="34.5" customHeight="1" x14ac:dyDescent="0.3">
      <c r="B1650" s="1" t="s">
        <v>11</v>
      </c>
      <c r="C1650" s="1" t="s">
        <v>11</v>
      </c>
      <c r="E1650" s="1" t="s">
        <v>11</v>
      </c>
      <c r="F1650" s="1" t="s">
        <v>11</v>
      </c>
      <c r="G1650" s="1">
        <v>0.9</v>
      </c>
      <c r="J1650" s="1">
        <v>7.1</v>
      </c>
      <c r="K1650" s="1">
        <v>298</v>
      </c>
      <c r="M1650" s="1">
        <v>40</v>
      </c>
      <c r="N1650" s="1">
        <f t="shared" si="271"/>
        <v>23.759214771583171</v>
      </c>
    </row>
    <row r="1651" spans="2:14" ht="34.5" customHeight="1" x14ac:dyDescent="0.3">
      <c r="B1651" s="1" t="s">
        <v>11</v>
      </c>
      <c r="C1651" s="1" t="s">
        <v>11</v>
      </c>
      <c r="E1651" s="1" t="s">
        <v>11</v>
      </c>
      <c r="F1651" s="1" t="s">
        <v>11</v>
      </c>
      <c r="G1651" s="1">
        <v>0.9</v>
      </c>
      <c r="J1651" s="1">
        <v>7.1</v>
      </c>
      <c r="K1651" s="1">
        <v>298</v>
      </c>
      <c r="M1651" s="1">
        <v>60</v>
      </c>
      <c r="N1651" s="1">
        <f t="shared" si="271"/>
        <v>30.229453175660083</v>
      </c>
    </row>
    <row r="1652" spans="2:14" ht="34.5" customHeight="1" x14ac:dyDescent="0.3">
      <c r="B1652" s="1">
        <v>6.8</v>
      </c>
      <c r="C1652" s="1">
        <v>17.8</v>
      </c>
      <c r="E1652" s="1">
        <v>13.7</v>
      </c>
      <c r="F1652" s="1">
        <v>7.3</v>
      </c>
      <c r="G1652" s="1">
        <v>0.5</v>
      </c>
      <c r="J1652" s="1">
        <v>7.1</v>
      </c>
      <c r="K1652" s="1">
        <v>298</v>
      </c>
      <c r="M1652" s="1">
        <v>2</v>
      </c>
      <c r="N1652" s="1">
        <f>0.4833*M1652^0.918</f>
        <v>0.91319248982789947</v>
      </c>
    </row>
    <row r="1653" spans="2:14" ht="34.5" customHeight="1" x14ac:dyDescent="0.3">
      <c r="B1653" s="1">
        <v>6.8</v>
      </c>
      <c r="C1653" s="1">
        <v>17.8</v>
      </c>
      <c r="E1653" s="1">
        <v>13.7</v>
      </c>
      <c r="F1653" s="1">
        <v>7.3</v>
      </c>
      <c r="G1653" s="1">
        <v>0.5</v>
      </c>
      <c r="J1653" s="1">
        <v>7.1</v>
      </c>
      <c r="K1653" s="1">
        <v>298</v>
      </c>
      <c r="M1653" s="1">
        <v>5</v>
      </c>
      <c r="N1653" s="1">
        <f t="shared" ref="N1653:N1657" si="272">0.4833*M1653^0.918</f>
        <v>2.1177332680492325</v>
      </c>
    </row>
    <row r="1654" spans="2:14" ht="34.5" customHeight="1" x14ac:dyDescent="0.3">
      <c r="B1654" s="1">
        <v>6.8</v>
      </c>
      <c r="C1654" s="1">
        <v>17.8</v>
      </c>
      <c r="E1654" s="1">
        <v>13.7</v>
      </c>
      <c r="F1654" s="1">
        <v>7.3</v>
      </c>
      <c r="G1654" s="1">
        <v>0.5</v>
      </c>
      <c r="J1654" s="1">
        <v>7.1</v>
      </c>
      <c r="K1654" s="1">
        <v>298</v>
      </c>
      <c r="M1654" s="1">
        <v>10</v>
      </c>
      <c r="N1654" s="1">
        <f t="shared" si="272"/>
        <v>4.001444477221713</v>
      </c>
    </row>
    <row r="1655" spans="2:14" ht="34.5" customHeight="1" x14ac:dyDescent="0.3">
      <c r="B1655" s="1">
        <v>6.8</v>
      </c>
      <c r="C1655" s="1">
        <v>17.8</v>
      </c>
      <c r="E1655" s="1">
        <v>13.7</v>
      </c>
      <c r="F1655" s="1">
        <v>7.3</v>
      </c>
      <c r="G1655" s="1">
        <v>0.5</v>
      </c>
      <c r="J1655" s="1">
        <v>7.1</v>
      </c>
      <c r="K1655" s="1">
        <v>298</v>
      </c>
      <c r="M1655" s="1">
        <v>20</v>
      </c>
      <c r="N1655" s="1">
        <f t="shared" si="272"/>
        <v>7.5607056591396482</v>
      </c>
    </row>
    <row r="1656" spans="2:14" ht="34.5" customHeight="1" x14ac:dyDescent="0.3">
      <c r="B1656" s="1">
        <v>6.8</v>
      </c>
      <c r="C1656" s="1">
        <v>17.8</v>
      </c>
      <c r="E1656" s="1">
        <v>13.7</v>
      </c>
      <c r="F1656" s="1">
        <v>7.3</v>
      </c>
      <c r="G1656" s="1">
        <v>0.5</v>
      </c>
      <c r="J1656" s="1">
        <v>7.1</v>
      </c>
      <c r="K1656" s="1">
        <v>298</v>
      </c>
      <c r="M1656" s="1">
        <v>40</v>
      </c>
      <c r="N1656" s="1">
        <f t="shared" si="272"/>
        <v>14.285908598646028</v>
      </c>
    </row>
    <row r="1657" spans="2:14" ht="34.5" customHeight="1" x14ac:dyDescent="0.3">
      <c r="B1657" s="1">
        <v>6.8</v>
      </c>
      <c r="C1657" s="1">
        <v>17.8</v>
      </c>
      <c r="E1657" s="1">
        <v>13.7</v>
      </c>
      <c r="F1657" s="1">
        <v>7.3</v>
      </c>
      <c r="G1657" s="1">
        <v>0.5</v>
      </c>
      <c r="J1657" s="1">
        <v>7.1</v>
      </c>
      <c r="K1657" s="1">
        <v>298</v>
      </c>
      <c r="M1657" s="1">
        <v>60</v>
      </c>
      <c r="N1657" s="1">
        <f t="shared" si="272"/>
        <v>20.728107054778771</v>
      </c>
    </row>
    <row r="1658" spans="2:14" ht="34.5" customHeight="1" x14ac:dyDescent="0.3">
      <c r="F1658" s="1">
        <v>13</v>
      </c>
      <c r="G1658" s="1">
        <v>139</v>
      </c>
      <c r="H1658" s="1">
        <v>0.71799999999999997</v>
      </c>
      <c r="I1658" s="1">
        <v>20.6</v>
      </c>
      <c r="J1658" s="1">
        <v>2.15</v>
      </c>
      <c r="K1658" s="1">
        <v>298.14999999999998</v>
      </c>
      <c r="M1658" s="1">
        <v>5</v>
      </c>
      <c r="N1658" s="1">
        <f>284*0.0289*M1658/(1+0.0289*M1658)</f>
        <v>35.856705985146348</v>
      </c>
    </row>
    <row r="1659" spans="2:14" ht="34.5" customHeight="1" x14ac:dyDescent="0.3">
      <c r="F1659" s="1">
        <v>13</v>
      </c>
      <c r="G1659" s="1">
        <v>139</v>
      </c>
      <c r="H1659" s="1">
        <v>0.71799999999999997</v>
      </c>
      <c r="I1659" s="1">
        <v>20.6</v>
      </c>
      <c r="J1659" s="1">
        <v>2.15</v>
      </c>
      <c r="K1659" s="1">
        <v>298.14999999999998</v>
      </c>
      <c r="M1659" s="1">
        <v>15</v>
      </c>
      <c r="N1659" s="1">
        <f t="shared" ref="N1659:N1663" si="273">284*0.0289*M1659/(1+0.0289*M1659)</f>
        <v>85.883501918381583</v>
      </c>
    </row>
    <row r="1660" spans="2:14" ht="34.5" customHeight="1" x14ac:dyDescent="0.3">
      <c r="F1660" s="1">
        <v>13</v>
      </c>
      <c r="G1660" s="1">
        <v>139</v>
      </c>
      <c r="H1660" s="1">
        <v>0.71799999999999997</v>
      </c>
      <c r="I1660" s="1">
        <v>20.6</v>
      </c>
      <c r="J1660" s="1">
        <v>2.15</v>
      </c>
      <c r="K1660" s="1">
        <v>298.14999999999998</v>
      </c>
      <c r="M1660" s="1">
        <v>25</v>
      </c>
      <c r="N1660" s="1">
        <f t="shared" si="273"/>
        <v>119.12336719883891</v>
      </c>
    </row>
    <row r="1661" spans="2:14" ht="34.5" customHeight="1" x14ac:dyDescent="0.3">
      <c r="F1661" s="1">
        <v>13</v>
      </c>
      <c r="G1661" s="1">
        <v>139</v>
      </c>
      <c r="H1661" s="1">
        <v>0.71799999999999997</v>
      </c>
      <c r="I1661" s="1">
        <v>20.6</v>
      </c>
      <c r="J1661" s="1">
        <v>2.15</v>
      </c>
      <c r="K1661" s="1">
        <v>298.14999999999998</v>
      </c>
      <c r="M1661" s="1">
        <v>40</v>
      </c>
      <c r="N1661" s="1">
        <f t="shared" si="273"/>
        <v>152.27458256029686</v>
      </c>
    </row>
    <row r="1662" spans="2:14" ht="34.5" customHeight="1" x14ac:dyDescent="0.3">
      <c r="F1662" s="1">
        <v>13</v>
      </c>
      <c r="G1662" s="1">
        <v>139</v>
      </c>
      <c r="H1662" s="1">
        <v>0.71799999999999997</v>
      </c>
      <c r="I1662" s="1">
        <v>20.6</v>
      </c>
      <c r="J1662" s="1">
        <v>2.15</v>
      </c>
      <c r="K1662" s="1">
        <v>298.14999999999998</v>
      </c>
      <c r="M1662" s="1">
        <v>60</v>
      </c>
      <c r="N1662" s="1">
        <f t="shared" si="273"/>
        <v>180.12289685442573</v>
      </c>
    </row>
    <row r="1663" spans="2:14" ht="34.5" customHeight="1" x14ac:dyDescent="0.3">
      <c r="F1663" s="1">
        <v>13</v>
      </c>
      <c r="G1663" s="1">
        <v>139</v>
      </c>
      <c r="H1663" s="1">
        <v>0.71799999999999997</v>
      </c>
      <c r="I1663" s="1">
        <v>20.6</v>
      </c>
      <c r="J1663" s="1">
        <v>2.15</v>
      </c>
      <c r="K1663" s="1">
        <v>298.14999999999998</v>
      </c>
      <c r="M1663" s="1">
        <v>75</v>
      </c>
      <c r="N1663" s="1">
        <f t="shared" si="273"/>
        <v>194.33938437253352</v>
      </c>
    </row>
    <row r="1664" spans="2:14" ht="34.5" customHeight="1" x14ac:dyDescent="0.3">
      <c r="C1664" s="1">
        <v>3.21</v>
      </c>
      <c r="F1664" s="1">
        <v>20.47</v>
      </c>
      <c r="G1664" s="1">
        <v>27.22</v>
      </c>
      <c r="H1664" s="1">
        <v>0.34300000000000003</v>
      </c>
      <c r="I1664" s="1">
        <v>4.32</v>
      </c>
      <c r="J1664" s="1">
        <v>4</v>
      </c>
      <c r="K1664" s="1">
        <v>296.14999999999998</v>
      </c>
      <c r="M1664" s="1">
        <v>2</v>
      </c>
      <c r="N1664" s="1">
        <f>121.25*M1664*0.0194/(1+0.0194*M1664)</f>
        <v>4.5287832113977675</v>
      </c>
    </row>
    <row r="1665" spans="3:14" ht="34.5" customHeight="1" x14ac:dyDescent="0.3">
      <c r="C1665" s="1">
        <v>3.21</v>
      </c>
      <c r="F1665" s="1">
        <v>20.47</v>
      </c>
      <c r="G1665" s="1">
        <v>27.22</v>
      </c>
      <c r="H1665" s="1">
        <v>0.34300000000000003</v>
      </c>
      <c r="I1665" s="1">
        <v>4.32</v>
      </c>
      <c r="J1665" s="1">
        <v>4</v>
      </c>
      <c r="K1665" s="1">
        <v>296.14999999999998</v>
      </c>
      <c r="M1665" s="1">
        <v>5</v>
      </c>
      <c r="N1665" s="1">
        <f t="shared" ref="N1665:N1669" si="274">121.25*M1665*0.0194/(1+0.0194*M1665)</f>
        <v>10.721285323609846</v>
      </c>
    </row>
    <row r="1666" spans="3:14" ht="34.5" customHeight="1" x14ac:dyDescent="0.3">
      <c r="C1666" s="1">
        <v>3.21</v>
      </c>
      <c r="F1666" s="1">
        <v>20.47</v>
      </c>
      <c r="G1666" s="1">
        <v>27.22</v>
      </c>
      <c r="H1666" s="1">
        <v>0.34300000000000003</v>
      </c>
      <c r="I1666" s="1">
        <v>4.32</v>
      </c>
      <c r="J1666" s="1">
        <v>4</v>
      </c>
      <c r="K1666" s="1">
        <v>296.14999999999998</v>
      </c>
      <c r="M1666" s="1">
        <v>10</v>
      </c>
      <c r="N1666" s="1">
        <f t="shared" si="274"/>
        <v>19.700586264656618</v>
      </c>
    </row>
    <row r="1667" spans="3:14" ht="34.5" customHeight="1" x14ac:dyDescent="0.3">
      <c r="C1667" s="1">
        <v>3.21</v>
      </c>
      <c r="F1667" s="1">
        <v>20.47</v>
      </c>
      <c r="G1667" s="1">
        <v>27.22</v>
      </c>
      <c r="H1667" s="1">
        <v>0.34300000000000003</v>
      </c>
      <c r="I1667" s="1">
        <v>4.32</v>
      </c>
      <c r="J1667" s="1">
        <v>4</v>
      </c>
      <c r="K1667" s="1">
        <v>296.14999999999998</v>
      </c>
      <c r="M1667" s="1">
        <v>20</v>
      </c>
      <c r="N1667" s="1">
        <f t="shared" si="274"/>
        <v>33.894092219020173</v>
      </c>
    </row>
    <row r="1668" spans="3:14" ht="34.5" customHeight="1" x14ac:dyDescent="0.3">
      <c r="C1668" s="1">
        <v>3.21</v>
      </c>
      <c r="F1668" s="1">
        <v>20.47</v>
      </c>
      <c r="G1668" s="1">
        <v>27.22</v>
      </c>
      <c r="H1668" s="1">
        <v>0.34300000000000003</v>
      </c>
      <c r="I1668" s="1">
        <v>4.32</v>
      </c>
      <c r="J1668" s="1">
        <v>4</v>
      </c>
      <c r="K1668" s="1">
        <v>296.14999999999998</v>
      </c>
      <c r="M1668" s="1">
        <v>40</v>
      </c>
      <c r="N1668" s="1">
        <f t="shared" si="274"/>
        <v>52.978603603603602</v>
      </c>
    </row>
    <row r="1669" spans="3:14" ht="34.5" customHeight="1" x14ac:dyDescent="0.3">
      <c r="C1669" s="1">
        <v>3.21</v>
      </c>
      <c r="F1669" s="1">
        <v>20.47</v>
      </c>
      <c r="G1669" s="1">
        <v>27.22</v>
      </c>
      <c r="H1669" s="1">
        <v>0.34300000000000003</v>
      </c>
      <c r="I1669" s="1">
        <v>4.32</v>
      </c>
      <c r="J1669" s="1">
        <v>4</v>
      </c>
      <c r="K1669" s="1">
        <v>296.14999999999998</v>
      </c>
      <c r="M1669" s="1">
        <v>80</v>
      </c>
      <c r="N1669" s="1">
        <f t="shared" si="274"/>
        <v>73.738244514106583</v>
      </c>
    </row>
    <row r="1670" spans="3:14" ht="34.5" customHeight="1" x14ac:dyDescent="0.3">
      <c r="F1670" s="1">
        <v>27.49</v>
      </c>
      <c r="G1670" s="1">
        <v>72.53</v>
      </c>
      <c r="H1670" s="1">
        <v>0.26</v>
      </c>
      <c r="I1670" s="1">
        <v>14.41</v>
      </c>
      <c r="J1670" s="1">
        <v>5</v>
      </c>
      <c r="K1670" s="1">
        <v>288</v>
      </c>
      <c r="M1670" s="1">
        <v>1</v>
      </c>
      <c r="N1670" s="1">
        <f>44.44*0.69*M1670/(1+0.69*M1670)</f>
        <v>18.144142011834319</v>
      </c>
    </row>
    <row r="1671" spans="3:14" ht="34.5" customHeight="1" x14ac:dyDescent="0.3">
      <c r="F1671" s="1">
        <v>27.49</v>
      </c>
      <c r="G1671" s="1">
        <v>72.53</v>
      </c>
      <c r="H1671" s="1">
        <v>0.26</v>
      </c>
      <c r="I1671" s="1">
        <v>14.41</v>
      </c>
      <c r="J1671" s="1">
        <v>5</v>
      </c>
      <c r="K1671" s="1">
        <v>288</v>
      </c>
      <c r="M1671" s="1">
        <v>3</v>
      </c>
      <c r="N1671" s="1">
        <f t="shared" ref="N1671:N1675" si="275">44.44*0.69*M1671/(1+0.69*M1671)</f>
        <v>29.964429967426703</v>
      </c>
    </row>
    <row r="1672" spans="3:14" ht="34.5" customHeight="1" x14ac:dyDescent="0.3">
      <c r="F1672" s="1">
        <v>27.49</v>
      </c>
      <c r="G1672" s="1">
        <v>72.53</v>
      </c>
      <c r="H1672" s="1">
        <v>0.26</v>
      </c>
      <c r="I1672" s="1">
        <v>14.41</v>
      </c>
      <c r="J1672" s="1">
        <v>5</v>
      </c>
      <c r="K1672" s="1">
        <v>288</v>
      </c>
      <c r="M1672" s="1">
        <v>5</v>
      </c>
      <c r="N1672" s="1">
        <f t="shared" si="275"/>
        <v>34.45348314606742</v>
      </c>
    </row>
    <row r="1673" spans="3:14" ht="34.5" customHeight="1" x14ac:dyDescent="0.3">
      <c r="F1673" s="1">
        <v>27.49</v>
      </c>
      <c r="G1673" s="1">
        <v>72.53</v>
      </c>
      <c r="H1673" s="1">
        <v>0.26</v>
      </c>
      <c r="I1673" s="1">
        <v>14.41</v>
      </c>
      <c r="J1673" s="1">
        <v>5</v>
      </c>
      <c r="K1673" s="1">
        <v>288</v>
      </c>
      <c r="M1673" s="1">
        <v>10</v>
      </c>
      <c r="N1673" s="1">
        <f t="shared" si="275"/>
        <v>38.814683544303797</v>
      </c>
    </row>
    <row r="1674" spans="3:14" ht="34.5" customHeight="1" x14ac:dyDescent="0.3">
      <c r="F1674" s="1">
        <v>27.49</v>
      </c>
      <c r="G1674" s="1">
        <v>72.53</v>
      </c>
      <c r="H1674" s="1">
        <v>0.26</v>
      </c>
      <c r="I1674" s="1">
        <v>14.41</v>
      </c>
      <c r="J1674" s="1">
        <v>5</v>
      </c>
      <c r="K1674" s="1">
        <v>288</v>
      </c>
      <c r="M1674" s="1">
        <v>15</v>
      </c>
      <c r="N1674" s="1">
        <f t="shared" si="275"/>
        <v>40.524581497797357</v>
      </c>
    </row>
    <row r="1675" spans="3:14" ht="34.5" customHeight="1" x14ac:dyDescent="0.3">
      <c r="F1675" s="1">
        <v>27.49</v>
      </c>
      <c r="G1675" s="1">
        <v>72.53</v>
      </c>
      <c r="H1675" s="1">
        <v>0.26</v>
      </c>
      <c r="I1675" s="1">
        <v>14.41</v>
      </c>
      <c r="J1675" s="1">
        <v>5</v>
      </c>
      <c r="K1675" s="1">
        <v>288</v>
      </c>
      <c r="M1675" s="1">
        <v>25</v>
      </c>
      <c r="N1675" s="1">
        <f t="shared" si="275"/>
        <v>42.00493150684931</v>
      </c>
    </row>
    <row r="1676" spans="3:14" ht="34.5" customHeight="1" x14ac:dyDescent="0.3">
      <c r="F1676" s="1">
        <v>27.49</v>
      </c>
      <c r="G1676" s="1">
        <v>72.53</v>
      </c>
      <c r="H1676" s="1">
        <v>0.26</v>
      </c>
      <c r="I1676" s="1">
        <v>14.41</v>
      </c>
      <c r="J1676" s="1">
        <v>5</v>
      </c>
      <c r="K1676" s="1">
        <v>298</v>
      </c>
      <c r="M1676" s="1">
        <v>1</v>
      </c>
      <c r="N1676" s="1">
        <f>47.39*0.65*M1676/(1+0.65*M1676)</f>
        <v>18.668787878787878</v>
      </c>
    </row>
    <row r="1677" spans="3:14" ht="34.5" customHeight="1" x14ac:dyDescent="0.3">
      <c r="F1677" s="1">
        <v>27.49</v>
      </c>
      <c r="G1677" s="1">
        <v>72.53</v>
      </c>
      <c r="H1677" s="1">
        <v>0.26</v>
      </c>
      <c r="I1677" s="1">
        <v>14.41</v>
      </c>
      <c r="J1677" s="1">
        <v>5</v>
      </c>
      <c r="K1677" s="1">
        <v>298</v>
      </c>
      <c r="M1677" s="1">
        <v>3</v>
      </c>
      <c r="N1677" s="1">
        <f t="shared" ref="N1677:N1681" si="276">47.39*0.65*M1677/(1+0.65*M1677)</f>
        <v>31.32559322033898</v>
      </c>
    </row>
    <row r="1678" spans="3:14" ht="34.5" customHeight="1" x14ac:dyDescent="0.3">
      <c r="F1678" s="1">
        <v>27.49</v>
      </c>
      <c r="G1678" s="1">
        <v>72.53</v>
      </c>
      <c r="H1678" s="1">
        <v>0.26</v>
      </c>
      <c r="I1678" s="1">
        <v>14.41</v>
      </c>
      <c r="J1678" s="1">
        <v>5</v>
      </c>
      <c r="K1678" s="1">
        <v>298</v>
      </c>
      <c r="M1678" s="1">
        <v>5</v>
      </c>
      <c r="N1678" s="1">
        <f t="shared" si="276"/>
        <v>36.239411764705878</v>
      </c>
    </row>
    <row r="1679" spans="3:14" ht="34.5" customHeight="1" x14ac:dyDescent="0.3">
      <c r="F1679" s="1">
        <v>27.49</v>
      </c>
      <c r="G1679" s="1">
        <v>72.53</v>
      </c>
      <c r="H1679" s="1">
        <v>0.26</v>
      </c>
      <c r="I1679" s="1">
        <v>14.41</v>
      </c>
      <c r="J1679" s="1">
        <v>5</v>
      </c>
      <c r="K1679" s="1">
        <v>298</v>
      </c>
      <c r="M1679" s="1">
        <v>10</v>
      </c>
      <c r="N1679" s="1">
        <f t="shared" si="276"/>
        <v>41.071333333333328</v>
      </c>
    </row>
    <row r="1680" spans="3:14" ht="34.5" customHeight="1" x14ac:dyDescent="0.3">
      <c r="F1680" s="1">
        <v>27.49</v>
      </c>
      <c r="G1680" s="1">
        <v>72.53</v>
      </c>
      <c r="H1680" s="1">
        <v>0.26</v>
      </c>
      <c r="I1680" s="1">
        <v>14.41</v>
      </c>
      <c r="J1680" s="1">
        <v>5</v>
      </c>
      <c r="K1680" s="1">
        <v>298</v>
      </c>
      <c r="M1680" s="1">
        <v>15</v>
      </c>
      <c r="N1680" s="1">
        <f t="shared" si="276"/>
        <v>42.981627906976748</v>
      </c>
    </row>
    <row r="1681" spans="3:14" ht="34.5" customHeight="1" x14ac:dyDescent="0.3">
      <c r="F1681" s="1">
        <v>27.49</v>
      </c>
      <c r="G1681" s="1">
        <v>72.53</v>
      </c>
      <c r="H1681" s="1">
        <v>0.26</v>
      </c>
      <c r="I1681" s="1">
        <v>14.41</v>
      </c>
      <c r="J1681" s="1">
        <v>5</v>
      </c>
      <c r="K1681" s="1">
        <v>298</v>
      </c>
      <c r="M1681" s="1">
        <v>25</v>
      </c>
      <c r="N1681" s="1">
        <f t="shared" si="276"/>
        <v>44.642753623188405</v>
      </c>
    </row>
    <row r="1682" spans="3:14" ht="34.5" customHeight="1" x14ac:dyDescent="0.3">
      <c r="F1682" s="1">
        <v>27.49</v>
      </c>
      <c r="G1682" s="1">
        <v>72.53</v>
      </c>
      <c r="H1682" s="1">
        <v>0.26</v>
      </c>
      <c r="I1682" s="1">
        <v>14.41</v>
      </c>
      <c r="J1682" s="1">
        <v>5</v>
      </c>
      <c r="K1682" s="1">
        <v>308</v>
      </c>
      <c r="M1682" s="1">
        <v>1</v>
      </c>
      <c r="N1682" s="1">
        <f>51.02*0.63*M1682/(1+0.63*M1682)</f>
        <v>19.719386503067486</v>
      </c>
    </row>
    <row r="1683" spans="3:14" ht="34.5" customHeight="1" x14ac:dyDescent="0.3">
      <c r="F1683" s="1">
        <v>27.49</v>
      </c>
      <c r="G1683" s="1">
        <v>72.53</v>
      </c>
      <c r="H1683" s="1">
        <v>0.26</v>
      </c>
      <c r="I1683" s="1">
        <v>14.41</v>
      </c>
      <c r="J1683" s="1">
        <v>5</v>
      </c>
      <c r="K1683" s="1">
        <v>308</v>
      </c>
      <c r="M1683" s="1">
        <v>3</v>
      </c>
      <c r="N1683" s="1">
        <f t="shared" ref="N1683:N1687" si="277">51.02*0.63*M1683/(1+0.63*M1683)</f>
        <v>33.366020761245672</v>
      </c>
    </row>
    <row r="1684" spans="3:14" ht="34.5" customHeight="1" x14ac:dyDescent="0.3">
      <c r="F1684" s="1">
        <v>27.49</v>
      </c>
      <c r="G1684" s="1">
        <v>72.53</v>
      </c>
      <c r="H1684" s="1">
        <v>0.26</v>
      </c>
      <c r="I1684" s="1">
        <v>14.41</v>
      </c>
      <c r="J1684" s="1">
        <v>5</v>
      </c>
      <c r="K1684" s="1">
        <v>308</v>
      </c>
      <c r="M1684" s="1">
        <v>5</v>
      </c>
      <c r="N1684" s="1">
        <f t="shared" si="277"/>
        <v>38.726024096385544</v>
      </c>
    </row>
    <row r="1685" spans="3:14" ht="34.5" customHeight="1" x14ac:dyDescent="0.3">
      <c r="F1685" s="1">
        <v>27.49</v>
      </c>
      <c r="G1685" s="1">
        <v>72.53</v>
      </c>
      <c r="H1685" s="1">
        <v>0.26</v>
      </c>
      <c r="I1685" s="1">
        <v>14.41</v>
      </c>
      <c r="J1685" s="1">
        <v>5</v>
      </c>
      <c r="K1685" s="1">
        <v>308</v>
      </c>
      <c r="M1685" s="1">
        <v>10</v>
      </c>
      <c r="N1685" s="1">
        <f t="shared" si="277"/>
        <v>44.030958904109596</v>
      </c>
    </row>
    <row r="1686" spans="3:14" ht="34.5" customHeight="1" x14ac:dyDescent="0.3">
      <c r="F1686" s="1">
        <v>27.49</v>
      </c>
      <c r="G1686" s="1">
        <v>72.53</v>
      </c>
      <c r="H1686" s="1">
        <v>0.26</v>
      </c>
      <c r="I1686" s="1">
        <v>14.41</v>
      </c>
      <c r="J1686" s="1">
        <v>5</v>
      </c>
      <c r="K1686" s="1">
        <v>308</v>
      </c>
      <c r="M1686" s="1">
        <v>15</v>
      </c>
      <c r="N1686" s="1">
        <f t="shared" si="277"/>
        <v>46.137703349282297</v>
      </c>
    </row>
    <row r="1687" spans="3:14" ht="34.5" customHeight="1" x14ac:dyDescent="0.3">
      <c r="F1687" s="1">
        <v>27.49</v>
      </c>
      <c r="G1687" s="1">
        <v>72.53</v>
      </c>
      <c r="H1687" s="1">
        <v>0.26</v>
      </c>
      <c r="I1687" s="1">
        <v>14.41</v>
      </c>
      <c r="J1687" s="1">
        <v>5</v>
      </c>
      <c r="K1687" s="1">
        <v>308</v>
      </c>
      <c r="M1687" s="1">
        <v>25</v>
      </c>
      <c r="N1687" s="1">
        <f t="shared" si="277"/>
        <v>47.97402985074627</v>
      </c>
    </row>
    <row r="1688" spans="3:14" ht="34.5" customHeight="1" x14ac:dyDescent="0.3">
      <c r="F1688" s="1">
        <v>27.49</v>
      </c>
      <c r="G1688" s="1">
        <v>72.53</v>
      </c>
      <c r="H1688" s="1">
        <v>0.26</v>
      </c>
      <c r="I1688" s="1">
        <v>14.41</v>
      </c>
      <c r="J1688" s="1">
        <v>5</v>
      </c>
      <c r="K1688" s="1">
        <v>318</v>
      </c>
      <c r="M1688" s="1">
        <v>1</v>
      </c>
      <c r="N1688" s="1">
        <f>52.08*0.81*M1688/(1+0.81*M1688)</f>
        <v>23.306519337016574</v>
      </c>
    </row>
    <row r="1689" spans="3:14" ht="34.5" customHeight="1" x14ac:dyDescent="0.3">
      <c r="F1689" s="1">
        <v>27.49</v>
      </c>
      <c r="G1689" s="1">
        <v>72.53</v>
      </c>
      <c r="H1689" s="1">
        <v>0.26</v>
      </c>
      <c r="I1689" s="1">
        <v>14.41</v>
      </c>
      <c r="J1689" s="1">
        <v>5</v>
      </c>
      <c r="K1689" s="1">
        <v>318</v>
      </c>
      <c r="M1689" s="1">
        <v>3</v>
      </c>
      <c r="N1689" s="1">
        <f t="shared" ref="N1689:N1693" si="278">52.08*0.81*M1689/(1+0.81*M1689)</f>
        <v>36.896326530612249</v>
      </c>
    </row>
    <row r="1690" spans="3:14" ht="34.5" customHeight="1" x14ac:dyDescent="0.3">
      <c r="F1690" s="1">
        <v>27.49</v>
      </c>
      <c r="G1690" s="1">
        <v>72.53</v>
      </c>
      <c r="H1690" s="1">
        <v>0.26</v>
      </c>
      <c r="I1690" s="1">
        <v>14.41</v>
      </c>
      <c r="J1690" s="1">
        <v>5</v>
      </c>
      <c r="K1690" s="1">
        <v>318</v>
      </c>
      <c r="M1690" s="1">
        <v>5</v>
      </c>
      <c r="N1690" s="1">
        <f t="shared" si="278"/>
        <v>41.767128712871283</v>
      </c>
    </row>
    <row r="1691" spans="3:14" ht="34.5" customHeight="1" x14ac:dyDescent="0.3">
      <c r="F1691" s="1">
        <v>27.49</v>
      </c>
      <c r="G1691" s="1">
        <v>72.53</v>
      </c>
      <c r="H1691" s="1">
        <v>0.26</v>
      </c>
      <c r="I1691" s="1">
        <v>14.41</v>
      </c>
      <c r="J1691" s="1">
        <v>5</v>
      </c>
      <c r="K1691" s="1">
        <v>318</v>
      </c>
      <c r="M1691" s="1">
        <v>10</v>
      </c>
      <c r="N1691" s="1">
        <f t="shared" si="278"/>
        <v>46.356923076923074</v>
      </c>
    </row>
    <row r="1692" spans="3:14" ht="34.5" customHeight="1" x14ac:dyDescent="0.3">
      <c r="F1692" s="1">
        <v>27.49</v>
      </c>
      <c r="G1692" s="1">
        <v>72.53</v>
      </c>
      <c r="H1692" s="1">
        <v>0.26</v>
      </c>
      <c r="I1692" s="1">
        <v>14.41</v>
      </c>
      <c r="J1692" s="1">
        <v>5</v>
      </c>
      <c r="K1692" s="1">
        <v>318</v>
      </c>
      <c r="M1692" s="1">
        <v>15</v>
      </c>
      <c r="N1692" s="1">
        <f t="shared" si="278"/>
        <v>48.119543726235747</v>
      </c>
    </row>
    <row r="1693" spans="3:14" ht="34.5" customHeight="1" x14ac:dyDescent="0.3">
      <c r="F1693" s="1">
        <v>27.49</v>
      </c>
      <c r="G1693" s="1">
        <v>72.53</v>
      </c>
      <c r="H1693" s="1">
        <v>0.26</v>
      </c>
      <c r="I1693" s="1">
        <v>14.41</v>
      </c>
      <c r="J1693" s="1">
        <v>5</v>
      </c>
      <c r="K1693" s="1">
        <v>318</v>
      </c>
      <c r="M1693" s="1">
        <v>25</v>
      </c>
      <c r="N1693" s="1">
        <f t="shared" si="278"/>
        <v>49.629176470588241</v>
      </c>
    </row>
    <row r="1694" spans="3:14" ht="34.5" customHeight="1" x14ac:dyDescent="0.3">
      <c r="C1694" s="1" t="s">
        <v>11</v>
      </c>
      <c r="F1694" s="1" t="s">
        <v>11</v>
      </c>
      <c r="G1694" s="1">
        <v>172.81</v>
      </c>
      <c r="H1694" s="1">
        <v>0.247</v>
      </c>
      <c r="I1694" s="1">
        <v>8.4700000000000006</v>
      </c>
      <c r="J1694" s="1">
        <v>3</v>
      </c>
      <c r="K1694" s="1">
        <v>283.14999999999998</v>
      </c>
      <c r="M1694" s="1">
        <v>5</v>
      </c>
      <c r="N1694" s="1">
        <f>285.45*0.0114*M1694/(1+0.0114*M1694)</f>
        <v>15.393235572374646</v>
      </c>
    </row>
    <row r="1695" spans="3:14" ht="34.5" customHeight="1" x14ac:dyDescent="0.3">
      <c r="C1695" s="1" t="s">
        <v>11</v>
      </c>
      <c r="F1695" s="1" t="s">
        <v>11</v>
      </c>
      <c r="G1695" s="1">
        <v>172.81</v>
      </c>
      <c r="H1695" s="1">
        <v>0.247</v>
      </c>
      <c r="I1695" s="1">
        <v>8.4700000000000006</v>
      </c>
      <c r="J1695" s="1">
        <v>3</v>
      </c>
      <c r="K1695" s="1">
        <v>283.14999999999998</v>
      </c>
      <c r="M1695" s="1">
        <v>10</v>
      </c>
      <c r="N1695" s="1">
        <f t="shared" ref="N1695:N1699" si="279">285.45*0.0114*M1695/(1+0.0114*M1695)</f>
        <v>29.211220825852781</v>
      </c>
    </row>
    <row r="1696" spans="3:14" ht="34.5" customHeight="1" x14ac:dyDescent="0.3">
      <c r="C1696" s="1" t="s">
        <v>11</v>
      </c>
      <c r="F1696" s="1" t="s">
        <v>11</v>
      </c>
      <c r="G1696" s="1">
        <v>172.81</v>
      </c>
      <c r="H1696" s="1">
        <v>0.247</v>
      </c>
      <c r="I1696" s="1">
        <v>8.4700000000000006</v>
      </c>
      <c r="J1696" s="1">
        <v>3</v>
      </c>
      <c r="K1696" s="1">
        <v>283.14999999999998</v>
      </c>
      <c r="M1696" s="1">
        <v>50</v>
      </c>
      <c r="N1696" s="1">
        <f t="shared" si="279"/>
        <v>103.63471337579618</v>
      </c>
    </row>
    <row r="1697" spans="3:14" ht="34.5" customHeight="1" x14ac:dyDescent="0.3">
      <c r="C1697" s="1" t="s">
        <v>11</v>
      </c>
      <c r="F1697" s="1" t="s">
        <v>11</v>
      </c>
      <c r="G1697" s="1">
        <v>172.81</v>
      </c>
      <c r="H1697" s="1">
        <v>0.247</v>
      </c>
      <c r="I1697" s="1">
        <v>8.4700000000000006</v>
      </c>
      <c r="J1697" s="1">
        <v>3</v>
      </c>
      <c r="K1697" s="1">
        <v>283.14999999999998</v>
      </c>
      <c r="M1697" s="1">
        <v>100</v>
      </c>
      <c r="N1697" s="1">
        <f t="shared" si="279"/>
        <v>152.06214953271027</v>
      </c>
    </row>
    <row r="1698" spans="3:14" ht="34.5" customHeight="1" x14ac:dyDescent="0.3">
      <c r="C1698" s="1" t="s">
        <v>11</v>
      </c>
      <c r="F1698" s="1" t="s">
        <v>11</v>
      </c>
      <c r="G1698" s="1">
        <v>172.81</v>
      </c>
      <c r="H1698" s="1">
        <v>0.247</v>
      </c>
      <c r="I1698" s="1">
        <v>8.4700000000000006</v>
      </c>
      <c r="J1698" s="1">
        <v>3</v>
      </c>
      <c r="K1698" s="1">
        <v>283.14999999999998</v>
      </c>
      <c r="M1698" s="1">
        <v>200</v>
      </c>
      <c r="N1698" s="1">
        <f t="shared" si="279"/>
        <v>198.42256097560974</v>
      </c>
    </row>
    <row r="1699" spans="3:14" ht="34.5" customHeight="1" x14ac:dyDescent="0.3">
      <c r="C1699" s="1" t="s">
        <v>11</v>
      </c>
      <c r="F1699" s="1" t="s">
        <v>11</v>
      </c>
      <c r="G1699" s="1">
        <v>172.81</v>
      </c>
      <c r="H1699" s="1">
        <v>0.247</v>
      </c>
      <c r="I1699" s="1">
        <v>8.4700000000000006</v>
      </c>
      <c r="J1699" s="1">
        <v>3</v>
      </c>
      <c r="K1699" s="1">
        <v>283.14999999999998</v>
      </c>
      <c r="M1699" s="1">
        <v>400</v>
      </c>
      <c r="N1699" s="1">
        <f t="shared" si="279"/>
        <v>234.11007194244604</v>
      </c>
    </row>
    <row r="1700" spans="3:14" ht="34.5" customHeight="1" x14ac:dyDescent="0.3">
      <c r="C1700" s="1" t="s">
        <v>11</v>
      </c>
      <c r="F1700" s="1" t="s">
        <v>11</v>
      </c>
      <c r="G1700" s="1">
        <v>172.81</v>
      </c>
      <c r="H1700" s="1">
        <v>0.247</v>
      </c>
      <c r="I1700" s="1">
        <v>8.4700000000000006</v>
      </c>
      <c r="J1700" s="1">
        <v>3</v>
      </c>
      <c r="K1700" s="1">
        <v>293.14999999999998</v>
      </c>
      <c r="M1700" s="1">
        <v>5</v>
      </c>
      <c r="N1700" s="1">
        <f>392.66*0.0151*M1700/(1+0.0151*M1700)</f>
        <v>27.564695490469553</v>
      </c>
    </row>
    <row r="1701" spans="3:14" ht="34.5" customHeight="1" x14ac:dyDescent="0.3">
      <c r="C1701" s="1" t="s">
        <v>11</v>
      </c>
      <c r="F1701" s="1" t="s">
        <v>11</v>
      </c>
      <c r="G1701" s="1">
        <v>172.81</v>
      </c>
      <c r="H1701" s="1">
        <v>0.247</v>
      </c>
      <c r="I1701" s="1">
        <v>8.4700000000000006</v>
      </c>
      <c r="J1701" s="1">
        <v>3</v>
      </c>
      <c r="K1701" s="1">
        <v>293.14999999999998</v>
      </c>
      <c r="M1701" s="1">
        <v>10</v>
      </c>
      <c r="N1701" s="1">
        <f t="shared" ref="N1701:N1705" si="280">392.66*0.0151*M1701/(1+0.0151*M1701)</f>
        <v>51.51317115551695</v>
      </c>
    </row>
    <row r="1702" spans="3:14" ht="34.5" customHeight="1" x14ac:dyDescent="0.3">
      <c r="C1702" s="1" t="s">
        <v>11</v>
      </c>
      <c r="F1702" s="1" t="s">
        <v>11</v>
      </c>
      <c r="G1702" s="1">
        <v>172.81</v>
      </c>
      <c r="H1702" s="1">
        <v>0.247</v>
      </c>
      <c r="I1702" s="1">
        <v>8.4700000000000006</v>
      </c>
      <c r="J1702" s="1">
        <v>3</v>
      </c>
      <c r="K1702" s="1">
        <v>293.14999999999998</v>
      </c>
      <c r="M1702" s="1">
        <v>50</v>
      </c>
      <c r="N1702" s="1">
        <f t="shared" si="280"/>
        <v>168.92210826210828</v>
      </c>
    </row>
    <row r="1703" spans="3:14" ht="34.5" customHeight="1" x14ac:dyDescent="0.3">
      <c r="C1703" s="1" t="s">
        <v>11</v>
      </c>
      <c r="F1703" s="1" t="s">
        <v>11</v>
      </c>
      <c r="G1703" s="1">
        <v>172.81</v>
      </c>
      <c r="H1703" s="1">
        <v>0.247</v>
      </c>
      <c r="I1703" s="1">
        <v>8.4700000000000006</v>
      </c>
      <c r="J1703" s="1">
        <v>3</v>
      </c>
      <c r="K1703" s="1">
        <v>293.14999999999998</v>
      </c>
      <c r="M1703" s="1">
        <v>100</v>
      </c>
      <c r="N1703" s="1">
        <f t="shared" si="280"/>
        <v>236.22175298804783</v>
      </c>
    </row>
    <row r="1704" spans="3:14" ht="34.5" customHeight="1" x14ac:dyDescent="0.3">
      <c r="C1704" s="1" t="s">
        <v>11</v>
      </c>
      <c r="F1704" s="1" t="s">
        <v>11</v>
      </c>
      <c r="G1704" s="1">
        <v>172.81</v>
      </c>
      <c r="H1704" s="1">
        <v>0.247</v>
      </c>
      <c r="I1704" s="1">
        <v>8.4700000000000006</v>
      </c>
      <c r="J1704" s="1">
        <v>3</v>
      </c>
      <c r="K1704" s="1">
        <v>293.14999999999998</v>
      </c>
      <c r="M1704" s="1">
        <v>200</v>
      </c>
      <c r="N1704" s="1">
        <f t="shared" si="280"/>
        <v>294.98338308457716</v>
      </c>
    </row>
    <row r="1705" spans="3:14" ht="34.5" customHeight="1" x14ac:dyDescent="0.3">
      <c r="C1705" s="1" t="s">
        <v>11</v>
      </c>
      <c r="F1705" s="1" t="s">
        <v>11</v>
      </c>
      <c r="G1705" s="1">
        <v>172.81</v>
      </c>
      <c r="H1705" s="1">
        <v>0.247</v>
      </c>
      <c r="I1705" s="1">
        <v>8.4700000000000006</v>
      </c>
      <c r="J1705" s="1">
        <v>3</v>
      </c>
      <c r="K1705" s="1">
        <v>293.14999999999998</v>
      </c>
      <c r="M1705" s="1">
        <v>400</v>
      </c>
      <c r="N1705" s="1">
        <f t="shared" si="280"/>
        <v>336.88443181818184</v>
      </c>
    </row>
    <row r="1706" spans="3:14" ht="34.5" customHeight="1" x14ac:dyDescent="0.3">
      <c r="C1706" s="1" t="s">
        <v>11</v>
      </c>
      <c r="F1706" s="1" t="s">
        <v>11</v>
      </c>
      <c r="G1706" s="1">
        <v>172.81</v>
      </c>
      <c r="H1706" s="1">
        <v>0.247</v>
      </c>
      <c r="I1706" s="1">
        <v>8.4700000000000006</v>
      </c>
      <c r="J1706" s="1">
        <v>3</v>
      </c>
      <c r="K1706" s="1">
        <v>303.14999999999998</v>
      </c>
      <c r="M1706" s="1">
        <v>5</v>
      </c>
      <c r="N1706" s="1">
        <f>474.26*0.0199*M1706/(1+0.0199*M1706)</f>
        <v>42.91848112778537</v>
      </c>
    </row>
    <row r="1707" spans="3:14" ht="34.5" customHeight="1" x14ac:dyDescent="0.3">
      <c r="C1707" s="1" t="s">
        <v>11</v>
      </c>
      <c r="F1707" s="1" t="s">
        <v>11</v>
      </c>
      <c r="G1707" s="1">
        <v>172.81</v>
      </c>
      <c r="H1707" s="1">
        <v>0.247</v>
      </c>
      <c r="I1707" s="1">
        <v>8.4700000000000006</v>
      </c>
      <c r="J1707" s="1">
        <v>3</v>
      </c>
      <c r="K1707" s="1">
        <v>303.14999999999998</v>
      </c>
      <c r="M1707" s="1">
        <v>10</v>
      </c>
      <c r="N1707" s="1">
        <f t="shared" ref="N1707:N1711" si="281">474.26*0.0199*M1707/(1+0.0199*M1707)</f>
        <v>78.713711426188496</v>
      </c>
    </row>
    <row r="1708" spans="3:14" ht="34.5" customHeight="1" x14ac:dyDescent="0.3">
      <c r="C1708" s="1" t="s">
        <v>11</v>
      </c>
      <c r="F1708" s="1" t="s">
        <v>11</v>
      </c>
      <c r="G1708" s="1">
        <v>172.81</v>
      </c>
      <c r="H1708" s="1">
        <v>0.247</v>
      </c>
      <c r="I1708" s="1">
        <v>8.4700000000000006</v>
      </c>
      <c r="J1708" s="1">
        <v>3</v>
      </c>
      <c r="K1708" s="1">
        <v>303.14999999999998</v>
      </c>
      <c r="M1708" s="1">
        <v>50</v>
      </c>
      <c r="N1708" s="1">
        <f t="shared" si="281"/>
        <v>236.53568922305766</v>
      </c>
    </row>
    <row r="1709" spans="3:14" ht="34.5" customHeight="1" x14ac:dyDescent="0.3">
      <c r="C1709" s="1" t="s">
        <v>11</v>
      </c>
      <c r="F1709" s="1" t="s">
        <v>11</v>
      </c>
      <c r="G1709" s="1">
        <v>172.81</v>
      </c>
      <c r="H1709" s="1">
        <v>0.247</v>
      </c>
      <c r="I1709" s="1">
        <v>8.4700000000000006</v>
      </c>
      <c r="J1709" s="1">
        <v>3</v>
      </c>
      <c r="K1709" s="1">
        <v>303.14999999999998</v>
      </c>
      <c r="M1709" s="1">
        <v>100</v>
      </c>
      <c r="N1709" s="1">
        <f t="shared" si="281"/>
        <v>315.64461538461541</v>
      </c>
    </row>
    <row r="1710" spans="3:14" ht="34.5" customHeight="1" x14ac:dyDescent="0.3">
      <c r="C1710" s="1" t="s">
        <v>11</v>
      </c>
      <c r="F1710" s="1" t="s">
        <v>11</v>
      </c>
      <c r="G1710" s="1">
        <v>172.81</v>
      </c>
      <c r="H1710" s="1">
        <v>0.247</v>
      </c>
      <c r="I1710" s="1">
        <v>8.4700000000000006</v>
      </c>
      <c r="J1710" s="1">
        <v>3</v>
      </c>
      <c r="K1710" s="1">
        <v>303.14999999999998</v>
      </c>
      <c r="M1710" s="1">
        <v>200</v>
      </c>
      <c r="N1710" s="1">
        <f t="shared" si="281"/>
        <v>379.02706827309237</v>
      </c>
    </row>
    <row r="1711" spans="3:14" ht="34.5" customHeight="1" x14ac:dyDescent="0.3">
      <c r="C1711" s="1" t="s">
        <v>11</v>
      </c>
      <c r="F1711" s="1" t="s">
        <v>11</v>
      </c>
      <c r="G1711" s="1">
        <v>172.81</v>
      </c>
      <c r="H1711" s="1">
        <v>0.247</v>
      </c>
      <c r="I1711" s="1">
        <v>8.4700000000000006</v>
      </c>
      <c r="J1711" s="1">
        <v>3</v>
      </c>
      <c r="K1711" s="1">
        <v>303.14999999999998</v>
      </c>
      <c r="M1711" s="1">
        <v>400</v>
      </c>
      <c r="N1711" s="1">
        <f t="shared" si="281"/>
        <v>421.32919642857144</v>
      </c>
    </row>
    <row r="1712" spans="3:14" ht="34.5" customHeight="1" x14ac:dyDescent="0.3">
      <c r="F1712" s="1" t="s">
        <v>11</v>
      </c>
      <c r="G1712" s="1">
        <v>382.11399999999998</v>
      </c>
      <c r="J1712" s="1">
        <v>9</v>
      </c>
      <c r="K1712" s="1">
        <v>303</v>
      </c>
      <c r="M1712" s="1">
        <v>5</v>
      </c>
      <c r="N1712" s="1">
        <f>5.95*M1712^0.487</f>
        <v>13.029128215008894</v>
      </c>
    </row>
    <row r="1713" spans="6:14" ht="34.5" customHeight="1" x14ac:dyDescent="0.3">
      <c r="F1713" s="1" t="s">
        <v>11</v>
      </c>
      <c r="G1713" s="1">
        <v>382.11399999999998</v>
      </c>
      <c r="J1713" s="1">
        <v>9</v>
      </c>
      <c r="K1713" s="1">
        <v>303</v>
      </c>
      <c r="M1713" s="1">
        <v>50</v>
      </c>
      <c r="N1713" s="1">
        <f t="shared" ref="N1713:N1717" si="282">5.95*M1713^0.487</f>
        <v>39.986680981429927</v>
      </c>
    </row>
    <row r="1714" spans="6:14" ht="34.5" customHeight="1" x14ac:dyDescent="0.3">
      <c r="F1714" s="1" t="s">
        <v>11</v>
      </c>
      <c r="G1714" s="1">
        <v>382.11399999999998</v>
      </c>
      <c r="J1714" s="1">
        <v>9</v>
      </c>
      <c r="K1714" s="1">
        <v>303</v>
      </c>
      <c r="M1714" s="1">
        <v>125</v>
      </c>
      <c r="N1714" s="1">
        <f t="shared" si="282"/>
        <v>62.475845473819732</v>
      </c>
    </row>
    <row r="1715" spans="6:14" ht="34.5" customHeight="1" x14ac:dyDescent="0.3">
      <c r="F1715" s="1" t="s">
        <v>11</v>
      </c>
      <c r="G1715" s="1">
        <v>382.11399999999998</v>
      </c>
      <c r="J1715" s="1">
        <v>9</v>
      </c>
      <c r="K1715" s="1">
        <v>303</v>
      </c>
      <c r="M1715" s="1">
        <v>350</v>
      </c>
      <c r="N1715" s="1">
        <f t="shared" si="282"/>
        <v>103.15210699165333</v>
      </c>
    </row>
    <row r="1716" spans="6:14" ht="34.5" customHeight="1" x14ac:dyDescent="0.3">
      <c r="F1716" s="1" t="s">
        <v>11</v>
      </c>
      <c r="G1716" s="1">
        <v>382.11399999999998</v>
      </c>
      <c r="J1716" s="1">
        <v>9</v>
      </c>
      <c r="K1716" s="1">
        <v>303</v>
      </c>
      <c r="M1716" s="1">
        <v>750</v>
      </c>
      <c r="N1716" s="1">
        <f t="shared" si="282"/>
        <v>149.51053687821488</v>
      </c>
    </row>
    <row r="1717" spans="6:14" ht="34.5" customHeight="1" x14ac:dyDescent="0.3">
      <c r="F1717" s="1" t="s">
        <v>11</v>
      </c>
      <c r="G1717" s="1">
        <v>382.11399999999998</v>
      </c>
      <c r="J1717" s="1">
        <v>9</v>
      </c>
      <c r="K1717" s="1">
        <v>303</v>
      </c>
      <c r="M1717" s="1">
        <v>1000</v>
      </c>
      <c r="N1717" s="1">
        <f t="shared" si="282"/>
        <v>171.99545300074575</v>
      </c>
    </row>
    <row r="1718" spans="6:14" ht="34.5" customHeight="1" x14ac:dyDescent="0.3">
      <c r="F1718" s="1" t="s">
        <v>11</v>
      </c>
      <c r="G1718" s="1">
        <v>421.49200000000002</v>
      </c>
      <c r="J1718" s="1">
        <v>9</v>
      </c>
      <c r="K1718" s="1">
        <v>303</v>
      </c>
      <c r="M1718" s="1">
        <v>5</v>
      </c>
      <c r="N1718" s="1">
        <f>9.12*M1718^0.429</f>
        <v>18.190849056081181</v>
      </c>
    </row>
    <row r="1719" spans="6:14" ht="34.5" customHeight="1" x14ac:dyDescent="0.3">
      <c r="F1719" s="1" t="s">
        <v>11</v>
      </c>
      <c r="G1719" s="1">
        <v>421.49200000000002</v>
      </c>
      <c r="J1719" s="1">
        <v>9</v>
      </c>
      <c r="K1719" s="1">
        <v>303</v>
      </c>
      <c r="M1719" s="1">
        <v>50</v>
      </c>
      <c r="N1719" s="1">
        <f t="shared" ref="N1719:N1723" si="283">9.12*M1719^0.429</f>
        <v>48.848695474559896</v>
      </c>
    </row>
    <row r="1720" spans="6:14" ht="34.5" customHeight="1" x14ac:dyDescent="0.3">
      <c r="F1720" s="1" t="s">
        <v>11</v>
      </c>
      <c r="G1720" s="1">
        <v>421.49200000000002</v>
      </c>
      <c r="J1720" s="1">
        <v>9</v>
      </c>
      <c r="K1720" s="1">
        <v>303</v>
      </c>
      <c r="M1720" s="1">
        <v>125</v>
      </c>
      <c r="N1720" s="1">
        <f t="shared" si="283"/>
        <v>72.37177659753948</v>
      </c>
    </row>
    <row r="1721" spans="6:14" ht="34.5" customHeight="1" x14ac:dyDescent="0.3">
      <c r="F1721" s="1" t="s">
        <v>11</v>
      </c>
      <c r="G1721" s="1">
        <v>421.49200000000002</v>
      </c>
      <c r="J1721" s="1">
        <v>9</v>
      </c>
      <c r="K1721" s="1">
        <v>303</v>
      </c>
      <c r="M1721" s="1">
        <v>350</v>
      </c>
      <c r="N1721" s="1">
        <f t="shared" si="283"/>
        <v>112.56413266600713</v>
      </c>
    </row>
    <row r="1722" spans="6:14" ht="34.5" customHeight="1" x14ac:dyDescent="0.3">
      <c r="F1722" s="1" t="s">
        <v>11</v>
      </c>
      <c r="G1722" s="1">
        <v>421.49200000000002</v>
      </c>
      <c r="J1722" s="1">
        <v>9</v>
      </c>
      <c r="K1722" s="1">
        <v>303</v>
      </c>
      <c r="M1722" s="1">
        <v>750</v>
      </c>
      <c r="N1722" s="1">
        <f t="shared" si="283"/>
        <v>156.09756207520894</v>
      </c>
    </row>
    <row r="1723" spans="6:14" ht="34.5" customHeight="1" x14ac:dyDescent="0.3">
      <c r="F1723" s="1" t="s">
        <v>11</v>
      </c>
      <c r="G1723" s="1">
        <v>421.49200000000002</v>
      </c>
      <c r="J1723" s="1">
        <v>9</v>
      </c>
      <c r="K1723" s="1">
        <v>303</v>
      </c>
      <c r="M1723" s="1">
        <v>1000</v>
      </c>
      <c r="N1723" s="1">
        <f t="shared" si="283"/>
        <v>176.60168311193053</v>
      </c>
    </row>
    <row r="1724" spans="6:14" ht="34.5" customHeight="1" x14ac:dyDescent="0.3">
      <c r="F1724" s="1" t="s">
        <v>11</v>
      </c>
      <c r="G1724" s="1">
        <v>490.29399999999998</v>
      </c>
      <c r="J1724" s="1">
        <v>9</v>
      </c>
      <c r="K1724" s="1">
        <v>303</v>
      </c>
      <c r="M1724" s="1">
        <v>5</v>
      </c>
      <c r="N1724" s="1">
        <f>14.3*M1724^0.371</f>
        <v>25.98088311512635</v>
      </c>
    </row>
    <row r="1725" spans="6:14" ht="34.5" customHeight="1" x14ac:dyDescent="0.3">
      <c r="F1725" s="1" t="s">
        <v>11</v>
      </c>
      <c r="G1725" s="1">
        <v>490.29399999999998</v>
      </c>
      <c r="J1725" s="1">
        <v>9</v>
      </c>
      <c r="K1725" s="1">
        <v>303</v>
      </c>
      <c r="M1725" s="1">
        <v>50</v>
      </c>
      <c r="N1725" s="1">
        <f t="shared" ref="N1725:N1729" si="284">14.3*M1725^0.371</f>
        <v>61.045535681924477</v>
      </c>
    </row>
    <row r="1726" spans="6:14" ht="34.5" customHeight="1" x14ac:dyDescent="0.3">
      <c r="F1726" s="1" t="s">
        <v>11</v>
      </c>
      <c r="G1726" s="1">
        <v>490.29399999999998</v>
      </c>
      <c r="J1726" s="1">
        <v>9</v>
      </c>
      <c r="K1726" s="1">
        <v>303</v>
      </c>
      <c r="M1726" s="1">
        <v>125</v>
      </c>
      <c r="N1726" s="1">
        <f t="shared" si="284"/>
        <v>85.760963646155204</v>
      </c>
    </row>
    <row r="1727" spans="6:14" ht="34.5" customHeight="1" x14ac:dyDescent="0.3">
      <c r="F1727" s="1" t="s">
        <v>11</v>
      </c>
      <c r="G1727" s="1">
        <v>490.29399999999998</v>
      </c>
      <c r="J1727" s="1">
        <v>9</v>
      </c>
      <c r="K1727" s="1">
        <v>303</v>
      </c>
      <c r="M1727" s="1">
        <v>350</v>
      </c>
      <c r="N1727" s="1">
        <f t="shared" si="284"/>
        <v>125.65659347952648</v>
      </c>
    </row>
    <row r="1728" spans="6:14" ht="34.5" customHeight="1" x14ac:dyDescent="0.3">
      <c r="F1728" s="1" t="s">
        <v>11</v>
      </c>
      <c r="G1728" s="1">
        <v>490.29399999999998</v>
      </c>
      <c r="J1728" s="1">
        <v>9</v>
      </c>
      <c r="K1728" s="1">
        <v>303</v>
      </c>
      <c r="M1728" s="1">
        <v>750</v>
      </c>
      <c r="N1728" s="1">
        <f t="shared" si="284"/>
        <v>166.71848924415917</v>
      </c>
    </row>
    <row r="1729" spans="6:14" ht="34.5" customHeight="1" x14ac:dyDescent="0.3">
      <c r="F1729" s="1" t="s">
        <v>11</v>
      </c>
      <c r="G1729" s="1">
        <v>490.29399999999998</v>
      </c>
      <c r="J1729" s="1">
        <v>9</v>
      </c>
      <c r="K1729" s="1">
        <v>303</v>
      </c>
      <c r="M1729" s="1">
        <v>1000</v>
      </c>
      <c r="N1729" s="1">
        <f t="shared" si="284"/>
        <v>185.49663575070571</v>
      </c>
    </row>
    <row r="1730" spans="6:14" ht="34.5" customHeight="1" x14ac:dyDescent="0.3">
      <c r="F1730" s="1" t="s">
        <v>11</v>
      </c>
      <c r="G1730" s="1">
        <v>117.48</v>
      </c>
      <c r="H1730" s="1">
        <v>0.35</v>
      </c>
      <c r="I1730" s="1">
        <v>11.57</v>
      </c>
      <c r="J1730" s="1">
        <v>7</v>
      </c>
      <c r="K1730" s="1">
        <v>303.14999999999998</v>
      </c>
      <c r="M1730" s="1">
        <v>5</v>
      </c>
      <c r="N1730" s="1">
        <f>15.3*M1730^(1/1.2)</f>
        <v>58.501423586877344</v>
      </c>
    </row>
    <row r="1731" spans="6:14" ht="34.5" customHeight="1" x14ac:dyDescent="0.3">
      <c r="F1731" s="1" t="s">
        <v>11</v>
      </c>
      <c r="G1731" s="1">
        <v>117.48</v>
      </c>
      <c r="H1731" s="1">
        <v>0.35</v>
      </c>
      <c r="I1731" s="1">
        <v>11.57</v>
      </c>
      <c r="J1731" s="1">
        <v>7</v>
      </c>
      <c r="K1731" s="1">
        <v>303.14999999999998</v>
      </c>
      <c r="M1731" s="1">
        <v>30</v>
      </c>
      <c r="N1731" s="1">
        <f t="shared" ref="N1731:N1735" si="285">15.3*M1731^(1/1.2)</f>
        <v>260.39090424340782</v>
      </c>
    </row>
    <row r="1732" spans="6:14" ht="34.5" customHeight="1" x14ac:dyDescent="0.3">
      <c r="F1732" s="1" t="s">
        <v>11</v>
      </c>
      <c r="G1732" s="1">
        <v>117.48</v>
      </c>
      <c r="H1732" s="1">
        <v>0.35</v>
      </c>
      <c r="I1732" s="1">
        <v>11.57</v>
      </c>
      <c r="J1732" s="1">
        <v>7</v>
      </c>
      <c r="K1732" s="1">
        <v>303.14999999999998</v>
      </c>
      <c r="M1732" s="1">
        <v>45</v>
      </c>
      <c r="N1732" s="1">
        <f t="shared" si="285"/>
        <v>365.06359448571203</v>
      </c>
    </row>
    <row r="1733" spans="6:14" ht="34.5" customHeight="1" x14ac:dyDescent="0.3">
      <c r="F1733" s="1" t="s">
        <v>11</v>
      </c>
      <c r="G1733" s="1">
        <v>117.48</v>
      </c>
      <c r="H1733" s="1">
        <v>0.35</v>
      </c>
      <c r="I1733" s="1">
        <v>11.57</v>
      </c>
      <c r="J1733" s="1">
        <v>7</v>
      </c>
      <c r="K1733" s="1">
        <v>303.14999999999998</v>
      </c>
      <c r="M1733" s="1">
        <v>60</v>
      </c>
      <c r="N1733" s="1">
        <f t="shared" si="285"/>
        <v>463.96384561171158</v>
      </c>
    </row>
    <row r="1734" spans="6:14" ht="34.5" customHeight="1" x14ac:dyDescent="0.3">
      <c r="F1734" s="1" t="s">
        <v>11</v>
      </c>
      <c r="G1734" s="1">
        <v>117.48</v>
      </c>
      <c r="H1734" s="1">
        <v>0.35</v>
      </c>
      <c r="I1734" s="1">
        <v>11.57</v>
      </c>
      <c r="J1734" s="1">
        <v>7</v>
      </c>
      <c r="K1734" s="1">
        <v>303.14999999999998</v>
      </c>
      <c r="M1734" s="1">
        <v>75</v>
      </c>
      <c r="N1734" s="1">
        <f t="shared" si="285"/>
        <v>558.78209761769335</v>
      </c>
    </row>
    <row r="1735" spans="6:14" ht="34.5" customHeight="1" x14ac:dyDescent="0.3">
      <c r="F1735" s="1" t="s">
        <v>11</v>
      </c>
      <c r="G1735" s="1">
        <v>117.48</v>
      </c>
      <c r="H1735" s="1">
        <v>0.35</v>
      </c>
      <c r="I1735" s="1">
        <v>11.57</v>
      </c>
      <c r="J1735" s="1">
        <v>7</v>
      </c>
      <c r="K1735" s="1">
        <v>303.14999999999998</v>
      </c>
      <c r="M1735" s="1">
        <v>105</v>
      </c>
      <c r="N1735" s="1">
        <f t="shared" si="285"/>
        <v>739.63226256106248</v>
      </c>
    </row>
    <row r="1736" spans="6:14" ht="34.5" customHeight="1" x14ac:dyDescent="0.3">
      <c r="F1736" s="1" t="s">
        <v>11</v>
      </c>
      <c r="G1736" s="1">
        <v>173.96</v>
      </c>
      <c r="I1736" s="1">
        <v>11.41</v>
      </c>
      <c r="J1736" s="1">
        <v>5</v>
      </c>
      <c r="K1736" s="1">
        <v>303.14999999999998</v>
      </c>
      <c r="M1736" s="1">
        <v>5</v>
      </c>
      <c r="N1736" s="1">
        <f>5.64*M1736^(1/1.06)</f>
        <v>25.744518193310384</v>
      </c>
    </row>
    <row r="1737" spans="6:14" ht="34.5" customHeight="1" x14ac:dyDescent="0.3">
      <c r="F1737" s="1" t="s">
        <v>11</v>
      </c>
      <c r="G1737" s="1">
        <v>173.96</v>
      </c>
      <c r="I1737" s="1">
        <v>11.41</v>
      </c>
      <c r="J1737" s="1">
        <v>5</v>
      </c>
      <c r="K1737" s="1">
        <v>303.14999999999998</v>
      </c>
      <c r="M1737" s="1">
        <v>10</v>
      </c>
      <c r="N1737" s="1">
        <f t="shared" ref="N1737:N1741" si="286">5.64*M1737^(1/1.06)</f>
        <v>49.5079940868848</v>
      </c>
    </row>
    <row r="1738" spans="6:14" ht="34.5" customHeight="1" x14ac:dyDescent="0.3">
      <c r="F1738" s="1" t="s">
        <v>11</v>
      </c>
      <c r="G1738" s="1">
        <v>173.96</v>
      </c>
      <c r="I1738" s="1">
        <v>11.41</v>
      </c>
      <c r="J1738" s="1">
        <v>5</v>
      </c>
      <c r="K1738" s="1">
        <v>303.14999999999998</v>
      </c>
      <c r="M1738" s="1">
        <v>20</v>
      </c>
      <c r="N1738" s="1">
        <f t="shared" si="286"/>
        <v>95.206344904287761</v>
      </c>
    </row>
    <row r="1739" spans="6:14" ht="34.5" customHeight="1" x14ac:dyDescent="0.3">
      <c r="F1739" s="1" t="s">
        <v>11</v>
      </c>
      <c r="G1739" s="1">
        <v>173.96</v>
      </c>
      <c r="I1739" s="1">
        <v>11.41</v>
      </c>
      <c r="J1739" s="1">
        <v>5</v>
      </c>
      <c r="K1739" s="1">
        <v>303.14999999999998</v>
      </c>
      <c r="M1739" s="1">
        <v>40</v>
      </c>
      <c r="N1739" s="1">
        <f t="shared" si="286"/>
        <v>183.08655555962866</v>
      </c>
    </row>
    <row r="1740" spans="6:14" ht="34.5" customHeight="1" x14ac:dyDescent="0.3">
      <c r="F1740" s="1" t="s">
        <v>11</v>
      </c>
      <c r="G1740" s="1">
        <v>173.96</v>
      </c>
      <c r="I1740" s="1">
        <v>11.41</v>
      </c>
      <c r="J1740" s="1">
        <v>5</v>
      </c>
      <c r="K1740" s="1">
        <v>303.14999999999998</v>
      </c>
      <c r="M1740" s="1">
        <v>50</v>
      </c>
      <c r="N1740" s="1">
        <f t="shared" si="286"/>
        <v>225.98571888016113</v>
      </c>
    </row>
    <row r="1741" spans="6:14" ht="34.5" customHeight="1" x14ac:dyDescent="0.3">
      <c r="F1741" s="1" t="s">
        <v>11</v>
      </c>
      <c r="G1741" s="1">
        <v>173.96</v>
      </c>
      <c r="I1741" s="1">
        <v>11.41</v>
      </c>
      <c r="J1741" s="1">
        <v>5</v>
      </c>
      <c r="K1741" s="1">
        <v>303.14999999999998</v>
      </c>
      <c r="M1741" s="1">
        <v>70</v>
      </c>
      <c r="N1741" s="1">
        <f t="shared" si="286"/>
        <v>310.41137838389466</v>
      </c>
    </row>
    <row r="1742" spans="6:14" ht="34.5" customHeight="1" x14ac:dyDescent="0.3">
      <c r="F1742" s="1" t="s">
        <v>11</v>
      </c>
      <c r="G1742" s="1">
        <v>181.02</v>
      </c>
      <c r="I1742" s="1">
        <v>10.76</v>
      </c>
      <c r="J1742" s="1">
        <v>5</v>
      </c>
      <c r="K1742" s="1">
        <v>303.14999999999998</v>
      </c>
      <c r="M1742" s="1">
        <v>5</v>
      </c>
      <c r="N1742" s="1">
        <f>5.51*M1742^(1/1.06)</f>
        <v>25.151116178216352</v>
      </c>
    </row>
    <row r="1743" spans="6:14" ht="34.5" customHeight="1" x14ac:dyDescent="0.3">
      <c r="F1743" s="1" t="s">
        <v>11</v>
      </c>
      <c r="G1743" s="1">
        <v>181.02</v>
      </c>
      <c r="I1743" s="1">
        <v>10.76</v>
      </c>
      <c r="J1743" s="1">
        <v>5</v>
      </c>
      <c r="K1743" s="1">
        <v>303.14999999999998</v>
      </c>
      <c r="M1743" s="1">
        <v>10</v>
      </c>
      <c r="N1743" s="1">
        <f t="shared" ref="N1743:N1746" si="287">5.51*M1743^(1/1.06)</f>
        <v>48.366852379208375</v>
      </c>
    </row>
    <row r="1744" spans="6:14" ht="34.5" customHeight="1" x14ac:dyDescent="0.3">
      <c r="F1744" s="1" t="s">
        <v>11</v>
      </c>
      <c r="G1744" s="1">
        <v>181.02</v>
      </c>
      <c r="I1744" s="1">
        <v>10.76</v>
      </c>
      <c r="J1744" s="1">
        <v>5</v>
      </c>
      <c r="K1744" s="1">
        <v>303.14999999999998</v>
      </c>
      <c r="M1744" s="1">
        <v>20</v>
      </c>
      <c r="N1744" s="1">
        <f t="shared" si="287"/>
        <v>93.011872415359136</v>
      </c>
    </row>
    <row r="1745" spans="6:14" ht="34.5" customHeight="1" x14ac:dyDescent="0.3">
      <c r="F1745" s="1" t="s">
        <v>11</v>
      </c>
      <c r="G1745" s="1">
        <v>181.02</v>
      </c>
      <c r="I1745" s="1">
        <v>10.76</v>
      </c>
      <c r="J1745" s="1">
        <v>5</v>
      </c>
      <c r="K1745" s="1">
        <v>303.14999999999998</v>
      </c>
      <c r="M1745" s="1">
        <v>40</v>
      </c>
      <c r="N1745" s="1">
        <f t="shared" si="287"/>
        <v>178.86647537828969</v>
      </c>
    </row>
    <row r="1746" spans="6:14" ht="34.5" customHeight="1" x14ac:dyDescent="0.3">
      <c r="F1746" s="1" t="s">
        <v>11</v>
      </c>
      <c r="G1746" s="1">
        <v>181.02</v>
      </c>
      <c r="I1746" s="1">
        <v>10.76</v>
      </c>
      <c r="J1746" s="1">
        <v>5</v>
      </c>
      <c r="K1746" s="1">
        <v>303.14999999999998</v>
      </c>
      <c r="M1746" s="1">
        <v>50</v>
      </c>
      <c r="N1746" s="1">
        <f t="shared" si="287"/>
        <v>220.77682819675317</v>
      </c>
    </row>
    <row r="1747" spans="6:14" ht="34.5" customHeight="1" x14ac:dyDescent="0.3">
      <c r="F1747" s="1" t="s">
        <v>11</v>
      </c>
      <c r="G1747" s="1">
        <v>181.02</v>
      </c>
      <c r="I1747" s="1">
        <v>10.76</v>
      </c>
      <c r="J1747" s="1">
        <v>5</v>
      </c>
      <c r="K1747" s="1">
        <v>303.14999999999998</v>
      </c>
      <c r="M1747" s="1">
        <v>70</v>
      </c>
      <c r="N1747" s="1">
        <f>5.51*M1747^(1/1.06)</f>
        <v>303.25650618710279</v>
      </c>
    </row>
    <row r="1748" spans="6:14" ht="34.5" customHeight="1" x14ac:dyDescent="0.3">
      <c r="F1748" s="1" t="s">
        <v>11</v>
      </c>
      <c r="G1748" s="1">
        <v>141.61000000000001</v>
      </c>
      <c r="I1748" s="1">
        <v>13.37</v>
      </c>
      <c r="J1748" s="1">
        <v>5</v>
      </c>
      <c r="K1748" s="1">
        <v>303.14999999999998</v>
      </c>
      <c r="M1748" s="1">
        <v>5</v>
      </c>
      <c r="N1748" s="1">
        <f>5.78*M1748^(1/1.07)</f>
        <v>26.011825574296335</v>
      </c>
    </row>
    <row r="1749" spans="6:14" ht="34.5" customHeight="1" x14ac:dyDescent="0.3">
      <c r="F1749" s="1" t="s">
        <v>11</v>
      </c>
      <c r="G1749" s="1">
        <v>141.61000000000001</v>
      </c>
      <c r="I1749" s="1">
        <v>13.37</v>
      </c>
      <c r="J1749" s="1">
        <v>5</v>
      </c>
      <c r="K1749" s="1">
        <v>303.14999999999998</v>
      </c>
      <c r="M1749" s="1">
        <v>10</v>
      </c>
      <c r="N1749" s="1">
        <f t="shared" ref="N1749:N1753" si="288">5.78*M1749^(1/1.07)</f>
        <v>49.717270500767732</v>
      </c>
    </row>
    <row r="1750" spans="6:14" ht="34.5" customHeight="1" x14ac:dyDescent="0.3">
      <c r="F1750" s="1" t="s">
        <v>11</v>
      </c>
      <c r="G1750" s="1">
        <v>141.61000000000001</v>
      </c>
      <c r="I1750" s="1">
        <v>13.37</v>
      </c>
      <c r="J1750" s="1">
        <v>5</v>
      </c>
      <c r="K1750" s="1">
        <v>303.14999999999998</v>
      </c>
      <c r="M1750" s="1">
        <v>20</v>
      </c>
      <c r="N1750" s="1">
        <f t="shared" si="288"/>
        <v>95.026278681840509</v>
      </c>
    </row>
    <row r="1751" spans="6:14" ht="34.5" customHeight="1" x14ac:dyDescent="0.3">
      <c r="F1751" s="1" t="s">
        <v>11</v>
      </c>
      <c r="G1751" s="1">
        <v>141.61000000000001</v>
      </c>
      <c r="I1751" s="1">
        <v>13.37</v>
      </c>
      <c r="J1751" s="1">
        <v>5</v>
      </c>
      <c r="K1751" s="1">
        <v>303.14999999999998</v>
      </c>
      <c r="M1751" s="1">
        <v>40</v>
      </c>
      <c r="N1751" s="1">
        <f t="shared" si="288"/>
        <v>181.62689844325573</v>
      </c>
    </row>
    <row r="1752" spans="6:14" ht="34.5" customHeight="1" x14ac:dyDescent="0.3">
      <c r="F1752" s="1" t="s">
        <v>11</v>
      </c>
      <c r="G1752" s="1">
        <v>141.61000000000001</v>
      </c>
      <c r="I1752" s="1">
        <v>13.37</v>
      </c>
      <c r="J1752" s="1">
        <v>5</v>
      </c>
      <c r="K1752" s="1">
        <v>303.14999999999998</v>
      </c>
      <c r="M1752" s="1">
        <v>50</v>
      </c>
      <c r="N1752" s="1">
        <f t="shared" si="288"/>
        <v>223.74342012042891</v>
      </c>
    </row>
    <row r="1753" spans="6:14" ht="34.5" customHeight="1" x14ac:dyDescent="0.3">
      <c r="F1753" s="1" t="s">
        <v>11</v>
      </c>
      <c r="G1753" s="1">
        <v>141.61000000000001</v>
      </c>
      <c r="I1753" s="1">
        <v>13.37</v>
      </c>
      <c r="J1753" s="1">
        <v>5</v>
      </c>
      <c r="K1753" s="1">
        <v>303.14999999999998</v>
      </c>
      <c r="M1753" s="1">
        <v>70</v>
      </c>
      <c r="N1753" s="1">
        <f t="shared" si="288"/>
        <v>306.42100315250929</v>
      </c>
    </row>
    <row r="1754" spans="6:14" ht="34.5" customHeight="1" x14ac:dyDescent="0.3">
      <c r="F1754" s="1" t="s">
        <v>11</v>
      </c>
      <c r="G1754" s="1">
        <v>196.41</v>
      </c>
      <c r="I1754" s="1">
        <v>8.51</v>
      </c>
      <c r="J1754" s="1">
        <v>5</v>
      </c>
      <c r="K1754" s="1">
        <v>303.14999999999998</v>
      </c>
      <c r="M1754" s="1">
        <v>5</v>
      </c>
      <c r="N1754" s="1">
        <f>7.64*M1754^(1/1.32)</f>
        <v>25.859259784078926</v>
      </c>
    </row>
    <row r="1755" spans="6:14" ht="34.5" customHeight="1" x14ac:dyDescent="0.3">
      <c r="F1755" s="1" t="s">
        <v>11</v>
      </c>
      <c r="G1755" s="1">
        <v>196.41</v>
      </c>
      <c r="I1755" s="1">
        <v>8.51</v>
      </c>
      <c r="J1755" s="1">
        <v>5</v>
      </c>
      <c r="K1755" s="1">
        <v>303.14999999999998</v>
      </c>
      <c r="M1755" s="1">
        <v>10</v>
      </c>
      <c r="N1755" s="1">
        <f t="shared" ref="N1755:N1759" si="289">7.64*M1755^(1/1.32)</f>
        <v>43.718888917435656</v>
      </c>
    </row>
    <row r="1756" spans="6:14" ht="34.5" customHeight="1" x14ac:dyDescent="0.3">
      <c r="F1756" s="1" t="s">
        <v>11</v>
      </c>
      <c r="G1756" s="1">
        <v>196.41</v>
      </c>
      <c r="I1756" s="1">
        <v>8.51</v>
      </c>
      <c r="J1756" s="1">
        <v>5</v>
      </c>
      <c r="K1756" s="1">
        <v>303.14999999999998</v>
      </c>
      <c r="M1756" s="1">
        <v>20</v>
      </c>
      <c r="N1756" s="1">
        <f t="shared" si="289"/>
        <v>73.91322350811663</v>
      </c>
    </row>
    <row r="1757" spans="6:14" ht="34.5" customHeight="1" x14ac:dyDescent="0.3">
      <c r="F1757" s="1" t="s">
        <v>11</v>
      </c>
      <c r="G1757" s="1">
        <v>196.41</v>
      </c>
      <c r="I1757" s="1">
        <v>8.51</v>
      </c>
      <c r="J1757" s="1">
        <v>5</v>
      </c>
      <c r="K1757" s="1">
        <v>303.14999999999998</v>
      </c>
      <c r="M1757" s="1">
        <v>40</v>
      </c>
      <c r="N1757" s="1">
        <f t="shared" si="289"/>
        <v>124.96119514103269</v>
      </c>
    </row>
    <row r="1758" spans="6:14" ht="34.5" customHeight="1" x14ac:dyDescent="0.3">
      <c r="F1758" s="1" t="s">
        <v>11</v>
      </c>
      <c r="G1758" s="1">
        <v>196.41</v>
      </c>
      <c r="I1758" s="1">
        <v>8.51</v>
      </c>
      <c r="J1758" s="1">
        <v>5</v>
      </c>
      <c r="K1758" s="1">
        <v>303.14999999999998</v>
      </c>
      <c r="M1758" s="1">
        <v>50</v>
      </c>
      <c r="N1758" s="1">
        <f t="shared" si="289"/>
        <v>147.97619188314894</v>
      </c>
    </row>
    <row r="1759" spans="6:14" ht="34.5" customHeight="1" x14ac:dyDescent="0.3">
      <c r="F1759" s="1" t="s">
        <v>11</v>
      </c>
      <c r="G1759" s="1">
        <v>196.41</v>
      </c>
      <c r="I1759" s="1">
        <v>8.51</v>
      </c>
      <c r="J1759" s="1">
        <v>5</v>
      </c>
      <c r="K1759" s="1">
        <v>303.14999999999998</v>
      </c>
      <c r="M1759" s="1">
        <v>70</v>
      </c>
      <c r="N1759" s="1">
        <f t="shared" si="289"/>
        <v>190.93911445309143</v>
      </c>
    </row>
    <row r="1760" spans="6:14" ht="34.5" customHeight="1" x14ac:dyDescent="0.3">
      <c r="F1760" s="1">
        <v>15.18</v>
      </c>
      <c r="G1760" s="1">
        <v>116.2</v>
      </c>
      <c r="J1760" s="1">
        <v>7</v>
      </c>
      <c r="K1760" s="1">
        <v>301.14999999999998</v>
      </c>
      <c r="M1760" s="1">
        <v>1</v>
      </c>
      <c r="N1760" s="1">
        <f>27.63*0.96*M1760/(1+0.96*M1760)</f>
        <v>13.533061224489796</v>
      </c>
    </row>
    <row r="1761" spans="5:14" ht="34.5" customHeight="1" x14ac:dyDescent="0.3">
      <c r="F1761" s="1">
        <v>15.18</v>
      </c>
      <c r="G1761" s="1">
        <v>116.2</v>
      </c>
      <c r="J1761" s="1">
        <v>7</v>
      </c>
      <c r="K1761" s="1">
        <v>301.14999999999998</v>
      </c>
      <c r="M1761" s="1">
        <v>3</v>
      </c>
      <c r="N1761" s="1">
        <f>27.63*0.96*M1761/(1+0.96*M1761)</f>
        <v>20.508865979381444</v>
      </c>
    </row>
    <row r="1762" spans="5:14" ht="34.5" customHeight="1" x14ac:dyDescent="0.3">
      <c r="F1762" s="1">
        <v>15.18</v>
      </c>
      <c r="G1762" s="1">
        <v>116.2</v>
      </c>
      <c r="J1762" s="1">
        <v>7</v>
      </c>
      <c r="K1762" s="1">
        <v>301.14999999999998</v>
      </c>
      <c r="M1762" s="1">
        <v>5</v>
      </c>
      <c r="N1762" s="1">
        <f t="shared" ref="N1762:N1765" si="290">27.63*0.96*M1762/(1+0.96*M1762)</f>
        <v>22.866206896551724</v>
      </c>
    </row>
    <row r="1763" spans="5:14" ht="34.5" customHeight="1" x14ac:dyDescent="0.3">
      <c r="F1763" s="1">
        <v>15.18</v>
      </c>
      <c r="G1763" s="1">
        <v>116.2</v>
      </c>
      <c r="J1763" s="1">
        <v>7</v>
      </c>
      <c r="K1763" s="1">
        <v>301.14999999999998</v>
      </c>
      <c r="M1763" s="1">
        <v>10</v>
      </c>
      <c r="N1763" s="1">
        <f t="shared" si="290"/>
        <v>25.023396226415095</v>
      </c>
    </row>
    <row r="1764" spans="5:14" ht="34.5" customHeight="1" x14ac:dyDescent="0.3">
      <c r="F1764" s="1">
        <v>15.18</v>
      </c>
      <c r="G1764" s="1">
        <v>116.2</v>
      </c>
      <c r="J1764" s="1">
        <v>7</v>
      </c>
      <c r="K1764" s="1">
        <v>301.14999999999998</v>
      </c>
      <c r="M1764" s="1">
        <v>20</v>
      </c>
      <c r="N1764" s="1">
        <f t="shared" si="290"/>
        <v>26.262178217821781</v>
      </c>
    </row>
    <row r="1765" spans="5:14" ht="34.5" customHeight="1" x14ac:dyDescent="0.3">
      <c r="F1765" s="1">
        <v>15.18</v>
      </c>
      <c r="G1765" s="1">
        <v>116.2</v>
      </c>
      <c r="J1765" s="1">
        <v>7</v>
      </c>
      <c r="K1765" s="1">
        <v>301.14999999999998</v>
      </c>
      <c r="M1765" s="1">
        <v>40</v>
      </c>
      <c r="N1765" s="1">
        <f t="shared" si="290"/>
        <v>26.928730964467004</v>
      </c>
    </row>
    <row r="1766" spans="5:14" ht="34.5" customHeight="1" x14ac:dyDescent="0.3">
      <c r="E1766" s="1">
        <v>11.77</v>
      </c>
      <c r="F1766" s="1">
        <v>33.06</v>
      </c>
      <c r="G1766" s="1">
        <v>46.19</v>
      </c>
      <c r="J1766" s="1">
        <v>7</v>
      </c>
      <c r="K1766" s="1">
        <v>301.14999999999998</v>
      </c>
      <c r="M1766" s="1">
        <v>1</v>
      </c>
      <c r="N1766" s="1">
        <f>46.56*0.83*M1766/(1+0.83*M1766)</f>
        <v>21.117377049180327</v>
      </c>
    </row>
    <row r="1767" spans="5:14" ht="34.5" customHeight="1" x14ac:dyDescent="0.3">
      <c r="E1767" s="1">
        <v>11.77</v>
      </c>
      <c r="F1767" s="1">
        <v>33.06</v>
      </c>
      <c r="G1767" s="1">
        <v>46.19</v>
      </c>
      <c r="J1767" s="1">
        <v>7</v>
      </c>
      <c r="K1767" s="1">
        <v>301.14999999999998</v>
      </c>
      <c r="M1767" s="1">
        <v>2</v>
      </c>
      <c r="N1767" s="1">
        <f t="shared" ref="N1767:N1771" si="291">46.56*0.83*M1767/(1+0.83*M1767)</f>
        <v>29.056240601503756</v>
      </c>
    </row>
    <row r="1768" spans="5:14" ht="34.5" customHeight="1" x14ac:dyDescent="0.3">
      <c r="E1768" s="1">
        <v>11.77</v>
      </c>
      <c r="F1768" s="1">
        <v>33.06</v>
      </c>
      <c r="G1768" s="1">
        <v>46.19</v>
      </c>
      <c r="J1768" s="1">
        <v>7</v>
      </c>
      <c r="K1768" s="1">
        <v>301.14999999999998</v>
      </c>
      <c r="M1768" s="1">
        <v>5</v>
      </c>
      <c r="N1768" s="1">
        <f t="shared" si="291"/>
        <v>37.519223300970879</v>
      </c>
    </row>
    <row r="1769" spans="5:14" ht="34.5" customHeight="1" x14ac:dyDescent="0.3">
      <c r="E1769" s="1">
        <v>11.77</v>
      </c>
      <c r="F1769" s="1">
        <v>33.06</v>
      </c>
      <c r="G1769" s="1">
        <v>46.19</v>
      </c>
      <c r="J1769" s="1">
        <v>7</v>
      </c>
      <c r="K1769" s="1">
        <v>301.14999999999998</v>
      </c>
      <c r="M1769" s="1">
        <v>10</v>
      </c>
      <c r="N1769" s="1">
        <f t="shared" si="291"/>
        <v>41.553548387096775</v>
      </c>
    </row>
    <row r="1770" spans="5:14" ht="34.5" customHeight="1" x14ac:dyDescent="0.3">
      <c r="E1770" s="1">
        <v>11.77</v>
      </c>
      <c r="F1770" s="1">
        <v>33.06</v>
      </c>
      <c r="G1770" s="1">
        <v>46.19</v>
      </c>
      <c r="J1770" s="1">
        <v>7</v>
      </c>
      <c r="K1770" s="1">
        <v>301.14999999999998</v>
      </c>
      <c r="M1770" s="1">
        <v>15</v>
      </c>
      <c r="N1770" s="1">
        <f t="shared" si="291"/>
        <v>43.098289962825277</v>
      </c>
    </row>
    <row r="1771" spans="5:14" ht="34.5" customHeight="1" x14ac:dyDescent="0.3">
      <c r="E1771" s="1">
        <v>11.77</v>
      </c>
      <c r="F1771" s="1">
        <v>33.06</v>
      </c>
      <c r="G1771" s="1">
        <v>46.19</v>
      </c>
      <c r="J1771" s="1">
        <v>7</v>
      </c>
      <c r="K1771" s="1">
        <v>301.14999999999998</v>
      </c>
      <c r="M1771" s="1">
        <v>20</v>
      </c>
      <c r="N1771" s="1">
        <f t="shared" si="291"/>
        <v>43.914545454545454</v>
      </c>
    </row>
    <row r="1772" spans="5:14" ht="34.5" customHeight="1" x14ac:dyDescent="0.3">
      <c r="E1772" s="1">
        <v>1.91</v>
      </c>
      <c r="F1772" s="1">
        <v>13.37</v>
      </c>
      <c r="G1772" s="1">
        <v>14.72</v>
      </c>
      <c r="J1772" s="1">
        <v>7</v>
      </c>
      <c r="K1772" s="1">
        <v>301.14999999999998</v>
      </c>
      <c r="M1772" s="1">
        <v>5</v>
      </c>
      <c r="N1772" s="1">
        <f>11.53*0.01*M1772/(1+0.01*M1772)</f>
        <v>0.54904761904761901</v>
      </c>
    </row>
    <row r="1773" spans="5:14" ht="34.5" customHeight="1" x14ac:dyDescent="0.3">
      <c r="E1773" s="1">
        <v>1.91</v>
      </c>
      <c r="F1773" s="1">
        <v>13.37</v>
      </c>
      <c r="G1773" s="1">
        <v>14.72</v>
      </c>
      <c r="J1773" s="1">
        <v>7</v>
      </c>
      <c r="K1773" s="1">
        <v>301.14999999999998</v>
      </c>
      <c r="M1773" s="1">
        <v>10</v>
      </c>
      <c r="N1773" s="1">
        <f t="shared" ref="N1773:N1777" si="292">11.53*0.01*M1773/(1+0.01*M1773)</f>
        <v>1.0481818181818181</v>
      </c>
    </row>
    <row r="1774" spans="5:14" ht="34.5" customHeight="1" x14ac:dyDescent="0.3">
      <c r="E1774" s="1">
        <v>1.91</v>
      </c>
      <c r="F1774" s="1">
        <v>13.37</v>
      </c>
      <c r="G1774" s="1">
        <v>14.72</v>
      </c>
      <c r="J1774" s="1">
        <v>7</v>
      </c>
      <c r="K1774" s="1">
        <v>301.14999999999998</v>
      </c>
      <c r="M1774" s="1">
        <v>20</v>
      </c>
      <c r="N1774" s="1">
        <f t="shared" si="292"/>
        <v>1.9216666666666669</v>
      </c>
    </row>
    <row r="1775" spans="5:14" ht="34.5" customHeight="1" x14ac:dyDescent="0.3">
      <c r="E1775" s="1">
        <v>1.91</v>
      </c>
      <c r="F1775" s="1">
        <v>13.37</v>
      </c>
      <c r="G1775" s="1">
        <v>14.72</v>
      </c>
      <c r="J1775" s="1">
        <v>7</v>
      </c>
      <c r="K1775" s="1">
        <v>301.14999999999998</v>
      </c>
      <c r="M1775" s="1">
        <v>40</v>
      </c>
      <c r="N1775" s="1">
        <f t="shared" si="292"/>
        <v>3.2942857142857145</v>
      </c>
    </row>
    <row r="1776" spans="5:14" ht="34.5" customHeight="1" x14ac:dyDescent="0.3">
      <c r="E1776" s="1">
        <v>1.91</v>
      </c>
      <c r="F1776" s="1">
        <v>13.37</v>
      </c>
      <c r="G1776" s="1">
        <v>14.72</v>
      </c>
      <c r="J1776" s="1">
        <v>7</v>
      </c>
      <c r="K1776" s="1">
        <v>301.14999999999998</v>
      </c>
      <c r="M1776" s="1">
        <v>60</v>
      </c>
      <c r="N1776" s="1">
        <f t="shared" si="292"/>
        <v>4.3237499999999995</v>
      </c>
    </row>
    <row r="1777" spans="5:14" ht="34.5" customHeight="1" x14ac:dyDescent="0.3">
      <c r="E1777" s="1">
        <v>1.91</v>
      </c>
      <c r="F1777" s="1">
        <v>13.37</v>
      </c>
      <c r="G1777" s="1">
        <v>14.72</v>
      </c>
      <c r="J1777" s="1">
        <v>7</v>
      </c>
      <c r="K1777" s="1">
        <v>301.14999999999998</v>
      </c>
      <c r="M1777" s="1">
        <v>80</v>
      </c>
      <c r="N1777" s="1">
        <f t="shared" si="292"/>
        <v>5.1244444444444444</v>
      </c>
    </row>
    <row r="1778" spans="5:14" ht="34.5" customHeight="1" x14ac:dyDescent="0.3">
      <c r="F1778" s="1">
        <v>24.93</v>
      </c>
      <c r="G1778" s="1">
        <v>107.72</v>
      </c>
      <c r="H1778" s="1">
        <v>0.16</v>
      </c>
      <c r="I1778" s="1">
        <v>5.9</v>
      </c>
      <c r="J1778" s="1">
        <v>5</v>
      </c>
      <c r="K1778" s="1">
        <v>298.14999999999998</v>
      </c>
      <c r="M1778" s="1">
        <v>10</v>
      </c>
      <c r="N1778" s="1">
        <f>111.355*0.028*M1778/(1+0.028*M1778)</f>
        <v>24.358906250000004</v>
      </c>
    </row>
    <row r="1779" spans="5:14" ht="34.5" customHeight="1" x14ac:dyDescent="0.3">
      <c r="F1779" s="1">
        <v>24.93</v>
      </c>
      <c r="G1779" s="1">
        <v>107.72</v>
      </c>
      <c r="H1779" s="1">
        <v>0.16</v>
      </c>
      <c r="I1779" s="1">
        <v>5.9</v>
      </c>
      <c r="J1779" s="1">
        <v>5</v>
      </c>
      <c r="K1779" s="1">
        <v>298.14999999999998</v>
      </c>
      <c r="M1779" s="1">
        <v>20</v>
      </c>
      <c r="N1779" s="1">
        <f t="shared" ref="N1779:N1783" si="293">111.355*0.028*M1779/(1+0.028*M1779)</f>
        <v>39.973589743589748</v>
      </c>
    </row>
    <row r="1780" spans="5:14" ht="34.5" customHeight="1" x14ac:dyDescent="0.3">
      <c r="F1780" s="1">
        <v>24.93</v>
      </c>
      <c r="G1780" s="1">
        <v>107.72</v>
      </c>
      <c r="H1780" s="1">
        <v>0.16</v>
      </c>
      <c r="I1780" s="1">
        <v>5.9</v>
      </c>
      <c r="J1780" s="1">
        <v>5</v>
      </c>
      <c r="K1780" s="1">
        <v>298.14999999999998</v>
      </c>
      <c r="M1780" s="1">
        <v>50</v>
      </c>
      <c r="N1780" s="1">
        <f t="shared" si="293"/>
        <v>64.95708333333333</v>
      </c>
    </row>
    <row r="1781" spans="5:14" ht="34.5" customHeight="1" x14ac:dyDescent="0.3">
      <c r="F1781" s="1">
        <v>24.93</v>
      </c>
      <c r="G1781" s="1">
        <v>107.72</v>
      </c>
      <c r="H1781" s="1">
        <v>0.16</v>
      </c>
      <c r="I1781" s="1">
        <v>5.9</v>
      </c>
      <c r="J1781" s="1">
        <v>5</v>
      </c>
      <c r="K1781" s="1">
        <v>298.14999999999998</v>
      </c>
      <c r="M1781" s="1">
        <v>100</v>
      </c>
      <c r="N1781" s="1">
        <f t="shared" si="293"/>
        <v>82.051052631578955</v>
      </c>
    </row>
    <row r="1782" spans="5:14" ht="34.5" customHeight="1" x14ac:dyDescent="0.3">
      <c r="F1782" s="1">
        <v>24.93</v>
      </c>
      <c r="G1782" s="1">
        <v>107.72</v>
      </c>
      <c r="H1782" s="1">
        <v>0.16</v>
      </c>
      <c r="I1782" s="1">
        <v>5.9</v>
      </c>
      <c r="J1782" s="1">
        <v>5</v>
      </c>
      <c r="K1782" s="1">
        <v>298.14999999999998</v>
      </c>
      <c r="M1782" s="1">
        <v>400</v>
      </c>
      <c r="N1782" s="1">
        <f t="shared" si="293"/>
        <v>102.22754098360656</v>
      </c>
    </row>
    <row r="1783" spans="5:14" ht="34.5" customHeight="1" x14ac:dyDescent="0.3">
      <c r="F1783" s="1">
        <v>24.93</v>
      </c>
      <c r="G1783" s="1">
        <v>107.72</v>
      </c>
      <c r="H1783" s="1">
        <v>0.16</v>
      </c>
      <c r="I1783" s="1">
        <v>5.9</v>
      </c>
      <c r="J1783" s="1">
        <v>5</v>
      </c>
      <c r="K1783" s="1">
        <v>298.14999999999998</v>
      </c>
      <c r="M1783" s="1">
        <v>800</v>
      </c>
      <c r="N1783" s="1">
        <f t="shared" si="293"/>
        <v>106.59623931623932</v>
      </c>
    </row>
    <row r="1784" spans="5:14" ht="34.5" customHeight="1" x14ac:dyDescent="0.3">
      <c r="F1784" s="1">
        <v>25.86</v>
      </c>
      <c r="G1784" s="1">
        <v>141.76</v>
      </c>
      <c r="H1784" s="1">
        <v>0.22</v>
      </c>
      <c r="I1784" s="1">
        <v>6.26</v>
      </c>
      <c r="J1784" s="1">
        <v>5</v>
      </c>
      <c r="K1784" s="1">
        <v>298.14999999999998</v>
      </c>
      <c r="M1784" s="1">
        <v>10</v>
      </c>
      <c r="N1784" s="1">
        <f>164.679*M1784*0.1/(1+0.1*M1784)</f>
        <v>82.339500000000001</v>
      </c>
    </row>
    <row r="1785" spans="5:14" ht="34.5" customHeight="1" x14ac:dyDescent="0.3">
      <c r="F1785" s="1">
        <v>25.86</v>
      </c>
      <c r="G1785" s="1">
        <v>141.76</v>
      </c>
      <c r="H1785" s="1">
        <v>0.22</v>
      </c>
      <c r="I1785" s="1">
        <v>6.26</v>
      </c>
      <c r="J1785" s="1">
        <v>5</v>
      </c>
      <c r="K1785" s="1">
        <v>298.14999999999998</v>
      </c>
      <c r="M1785" s="1">
        <v>20</v>
      </c>
      <c r="N1785" s="1">
        <f t="shared" ref="N1785:N1789" si="294">164.679*M1785*0.1/(1+0.1*M1785)</f>
        <v>109.786</v>
      </c>
    </row>
    <row r="1786" spans="5:14" ht="34.5" customHeight="1" x14ac:dyDescent="0.3">
      <c r="F1786" s="1">
        <v>25.86</v>
      </c>
      <c r="G1786" s="1">
        <v>141.76</v>
      </c>
      <c r="H1786" s="1">
        <v>0.22</v>
      </c>
      <c r="I1786" s="1">
        <v>6.26</v>
      </c>
      <c r="J1786" s="1">
        <v>5</v>
      </c>
      <c r="K1786" s="1">
        <v>298.14999999999998</v>
      </c>
      <c r="M1786" s="1">
        <v>50</v>
      </c>
      <c r="N1786" s="1">
        <f t="shared" si="294"/>
        <v>137.23250000000002</v>
      </c>
    </row>
    <row r="1787" spans="5:14" ht="34.5" customHeight="1" x14ac:dyDescent="0.3">
      <c r="F1787" s="1">
        <v>25.86</v>
      </c>
      <c r="G1787" s="1">
        <v>141.76</v>
      </c>
      <c r="H1787" s="1">
        <v>0.22</v>
      </c>
      <c r="I1787" s="1">
        <v>6.26</v>
      </c>
      <c r="J1787" s="1">
        <v>5</v>
      </c>
      <c r="K1787" s="1">
        <v>298.14999999999998</v>
      </c>
      <c r="M1787" s="1">
        <v>100</v>
      </c>
      <c r="N1787" s="1">
        <f t="shared" si="294"/>
        <v>149.70818181818183</v>
      </c>
    </row>
    <row r="1788" spans="5:14" ht="34.5" customHeight="1" x14ac:dyDescent="0.3">
      <c r="F1788" s="1">
        <v>25.86</v>
      </c>
      <c r="G1788" s="1">
        <v>141.76</v>
      </c>
      <c r="H1788" s="1">
        <v>0.22</v>
      </c>
      <c r="I1788" s="1">
        <v>6.26</v>
      </c>
      <c r="J1788" s="1">
        <v>5</v>
      </c>
      <c r="K1788" s="1">
        <v>298.14999999999998</v>
      </c>
      <c r="M1788" s="1">
        <v>400</v>
      </c>
      <c r="N1788" s="1">
        <f t="shared" si="294"/>
        <v>160.66243902439027</v>
      </c>
    </row>
    <row r="1789" spans="5:14" ht="34.5" customHeight="1" x14ac:dyDescent="0.3">
      <c r="F1789" s="1">
        <v>25.86</v>
      </c>
      <c r="G1789" s="1">
        <v>141.76</v>
      </c>
      <c r="H1789" s="1">
        <v>0.22</v>
      </c>
      <c r="I1789" s="1">
        <v>6.26</v>
      </c>
      <c r="J1789" s="1">
        <v>5</v>
      </c>
      <c r="K1789" s="1">
        <v>298.14999999999998</v>
      </c>
      <c r="M1789" s="1">
        <v>800</v>
      </c>
      <c r="N1789" s="1">
        <f t="shared" si="294"/>
        <v>162.64592592592595</v>
      </c>
    </row>
    <row r="1790" spans="5:14" ht="34.5" customHeight="1" x14ac:dyDescent="0.3">
      <c r="F1790" s="1">
        <v>29.43</v>
      </c>
      <c r="G1790" s="1">
        <v>113.31</v>
      </c>
      <c r="H1790" s="1">
        <v>0.2</v>
      </c>
      <c r="I1790" s="1">
        <v>7.02</v>
      </c>
      <c r="J1790" s="1">
        <v>5</v>
      </c>
      <c r="K1790" s="1">
        <v>298.14999999999998</v>
      </c>
      <c r="M1790" s="1">
        <v>10</v>
      </c>
      <c r="N1790" s="1">
        <f>340.821*0.02*M1790/(1+0.02*M1790)</f>
        <v>56.803500000000007</v>
      </c>
    </row>
    <row r="1791" spans="5:14" ht="34.5" customHeight="1" x14ac:dyDescent="0.3">
      <c r="F1791" s="1">
        <v>29.43</v>
      </c>
      <c r="G1791" s="1">
        <v>113.31</v>
      </c>
      <c r="H1791" s="1">
        <v>0.2</v>
      </c>
      <c r="I1791" s="1">
        <v>7.02</v>
      </c>
      <c r="J1791" s="1">
        <v>5</v>
      </c>
      <c r="K1791" s="1">
        <v>298.14999999999998</v>
      </c>
      <c r="M1791" s="1">
        <v>20</v>
      </c>
      <c r="N1791" s="1">
        <f t="shared" ref="N1791:N1795" si="295">340.821*0.02*M1791/(1+0.02*M1791)</f>
        <v>97.377428571428595</v>
      </c>
    </row>
    <row r="1792" spans="5:14" ht="34.5" customHeight="1" x14ac:dyDescent="0.3">
      <c r="F1792" s="1">
        <v>29.43</v>
      </c>
      <c r="G1792" s="1">
        <v>113.31</v>
      </c>
      <c r="H1792" s="1">
        <v>0.2</v>
      </c>
      <c r="I1792" s="1">
        <v>7.02</v>
      </c>
      <c r="J1792" s="1">
        <v>5</v>
      </c>
      <c r="K1792" s="1">
        <v>298.14999999999998</v>
      </c>
      <c r="M1792" s="1">
        <v>50</v>
      </c>
      <c r="N1792" s="1">
        <f t="shared" si="295"/>
        <v>170.41050000000001</v>
      </c>
    </row>
    <row r="1793" spans="6:14" ht="34.5" customHeight="1" x14ac:dyDescent="0.3">
      <c r="F1793" s="1">
        <v>29.43</v>
      </c>
      <c r="G1793" s="1">
        <v>113.31</v>
      </c>
      <c r="H1793" s="1">
        <v>0.2</v>
      </c>
      <c r="I1793" s="1">
        <v>7.02</v>
      </c>
      <c r="J1793" s="1">
        <v>5</v>
      </c>
      <c r="K1793" s="1">
        <v>298.14999999999998</v>
      </c>
      <c r="M1793" s="1">
        <v>100</v>
      </c>
      <c r="N1793" s="1">
        <f t="shared" si="295"/>
        <v>227.21400000000003</v>
      </c>
    </row>
    <row r="1794" spans="6:14" ht="34.5" customHeight="1" x14ac:dyDescent="0.3">
      <c r="F1794" s="1">
        <v>29.43</v>
      </c>
      <c r="G1794" s="1">
        <v>113.31</v>
      </c>
      <c r="H1794" s="1">
        <v>0.2</v>
      </c>
      <c r="I1794" s="1">
        <v>7.02</v>
      </c>
      <c r="J1794" s="1">
        <v>5</v>
      </c>
      <c r="K1794" s="1">
        <v>298.14999999999998</v>
      </c>
      <c r="M1794" s="1">
        <v>400</v>
      </c>
      <c r="N1794" s="1">
        <f t="shared" si="295"/>
        <v>302.952</v>
      </c>
    </row>
    <row r="1795" spans="6:14" ht="34.5" customHeight="1" x14ac:dyDescent="0.3">
      <c r="F1795" s="1">
        <v>29.43</v>
      </c>
      <c r="G1795" s="1">
        <v>113.31</v>
      </c>
      <c r="H1795" s="1">
        <v>0.2</v>
      </c>
      <c r="I1795" s="1">
        <v>7.02</v>
      </c>
      <c r="J1795" s="1">
        <v>5</v>
      </c>
      <c r="K1795" s="1">
        <v>298.14999999999998</v>
      </c>
      <c r="M1795" s="1">
        <v>600</v>
      </c>
      <c r="N1795" s="1">
        <f t="shared" si="295"/>
        <v>314.60400000000004</v>
      </c>
    </row>
    <row r="1796" spans="6:14" ht="34.5" customHeight="1" x14ac:dyDescent="0.3">
      <c r="F1796" s="1">
        <v>31.15</v>
      </c>
      <c r="G1796" s="1">
        <v>138.1</v>
      </c>
      <c r="H1796" s="1">
        <v>0.22</v>
      </c>
      <c r="I1796" s="1">
        <v>6.47</v>
      </c>
      <c r="J1796" s="1">
        <v>5</v>
      </c>
      <c r="K1796" s="1">
        <v>298.14999999999998</v>
      </c>
      <c r="M1796" s="1">
        <v>10</v>
      </c>
      <c r="N1796" s="1">
        <f>452.752*0.016*M1796/(1+0.016*M1796)</f>
        <v>62.44855172413795</v>
      </c>
    </row>
    <row r="1797" spans="6:14" ht="34.5" customHeight="1" x14ac:dyDescent="0.3">
      <c r="F1797" s="1">
        <v>31.15</v>
      </c>
      <c r="G1797" s="1">
        <v>138.1</v>
      </c>
      <c r="H1797" s="1">
        <v>0.22</v>
      </c>
      <c r="I1797" s="1">
        <v>6.47</v>
      </c>
      <c r="J1797" s="1">
        <v>5</v>
      </c>
      <c r="K1797" s="1">
        <v>298.14999999999998</v>
      </c>
      <c r="M1797" s="1">
        <v>20</v>
      </c>
      <c r="N1797" s="1">
        <f t="shared" ref="N1797:N1801" si="296">452.752*0.016*M1797/(1+0.016*M1797)</f>
        <v>109.75806060606062</v>
      </c>
    </row>
    <row r="1798" spans="6:14" ht="34.5" customHeight="1" x14ac:dyDescent="0.3">
      <c r="F1798" s="1">
        <v>31.15</v>
      </c>
      <c r="G1798" s="1">
        <v>138.1</v>
      </c>
      <c r="H1798" s="1">
        <v>0.22</v>
      </c>
      <c r="I1798" s="1">
        <v>6.47</v>
      </c>
      <c r="J1798" s="1">
        <v>5</v>
      </c>
      <c r="K1798" s="1">
        <v>298.14999999999998</v>
      </c>
      <c r="M1798" s="1">
        <v>50</v>
      </c>
      <c r="N1798" s="1">
        <f t="shared" si="296"/>
        <v>201.22311111111114</v>
      </c>
    </row>
    <row r="1799" spans="6:14" ht="34.5" customHeight="1" x14ac:dyDescent="0.3">
      <c r="F1799" s="1">
        <v>31.15</v>
      </c>
      <c r="G1799" s="1">
        <v>138.1</v>
      </c>
      <c r="H1799" s="1">
        <v>0.22</v>
      </c>
      <c r="I1799" s="1">
        <v>6.47</v>
      </c>
      <c r="J1799" s="1">
        <v>5</v>
      </c>
      <c r="K1799" s="1">
        <v>298.14999999999998</v>
      </c>
      <c r="M1799" s="1">
        <v>100</v>
      </c>
      <c r="N1799" s="1">
        <f t="shared" si="296"/>
        <v>278.61661538461539</v>
      </c>
    </row>
    <row r="1800" spans="6:14" ht="34.5" customHeight="1" x14ac:dyDescent="0.3">
      <c r="F1800" s="1">
        <v>31.15</v>
      </c>
      <c r="G1800" s="1">
        <v>138.1</v>
      </c>
      <c r="H1800" s="1">
        <v>0.22</v>
      </c>
      <c r="I1800" s="1">
        <v>6.47</v>
      </c>
      <c r="J1800" s="1">
        <v>5</v>
      </c>
      <c r="K1800" s="1">
        <v>298.14999999999998</v>
      </c>
      <c r="M1800" s="1">
        <v>400</v>
      </c>
      <c r="N1800" s="1">
        <f t="shared" si="296"/>
        <v>391.56929729729734</v>
      </c>
    </row>
    <row r="1801" spans="6:14" ht="34.5" customHeight="1" x14ac:dyDescent="0.3">
      <c r="F1801" s="1">
        <v>31.15</v>
      </c>
      <c r="G1801" s="1">
        <v>138.1</v>
      </c>
      <c r="H1801" s="1">
        <v>0.22</v>
      </c>
      <c r="I1801" s="1">
        <v>6.47</v>
      </c>
      <c r="J1801" s="1">
        <v>5</v>
      </c>
      <c r="K1801" s="1">
        <v>298.14999999999998</v>
      </c>
      <c r="M1801" s="1">
        <v>500</v>
      </c>
      <c r="N1801" s="1">
        <f t="shared" si="296"/>
        <v>402.44622222222227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cp:lastPrinted>2022-06-18T16:00:44Z</cp:lastPrinted>
  <dcterms:created xsi:type="dcterms:W3CDTF">2015-06-05T18:19:00Z</dcterms:created>
  <dcterms:modified xsi:type="dcterms:W3CDTF">2023-03-02T03:21:17Z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