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DO" sheetId="1" r:id="rId4"/>
    <sheet state="visible" name="Mercadería" sheetId="2" r:id="rId5"/>
  </sheets>
  <definedNames>
    <definedName localSheetId="0" name="BULON_MM">#REF!</definedName>
    <definedName name="HERRAMIENTAS">#REF!</definedName>
    <definedName localSheetId="0" name="TIRAFONDOS">#REF!</definedName>
    <definedName localSheetId="0" name="TORNILLOS_PARKER">#REF!</definedName>
    <definedName name="TIRAFONDOS">#REF!</definedName>
    <definedName localSheetId="0" name="VALVULAS">CONTADO!$B$372</definedName>
    <definedName name="IMPREGNANTES">#REF!</definedName>
    <definedName localSheetId="0" name="PITON">#REF!</definedName>
    <definedName name="SINTETICOS">#REF!</definedName>
    <definedName name="MANGUERA_NEGRA">'Mercadería'!$B$486</definedName>
    <definedName name="MANGUERA">'Mercadería'!$B$486</definedName>
    <definedName localSheetId="0" name="SINTETICOS">#REF!</definedName>
    <definedName name="AEROSOLES">#REF!</definedName>
    <definedName name="VARILLA_ROSCADA">#REF!</definedName>
    <definedName name="TARUGOS">#REF!</definedName>
    <definedName localSheetId="0" name="TORNILLOS_AUTOPER">#REF!</definedName>
    <definedName localSheetId="0" name="MECHAS_WIDIA">CONTADO!$B$52</definedName>
    <definedName localSheetId="0" name="ARANDELAS">#REF!</definedName>
    <definedName name="BULON_MM">#REF!</definedName>
    <definedName name="ACC_POLIETILENO">'Mercadería'!$B$619</definedName>
    <definedName localSheetId="0" name="TUERCAS">#REF!</definedName>
    <definedName name="FORRAJES">#REF!</definedName>
    <definedName name="MECHAS_WIDIA">'Mercadería'!$B$52</definedName>
    <definedName localSheetId="0" name="REMACHES">#REF!</definedName>
    <definedName localSheetId="0" name="TORNILLOS_CAB_TANQUE">#REF!</definedName>
    <definedName localSheetId="0" name="TORNILLOS_p_MADERA">#REF!</definedName>
    <definedName localSheetId="0" name="ACC_POLIETILENO">#REF!</definedName>
    <definedName localSheetId="0" name="CAÑO_PP">#REF!</definedName>
    <definedName name="BULON_CAB_TANQUE">#REF!</definedName>
    <definedName name="LAMPARAS">#REF!</definedName>
    <definedName localSheetId="0" name="MECHAS_ACERO">CONTADO!$B$2</definedName>
    <definedName localSheetId="0" name="TARUGOS">#REF!</definedName>
    <definedName localSheetId="0" name="HERRAMIENTAS">#REF!</definedName>
    <definedName name="TORNILLOS_CAB_TANQUE">#REF!</definedName>
    <definedName name="VALVULAS">'Mercadería'!$B$373</definedName>
    <definedName localSheetId="0" name="LATEX">#REF!</definedName>
    <definedName name="FLOTANTES">#REF!</definedName>
    <definedName localSheetId="0" name="AEROSOLES">#REF!</definedName>
    <definedName localSheetId="0" name="MANGUERA_NEGRA">CONTADO!$B$485</definedName>
    <definedName name="TORNILLOS_p_MADERA">#REF!</definedName>
    <definedName localSheetId="0" name="FLOTANTES">#REF!</definedName>
    <definedName name="TORNILLOS_PARKER">#REF!</definedName>
    <definedName name="LATEX">#REF!</definedName>
    <definedName localSheetId="0" name="CADENAS">CONTADO!$B$117</definedName>
    <definedName name="TORNILLOS_AUTOPER">#REF!</definedName>
    <definedName name="RESUMEN">#REF!</definedName>
    <definedName localSheetId="0" name="LAMPARAS">#REF!</definedName>
    <definedName name="ARANDELAS">#REF!</definedName>
    <definedName localSheetId="0" name="MANGUERA">CONTADO!$B$485</definedName>
    <definedName name="REMACHES">#REF!</definedName>
    <definedName name="PITON">#REF!</definedName>
    <definedName name="CAÑO_PP">#REF!</definedName>
    <definedName localSheetId="0" name="IMPREGNANTES">#REF!</definedName>
    <definedName name="CLAVOS">#REF!</definedName>
    <definedName localSheetId="0" name="BULON_CAB_TANQUE">#REF!</definedName>
    <definedName name="TORNILLOS_DRY">#REF!</definedName>
    <definedName localSheetId="0" name="FORRAJES">#REF!</definedName>
    <definedName name="CONSTRUCCION">#REF!</definedName>
    <definedName name="BULON_PULG">#REF!</definedName>
    <definedName name="MECHAS_ACERO">'Mercadería'!$B$2</definedName>
    <definedName name="CADENAS">'Mercadería'!$B$117</definedName>
    <definedName localSheetId="0" name="DISCO_CORTE">CONTADO!$B$120</definedName>
    <definedName name="DISCO_CORTE">'Mercadería'!$B$121</definedName>
    <definedName localSheetId="0" name="CONSTRUCCION">#REF!</definedName>
    <definedName localSheetId="0" name="CLAVOS">#REF!</definedName>
    <definedName localSheetId="0" name="TORNILLOS_DRY">#REF!</definedName>
    <definedName localSheetId="0" name="VARILLA_ROSCADA">#REF!</definedName>
    <definedName localSheetId="0" name="BULON_PULG">#REF!</definedName>
    <definedName name="TUERCAS">#REF!</definedName>
  </definedNames>
  <calcPr/>
  <extLst>
    <ext uri="GoogleSheetsCustomDataVersion1">
      <go:sheetsCustomData xmlns:go="http://customooxmlschemas.google.com/" r:id="rId6" roundtripDataSignature="AMtx7mh46E6tZo8pWh9d2iraET+pPEx6yw=="/>
    </ext>
  </extLst>
</workbook>
</file>

<file path=xl/sharedStrings.xml><?xml version="1.0" encoding="utf-8"?>
<sst xmlns="http://schemas.openxmlformats.org/spreadsheetml/2006/main" count="4911" uniqueCount="1528">
  <si>
    <t>Descripción del producto</t>
  </si>
  <si>
    <t>Medida</t>
  </si>
  <si>
    <t>marca</t>
  </si>
  <si>
    <t>codigo</t>
  </si>
  <si>
    <t>Al Publico</t>
  </si>
  <si>
    <t>.</t>
  </si>
  <si>
    <t>ACCE MECHAS</t>
  </si>
  <si>
    <t>MECHASSSS</t>
  </si>
  <si>
    <t>Mecha Acero</t>
  </si>
  <si>
    <t>1,00 mm</t>
  </si>
  <si>
    <t>EZETA</t>
  </si>
  <si>
    <t>Berger</t>
  </si>
  <si>
    <t>1,25 mm</t>
  </si>
  <si>
    <t>1,50 mm.</t>
  </si>
  <si>
    <t>1,75 mm</t>
  </si>
  <si>
    <t>2,00 mm</t>
  </si>
  <si>
    <t>ESSAMET</t>
  </si>
  <si>
    <t>DEBY</t>
  </si>
  <si>
    <t>Mecha Acero EZ Max</t>
  </si>
  <si>
    <t>2,25 mm</t>
  </si>
  <si>
    <t>EZ Max</t>
  </si>
  <si>
    <t>2,50 mm</t>
  </si>
  <si>
    <t>Mecha Acero ESSAMET</t>
  </si>
  <si>
    <t>3,00 mm</t>
  </si>
  <si>
    <t>3,25 mm</t>
  </si>
  <si>
    <t>3,50 mm</t>
  </si>
  <si>
    <t>3,75 mm</t>
  </si>
  <si>
    <t>4,00 mm</t>
  </si>
  <si>
    <t>4,25 mm</t>
  </si>
  <si>
    <t>4,50 mm</t>
  </si>
  <si>
    <t>4,75 mm</t>
  </si>
  <si>
    <t>5,00 mm</t>
  </si>
  <si>
    <t>5,25mm</t>
  </si>
  <si>
    <t>5,50 mm</t>
  </si>
  <si>
    <t>5,75 mm</t>
  </si>
  <si>
    <t>6,00 mm</t>
  </si>
  <si>
    <t xml:space="preserve">6,25 mm </t>
  </si>
  <si>
    <t>6,50 mm</t>
  </si>
  <si>
    <t>6,75 mm</t>
  </si>
  <si>
    <t>7,00 mm</t>
  </si>
  <si>
    <t>7,25mm</t>
  </si>
  <si>
    <t>7,50 mm</t>
  </si>
  <si>
    <t>7,75 mm</t>
  </si>
  <si>
    <t>8,00 mm</t>
  </si>
  <si>
    <t>8,25 mm</t>
  </si>
  <si>
    <t>8,50 mm</t>
  </si>
  <si>
    <t>8,75 mm</t>
  </si>
  <si>
    <t>9,00 mm</t>
  </si>
  <si>
    <t>9,25 mm</t>
  </si>
  <si>
    <t>9,50 mm</t>
  </si>
  <si>
    <t>9,75 mm</t>
  </si>
  <si>
    <t>10,00 mm</t>
  </si>
  <si>
    <t>10,5 mm</t>
  </si>
  <si>
    <t>11,00 mm</t>
  </si>
  <si>
    <t>12,00 mm</t>
  </si>
  <si>
    <t>12,25 mm</t>
  </si>
  <si>
    <t>12,50 mm</t>
  </si>
  <si>
    <t>13,00 mm</t>
  </si>
  <si>
    <t>MECHA WIDIA</t>
  </si>
  <si>
    <t>6MM</t>
  </si>
  <si>
    <t>Essamet</t>
  </si>
  <si>
    <t>BERGER</t>
  </si>
  <si>
    <t>8MM</t>
  </si>
  <si>
    <t>DIFELBROK</t>
  </si>
  <si>
    <t>MECHA WIDIA - widiasss</t>
  </si>
  <si>
    <t>MECHA WIDIA LARGA</t>
  </si>
  <si>
    <t>8x400mm</t>
  </si>
  <si>
    <t>MECHA WIDIA ENCASTRE SDS PLUS</t>
  </si>
  <si>
    <t>8mm</t>
  </si>
  <si>
    <t>Mecha Madera pala</t>
  </si>
  <si>
    <t>6mm</t>
  </si>
  <si>
    <t>10mm</t>
  </si>
  <si>
    <t>12mm</t>
  </si>
  <si>
    <t>14mm</t>
  </si>
  <si>
    <t>20mm</t>
  </si>
  <si>
    <t>MECHA 3PTAS MADERA</t>
  </si>
  <si>
    <t>BREMEN</t>
  </si>
  <si>
    <t>BULCOR</t>
  </si>
  <si>
    <t>Mecha p/Madera baja velocidad</t>
  </si>
  <si>
    <t>7/16 x 250mm</t>
  </si>
  <si>
    <t xml:space="preserve">SIERRA COPA P/MADERA SET </t>
  </si>
  <si>
    <t>ABRA-SOL</t>
  </si>
  <si>
    <t>A9384</t>
  </si>
  <si>
    <t>Machos roscar</t>
  </si>
  <si>
    <t>5x0,80</t>
  </si>
  <si>
    <t>Uranga</t>
  </si>
  <si>
    <t>La mecha debe ser de 4,25mm</t>
  </si>
  <si>
    <t>6x1,00</t>
  </si>
  <si>
    <t>La mecha debe ser de 5mm</t>
  </si>
  <si>
    <t>8x1,25</t>
  </si>
  <si>
    <t>La mecha debe ser de 6,75mm</t>
  </si>
  <si>
    <t>12x1,75</t>
  </si>
  <si>
    <t>La mecha debe ser de 10,25mm</t>
  </si>
  <si>
    <t>BARRENITO 3 PZAS</t>
  </si>
  <si>
    <t>NEON</t>
  </si>
  <si>
    <t>ACCE PEGAMENTOS</t>
  </si>
  <si>
    <t>PEGAMENTOSSSS</t>
  </si>
  <si>
    <t>LA GOTITA 2ml</t>
  </si>
  <si>
    <t>2ml</t>
  </si>
  <si>
    <t>LA GOTITA GEL</t>
  </si>
  <si>
    <t>Pirelux</t>
  </si>
  <si>
    <t>PEGAMENTO INSTANTANEO Bx12</t>
  </si>
  <si>
    <t>2g</t>
  </si>
  <si>
    <t>TEKBOND</t>
  </si>
  <si>
    <t>POXIPOL 16 grs</t>
  </si>
  <si>
    <t>16grs</t>
  </si>
  <si>
    <t>POXILINA 70grs</t>
  </si>
  <si>
    <t>70grs</t>
  </si>
  <si>
    <t>PULPITO 50 grs</t>
  </si>
  <si>
    <t>50grs</t>
  </si>
  <si>
    <t>Poxiband</t>
  </si>
  <si>
    <t>POXITAS</t>
  </si>
  <si>
    <t>c/u</t>
  </si>
  <si>
    <t>SILICONA Transparente CHICA</t>
  </si>
  <si>
    <t>50ml</t>
  </si>
  <si>
    <t>SILICONA Blanca</t>
  </si>
  <si>
    <t>Sellador ALTA TEMPERATURA Rojo</t>
  </si>
  <si>
    <t>110grs</t>
  </si>
  <si>
    <t>Suprabond</t>
  </si>
  <si>
    <t>Rancagua</t>
  </si>
  <si>
    <t>FORMADOR JUNTAS</t>
  </si>
  <si>
    <t>25ml</t>
  </si>
  <si>
    <t>SILOC</t>
  </si>
  <si>
    <t>SILICONA TRANSPARENTE POMO CARTUCHO</t>
  </si>
  <si>
    <t>280ml</t>
  </si>
  <si>
    <t>SILICONA CARTUCHO Blanca</t>
  </si>
  <si>
    <t>SILICONA CARTUCHO Negro</t>
  </si>
  <si>
    <t>TACSA</t>
  </si>
  <si>
    <t>SELLATANQUE ACRILICO</t>
  </si>
  <si>
    <t>1lt</t>
  </si>
  <si>
    <t>QUIMEX</t>
  </si>
  <si>
    <t>4007-00100</t>
  </si>
  <si>
    <t>UNIPOX</t>
  </si>
  <si>
    <t>POXIRAN</t>
  </si>
  <si>
    <t>23grs</t>
  </si>
  <si>
    <t>ECCOLE 9grs</t>
  </si>
  <si>
    <t>9gr</t>
  </si>
  <si>
    <t>ECCOLE</t>
  </si>
  <si>
    <t>Casali</t>
  </si>
  <si>
    <t>Adhesivo Univ UHU</t>
  </si>
  <si>
    <t>20ml</t>
  </si>
  <si>
    <t>UHU</t>
  </si>
  <si>
    <t>une</t>
  </si>
  <si>
    <t>30CC</t>
  </si>
  <si>
    <t>UNE</t>
  </si>
  <si>
    <t>Cristian</t>
  </si>
  <si>
    <t>CEMENTO de CONTACTO</t>
  </si>
  <si>
    <t>FORTEX</t>
  </si>
  <si>
    <t>250ml</t>
  </si>
  <si>
    <t>500ml</t>
  </si>
  <si>
    <t>1000ML</t>
  </si>
  <si>
    <t>COLA SINTETICA VINILICA DOSIFICADOR</t>
  </si>
  <si>
    <t>125grs</t>
  </si>
  <si>
    <t>CONGO</t>
  </si>
  <si>
    <t>Delpino</t>
  </si>
  <si>
    <t>220grs</t>
  </si>
  <si>
    <t>COLA SINTETICA VINILICA</t>
  </si>
  <si>
    <t>250grs</t>
  </si>
  <si>
    <t>500grs</t>
  </si>
  <si>
    <t>KIT SOLUCION Y PARCHES DINI BICICLETA</t>
  </si>
  <si>
    <t>DINI</t>
  </si>
  <si>
    <t>SOLUCION</t>
  </si>
  <si>
    <t>Encanto</t>
  </si>
  <si>
    <t>PARCHES</t>
  </si>
  <si>
    <t>KIT REPARACION PILETA</t>
  </si>
  <si>
    <t xml:space="preserve">INFLADOR </t>
  </si>
  <si>
    <t>Linga acero con ojal</t>
  </si>
  <si>
    <t>Bison</t>
  </si>
  <si>
    <t>Barrita Silicona Fina</t>
  </si>
  <si>
    <t>Barra Silicona Gruesa</t>
  </si>
  <si>
    <t>contacto</t>
  </si>
  <si>
    <t>CADENA NUDO</t>
  </si>
  <si>
    <t>N°17</t>
  </si>
  <si>
    <t>x mt.</t>
  </si>
  <si>
    <t xml:space="preserve">CADENA FINA patente </t>
  </si>
  <si>
    <t>N°30</t>
  </si>
  <si>
    <t>x kg</t>
  </si>
  <si>
    <t>en un kilo hay aprox 4,54 metros</t>
  </si>
  <si>
    <t>CADENA 40</t>
  </si>
  <si>
    <t>N°40</t>
  </si>
  <si>
    <t>en un kilo hay aprox 3,75 metros</t>
  </si>
  <si>
    <t xml:space="preserve">CADENA GRUESA patente </t>
  </si>
  <si>
    <t>N°60</t>
  </si>
  <si>
    <t>en un kilo hay aprox 1,66 metros</t>
  </si>
  <si>
    <t>Disco de corte WIN KING</t>
  </si>
  <si>
    <t>115x1 mm</t>
  </si>
  <si>
    <t>WIN KING</t>
  </si>
  <si>
    <t>Disco de corte RHEIN</t>
  </si>
  <si>
    <t>115x0,8 mm</t>
  </si>
  <si>
    <t>RHEIN</t>
  </si>
  <si>
    <t>Disco de CORTE METAL DIAMANTADO</t>
  </si>
  <si>
    <t>115 mm</t>
  </si>
  <si>
    <t>KLEBER</t>
  </si>
  <si>
    <t>DISCO CORTE NORTON</t>
  </si>
  <si>
    <t>115x1,6 mm</t>
  </si>
  <si>
    <t>NORTON</t>
  </si>
  <si>
    <t>DISCO CORTE SINPAR</t>
  </si>
  <si>
    <t>Sin Par</t>
  </si>
  <si>
    <t>Disco corte 180mm</t>
  </si>
  <si>
    <t>180x2mm</t>
  </si>
  <si>
    <t>Disco de corte</t>
  </si>
  <si>
    <t>230mm</t>
  </si>
  <si>
    <t>Kronenflex</t>
  </si>
  <si>
    <t>Disco de corte SENSITIVA</t>
  </si>
  <si>
    <t>300mm</t>
  </si>
  <si>
    <t>350MM</t>
  </si>
  <si>
    <t>Gridest</t>
  </si>
  <si>
    <t>Acerco</t>
  </si>
  <si>
    <t>Disco DESBASTE</t>
  </si>
  <si>
    <t>115mm</t>
  </si>
  <si>
    <t>Disco DESBASTE 180mm</t>
  </si>
  <si>
    <t>180mm</t>
  </si>
  <si>
    <t>DD0701</t>
  </si>
  <si>
    <t>DISCO DIAMANTADO SEGMENTADO</t>
  </si>
  <si>
    <t>DISCO DIAMANTADO SEGM</t>
  </si>
  <si>
    <t>WPIN502</t>
  </si>
  <si>
    <t>DISCO DIAM. CONTINUO</t>
  </si>
  <si>
    <t>DISCO DIAMANTADO 3en1</t>
  </si>
  <si>
    <t>DISCO DIAMANTADO CONTINUO</t>
  </si>
  <si>
    <t>178 mm</t>
  </si>
  <si>
    <t>DISCO p/MADERA</t>
  </si>
  <si>
    <t>SIERRA CIRCULAR P/MADERA</t>
  </si>
  <si>
    <t>200x16_96d</t>
  </si>
  <si>
    <t>220x16_96d</t>
  </si>
  <si>
    <t>Disco FLAP Grano 60-80-120</t>
  </si>
  <si>
    <t>SINPAR</t>
  </si>
  <si>
    <t>Disco FLAP Grano 80</t>
  </si>
  <si>
    <t>DISCO ABRASIVO LIJA Gr 50</t>
  </si>
  <si>
    <t>KOLN</t>
  </si>
  <si>
    <t>CEPILLO COPA AMOLADORA</t>
  </si>
  <si>
    <t>65mm</t>
  </si>
  <si>
    <t>JAZAK</t>
  </si>
  <si>
    <t>CEPILLO CONICO ONDULADO AMOLADORA</t>
  </si>
  <si>
    <t>100mm</t>
  </si>
  <si>
    <t>CEPILLO COPA ONDULADO TALADRO</t>
  </si>
  <si>
    <t>50mm</t>
  </si>
  <si>
    <t>CEPILLO TALADRO CIRCULAR</t>
  </si>
  <si>
    <t>PIEDRA MONTADA p/TALADRO (5un)</t>
  </si>
  <si>
    <t>Adhesivo Ratas</t>
  </si>
  <si>
    <t>Pireluxs</t>
  </si>
  <si>
    <t>Raticida granos x 30 sobres veneno</t>
  </si>
  <si>
    <t>50 grs.</t>
  </si>
  <si>
    <t>ULTRA</t>
  </si>
  <si>
    <t>Raticida Bloque blister</t>
  </si>
  <si>
    <t>geltex</t>
  </si>
  <si>
    <t>C/u</t>
  </si>
  <si>
    <t>Hormiguicida POLVO HORTAL hormigas</t>
  </si>
  <si>
    <t>250 grs</t>
  </si>
  <si>
    <t>Hor-tal</t>
  </si>
  <si>
    <t>Hormiguicida LIQUIDO HORTAL</t>
  </si>
  <si>
    <t>60cc</t>
  </si>
  <si>
    <t>Hormiguicida liquido Hortal</t>
  </si>
  <si>
    <t>120cc</t>
  </si>
  <si>
    <t>HORMIGUICIDA CUCARACHICIDA Jeringa</t>
  </si>
  <si>
    <t>K-Othrina Sachet 15mllx24u</t>
  </si>
  <si>
    <t>15millts</t>
  </si>
  <si>
    <t>PIREMETRINA alacranes cucarachicida</t>
  </si>
  <si>
    <t>x 1L</t>
  </si>
  <si>
    <t>x1lt.</t>
  </si>
  <si>
    <t>x 5L</t>
  </si>
  <si>
    <t>c/bidon incluido</t>
  </si>
  <si>
    <t>Gel barrera hormigas hormigel</t>
  </si>
  <si>
    <t>INSECTICIDA AER. moscas y mosquitos</t>
  </si>
  <si>
    <t>ESCUDO</t>
  </si>
  <si>
    <t>360cm</t>
  </si>
  <si>
    <t>FUYI</t>
  </si>
  <si>
    <t>Raid</t>
  </si>
  <si>
    <t>Tadicor</t>
  </si>
  <si>
    <t>INSECTICIDA AER. cucarachas</t>
  </si>
  <si>
    <t>INSECTICIDA AER. Casa y Jardin</t>
  </si>
  <si>
    <t>FLY Insecticida liquido tipo</t>
  </si>
  <si>
    <t>x1/2lt.</t>
  </si>
  <si>
    <t>SIN BICHOS Repelente para insectos (gotas)</t>
  </si>
  <si>
    <t>CERROCLOR</t>
  </si>
  <si>
    <t>FLUIDO Manchester</t>
  </si>
  <si>
    <t>x350</t>
  </si>
  <si>
    <t>Manchester</t>
  </si>
  <si>
    <t>FLUIDO Desifectante tipo Manchester</t>
  </si>
  <si>
    <t>x500cc</t>
  </si>
  <si>
    <t>TABLETAS mosquitos pastillas</t>
  </si>
  <si>
    <t>12u</t>
  </si>
  <si>
    <t>RAID</t>
  </si>
  <si>
    <t>x Unidad</t>
  </si>
  <si>
    <t>Caja 12u</t>
  </si>
  <si>
    <t>Espirales Raid c-12 sobres</t>
  </si>
  <si>
    <t>Sobre x 4u</t>
  </si>
  <si>
    <t>Espirales Raid 12 U.</t>
  </si>
  <si>
    <t>x Caja</t>
  </si>
  <si>
    <t>HOJA DE SIERRA CARBONO</t>
  </si>
  <si>
    <t>24 Dientes</t>
  </si>
  <si>
    <t>HOJA DE SIERRA bimetal</t>
  </si>
  <si>
    <t>24 D</t>
  </si>
  <si>
    <t>HOJA DE SIERRA JUNIOR</t>
  </si>
  <si>
    <t>Contacto</t>
  </si>
  <si>
    <t>HOJA DE SIERRA RULITO</t>
  </si>
  <si>
    <t>HOJA DE SIERRA CALADORA MADERA</t>
  </si>
  <si>
    <t>DOWEN PAGIO</t>
  </si>
  <si>
    <t>WDOW320</t>
  </si>
  <si>
    <t>HOJA DE SIERRA CALADORA METAL</t>
  </si>
  <si>
    <t>77mm</t>
  </si>
  <si>
    <t>WDOW322</t>
  </si>
  <si>
    <t>Hilo algodon</t>
  </si>
  <si>
    <t>Hilo Piolín piolin</t>
  </si>
  <si>
    <t>x50grs</t>
  </si>
  <si>
    <t>x100grs</t>
  </si>
  <si>
    <t>Hilo choricero 50grs</t>
  </si>
  <si>
    <t>HILO PLASTICO CHICO</t>
  </si>
  <si>
    <t>CAÑO CORTINA dorado</t>
  </si>
  <si>
    <t>1/2"</t>
  </si>
  <si>
    <t>3/4"</t>
  </si>
  <si>
    <t>CAÑO CORTINA CURVO p/baño</t>
  </si>
  <si>
    <t>CAÑO CORTINA RECTO EXTENSIBLE  p/baño</t>
  </si>
  <si>
    <t>SOPORTE Caño cortinas Cerrado</t>
  </si>
  <si>
    <t>SOPORTE Caño cortinas Abierto</t>
  </si>
  <si>
    <t>SOPORTE Caño cortinas cerrado</t>
  </si>
  <si>
    <t>5/8"</t>
  </si>
  <si>
    <t>SOPORTE CAÑO CORTINA CURVO</t>
  </si>
  <si>
    <t>SOPORTE Caño corti. OVAL</t>
  </si>
  <si>
    <t>SOPORTE LUQUE PLASTICO AJUSTABLE</t>
  </si>
  <si>
    <t>OJAL Ho Bronceado cortinas argolla</t>
  </si>
  <si>
    <t>CORTINA DE BAÑO DOBLE  C/Gancho</t>
  </si>
  <si>
    <t>Cinta PASA CABLE metal</t>
  </si>
  <si>
    <t>CINTA PASACABLE.PVC  7mt.DIBAPLAST</t>
  </si>
  <si>
    <t>7mts</t>
  </si>
  <si>
    <t>CINTA PASACABLE.PVC  10mt.DIBAPLAST</t>
  </si>
  <si>
    <t>10mts</t>
  </si>
  <si>
    <t>Cinta DESTAPA CAÑERIAS 5mts</t>
  </si>
  <si>
    <t>GRAFITO POLVO</t>
  </si>
  <si>
    <t>GRASA LITIO roja x</t>
  </si>
  <si>
    <t>90gr</t>
  </si>
  <si>
    <t>ACEITODO</t>
  </si>
  <si>
    <t>250gr</t>
  </si>
  <si>
    <t>PNT</t>
  </si>
  <si>
    <t>GRASA GRAFITADA pomito</t>
  </si>
  <si>
    <t>40grs</t>
  </si>
  <si>
    <t>GRASA GRAFITADA</t>
  </si>
  <si>
    <t>100grs</t>
  </si>
  <si>
    <t>ROLDANAS</t>
  </si>
  <si>
    <t>28mm</t>
  </si>
  <si>
    <t>40mm</t>
  </si>
  <si>
    <t>Pinza PORTA ELECTRODOS</t>
  </si>
  <si>
    <t>500amp</t>
  </si>
  <si>
    <t>Pinzas p/baterías grande</t>
  </si>
  <si>
    <t>Pinzas p/baterías chica</t>
  </si>
  <si>
    <t>Portatil 12 volts</t>
  </si>
  <si>
    <t>CHOCLA Choclera con Polvo, Plomada trazadora</t>
  </si>
  <si>
    <t>Pistola para aplicar silicona electrica grande</t>
  </si>
  <si>
    <t>Pistola para aplicar silicona electrica chica</t>
  </si>
  <si>
    <t>Soldador Estaño eléctrico eco</t>
  </si>
  <si>
    <t>40/60w</t>
  </si>
  <si>
    <t>Soldador Estaño electrico</t>
  </si>
  <si>
    <t>40/80w</t>
  </si>
  <si>
    <t>Estaño display estañolin</t>
  </si>
  <si>
    <t>1,5mtsx40%</t>
  </si>
  <si>
    <t>Deby</t>
  </si>
  <si>
    <t>BANDEJA P/PINTAR CHICA</t>
  </si>
  <si>
    <t>BANDEJA P/PINTAR GRANDE</t>
  </si>
  <si>
    <t>ACCE HERRAJES</t>
  </si>
  <si>
    <t>HERRAJESSSSS</t>
  </si>
  <si>
    <t>CERRADURA</t>
  </si>
  <si>
    <t>N°200-901</t>
  </si>
  <si>
    <t>Prive</t>
  </si>
  <si>
    <t>CERRADURA embutir Doble perno</t>
  </si>
  <si>
    <t>N°205</t>
  </si>
  <si>
    <t>N°208-903</t>
  </si>
  <si>
    <t>CERRADURA JAZAK 2000 Y 2008</t>
  </si>
  <si>
    <t>CERRADURA FTE. ANGOSTO (der)</t>
  </si>
  <si>
    <t>N°101</t>
  </si>
  <si>
    <t>CERRADURA FTE. ANGOSTO (izq)</t>
  </si>
  <si>
    <t>N°102</t>
  </si>
  <si>
    <t>CERRADURA PUERTA PLACA</t>
  </si>
  <si>
    <t>N°503</t>
  </si>
  <si>
    <t>KALLAY</t>
  </si>
  <si>
    <t>CERROJO N°210 doble perno</t>
  </si>
  <si>
    <t>N°210</t>
  </si>
  <si>
    <t>PICAPORTE ALUMINIO</t>
  </si>
  <si>
    <t>PICAPORTE Manija ministerio Bronce pulido</t>
  </si>
  <si>
    <t>N°1</t>
  </si>
  <si>
    <t>FALLEBA</t>
  </si>
  <si>
    <t>18mm</t>
  </si>
  <si>
    <t>VARILLA Ho 1/2 CAÑA P/FALLEBA</t>
  </si>
  <si>
    <t>PASADOR DORADO 3"</t>
  </si>
  <si>
    <t>USA</t>
  </si>
  <si>
    <t>Pasador con seguro Galva</t>
  </si>
  <si>
    <t>Pasador con seguro Blanco</t>
  </si>
  <si>
    <t>PASADOR Galvanizado</t>
  </si>
  <si>
    <t>35mm</t>
  </si>
  <si>
    <t>Pasadores empavonado</t>
  </si>
  <si>
    <t>60mm</t>
  </si>
  <si>
    <t>BRACO</t>
  </si>
  <si>
    <t>PASADOR CERROJO C/PORTACANDADO</t>
  </si>
  <si>
    <t>Pasador a palanca</t>
  </si>
  <si>
    <t>Pasador Grande Dorado</t>
  </si>
  <si>
    <t>CANDADO Importado</t>
  </si>
  <si>
    <t>32mm</t>
  </si>
  <si>
    <t>(5200 CODIN)</t>
  </si>
  <si>
    <t>38mm</t>
  </si>
  <si>
    <t>(5201 CODIN)</t>
  </si>
  <si>
    <t>CANDADO</t>
  </si>
  <si>
    <t>30mm</t>
  </si>
  <si>
    <t>CANDADO TITANIO C/BCE</t>
  </si>
  <si>
    <t>63mm</t>
  </si>
  <si>
    <t>WEMBLEY</t>
  </si>
  <si>
    <t>CANDADO Chico Proll 30mm</t>
  </si>
  <si>
    <t>PROLL</t>
  </si>
  <si>
    <t>CANDADO GRANDE Proll 50mm</t>
  </si>
  <si>
    <t>Portacandados</t>
  </si>
  <si>
    <t>11/2"</t>
  </si>
  <si>
    <t>2"</t>
  </si>
  <si>
    <t>21/2"</t>
  </si>
  <si>
    <t>3"</t>
  </si>
  <si>
    <t>Aldaba con base zinc der</t>
  </si>
  <si>
    <t>aldaba con base zinc iz.</t>
  </si>
  <si>
    <t>Enganche de aldaba</t>
  </si>
  <si>
    <t>Bisagras p/soldar ALA CORTA reversible 60</t>
  </si>
  <si>
    <t>Bisagras p/soldar ALA LARGA reversible 60</t>
  </si>
  <si>
    <t>Bisagras p/soldar reversible 80</t>
  </si>
  <si>
    <t>80mm</t>
  </si>
  <si>
    <t>Bisagra tornillos reversible</t>
  </si>
  <si>
    <t>2x3x1 1/2</t>
  </si>
  <si>
    <t>2x5x1 1/2</t>
  </si>
  <si>
    <t>Bisagra Bronceada Libro</t>
  </si>
  <si>
    <t>Bisagra Bronceadax48</t>
  </si>
  <si>
    <t>1"</t>
  </si>
  <si>
    <t>Bisagra Bronceadax24</t>
  </si>
  <si>
    <t>1 1/2"-38mm</t>
  </si>
  <si>
    <t>63x25mm</t>
  </si>
  <si>
    <t>76x25mm</t>
  </si>
  <si>
    <t>Bisagra tipo munición p soldar</t>
  </si>
  <si>
    <t>Bisagra Tipo T</t>
  </si>
  <si>
    <t>150mm</t>
  </si>
  <si>
    <t>Bisagra Atornillar/TRANQUERAS</t>
  </si>
  <si>
    <t>32x3x250</t>
  </si>
  <si>
    <t>MENSULA  75x100mm - 3" x  4" Cx20</t>
  </si>
  <si>
    <t>75x100mm</t>
  </si>
  <si>
    <t>MENSULA  100x125mm</t>
  </si>
  <si>
    <t>100x125mm</t>
  </si>
  <si>
    <t xml:space="preserve">MENSULA  125x150mm - 5" x  6" </t>
  </si>
  <si>
    <t>125x150mm</t>
  </si>
  <si>
    <t xml:space="preserve">MENSULA  150x200mm - 6" x  8" </t>
  </si>
  <si>
    <t>150x200mm</t>
  </si>
  <si>
    <t>MENSULA  200x250mm</t>
  </si>
  <si>
    <t>200x250mm</t>
  </si>
  <si>
    <t xml:space="preserve">MENSULA  250x300mm - 10" x  12" </t>
  </si>
  <si>
    <t>250x300mm</t>
  </si>
  <si>
    <t>MENSULA  300x350mm -12" x  14"</t>
  </si>
  <si>
    <t>300x400mm</t>
  </si>
  <si>
    <t>ESCUADRA angulosx24</t>
  </si>
  <si>
    <t>25x25mm</t>
  </si>
  <si>
    <t>38x38mm</t>
  </si>
  <si>
    <t>50x50mm</t>
  </si>
  <si>
    <t>64x64mm</t>
  </si>
  <si>
    <t>75x75mm</t>
  </si>
  <si>
    <t>ESCUADRA angulosx12</t>
  </si>
  <si>
    <t>90x90mm</t>
  </si>
  <si>
    <t>ESCUADRA Plana x24u</t>
  </si>
  <si>
    <t>65x65mm</t>
  </si>
  <si>
    <t>PLANCHUELA perforada</t>
  </si>
  <si>
    <t>Planchuela perforada</t>
  </si>
  <si>
    <t>64mm</t>
  </si>
  <si>
    <t xml:space="preserve">PLANCHUELA perforada </t>
  </si>
  <si>
    <t>125mm</t>
  </si>
  <si>
    <t>Paragolpes de goma 1/2 esfera Blanco x10u</t>
  </si>
  <si>
    <t>PAR08</t>
  </si>
  <si>
    <t>Paragolpes de goma puertas tope</t>
  </si>
  <si>
    <t>N1 20x20mm</t>
  </si>
  <si>
    <t>Bocchiardo</t>
  </si>
  <si>
    <t>N2 25x25mm</t>
  </si>
  <si>
    <t>N3 30x30mm</t>
  </si>
  <si>
    <t xml:space="preserve">RETEN Magnético Cierres Imantados </t>
  </si>
  <si>
    <t>RETEN a Rodillo, cierre para puertas</t>
  </si>
  <si>
    <t>SOPORTE PARA CUADROS X200 espejos</t>
  </si>
  <si>
    <t>14X20mm</t>
  </si>
  <si>
    <t>SOPORTE ACERO INOXIDABLE</t>
  </si>
  <si>
    <t>PERCHA Bronce perchero</t>
  </si>
  <si>
    <t>PERCHA PLASTINA CONFORT</t>
  </si>
  <si>
    <t>DOBLE</t>
  </si>
  <si>
    <t>PERCHA SIMPLE BLANCO</t>
  </si>
  <si>
    <t>SIMPLE</t>
  </si>
  <si>
    <t>PERCHA DOBLE ALUMINIO</t>
  </si>
  <si>
    <t>Manija Plateada</t>
  </si>
  <si>
    <t>TIRADOR de MADERA</t>
  </si>
  <si>
    <t>25mm</t>
  </si>
  <si>
    <t>TIRADOR de METAL 25mm</t>
  </si>
  <si>
    <t>TIRADOR CLASICO PETIRIBI 30 mm A1064</t>
  </si>
  <si>
    <t>TIRADOR RED. CROM. 25mm  A  131</t>
  </si>
  <si>
    <t>TIRADOR RED. DOR.  25mm  A  132</t>
  </si>
  <si>
    <t>TIRADOR RED. CROM. 30mm  A  141</t>
  </si>
  <si>
    <t>TIRADOR RED. DOR.  30mm  A  142</t>
  </si>
  <si>
    <t>TIR.ARO AFRIC.Ch. CROM.  A   47</t>
  </si>
  <si>
    <t>TIR.ARO AFRIC.Ch. DOR.   A   48</t>
  </si>
  <si>
    <t>TIRADOR CLAS.BLAN. 30mm  A 1060</t>
  </si>
  <si>
    <t>TIRADOR CLAS.MARR. 30mm  A 1059</t>
  </si>
  <si>
    <t>TIRADOR CLAS.NEGRO 30mm  A 1061</t>
  </si>
  <si>
    <t>TIRADOR CLAS.ROJO  30mm  A 1062</t>
  </si>
  <si>
    <t>TIRADOR BIJOU Dor.T/BLANCA A3081</t>
  </si>
  <si>
    <t>TIRADOR BIJOU Dr.T/ NEGRA  A 3085</t>
  </si>
  <si>
    <t>CUBETA  DE APOYAR CROM.  C   01</t>
  </si>
  <si>
    <t>CUBETA  RECT.DOR.s/B.LL  C   22</t>
  </si>
  <si>
    <t>CUBETA  OVAL. PETIRIBI   C   35</t>
  </si>
  <si>
    <t>TIRADOR E.ESPAÑOL COBRE  E   33</t>
  </si>
  <si>
    <t>TIRADOR ARO C/BASE COBR. F   17</t>
  </si>
  <si>
    <t>MANIJA  ARCONDA DORADA   M  281</t>
  </si>
  <si>
    <t>MANIJA  ARCONDA NEGRA    M  282</t>
  </si>
  <si>
    <t>MANIJA  ARCO GRAND.NEG.  M  242</t>
  </si>
  <si>
    <t>MANIJA  ARCO GRAND.ROJO  M  244</t>
  </si>
  <si>
    <t>MANIJA  ARCO CHICO NEG.  M  347</t>
  </si>
  <si>
    <t>MANIJA  ARCO CHICO ROJO  M  349</t>
  </si>
  <si>
    <t>MANIJA  Neg.Punt.Dr.64mm M  367</t>
  </si>
  <si>
    <t>MANIJA  T/PETIRIBI 64mm  M  368</t>
  </si>
  <si>
    <t>TIRADOR ESFER.DOR. 30mm  A  304</t>
  </si>
  <si>
    <t>TIRADOR ESFER.ROJO 30mm  A  302</t>
  </si>
  <si>
    <t>TIR.ARO AFRIC.Gde.CROM.  A   43</t>
  </si>
  <si>
    <t>TIR.ARO AFRIC.Gde.DOR.   A   45</t>
  </si>
  <si>
    <t>TIRADOR BIJOU.Pet.T/Dor. A 3093</t>
  </si>
  <si>
    <t>MANIJA  Cr.Ctro.PETIR.   M   81</t>
  </si>
  <si>
    <t>MANIJA CURVILINE  96 mm DORADA Met.</t>
  </si>
  <si>
    <t>BALDE ALBAÑIL</t>
  </si>
  <si>
    <t>No Mas clavos</t>
  </si>
  <si>
    <t>100cc</t>
  </si>
  <si>
    <t>CABOS</t>
  </si>
  <si>
    <t>CABOSSS</t>
  </si>
  <si>
    <t>CABO MARTILLO</t>
  </si>
  <si>
    <t>30 cm</t>
  </si>
  <si>
    <t>CABO MAZA</t>
  </si>
  <si>
    <t>35 cm</t>
  </si>
  <si>
    <t>40 cm</t>
  </si>
  <si>
    <t>CABO MAZA 5y7Kg</t>
  </si>
  <si>
    <t>90 cm</t>
  </si>
  <si>
    <t>CABO PALA c/EMPUÑADURA plastica</t>
  </si>
  <si>
    <t>70 cm</t>
  </si>
  <si>
    <t>CABO PALA c/EMPUÑADURA metal</t>
  </si>
  <si>
    <t>CABO PALA</t>
  </si>
  <si>
    <t>120 cm</t>
  </si>
  <si>
    <t>CABO  PICO</t>
  </si>
  <si>
    <t>CABO  PICO Econo.</t>
  </si>
  <si>
    <t xml:space="preserve">CABO  HACHA </t>
  </si>
  <si>
    <t>CABO  HACHITA</t>
  </si>
  <si>
    <t>CABO PALO solo de ESCOBA de madera con rosca</t>
  </si>
  <si>
    <t>1,2 mt.</t>
  </si>
  <si>
    <t>PIRELUXS</t>
  </si>
  <si>
    <t>1.5 mt.</t>
  </si>
  <si>
    <t>2 mt.</t>
  </si>
  <si>
    <t>Zaranda arena entrefina</t>
  </si>
  <si>
    <t>Precintos negros Bx100</t>
  </si>
  <si>
    <t>3,6x100mm</t>
  </si>
  <si>
    <t>x Bolsa</t>
  </si>
  <si>
    <t>3,6x150mm</t>
  </si>
  <si>
    <t>3,6x200mm</t>
  </si>
  <si>
    <t>3,6x250mm</t>
  </si>
  <si>
    <t>4,8x250mm</t>
  </si>
  <si>
    <t>3,6x300mm</t>
  </si>
  <si>
    <t>C9013</t>
  </si>
  <si>
    <t>Precintos Blancos</t>
  </si>
  <si>
    <t>Zócalo alumino puerta zocalo</t>
  </si>
  <si>
    <t>70cm</t>
  </si>
  <si>
    <t>Zócalo alumino puerta</t>
  </si>
  <si>
    <t>90cm</t>
  </si>
  <si>
    <t>100cm</t>
  </si>
  <si>
    <t xml:space="preserve">ACCESORIOS AGUA </t>
  </si>
  <si>
    <t>AGUASSS</t>
  </si>
  <si>
    <t>GRIFERIA</t>
  </si>
  <si>
    <t>GRIFERIASSS valvulasss</t>
  </si>
  <si>
    <t>Valv. llave esférica PVC Duke</t>
  </si>
  <si>
    <t>Duke</t>
  </si>
  <si>
    <t>VEP1</t>
  </si>
  <si>
    <t>Valvula esférica metal Econ.</t>
  </si>
  <si>
    <t>ECO</t>
  </si>
  <si>
    <t>BCE0011</t>
  </si>
  <si>
    <t>Valv. llave Exclusa Bronce</t>
  </si>
  <si>
    <t>Valvula esférica metal</t>
  </si>
  <si>
    <t>Valforte</t>
  </si>
  <si>
    <t>VE1</t>
  </si>
  <si>
    <t>LLAVE ESFERICA BRONCE</t>
  </si>
  <si>
    <t>fv</t>
  </si>
  <si>
    <t>BCE0000</t>
  </si>
  <si>
    <t>LEKONS</t>
  </si>
  <si>
    <t>Valv. llave esferica PVC Duke</t>
  </si>
  <si>
    <t>Valv. llave esf Cro. ECONOMICA</t>
  </si>
  <si>
    <t>BCE0012</t>
  </si>
  <si>
    <t>Valv. llave esférica Cromada</t>
  </si>
  <si>
    <t>VE2</t>
  </si>
  <si>
    <t>Válvula esferica PVC</t>
  </si>
  <si>
    <t>VEP3</t>
  </si>
  <si>
    <t>Valvula METAL</t>
  </si>
  <si>
    <t>VE13</t>
  </si>
  <si>
    <t>VALVULA 1"</t>
  </si>
  <si>
    <t>BCE0472</t>
  </si>
  <si>
    <t xml:space="preserve">LLAVE ESF. F.F. C/PALANCA ø 20 mm. </t>
  </si>
  <si>
    <t>ø 20 mm.</t>
  </si>
  <si>
    <t>COE0810</t>
  </si>
  <si>
    <t xml:space="preserve">LLAVE ESF. F.F. C/PALANCA ø 25 Mm. </t>
  </si>
  <si>
    <t>ø 25 mm.</t>
  </si>
  <si>
    <t>COE0811</t>
  </si>
  <si>
    <t xml:space="preserve">LLAVE ESF. F.F. C/PALANCA ø 32 Mm. </t>
  </si>
  <si>
    <t>ø 32 mm.</t>
  </si>
  <si>
    <t>COE0812</t>
  </si>
  <si>
    <t>Valvula 20 FUSION</t>
  </si>
  <si>
    <t>21C200</t>
  </si>
  <si>
    <t>Valvula 25 FUSION</t>
  </si>
  <si>
    <t>21C250</t>
  </si>
  <si>
    <t>Valvula 25 FUSION c/UNION DOBLE</t>
  </si>
  <si>
    <t>AAH0841</t>
  </si>
  <si>
    <t>LLAVE ESF PALANCA</t>
  </si>
  <si>
    <t>AAH0831</t>
  </si>
  <si>
    <t>VALVULA DE SEGURIDAD TERMOTANQUE PVC</t>
  </si>
  <si>
    <t>VALVULA DE RETENCION PVC</t>
  </si>
  <si>
    <t>DUKE</t>
  </si>
  <si>
    <t>VRP1</t>
  </si>
  <si>
    <t>VRP2</t>
  </si>
  <si>
    <t>FILTRO P/VALVULA RETENCION 3/4" PVC.</t>
  </si>
  <si>
    <t>FVRP10</t>
  </si>
  <si>
    <t>FILTRO P/VALVULA RETENCION 1" PVC</t>
  </si>
  <si>
    <t>FVRP11</t>
  </si>
  <si>
    <t>FILTRO p/valvula retencion ACERO</t>
  </si>
  <si>
    <t>FVR2</t>
  </si>
  <si>
    <t>CANILLA PVC plastica canillasss</t>
  </si>
  <si>
    <t>IBED0039</t>
  </si>
  <si>
    <t>CANILLA PVC Duke</t>
  </si>
  <si>
    <t>DUK0115</t>
  </si>
  <si>
    <t>CANILLA Cromada MARIPOSA con manga</t>
  </si>
  <si>
    <t>BCE0028</t>
  </si>
  <si>
    <t xml:space="preserve">CANILLA Cromada MARIPOSA c/manga </t>
  </si>
  <si>
    <t>CE1</t>
  </si>
  <si>
    <t>LATYN</t>
  </si>
  <si>
    <t>CE4</t>
  </si>
  <si>
    <t>CANILLA Cromo MARIPOSA con manga fv</t>
  </si>
  <si>
    <t>BCE0405</t>
  </si>
  <si>
    <t>CANILLA BRONCE</t>
  </si>
  <si>
    <t>CANILLA BRONCE SIN MANGA</t>
  </si>
  <si>
    <t>CANILLA PVC p/LAVARROPAS</t>
  </si>
  <si>
    <t>DUK0404</t>
  </si>
  <si>
    <t>CANILLA ESF METAL Lavarropas CROMO canillasss</t>
  </si>
  <si>
    <t>JULONG</t>
  </si>
  <si>
    <t>CANILLA ESF DOBLE p/LAVARROPAS</t>
  </si>
  <si>
    <t>BCE0759</t>
  </si>
  <si>
    <t>CANILLA esférica con manga</t>
  </si>
  <si>
    <t>BCE0076</t>
  </si>
  <si>
    <t>CANILLA Cromada ECONOMICA con manga</t>
  </si>
  <si>
    <t>CE2</t>
  </si>
  <si>
    <t>GRIF CANILLA PARA COCINA PARED</t>
  </si>
  <si>
    <t>G616</t>
  </si>
  <si>
    <t>GRIFERIA MONOCOMANDO MESADA</t>
  </si>
  <si>
    <t>RU25</t>
  </si>
  <si>
    <t>GRIF BIDET CANEO ROCA</t>
  </si>
  <si>
    <t>44-333</t>
  </si>
  <si>
    <t>BRAZO PLAST LLUVIA CROMO DUCHA</t>
  </si>
  <si>
    <t>AVA0149</t>
  </si>
  <si>
    <t>LLUVIA PLASTICA DUCHA</t>
  </si>
  <si>
    <t>DF8108</t>
  </si>
  <si>
    <t>FLOR DUCHA PLASTICA</t>
  </si>
  <si>
    <t>AVA0812</t>
  </si>
  <si>
    <t>LLUVIA BRONCE</t>
  </si>
  <si>
    <t>DF9100</t>
  </si>
  <si>
    <t>DUCHADOR BIDET LISTO</t>
  </si>
  <si>
    <t>DACCOR</t>
  </si>
  <si>
    <t>D00881</t>
  </si>
  <si>
    <t>FLEXIBLE CROMO P/DUCHA MANUAL</t>
  </si>
  <si>
    <t>150cm</t>
  </si>
  <si>
    <t>AVA0143</t>
  </si>
  <si>
    <t>RAMAL LAVATORIO 3/8</t>
  </si>
  <si>
    <t>RAMAL LAVATORIO 1/2</t>
  </si>
  <si>
    <t>MESCLADOR PLASTICO P/LAVADERO</t>
  </si>
  <si>
    <t>APV06</t>
  </si>
  <si>
    <t>PROLONGACION Canilla trafilada</t>
  </si>
  <si>
    <t>1/2x19mm</t>
  </si>
  <si>
    <t>M00093</t>
  </si>
  <si>
    <t>1/2x32mm</t>
  </si>
  <si>
    <t>M00095</t>
  </si>
  <si>
    <t>1/2x50mm</t>
  </si>
  <si>
    <t>M00097</t>
  </si>
  <si>
    <t>MANGA canilla Plastica</t>
  </si>
  <si>
    <t xml:space="preserve">MANGA canilla Metal Italiana </t>
  </si>
  <si>
    <t>MC0</t>
  </si>
  <si>
    <t>MANGA p/canilla Plastica</t>
  </si>
  <si>
    <t>REP0406</t>
  </si>
  <si>
    <t>Arandela goma p/canilla x25u</t>
  </si>
  <si>
    <t>MAN01</t>
  </si>
  <si>
    <t>MAN02</t>
  </si>
  <si>
    <t xml:space="preserve">Arandela goma </t>
  </si>
  <si>
    <t>ARP08</t>
  </si>
  <si>
    <t>Arandela goma Bx100</t>
  </si>
  <si>
    <t>REP1283</t>
  </si>
  <si>
    <t>CUERITOS-gomitas Canilla CUERO Bx100</t>
  </si>
  <si>
    <t>GO02</t>
  </si>
  <si>
    <t>GO03</t>
  </si>
  <si>
    <t>VALVULA para Canilla c/goma x50</t>
  </si>
  <si>
    <t>VGO02</t>
  </si>
  <si>
    <t>VALVULA para Canilla c/goma</t>
  </si>
  <si>
    <t>VGO03</t>
  </si>
  <si>
    <t>Gomita para FLOTANTE</t>
  </si>
  <si>
    <t>ERREDE</t>
  </si>
  <si>
    <t>ARANDELA PLANA 1/2 (46 X 21) X 10</t>
  </si>
  <si>
    <t>AGO01.</t>
  </si>
  <si>
    <t>ARANDELA PLANA 3/4 (46 X 26) X 10</t>
  </si>
  <si>
    <t>AGO01/</t>
  </si>
  <si>
    <t>ARANDELA MEDIA CONICA 1/2 X 10</t>
  </si>
  <si>
    <t>AGO02.</t>
  </si>
  <si>
    <t>ARANDELA PVC P/FLEXIBLE CONITO 1/2 X 25</t>
  </si>
  <si>
    <t>ARP07</t>
  </si>
  <si>
    <t>ARANDELA CHICOTE CROMADO</t>
  </si>
  <si>
    <t>MC5</t>
  </si>
  <si>
    <t>ARANDELA CONICA SIFON 50</t>
  </si>
  <si>
    <t>MC12</t>
  </si>
  <si>
    <t>JUNTA CAUCHO P/SOPAPA</t>
  </si>
  <si>
    <t>MC8</t>
  </si>
  <si>
    <t>MC9</t>
  </si>
  <si>
    <t>JUNTA DE GOMA P/CONEXIÓN TANQUE</t>
  </si>
  <si>
    <t>IPS0260</t>
  </si>
  <si>
    <t>IPS0261</t>
  </si>
  <si>
    <t>IPS0262</t>
  </si>
  <si>
    <t>IPS0264</t>
  </si>
  <si>
    <t>IPS0265</t>
  </si>
  <si>
    <t>O´RING P/VASTAGO FV oring x50</t>
  </si>
  <si>
    <t>O´RING P/VASTAGO PIAZZA NUEVO x50</t>
  </si>
  <si>
    <t>O´RING P/VASTAGO PIAZZA ANTIGUO x50</t>
  </si>
  <si>
    <t>O´RING P/PICO MOVIL FV LIVIANO x20</t>
  </si>
  <si>
    <t>O´RING p/UNION DOBLE</t>
  </si>
  <si>
    <t>1/2" o 20</t>
  </si>
  <si>
    <t>IPS0300</t>
  </si>
  <si>
    <t>3/4" o 25</t>
  </si>
  <si>
    <t>IPS0301</t>
  </si>
  <si>
    <t>1" o 32</t>
  </si>
  <si>
    <t>IPS0302</t>
  </si>
  <si>
    <t>MANGUERA NIVEL x 50mts</t>
  </si>
  <si>
    <t>6x9mm</t>
  </si>
  <si>
    <t>9x12mm</t>
  </si>
  <si>
    <t>MANGUERA Cristal x 50mts</t>
  </si>
  <si>
    <t>x mt</t>
  </si>
  <si>
    <t>MANGUERA p/GAS x 50mts</t>
  </si>
  <si>
    <t>T0045</t>
  </si>
  <si>
    <t>MANGUERA RIEGO ECONOMICA</t>
  </si>
  <si>
    <t>15mts</t>
  </si>
  <si>
    <t>ZMGT020</t>
  </si>
  <si>
    <t xml:space="preserve">MANGUERA RIEGO Reforzada x </t>
  </si>
  <si>
    <t>CR011</t>
  </si>
  <si>
    <t>MANGUERA TRENZADA MALLADA</t>
  </si>
  <si>
    <t>SOLYON</t>
  </si>
  <si>
    <t>25mts</t>
  </si>
  <si>
    <t>kloss</t>
  </si>
  <si>
    <t>ZMGT031</t>
  </si>
  <si>
    <t>MANGUERA RIEGO CRISTAL</t>
  </si>
  <si>
    <t>ZMGT100</t>
  </si>
  <si>
    <t>MANGUERA RIEGO Ref 3/4"x25mts</t>
  </si>
  <si>
    <t>3/4"x25mts</t>
  </si>
  <si>
    <t>CAÑO BICAPA Polipropileno PP</t>
  </si>
  <si>
    <t>CPP01</t>
  </si>
  <si>
    <t>CAÑO TRICAPA Polipropileno PP</t>
  </si>
  <si>
    <t>CPP07</t>
  </si>
  <si>
    <t>CAÑO IPS rosca/fusion p/ext</t>
  </si>
  <si>
    <t>H3</t>
  </si>
  <si>
    <t>F65</t>
  </si>
  <si>
    <t>CAÑO BICAPA Polipropileno</t>
  </si>
  <si>
    <t>CPP02</t>
  </si>
  <si>
    <t>CAÑO TRICAPA Polipropileno</t>
  </si>
  <si>
    <t>CPP08</t>
  </si>
  <si>
    <t>F66</t>
  </si>
  <si>
    <t>CAÑO BICAPA</t>
  </si>
  <si>
    <t>CPP03</t>
  </si>
  <si>
    <t>CAÑO FUSION 20mm</t>
  </si>
  <si>
    <t>NICOLL</t>
  </si>
  <si>
    <t>CAÑO FUSION 25mm</t>
  </si>
  <si>
    <t>CAÑO FUSION 25mm MULTICAPA</t>
  </si>
  <si>
    <t>IPS</t>
  </si>
  <si>
    <t>NO SE FRACCIONA</t>
  </si>
  <si>
    <t>CAÑO FUSION 32mm</t>
  </si>
  <si>
    <t>CAÑO GAS FUSION 20</t>
  </si>
  <si>
    <t>F20020</t>
  </si>
  <si>
    <t>CAÑO Negro Bicapa polietileno</t>
  </si>
  <si>
    <t>1/2" 4kg</t>
  </si>
  <si>
    <t>CP02</t>
  </si>
  <si>
    <t>1/2" 6kg</t>
  </si>
  <si>
    <t>CAÑO Negro BICAPA manguera polietileno negra</t>
  </si>
  <si>
    <t>3/4" 4 kg</t>
  </si>
  <si>
    <t>CP05</t>
  </si>
  <si>
    <t>CAÑO Negro MONOCAPA</t>
  </si>
  <si>
    <t>3/4" 6 kg</t>
  </si>
  <si>
    <t>CP18</t>
  </si>
  <si>
    <t>CAÑO Negro Bicapa</t>
  </si>
  <si>
    <t>1" 4 kg</t>
  </si>
  <si>
    <t>CP11</t>
  </si>
  <si>
    <t>ACCESORIOS POLIPROPILENO PP ROJO</t>
  </si>
  <si>
    <t>POLIPROPILENOSSSS</t>
  </si>
  <si>
    <t>CODO HH PP</t>
  </si>
  <si>
    <t>GINY</t>
  </si>
  <si>
    <r>
      <rPr>
        <rFont val="Calibri"/>
        <b/>
        <color theme="1"/>
        <sz val="8.0"/>
      </rPr>
      <t>CODO</t>
    </r>
    <r>
      <rPr>
        <rFont val="Calibri"/>
        <b val="0"/>
        <color theme="1"/>
        <sz val="8.0"/>
      </rPr>
      <t xml:space="preserve"> MH PP</t>
    </r>
  </si>
  <si>
    <t>C00082</t>
  </si>
  <si>
    <r>
      <rPr>
        <rFont val="Calibri"/>
        <b/>
        <color theme="1"/>
        <sz val="8.0"/>
      </rPr>
      <t>CODO</t>
    </r>
    <r>
      <rPr>
        <rFont val="Calibri"/>
        <b val="0"/>
        <color theme="1"/>
        <sz val="8.0"/>
      </rPr>
      <t xml:space="preserve"> HH 45°</t>
    </r>
  </si>
  <si>
    <t>C00070</t>
  </si>
  <si>
    <r>
      <rPr>
        <rFont val="Calibri"/>
        <b/>
        <color theme="1"/>
        <sz val="8.0"/>
      </rPr>
      <t>TEE</t>
    </r>
    <r>
      <rPr>
        <rFont val="Calibri"/>
        <b val="0"/>
        <color theme="1"/>
        <sz val="8.0"/>
      </rPr>
      <t xml:space="preserve"> PP</t>
    </r>
  </si>
  <si>
    <r>
      <rPr>
        <rFont val="Calibri"/>
        <b/>
        <color theme="1"/>
        <sz val="8.0"/>
      </rPr>
      <t>TAPON M</t>
    </r>
    <r>
      <rPr>
        <rFont val="Calibri"/>
        <b val="0"/>
        <color theme="1"/>
        <sz val="8.0"/>
      </rPr>
      <t xml:space="preserve"> Tapon PP</t>
    </r>
  </si>
  <si>
    <r>
      <rPr>
        <rFont val="Calibri"/>
        <b/>
        <color theme="1"/>
        <sz val="8.0"/>
      </rPr>
      <t>TAPA H</t>
    </r>
    <r>
      <rPr>
        <rFont val="Calibri"/>
        <b val="0"/>
        <color theme="1"/>
        <sz val="8.0"/>
      </rPr>
      <t xml:space="preserve"> PP</t>
    </r>
  </si>
  <si>
    <t>C00163</t>
  </si>
  <si>
    <r>
      <rPr>
        <rFont val="Calibri"/>
        <b/>
        <color theme="1"/>
        <sz val="8.0"/>
      </rPr>
      <t>ROSCA CON TUERCA</t>
    </r>
    <r>
      <rPr>
        <rFont val="Calibri"/>
        <b val="0"/>
        <color theme="1"/>
        <sz val="8.0"/>
      </rPr>
      <t xml:space="preserve"> entrerosca PP</t>
    </r>
  </si>
  <si>
    <r>
      <rPr>
        <rFont val="Calibri"/>
        <b/>
        <color theme="1"/>
        <sz val="8.0"/>
      </rPr>
      <t>CUPLA HH</t>
    </r>
    <r>
      <rPr>
        <rFont val="Calibri"/>
        <b val="0"/>
        <color theme="1"/>
        <sz val="8.0"/>
      </rPr>
      <t xml:space="preserve"> PP</t>
    </r>
  </si>
  <si>
    <t>C00094</t>
  </si>
  <si>
    <r>
      <rPr>
        <rFont val="Calibri"/>
        <b/>
        <color theme="1"/>
        <sz val="8.0"/>
      </rPr>
      <t>CUPLA MH</t>
    </r>
    <r>
      <rPr>
        <rFont val="Calibri"/>
        <b val="0"/>
        <color theme="1"/>
        <sz val="8.0"/>
      </rPr>
      <t xml:space="preserve"> PP</t>
    </r>
  </si>
  <si>
    <t>C00199</t>
  </si>
  <si>
    <t>CUPLA REDUCCION 1/2 X 3/8 HH PP</t>
  </si>
  <si>
    <t>1/2 X 3/8</t>
  </si>
  <si>
    <t>I119</t>
  </si>
  <si>
    <r>
      <rPr>
        <rFont val="Calibri"/>
        <b/>
        <color theme="1"/>
        <sz val="8.0"/>
      </rPr>
      <t>UNION DOBLE</t>
    </r>
    <r>
      <rPr>
        <rFont val="Calibri"/>
        <b val="0"/>
        <color theme="1"/>
        <sz val="8.0"/>
      </rPr>
      <t xml:space="preserve"> PP HH</t>
    </r>
  </si>
  <si>
    <t>C00169</t>
  </si>
  <si>
    <r>
      <rPr>
        <rFont val="Calibri"/>
        <b/>
        <color rgb="FF99CC00"/>
        <sz val="8.0"/>
      </rPr>
      <t>UNION DOBLE</t>
    </r>
    <r>
      <rPr>
        <rFont val="Calibri"/>
        <b val="0"/>
        <color rgb="FF99CC00"/>
        <sz val="8.0"/>
      </rPr>
      <t xml:space="preserve"> PP HH Bx10</t>
    </r>
  </si>
  <si>
    <t>GINY PLAS</t>
  </si>
  <si>
    <t>CONEXION TANQUE</t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</si>
  <si>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6cm PP</t>
    </r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</si>
  <si>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8cm PP</t>
    </r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</si>
  <si>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10cm PP</t>
    </r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</si>
  <si>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12cm PP</t>
    </r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</si>
  <si>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15cm PP</t>
    </r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</si>
  <si>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20cm PP</t>
    </r>
  </si>
  <si>
    <t>C00115</t>
  </si>
  <si>
    <r>
      <rPr>
        <rFont val="Calibri"/>
        <b/>
        <color rgb="FF000000"/>
        <sz val="8.0"/>
      </rPr>
      <t>ACOPLE</t>
    </r>
    <r>
      <rPr>
        <rFont val="Calibri"/>
        <b val="0"/>
        <color rgb="FF000000"/>
        <sz val="8.0"/>
      </rPr>
      <t xml:space="preserve"> de compresión PP</t>
    </r>
  </si>
  <si>
    <t>AC1</t>
  </si>
  <si>
    <t>BUJE RED 1/2 X 3/8 PP</t>
  </si>
  <si>
    <t>SOBREPASO</t>
  </si>
  <si>
    <t>C00210</t>
  </si>
  <si>
    <t>TUERCA 1/2"</t>
  </si>
  <si>
    <t>P00219</t>
  </si>
  <si>
    <t>BRIDA p/CONEXIÓN TANQUE (tipo tuerca)</t>
  </si>
  <si>
    <t>PPC0270</t>
  </si>
  <si>
    <t>CUPLA RED 3/4 X 1/2 HH PP</t>
  </si>
  <si>
    <t>3/4 X 1/2</t>
  </si>
  <si>
    <t>CUPLA RED 3/4 X 1/2 MH PP</t>
  </si>
  <si>
    <t>BUJE REDUCCION PP</t>
  </si>
  <si>
    <t>3/4 X 1/2"</t>
  </si>
  <si>
    <t>1" X 1/2"</t>
  </si>
  <si>
    <t>ROSCA con TUERCA RED. MM</t>
  </si>
  <si>
    <t>ROSCA C/TUERCA</t>
  </si>
  <si>
    <r>
      <rPr>
        <rFont val="Calibri"/>
        <b/>
        <color rgb="FF0000FF"/>
        <sz val="8.0"/>
      </rPr>
      <t>CODO</t>
    </r>
    <r>
      <rPr>
        <rFont val="Calibri"/>
        <b val="0"/>
        <color rgb="FF0000FF"/>
        <sz val="8.0"/>
      </rPr>
      <t xml:space="preserve"> </t>
    </r>
    <r>
      <rPr>
        <rFont val="Calibri"/>
        <b/>
        <color rgb="FF0000FF"/>
        <sz val="8.0"/>
      </rPr>
      <t>HH</t>
    </r>
    <r>
      <rPr>
        <rFont val="Calibri"/>
        <b val="0"/>
        <color rgb="FF0000FF"/>
        <sz val="8.0"/>
      </rPr>
      <t xml:space="preserve"> PP</t>
    </r>
  </si>
  <si>
    <r>
      <rPr>
        <rFont val="Calibri"/>
        <b/>
        <color rgb="FF0000FF"/>
        <sz val="8.0"/>
      </rPr>
      <t>CODO</t>
    </r>
    <r>
      <rPr>
        <rFont val="Calibri"/>
        <b val="0"/>
        <color rgb="FF0000FF"/>
        <sz val="8.0"/>
      </rPr>
      <t xml:space="preserve"> </t>
    </r>
    <r>
      <rPr>
        <rFont val="Calibri"/>
        <b/>
        <color rgb="FF0000FF"/>
        <sz val="8.0"/>
      </rPr>
      <t>MH</t>
    </r>
    <r>
      <rPr>
        <rFont val="Calibri"/>
        <b val="0"/>
        <color rgb="FF0000FF"/>
        <sz val="8.0"/>
      </rPr>
      <t xml:space="preserve"> PP</t>
    </r>
  </si>
  <si>
    <t>CODO REDUCCION HH PP</t>
  </si>
  <si>
    <t>3/4x1/2"</t>
  </si>
  <si>
    <t>C00196</t>
  </si>
  <si>
    <r>
      <rPr>
        <rFont val="Calibri"/>
        <b/>
        <color rgb="FF0000FF"/>
        <sz val="8.0"/>
      </rPr>
      <t>TEE</t>
    </r>
    <r>
      <rPr>
        <rFont val="Calibri"/>
        <b val="0"/>
        <color rgb="FF0000FF"/>
        <sz val="8.0"/>
      </rPr>
      <t xml:space="preserve"> PP</t>
    </r>
  </si>
  <si>
    <t>TEE REDUCCION</t>
  </si>
  <si>
    <t>C00206</t>
  </si>
  <si>
    <r>
      <rPr>
        <rFont val="Calibri"/>
        <b/>
        <color rgb="FF0000FF"/>
        <sz val="8.0"/>
      </rPr>
      <t>CUPLA</t>
    </r>
    <r>
      <rPr>
        <rFont val="Calibri"/>
        <b val="0"/>
        <color rgb="FF0000FF"/>
        <sz val="8.0"/>
      </rPr>
      <t xml:space="preserve"> PP</t>
    </r>
  </si>
  <si>
    <t>C00095</t>
  </si>
  <si>
    <t>TAPA M PP Tapon</t>
  </si>
  <si>
    <r>
      <rPr>
        <rFont val="Calibri"/>
        <b/>
        <color rgb="FF0000FF"/>
        <sz val="8.0"/>
      </rPr>
      <t>TAPA H</t>
    </r>
    <r>
      <rPr>
        <rFont val="Calibri"/>
        <b val="0"/>
        <color rgb="FF0000FF"/>
        <sz val="8.0"/>
      </rPr>
      <t xml:space="preserve"> PP</t>
    </r>
  </si>
  <si>
    <t>UNION DOBLE CONICA</t>
  </si>
  <si>
    <t>C00170</t>
  </si>
  <si>
    <t>CONEXION COMPLETA PP BAJADA TANQUE</t>
  </si>
  <si>
    <r>
      <rPr>
        <rFont val="Calibri"/>
        <b/>
        <color rgb="FF0000FF"/>
        <sz val="8.0"/>
      </rPr>
      <t>ACOPLE</t>
    </r>
    <r>
      <rPr>
        <rFont val="Calibri"/>
        <b val="0"/>
        <color rgb="FF0000FF"/>
        <sz val="8.0"/>
      </rPr>
      <t xml:space="preserve"> de compresión PP</t>
    </r>
  </si>
  <si>
    <t>AC2</t>
  </si>
  <si>
    <t>NIPLE 6cm.</t>
  </si>
  <si>
    <t>I141</t>
  </si>
  <si>
    <t>NIPLE 10cm.</t>
  </si>
  <si>
    <t>I161</t>
  </si>
  <si>
    <t>NIPLE 12cm.</t>
  </si>
  <si>
    <t>C00131</t>
  </si>
  <si>
    <t>NIPLE 20cm PP</t>
  </si>
  <si>
    <t>C00116</t>
  </si>
  <si>
    <t>C00211</t>
  </si>
  <si>
    <t>TUERCA 3/4"</t>
  </si>
  <si>
    <t>P00220</t>
  </si>
  <si>
    <t>CUPLA</t>
  </si>
  <si>
    <t>CODO HH</t>
  </si>
  <si>
    <t>TEE</t>
  </si>
  <si>
    <t>C00159</t>
  </si>
  <si>
    <t>1" X 3/4"</t>
  </si>
  <si>
    <t>UNION DOBLE</t>
  </si>
  <si>
    <t>C00171</t>
  </si>
  <si>
    <t>ROSCA CON TUERCA PP</t>
  </si>
  <si>
    <t>NIPLE 15cm</t>
  </si>
  <si>
    <t>C00138</t>
  </si>
  <si>
    <t>TAPA M</t>
  </si>
  <si>
    <t>C00153</t>
  </si>
  <si>
    <t>TAPA H</t>
  </si>
  <si>
    <t>CUPLA REDUCCION PP</t>
  </si>
  <si>
    <t>1" X 3/4</t>
  </si>
  <si>
    <t>I122</t>
  </si>
  <si>
    <t>C00178</t>
  </si>
  <si>
    <t>11/4"x1"</t>
  </si>
  <si>
    <t>I196</t>
  </si>
  <si>
    <t>11/2x11/4</t>
  </si>
  <si>
    <t>C00185</t>
  </si>
  <si>
    <t>2"x11/2"</t>
  </si>
  <si>
    <t>C00190</t>
  </si>
  <si>
    <t>C00090</t>
  </si>
  <si>
    <t>CONEXION TANQUE CRUZ</t>
  </si>
  <si>
    <t>COL03</t>
  </si>
  <si>
    <t>PPC0272</t>
  </si>
  <si>
    <t>Niple PP</t>
  </si>
  <si>
    <t>1_1/4"</t>
  </si>
  <si>
    <t>1 1/4"</t>
  </si>
  <si>
    <t>PPC0283</t>
  </si>
  <si>
    <t>1 1/2"</t>
  </si>
  <si>
    <t>PPC0284</t>
  </si>
  <si>
    <t>CUPLA 1 1/4"</t>
  </si>
  <si>
    <t>PPC0053</t>
  </si>
  <si>
    <t>PPC0083</t>
  </si>
  <si>
    <t>1_1/2"</t>
  </si>
  <si>
    <t>IPS0084</t>
  </si>
  <si>
    <t>TEE 1_1/2"</t>
  </si>
  <si>
    <t>PPC0034</t>
  </si>
  <si>
    <t>MANGUITO ADAPTA 40x1_1/4</t>
  </si>
  <si>
    <t>40x1_1/4</t>
  </si>
  <si>
    <t>ACCESORIOS FUSION Agua</t>
  </si>
  <si>
    <t>CODO Fusion termofusion fusión</t>
  </si>
  <si>
    <t>CUPLA Fusion</t>
  </si>
  <si>
    <t xml:space="preserve">TEE Fusion </t>
  </si>
  <si>
    <t>UNION DOBLE FUSION</t>
  </si>
  <si>
    <t>CODO C/INSERTO METAL RM</t>
  </si>
  <si>
    <t>20x1/2"</t>
  </si>
  <si>
    <t>CODO C/INSERTO METAL RH</t>
  </si>
  <si>
    <t>460141</t>
  </si>
  <si>
    <t>TUBO FUSION R H METAL</t>
  </si>
  <si>
    <t>20x3/8"</t>
  </si>
  <si>
    <t>20x3/4"</t>
  </si>
  <si>
    <t>TUBO FUSION R Macho</t>
  </si>
  <si>
    <t>TEE R.H. Rosca METAL R.H</t>
  </si>
  <si>
    <t>AAF0241</t>
  </si>
  <si>
    <t>TAPA FUSION</t>
  </si>
  <si>
    <t>CURVA SOBREPASO HH</t>
  </si>
  <si>
    <t>CLF0020</t>
  </si>
  <si>
    <t>CODO Fusion 25x90º</t>
  </si>
  <si>
    <t>25x90º</t>
  </si>
  <si>
    <t>CODO Fusion 25x45º</t>
  </si>
  <si>
    <t>25x45º</t>
  </si>
  <si>
    <t>AAF0011</t>
  </si>
  <si>
    <t>CODO REDUCCION 25x20mm</t>
  </si>
  <si>
    <t>25x20mm</t>
  </si>
  <si>
    <t>CLF0110</t>
  </si>
  <si>
    <t>Stock</t>
  </si>
  <si>
    <t>costo x Unidad</t>
  </si>
  <si>
    <t>Proveedor</t>
  </si>
  <si>
    <t>Sub Act Corriente</t>
  </si>
  <si>
    <t>22021 En Deby</t>
  </si>
  <si>
    <t>mas eco en Berger</t>
  </si>
  <si>
    <t>mas eco en DEBY</t>
  </si>
  <si>
    <t>5/16"-8mm</t>
  </si>
  <si>
    <t>5/8"-14mm</t>
  </si>
  <si>
    <t>RODA</t>
  </si>
  <si>
    <t>SILICONA Transparente</t>
  </si>
  <si>
    <t>WSIL720</t>
  </si>
  <si>
    <t>Adhesil</t>
  </si>
  <si>
    <t>GFX110</t>
  </si>
  <si>
    <t>WSIL715 En Lekons están mas eco</t>
  </si>
  <si>
    <t>mas eco en Pireluxs</t>
  </si>
  <si>
    <t>mas eco en Roda</t>
  </si>
  <si>
    <t>COLATEX</t>
  </si>
  <si>
    <t>mas eco en RODA</t>
  </si>
  <si>
    <t>mas eco en deby</t>
  </si>
  <si>
    <t>KIT REPARACION PILETA parches pileta</t>
  </si>
  <si>
    <t>EN DEBY MAS ECO</t>
  </si>
  <si>
    <t>INFLADOR mini doble valvula C/SOPORTE</t>
  </si>
  <si>
    <t>MERCADO LIBRE</t>
  </si>
  <si>
    <t>Cadena patente</t>
  </si>
  <si>
    <t>N°70</t>
  </si>
  <si>
    <t>en un kilo hay aprox 1.25 metros</t>
  </si>
  <si>
    <t>115x1,2 mm</t>
  </si>
  <si>
    <t>DISTRIKOR</t>
  </si>
  <si>
    <t>5303 EN DEBY DISCO NORTON</t>
  </si>
  <si>
    <t>WPIN511</t>
  </si>
  <si>
    <t>Disco de corte Sinpar</t>
  </si>
  <si>
    <t>Disco CORTE 180mm</t>
  </si>
  <si>
    <t>WPIN512 EN LEKONS DISCO NORTON</t>
  </si>
  <si>
    <t>Disco de corte 230mm</t>
  </si>
  <si>
    <t>Disco de corte SENSITIVA 300mm</t>
  </si>
  <si>
    <t>Disco de corte SENSITIVA 350mm</t>
  </si>
  <si>
    <t>Disco DESBASTE 115mm</t>
  </si>
  <si>
    <t>Doble AA</t>
  </si>
  <si>
    <t>WPIN500 EN LEKONS DISCO NORTON</t>
  </si>
  <si>
    <t>DD0701 en Rancagua mas económico</t>
  </si>
  <si>
    <t>SIERRA CIRCULAR P/MADERA disco</t>
  </si>
  <si>
    <t>Disco FLAP Grano 60</t>
  </si>
  <si>
    <t>CEPILLO TALADRO COPA ONDULADO</t>
  </si>
  <si>
    <t>LACATUS</t>
  </si>
  <si>
    <t>EFECTO</t>
  </si>
  <si>
    <t>Fuyi</t>
  </si>
  <si>
    <t>12 UnIdad</t>
  </si>
  <si>
    <t>Espirales Raid c-12</t>
  </si>
  <si>
    <t xml:space="preserve">Espirales Raid </t>
  </si>
  <si>
    <t>Caja</t>
  </si>
  <si>
    <t>5662 En Deby</t>
  </si>
  <si>
    <t>c/u.</t>
  </si>
  <si>
    <t>Mas eco en Berger</t>
  </si>
  <si>
    <t>Estrella azul</t>
  </si>
  <si>
    <t>En Deby 7581</t>
  </si>
  <si>
    <t>En Deby 5594</t>
  </si>
  <si>
    <t>Mas eco en RANCAGUA</t>
  </si>
  <si>
    <t>1270 en Deby. mas eco en Berger</t>
  </si>
  <si>
    <t>2239 mas eco en Berger</t>
  </si>
  <si>
    <t>PASADOR CERROJO C/PORTACANDADO Cx6</t>
  </si>
  <si>
    <t>En RODA está más eco</t>
  </si>
  <si>
    <t>CANDADO Chico Proll 30mm candadosss</t>
  </si>
  <si>
    <t xml:space="preserve">ALDABA DERECHA c/base zinc </t>
  </si>
  <si>
    <t>ALDABA IZQUIERDA c/base zinc</t>
  </si>
  <si>
    <t>Estan mas eco en BERGER</t>
  </si>
  <si>
    <t>4708 En Deby</t>
  </si>
  <si>
    <t>MENSULA  150x200mm</t>
  </si>
  <si>
    <t>15022 Estan mas eco en Deby</t>
  </si>
  <si>
    <t>5411 Estan mas eco en Deby</t>
  </si>
  <si>
    <t>5412 Estan mas eco en Deby</t>
  </si>
  <si>
    <t>Los ùltimos los comprè en Deby 4989</t>
  </si>
  <si>
    <t>SOPORTE PARA CUADROS X200</t>
  </si>
  <si>
    <t xml:space="preserve">ZBAL000 </t>
  </si>
  <si>
    <t>EN LEKONS</t>
  </si>
  <si>
    <t>4181 EN DEBY</t>
  </si>
  <si>
    <t>Los ultimos los compre en Deby</t>
  </si>
  <si>
    <t>5051 en Deby</t>
  </si>
  <si>
    <t>135 cm</t>
  </si>
  <si>
    <t>En Delpino los compré más eco</t>
  </si>
  <si>
    <t>5048 en Deby</t>
  </si>
  <si>
    <t>Valv. llave esférica PVC Duke llave paso</t>
  </si>
  <si>
    <t>DUK0000 En Lekons están mas eco</t>
  </si>
  <si>
    <t>En RANCAGUA está más eco</t>
  </si>
  <si>
    <t>DUK0002 En Lekons están mas eco</t>
  </si>
  <si>
    <t xml:space="preserve">LLAVE ESF. F.F. C/PALANCA ø 20 Mm. </t>
  </si>
  <si>
    <t>AAF0825 en Rancagua más Eco</t>
  </si>
  <si>
    <t>DUK0171 en Lekons más Eco</t>
  </si>
  <si>
    <t>DUK0172 en Lekons más Eco</t>
  </si>
  <si>
    <t>CEP EN RANCAGUA</t>
  </si>
  <si>
    <t>En Rancagua son un poco más caras, PERO PARECEN MEJOR CALIDAD y el cod es CE1</t>
  </si>
  <si>
    <t>BCE0063</t>
  </si>
  <si>
    <t>CANILLA Cromada con manga</t>
  </si>
  <si>
    <t>AVA0810 en Lekons más Eco</t>
  </si>
  <si>
    <t xml:space="preserve">MANGA p/canilla Metal Italiana </t>
  </si>
  <si>
    <t>ARANDELA CHICOTE CROMADO x 100</t>
  </si>
  <si>
    <t>REP0841</t>
  </si>
  <si>
    <t>En DEBY está más eco</t>
  </si>
  <si>
    <t>MANGUERA p/GAS x 25mts</t>
  </si>
  <si>
    <t>RGB0060</t>
  </si>
  <si>
    <t>En LEKONS está más eco ROLLO 25mts RGB0060</t>
  </si>
  <si>
    <t>ZMGT000</t>
  </si>
  <si>
    <t>En Lekons están mas eco</t>
  </si>
  <si>
    <t>ZMGT011</t>
  </si>
  <si>
    <t>CPP13</t>
  </si>
  <si>
    <t>ZBIC000 En Lekons</t>
  </si>
  <si>
    <t>ZTCV000 En Lekons MAS ECONÓMICOS</t>
  </si>
  <si>
    <t>ZBIC001 En Lekons más econ.</t>
  </si>
  <si>
    <t>ZBCP002 En Lekons</t>
  </si>
  <si>
    <t>ZCLF920 En Lekons</t>
  </si>
  <si>
    <t>En RANCAGUA está más eco Lekons</t>
  </si>
  <si>
    <t>ZAFI921</t>
  </si>
  <si>
    <t>CAÑO Negro BICAPA polietileno</t>
  </si>
  <si>
    <t>ZCPB050 En Lekons</t>
  </si>
  <si>
    <t>ZCPA010</t>
  </si>
  <si>
    <t>ZCPA001 En Lekons más econ.</t>
  </si>
  <si>
    <t>CAÑO Negro BICAPA</t>
  </si>
  <si>
    <t>ZCPB052 En Lekons más econ.</t>
  </si>
  <si>
    <r>
      <rPr>
        <rFont val="Calibri"/>
        <b/>
        <color theme="1"/>
        <sz val="8.0"/>
      </rPr>
      <t xml:space="preserve">CODO </t>
    </r>
    <r>
      <rPr>
        <rFont val="Calibri"/>
        <b val="0"/>
        <color theme="1"/>
        <sz val="8.0"/>
      </rPr>
      <t>HH PP 1/2"</t>
    </r>
  </si>
  <si>
    <t>PPC0000</t>
  </si>
  <si>
    <r>
      <rPr>
        <rFont val="Calibri"/>
        <b/>
        <color theme="1"/>
        <sz val="8.0"/>
      </rPr>
      <t>CODO</t>
    </r>
    <r>
      <rPr>
        <rFont val="Calibri"/>
        <b val="0"/>
        <color theme="1"/>
        <sz val="8.0"/>
      </rPr>
      <t xml:space="preserve"> MH PP</t>
    </r>
  </si>
  <si>
    <r>
      <rPr>
        <rFont val="Calibri"/>
        <b/>
        <color theme="1"/>
        <sz val="8.0"/>
      </rPr>
      <t>CODO</t>
    </r>
    <r>
      <rPr>
        <rFont val="Calibri"/>
        <b val="0"/>
        <color theme="1"/>
        <sz val="8.0"/>
      </rPr>
      <t xml:space="preserve"> HH 45°</t>
    </r>
  </si>
  <si>
    <r>
      <rPr>
        <rFont val="Calibri"/>
        <b/>
        <color theme="1"/>
        <sz val="8.0"/>
      </rPr>
      <t>TEE</t>
    </r>
    <r>
      <rPr>
        <rFont val="Calibri"/>
        <b val="0"/>
        <color theme="1"/>
        <sz val="8.0"/>
      </rPr>
      <t xml:space="preserve"> PP Bx15 1/2"</t>
    </r>
  </si>
  <si>
    <t>PPC0030 En Lekons</t>
  </si>
  <si>
    <r>
      <rPr>
        <rFont val="Calibri"/>
        <b/>
        <color theme="1"/>
        <sz val="8.0"/>
      </rPr>
      <t>TAPON M</t>
    </r>
    <r>
      <rPr>
        <rFont val="Calibri"/>
        <b val="0"/>
        <color theme="1"/>
        <sz val="8.0"/>
      </rPr>
      <t xml:space="preserve"> Tapon PP</t>
    </r>
  </si>
  <si>
    <t>PPC0070 En Lekons mas eco</t>
  </si>
  <si>
    <r>
      <rPr>
        <rFont val="Calibri"/>
        <b/>
        <color theme="1"/>
        <sz val="8.0"/>
      </rPr>
      <t>TAPA H</t>
    </r>
    <r>
      <rPr>
        <rFont val="Calibri"/>
        <b val="0"/>
        <color theme="1"/>
        <sz val="8.0"/>
      </rPr>
      <t xml:space="preserve"> PP</t>
    </r>
  </si>
  <si>
    <t>IPS0060</t>
  </si>
  <si>
    <r>
      <rPr>
        <rFont val="Calibri"/>
        <b/>
        <color theme="1"/>
        <sz val="8.0"/>
      </rPr>
      <t>ROSCA CON TUERCA</t>
    </r>
    <r>
      <rPr>
        <rFont val="Calibri"/>
        <b val="0"/>
        <color theme="1"/>
        <sz val="8.0"/>
      </rPr>
      <t xml:space="preserve"> entrerosca PP</t>
    </r>
  </si>
  <si>
    <t>PPC0080 En Lekons</t>
  </si>
  <si>
    <r>
      <rPr>
        <rFont val="Calibri"/>
        <b/>
        <color theme="1"/>
        <sz val="8.0"/>
      </rPr>
      <t>CUPLA HH</t>
    </r>
    <r>
      <rPr>
        <rFont val="Calibri"/>
        <b val="0"/>
        <color theme="1"/>
        <sz val="8.0"/>
      </rPr>
      <t xml:space="preserve"> PP</t>
    </r>
  </si>
  <si>
    <t>IPS0050 En Lekons EL PRECIO PARECIDO C/RANCAGUA</t>
  </si>
  <si>
    <r>
      <rPr>
        <rFont val="Calibri"/>
        <b/>
        <color theme="1"/>
        <sz val="8.0"/>
      </rPr>
      <t>CUPLA MH</t>
    </r>
    <r>
      <rPr>
        <rFont val="Calibri"/>
        <b val="0"/>
        <color theme="1"/>
        <sz val="8.0"/>
      </rPr>
      <t xml:space="preserve"> PP</t>
    </r>
  </si>
  <si>
    <t>CUPLA REDUCCION 1/2 X 3/8 PP</t>
  </si>
  <si>
    <r>
      <rPr>
        <rFont val="Calibri"/>
        <b/>
        <color theme="1"/>
        <sz val="8.0"/>
      </rPr>
      <t>UNION DOBLE</t>
    </r>
    <r>
      <rPr>
        <rFont val="Calibri"/>
        <b val="0"/>
        <color theme="1"/>
        <sz val="8.0"/>
      </rPr>
      <t xml:space="preserve"> PP HH</t>
    </r>
  </si>
  <si>
    <t>IPS0040 en Lekons mas econo</t>
  </si>
  <si>
    <r>
      <rPr>
        <rFont val="Calibri"/>
        <b/>
        <color rgb="FF99CC00"/>
        <sz val="8.0"/>
      </rPr>
      <t>UNION DOBLE</t>
    </r>
    <r>
      <rPr>
        <rFont val="Calibri"/>
        <b val="0"/>
        <color rgb="FF99CC00"/>
        <sz val="8.0"/>
      </rPr>
      <t xml:space="preserve"> PP HH Bx10</t>
    </r>
  </si>
  <si>
    <t>PPC0280 EN LEKONS mas eco</t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</si>
  <si>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6cm PP</t>
    </r>
  </si>
  <si>
    <t>PPC0180 EN LEKONS</t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</si>
  <si>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8cm PP</t>
    </r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</si>
  <si>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10cm PP</t>
    </r>
  </si>
  <si>
    <t>PPC0200 EN LEKONS</t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</si>
  <si>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12cm PP</t>
    </r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</si>
  <si>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15cm PP</t>
    </r>
  </si>
  <si>
    <t>PPC0220 En Lekons</t>
  </si>
  <si>
    <r>
      <rPr>
        <rFont val="Calibri"/>
        <b/>
        <color theme="1"/>
        <sz val="8.0"/>
      </rPr>
      <t>NIPLE</t>
    </r>
    <r>
      <rPr>
        <rFont val="Calibri"/>
        <b val="0"/>
        <color theme="1"/>
        <sz val="8.0"/>
      </rPr>
      <t xml:space="preserve"> 20cm PP</t>
    </r>
  </si>
  <si>
    <t>PPC0300 En Lekons</t>
  </si>
  <si>
    <r>
      <rPr>
        <rFont val="Calibri"/>
        <b/>
        <color rgb="FF000000"/>
        <sz val="8.0"/>
      </rPr>
      <t>ACOPLE</t>
    </r>
    <r>
      <rPr>
        <rFont val="Calibri"/>
        <b val="0"/>
        <color rgb="FF000000"/>
        <sz val="8.0"/>
      </rPr>
      <t xml:space="preserve"> de compresión PP</t>
    </r>
  </si>
  <si>
    <t>Mas econo en DEBY</t>
  </si>
  <si>
    <t>BUJE RED 1/2 X 3/8 HH PP</t>
  </si>
  <si>
    <t>C00175</t>
  </si>
  <si>
    <t>en RANCAGUA Mas econo</t>
  </si>
  <si>
    <t>C00202</t>
  </si>
  <si>
    <t>IPS0156</t>
  </si>
  <si>
    <t xml:space="preserve">PPC0121 EN LEKONS màs eco </t>
  </si>
  <si>
    <t xml:space="preserve">PPC0122 EN LEKONS màs eco </t>
  </si>
  <si>
    <t>ROSCA C/TUERCA 3/4"</t>
  </si>
  <si>
    <r>
      <rPr>
        <rFont val="Calibri"/>
        <b/>
        <color rgb="FF0000FF"/>
        <sz val="8.0"/>
      </rPr>
      <t>CODO</t>
    </r>
    <r>
      <rPr>
        <rFont val="Calibri"/>
        <b val="0"/>
        <color rgb="FF0000FF"/>
        <sz val="8.0"/>
      </rPr>
      <t xml:space="preserve"> </t>
    </r>
    <r>
      <rPr>
        <rFont val="Calibri"/>
        <b/>
        <color rgb="FF0000FF"/>
        <sz val="8.0"/>
      </rPr>
      <t>HH</t>
    </r>
    <r>
      <rPr>
        <rFont val="Calibri"/>
        <b val="0"/>
        <color rgb="FF0000FF"/>
        <sz val="8.0"/>
      </rPr>
      <t xml:space="preserve"> PP Bx20</t>
    </r>
  </si>
  <si>
    <t>PPC0001 EN LEKONS màs eco</t>
  </si>
  <si>
    <r>
      <rPr>
        <rFont val="Calibri"/>
        <b/>
        <color rgb="FF0000FF"/>
        <sz val="8.0"/>
      </rPr>
      <t>CODO</t>
    </r>
    <r>
      <rPr>
        <rFont val="Calibri"/>
        <b val="0"/>
        <color rgb="FF0000FF"/>
        <sz val="8.0"/>
      </rPr>
      <t xml:space="preserve"> </t>
    </r>
    <r>
      <rPr>
        <rFont val="Calibri"/>
        <b/>
        <color rgb="FF0000FF"/>
        <sz val="8.0"/>
      </rPr>
      <t>MH</t>
    </r>
    <r>
      <rPr>
        <rFont val="Calibri"/>
        <b val="0"/>
        <color rgb="FF0000FF"/>
        <sz val="8.0"/>
      </rPr>
      <t xml:space="preserve"> PP</t>
    </r>
  </si>
  <si>
    <t>TEE PP Bx15</t>
  </si>
  <si>
    <r>
      <rPr>
        <rFont val="Calibri"/>
        <b/>
        <color rgb="FF0000FF"/>
        <sz val="8.0"/>
      </rPr>
      <t>CUPLA</t>
    </r>
    <r>
      <rPr>
        <rFont val="Calibri"/>
        <b val="0"/>
        <color rgb="FF0000FF"/>
        <sz val="8.0"/>
      </rPr>
      <t xml:space="preserve"> PP</t>
    </r>
  </si>
  <si>
    <r>
      <rPr>
        <rFont val="Calibri"/>
        <b/>
        <color rgb="FF0000FF"/>
        <sz val="8.0"/>
      </rPr>
      <t>TAPA H</t>
    </r>
    <r>
      <rPr>
        <rFont val="Calibri"/>
        <b val="0"/>
        <color rgb="FF0000FF"/>
        <sz val="8.0"/>
      </rPr>
      <t xml:space="preserve"> PP</t>
    </r>
  </si>
  <si>
    <t>PPC0281 EN LEKONS mas eco</t>
  </si>
  <si>
    <r>
      <rPr>
        <rFont val="Calibri"/>
        <b/>
        <color rgb="FF0000FF"/>
        <sz val="8.0"/>
      </rPr>
      <t>ACOPLE</t>
    </r>
    <r>
      <rPr>
        <rFont val="Calibri"/>
        <b val="0"/>
        <color rgb="FF0000FF"/>
        <sz val="8.0"/>
      </rPr>
      <t xml:space="preserve"> de compresión PP</t>
    </r>
  </si>
  <si>
    <t>CUPLA 1"</t>
  </si>
  <si>
    <t>I132</t>
  </si>
  <si>
    <t>ROSCA CON TUERCA PP Bx10</t>
  </si>
  <si>
    <t>PPC0072 EN LEKONS màs eco</t>
  </si>
  <si>
    <t>Mas econo en Lekons PPC0153</t>
  </si>
  <si>
    <t>PPC0128</t>
  </si>
  <si>
    <t>11/2"x11/4</t>
  </si>
  <si>
    <t>PPC0130 EN LEKONS màs eco</t>
  </si>
  <si>
    <t>PPC0135 EN LEKONS màs eco</t>
  </si>
  <si>
    <t>CLF0000 En Lekons MAS ECON.</t>
  </si>
  <si>
    <t>CLF0030 En Lekons</t>
  </si>
  <si>
    <t>CLF0070 En Lekons MAS ECO</t>
  </si>
  <si>
    <t>AAF0050 En Lekons MAS ECO</t>
  </si>
  <si>
    <t>AAF0221 En Lekons</t>
  </si>
  <si>
    <t>AAF0211 En Lekons</t>
  </si>
  <si>
    <t>CLF0280</t>
  </si>
  <si>
    <t>AAF0281</t>
  </si>
  <si>
    <t>460101 En Rancagua</t>
  </si>
  <si>
    <t>AAF0301 En Lekons</t>
  </si>
  <si>
    <t>CLF0001 En Lekons MAS ECO</t>
  </si>
  <si>
    <t>CLF0071 En Lekons MAS ECO</t>
  </si>
  <si>
    <t>25x1/2"</t>
  </si>
  <si>
    <t>G925M1</t>
  </si>
  <si>
    <t>25x3/4"</t>
  </si>
  <si>
    <t>CLF0283 En Lekons MAS ECO</t>
  </si>
  <si>
    <t>CLF0214 En Lekons MAS ECO</t>
  </si>
  <si>
    <t>CLF0283</t>
  </si>
  <si>
    <t>460104</t>
  </si>
  <si>
    <t>AAF0284 En Lekons</t>
  </si>
  <si>
    <t>TUBO FUSION R M METAL</t>
  </si>
  <si>
    <t>AAF0243</t>
  </si>
  <si>
    <t>CUPLA REDUCCION Fusion</t>
  </si>
  <si>
    <t>25x20</t>
  </si>
  <si>
    <t>BUJE REDUCCION Fusion</t>
  </si>
  <si>
    <t>CLF0380</t>
  </si>
  <si>
    <t>AAF0051 En Lekons MAS ECO</t>
  </si>
  <si>
    <t>AAF0121 En Lekons</t>
  </si>
  <si>
    <t>CONEXION P/TANQUE F.F. 25 Mm., "IPS"</t>
  </si>
  <si>
    <t>AFI0880</t>
  </si>
  <si>
    <t>CLF0032 En Lekons MAS ECO</t>
  </si>
  <si>
    <t>32x25</t>
  </si>
  <si>
    <t>460063</t>
  </si>
  <si>
    <t>CODO FUSION</t>
  </si>
  <si>
    <t>460043</t>
  </si>
  <si>
    <t>CLF0002 En Lekons MAS ECO</t>
  </si>
  <si>
    <t>TEE FUSION</t>
  </si>
  <si>
    <t>460033</t>
  </si>
  <si>
    <t>32x1"</t>
  </si>
  <si>
    <t>CLF0287</t>
  </si>
  <si>
    <t>CONEXION P/TANQUE F.F. 32 Mm., "IPS"</t>
  </si>
  <si>
    <t>AFI0881</t>
  </si>
  <si>
    <t>CONEXION P/TANQUE F.F. 32 Mm.</t>
  </si>
  <si>
    <t>CONEXION P/TANQUE F.F. 40 Mm., "IPS"</t>
  </si>
  <si>
    <t>AFI0882</t>
  </si>
  <si>
    <t>CUPLA 40</t>
  </si>
  <si>
    <t>CLF0033</t>
  </si>
  <si>
    <t>BUJE RED 40x32</t>
  </si>
  <si>
    <t>40x32mm</t>
  </si>
  <si>
    <t>ASF0195</t>
  </si>
  <si>
    <t>CODO 90 FUSION PP</t>
  </si>
  <si>
    <t>F4001</t>
  </si>
  <si>
    <t>CUPLA Fusion Rosca  PP</t>
  </si>
  <si>
    <t>F5021</t>
  </si>
  <si>
    <t>CUPLA FUSION PP</t>
  </si>
  <si>
    <t>F4021</t>
  </si>
  <si>
    <t>TEE 1/2 F</t>
  </si>
  <si>
    <t>F4011</t>
  </si>
  <si>
    <t>CUPLA Fusion PP</t>
  </si>
  <si>
    <t>F4022</t>
  </si>
  <si>
    <t>F5022</t>
  </si>
  <si>
    <t>F4012</t>
  </si>
  <si>
    <t>ACCESORIOS POLIETILENO NEGRO</t>
  </si>
  <si>
    <t>POLIETILENOSSS</t>
  </si>
  <si>
    <t>CODO DOBLE enchufe Polietileno</t>
  </si>
  <si>
    <t>P00230</t>
  </si>
  <si>
    <t>CODO Rosca H-enchufe-Espigas</t>
  </si>
  <si>
    <t>P00240</t>
  </si>
  <si>
    <t>NIP0010 En Lekons</t>
  </si>
  <si>
    <t>CODO Rosca M-enchufe-Espigas</t>
  </si>
  <si>
    <t>PPR0100</t>
  </si>
  <si>
    <t>ENCHUFE DOBLE-Espiga polie Bx25</t>
  </si>
  <si>
    <t>PPR0020</t>
  </si>
  <si>
    <t>ENCHUFE C/ ROSCA H</t>
  </si>
  <si>
    <t>P00300</t>
  </si>
  <si>
    <t>PPR0030 En Lekons</t>
  </si>
  <si>
    <t>ENCHUFE C/ ROSCA M</t>
  </si>
  <si>
    <t>P00260</t>
  </si>
  <si>
    <t>PPR0040 En Lekons</t>
  </si>
  <si>
    <t>ENCHUFE 1/2 ROSCA MACHO 3/4</t>
  </si>
  <si>
    <t>1/2" a 3/4"</t>
  </si>
  <si>
    <t>P00270</t>
  </si>
  <si>
    <t>PPR0080 En Lekons</t>
  </si>
  <si>
    <t>TEE triple enchufe-Espiga polietileno</t>
  </si>
  <si>
    <t>NIP0050</t>
  </si>
  <si>
    <t>TEE doble enchufe-rosca</t>
  </si>
  <si>
    <t>P00280</t>
  </si>
  <si>
    <t>PPR0060 En Lekons</t>
  </si>
  <si>
    <t>Enchufe DOBLE REDUCCION</t>
  </si>
  <si>
    <t>3/4x1/2</t>
  </si>
  <si>
    <t>ENCHUFE DOBLE Espiga Bx20</t>
  </si>
  <si>
    <t>P00251</t>
  </si>
  <si>
    <t>NIP0021 En Lekons están mas eco</t>
  </si>
  <si>
    <t>Enchufe Rosca HEMBRA</t>
  </si>
  <si>
    <t>P00301</t>
  </si>
  <si>
    <t>Enchufe Rosca MACHO</t>
  </si>
  <si>
    <t>PPR0041 En Lekons están mas eco</t>
  </si>
  <si>
    <t>CODO DOBLE enchufe</t>
  </si>
  <si>
    <t>CODO ROSCA H-enchufe Espiga</t>
  </si>
  <si>
    <t>P00241</t>
  </si>
  <si>
    <t>TEE triple enchufe</t>
  </si>
  <si>
    <t>PPR0051 En Lekons</t>
  </si>
  <si>
    <t>TEE doble enchufe c/ROSCA</t>
  </si>
  <si>
    <t>P00281</t>
  </si>
  <si>
    <t>1"x3/4"</t>
  </si>
  <si>
    <t>ENCHUFE DOBLE Polietileno</t>
  </si>
  <si>
    <t>P00252</t>
  </si>
  <si>
    <t>PPR0022 En Lekons están mas eco</t>
  </si>
  <si>
    <t>ENCHUFE 1/2 ROSCA MACHO 1"</t>
  </si>
  <si>
    <t>1/2 a 1"</t>
  </si>
  <si>
    <t>PPR0081</t>
  </si>
  <si>
    <t>PPR0012</t>
  </si>
  <si>
    <t>TEE EE C/ROSCA</t>
  </si>
  <si>
    <t>PPR0062</t>
  </si>
  <si>
    <t>ENCHUFE C/ROSCA M</t>
  </si>
  <si>
    <t>PPR0042 En Lekons están mas eco</t>
  </si>
  <si>
    <t>ENCHUFE C/ROSCA H</t>
  </si>
  <si>
    <t>NIP0032</t>
  </si>
  <si>
    <t>P00253</t>
  </si>
  <si>
    <t>ACCESORIOS PVC</t>
  </si>
  <si>
    <t>PVCSSS</t>
  </si>
  <si>
    <t>CAÑO PVC x 4mts 2,4</t>
  </si>
  <si>
    <t>40 mm</t>
  </si>
  <si>
    <t xml:space="preserve">ZCCS404 En Lekons </t>
  </si>
  <si>
    <t>SOLO SE FRACCIONA x METRO</t>
  </si>
  <si>
    <t>CAÑO PVC x 4mts 3,0</t>
  </si>
  <si>
    <t>50 mm</t>
  </si>
  <si>
    <t>ZCCS504 En Lekons Saavedra</t>
  </si>
  <si>
    <t>63 mm</t>
  </si>
  <si>
    <t>ZCCS634 En Lekons Mas economico</t>
  </si>
  <si>
    <t>CAÑO PVC x 4mts ECO</t>
  </si>
  <si>
    <t>110 mm</t>
  </si>
  <si>
    <t>ZCCS112</t>
  </si>
  <si>
    <t>CAÑO PVC x 4mts 3.2</t>
  </si>
  <si>
    <t>ZCCP112 En Lekons Mas economico</t>
  </si>
  <si>
    <t>CAÑO PVC x 4mts ALTA RIGIDEZ</t>
  </si>
  <si>
    <t>CODO PVC MH</t>
  </si>
  <si>
    <t>40x90°</t>
  </si>
  <si>
    <t>WACR024 En Lekons están mas eco</t>
  </si>
  <si>
    <t>CODO PVC HH</t>
  </si>
  <si>
    <t>50x90</t>
  </si>
  <si>
    <t>WACS025 En Lekons están mas eco</t>
  </si>
  <si>
    <t>50x90°</t>
  </si>
  <si>
    <t>63x90°</t>
  </si>
  <si>
    <t>WACS022 En Lekons están mas eco</t>
  </si>
  <si>
    <t>110x90°</t>
  </si>
  <si>
    <t>WACR023 En Lekons están mas eco</t>
  </si>
  <si>
    <t>CODO PVC c/BASE</t>
  </si>
  <si>
    <t>CODO PVC c/3 ACOMETIDA</t>
  </si>
  <si>
    <t>CURVA CODO PVC MH</t>
  </si>
  <si>
    <t>40x45°</t>
  </si>
  <si>
    <t>WACS040 En Lekons mas eco</t>
  </si>
  <si>
    <t>50x45°</t>
  </si>
  <si>
    <t>WACS041 En Lekons están mas eco</t>
  </si>
  <si>
    <t>63x45°</t>
  </si>
  <si>
    <t>WACS042 En Lekons están mas eco</t>
  </si>
  <si>
    <t>110x45°</t>
  </si>
  <si>
    <t>CUPLA Lisa PVC</t>
  </si>
  <si>
    <t>OM</t>
  </si>
  <si>
    <t>WACR051 En Lekons están mas eco</t>
  </si>
  <si>
    <t>CUELLO PROLONGACION</t>
  </si>
  <si>
    <t>WACR125</t>
  </si>
  <si>
    <t>TAPA PVC</t>
  </si>
  <si>
    <t>WACR093 En Lekons están mas eco</t>
  </si>
  <si>
    <t>SOMBRERETE PVC VENTILACION</t>
  </si>
  <si>
    <t>110mm</t>
  </si>
  <si>
    <t>WACS101</t>
  </si>
  <si>
    <t>PILETA PATIO</t>
  </si>
  <si>
    <t>100x100mm</t>
  </si>
  <si>
    <t>WACR001 En Lekons están mas eco</t>
  </si>
  <si>
    <t>150x150mm</t>
  </si>
  <si>
    <t>220260</t>
  </si>
  <si>
    <t>PILETA PATIO 200 c/sifon</t>
  </si>
  <si>
    <t>200mm</t>
  </si>
  <si>
    <t>TUBOFORTE</t>
  </si>
  <si>
    <t>REDUCCION excentrica PVC</t>
  </si>
  <si>
    <t>50-40mm</t>
  </si>
  <si>
    <t>WACR110 En Lekons están mas eco</t>
  </si>
  <si>
    <t>REDUCCION</t>
  </si>
  <si>
    <t>63x40mm</t>
  </si>
  <si>
    <t>WACR111 En Lekons están mas eco</t>
  </si>
  <si>
    <t>63-50mm</t>
  </si>
  <si>
    <t>WACR112 En Lekons están mas eco</t>
  </si>
  <si>
    <t>110 x 63mm</t>
  </si>
  <si>
    <t>110x100mm</t>
  </si>
  <si>
    <t>WACL114 En Lekons</t>
  </si>
  <si>
    <t>RAMAL 40mm MH "Y"</t>
  </si>
  <si>
    <t>RAMAL 50mm MH "Y"</t>
  </si>
  <si>
    <t>WACS071 En Lekons</t>
  </si>
  <si>
    <t>RAMAL 63mm MH "Y"</t>
  </si>
  <si>
    <t>RAMAL 110mm "Y"</t>
  </si>
  <si>
    <t>RAMAL 110mm MH "Y"</t>
  </si>
  <si>
    <t>110x63x45°</t>
  </si>
  <si>
    <t>WACR074 En Lekons más eco</t>
  </si>
  <si>
    <t>RAMAL 40mm "T" liviano</t>
  </si>
  <si>
    <t>40x90*</t>
  </si>
  <si>
    <t>WACL080</t>
  </si>
  <si>
    <t>RAMAL 40mm "T"</t>
  </si>
  <si>
    <t>RAMAL 50mm "T"</t>
  </si>
  <si>
    <t>50x90*</t>
  </si>
  <si>
    <t>RAMAL 63mm "T"</t>
  </si>
  <si>
    <t>63x90*</t>
  </si>
  <si>
    <t>WACR082 En Lekons más eco</t>
  </si>
  <si>
    <t>RAMAL 110mm "T"</t>
  </si>
  <si>
    <t>WACR083 En Lekons más eco</t>
  </si>
  <si>
    <t>RAMAL CAMARA "T"</t>
  </si>
  <si>
    <t>WCJP140 En Lekons</t>
  </si>
  <si>
    <t>FLEXIBLE Extensible</t>
  </si>
  <si>
    <t>SLL215</t>
  </si>
  <si>
    <t>AVA0507</t>
  </si>
  <si>
    <t>FLEXIBLE Extensible CORTO p/BIDET</t>
  </si>
  <si>
    <t>40-40mm</t>
  </si>
  <si>
    <t>SLL219</t>
  </si>
  <si>
    <t>AVA0380</t>
  </si>
  <si>
    <t>FLEXIBLE Extensible c/rosca</t>
  </si>
  <si>
    <t>SLL217</t>
  </si>
  <si>
    <t>AVA0505 En RANCAGUA están mas eco</t>
  </si>
  <si>
    <t>SOPORTE CANALETAS PVC</t>
  </si>
  <si>
    <t>WCNI090</t>
  </si>
  <si>
    <t>CAÑO AWADUCT 40mm 1mt.</t>
  </si>
  <si>
    <t>40x1mt.</t>
  </si>
  <si>
    <t>A1004</t>
  </si>
  <si>
    <t>ZADI203 En Lekons están mas eco</t>
  </si>
  <si>
    <t>CAÑO AWADUCT 40mm 2mts.</t>
  </si>
  <si>
    <t>40x2mts.</t>
  </si>
  <si>
    <t>ZADI205</t>
  </si>
  <si>
    <t>CAÑO AWADUCT 40mm 4mts.</t>
  </si>
  <si>
    <t>40x4mts.</t>
  </si>
  <si>
    <t>ZADI208</t>
  </si>
  <si>
    <t>A1008 En Rancagua</t>
  </si>
  <si>
    <t>CAÑO AWADUCT 50mm 1mt.</t>
  </si>
  <si>
    <t>50x1mt.</t>
  </si>
  <si>
    <t>A1013</t>
  </si>
  <si>
    <t>ZADI213 En Lekons están mas eco</t>
  </si>
  <si>
    <t>CAÑO AWADUCT 50mm 2mt.</t>
  </si>
  <si>
    <t>50x2mt.</t>
  </si>
  <si>
    <t>ZADI215</t>
  </si>
  <si>
    <t>CAÑO AWADUCT 50mm 4mt.</t>
  </si>
  <si>
    <t>50x4mts</t>
  </si>
  <si>
    <t>ZAWA218</t>
  </si>
  <si>
    <t>CAÑO AWADUCT 63mm 1mt.</t>
  </si>
  <si>
    <t>63x1mt.</t>
  </si>
  <si>
    <t>ZAWA223</t>
  </si>
  <si>
    <t>CAÑO AWADUCT 63mm 2mt.</t>
  </si>
  <si>
    <t>63x2mt.</t>
  </si>
  <si>
    <t>ZADI225</t>
  </si>
  <si>
    <t>CAÑO AWADUCT 63mm 4mt.</t>
  </si>
  <si>
    <t>63x4mts</t>
  </si>
  <si>
    <t>ZADI228</t>
  </si>
  <si>
    <t>CAÑO AWADUCT 110mm 1mt.</t>
  </si>
  <si>
    <t>110x1mt.</t>
  </si>
  <si>
    <t>ZADI233</t>
  </si>
  <si>
    <t>CAÑO AWADUCT 110mm 4mt.</t>
  </si>
  <si>
    <t>110x4mts</t>
  </si>
  <si>
    <t>ZADI238</t>
  </si>
  <si>
    <t>A1035 En Rancagua</t>
  </si>
  <si>
    <t>CODO MH AWADUCT</t>
  </si>
  <si>
    <t>WADI024</t>
  </si>
  <si>
    <t>CODO HH AWADUCT</t>
  </si>
  <si>
    <t>WADI020</t>
  </si>
  <si>
    <t>A2006</t>
  </si>
  <si>
    <t>WADI021</t>
  </si>
  <si>
    <t>A2046 En Rancagua</t>
  </si>
  <si>
    <t>A2007</t>
  </si>
  <si>
    <t>WADI026 En Lekons están mas eco</t>
  </si>
  <si>
    <t>WADI022</t>
  </si>
  <si>
    <t>A2008</t>
  </si>
  <si>
    <t>WADI027 En Lekons están mas eco</t>
  </si>
  <si>
    <t>WADI023</t>
  </si>
  <si>
    <t>CURVA MH AWADUCT</t>
  </si>
  <si>
    <t>A2001</t>
  </si>
  <si>
    <t>WADI040 En Lekons están mas eco</t>
  </si>
  <si>
    <t>CURVA HH AWADUCT</t>
  </si>
  <si>
    <t>WAWA045</t>
  </si>
  <si>
    <t>A2002</t>
  </si>
  <si>
    <t>A2041</t>
  </si>
  <si>
    <t>A2003</t>
  </si>
  <si>
    <t>WADI042 En Lekons están mas eco</t>
  </si>
  <si>
    <t>WADI047</t>
  </si>
  <si>
    <t>A2004</t>
  </si>
  <si>
    <t>WADI043 En Lekons están mas eco</t>
  </si>
  <si>
    <t>WADI048</t>
  </si>
  <si>
    <t>CUPLA HH AWADUCT</t>
  </si>
  <si>
    <t>A2013</t>
  </si>
  <si>
    <t>WADI050 En Lekons están mas eco</t>
  </si>
  <si>
    <t>A2014</t>
  </si>
  <si>
    <t>WADI141 En Lekons están mas eco</t>
  </si>
  <si>
    <t>A2015</t>
  </si>
  <si>
    <t>WAWA142 En Lekons están mas eco</t>
  </si>
  <si>
    <t>A2016</t>
  </si>
  <si>
    <t>WADI053 En Lekons están mas eco</t>
  </si>
  <si>
    <t>TAPON M AWADUCT</t>
  </si>
  <si>
    <t>WADI096</t>
  </si>
  <si>
    <t>WADI097</t>
  </si>
  <si>
    <t>WADI098</t>
  </si>
  <si>
    <t>WADI099</t>
  </si>
  <si>
    <t>TAPA H AWADUCT</t>
  </si>
  <si>
    <t>WADI093</t>
  </si>
  <si>
    <t>SOMBRERETE AWADUCT</t>
  </si>
  <si>
    <t>WAWA275</t>
  </si>
  <si>
    <t>REDUCCION 50x40</t>
  </si>
  <si>
    <t>50x40</t>
  </si>
  <si>
    <t>WADI110</t>
  </si>
  <si>
    <t>REDUCCION 63x50</t>
  </si>
  <si>
    <t>63x50</t>
  </si>
  <si>
    <t>WAWA112</t>
  </si>
  <si>
    <t>PILETA PATIO c/3 Entradas</t>
  </si>
  <si>
    <t>110x63x40</t>
  </si>
  <si>
    <t>WADI002</t>
  </si>
  <si>
    <t>BOCA ACCESO COCINA</t>
  </si>
  <si>
    <t>110x63x50</t>
  </si>
  <si>
    <t>WADI255</t>
  </si>
  <si>
    <t>BOCA ACCESO HORIZONTAL C/3 SALIDAS</t>
  </si>
  <si>
    <t>110x63</t>
  </si>
  <si>
    <t>A2460</t>
  </si>
  <si>
    <t>RAMAL SIMPLE 40x90° TEE</t>
  </si>
  <si>
    <t>WAWA150</t>
  </si>
  <si>
    <t>RAMAL SIMPLE 50x90° TEE</t>
  </si>
  <si>
    <t>WAWA151</t>
  </si>
  <si>
    <t>RAMAL SIMPLE 63x90° TEE</t>
  </si>
  <si>
    <t>WAWA082</t>
  </si>
  <si>
    <t>RAMAL MH 45º ø 110 x 63, "IPS"</t>
  </si>
  <si>
    <t>WADI077</t>
  </si>
  <si>
    <t>A2024 En Rancagua</t>
  </si>
  <si>
    <t>RAMAL MH 45º ø 110 "IPS"</t>
  </si>
  <si>
    <t>WADI073</t>
  </si>
  <si>
    <t>RAMAL 110x90º MH AWADUCT</t>
  </si>
  <si>
    <t>110x90º</t>
  </si>
  <si>
    <t>A2022</t>
  </si>
  <si>
    <t>PORTAREJA C/REJA ACERO INOX. 12 × 12</t>
  </si>
  <si>
    <t>12x12</t>
  </si>
  <si>
    <t>WAWA190</t>
  </si>
  <si>
    <t>PORTAREJA ACANALADA AC. INOX. 12 × 12</t>
  </si>
  <si>
    <t>WAWA197</t>
  </si>
  <si>
    <t>PORTAREJA C/CIEGA ACERO INOX. 12 × 12</t>
  </si>
  <si>
    <t>WAWA191</t>
  </si>
  <si>
    <t>ACCESORIOS CHAPA</t>
  </si>
  <si>
    <t>CHAPASSS</t>
  </si>
  <si>
    <t>CAÑO chapa galvanizado zincado</t>
  </si>
  <si>
    <t>4"x1mt</t>
  </si>
  <si>
    <t>CZ002</t>
  </si>
  <si>
    <t>ZCHV001 En Lekons están mas eco</t>
  </si>
  <si>
    <t>3"x1mt</t>
  </si>
  <si>
    <t>CZ001</t>
  </si>
  <si>
    <t>CAÑO CORRUGADO</t>
  </si>
  <si>
    <t>CZ006</t>
  </si>
  <si>
    <t>WCHV011 En Lekons</t>
  </si>
  <si>
    <t>CZ005</t>
  </si>
  <si>
    <t>WCHV010 En Lekons</t>
  </si>
  <si>
    <t>CODO Chapa articulada galvanizado zincado codo chapa</t>
  </si>
  <si>
    <t>4"x90°</t>
  </si>
  <si>
    <t>CA002</t>
  </si>
  <si>
    <t>CODO Chapa Plizada galvanizado zincado</t>
  </si>
  <si>
    <t>WCHV031</t>
  </si>
  <si>
    <t>CURVA Chapa Plizada galvanizado zincado</t>
  </si>
  <si>
    <t>4"x45°</t>
  </si>
  <si>
    <t>CP025</t>
  </si>
  <si>
    <t>3"x45°</t>
  </si>
  <si>
    <t>CP024</t>
  </si>
  <si>
    <t>3"x90°</t>
  </si>
  <si>
    <t>CP028</t>
  </si>
  <si>
    <t>SOMBRERETE 75mm</t>
  </si>
  <si>
    <t>SC06</t>
  </si>
  <si>
    <t>WCHV055 En Lekons están mas eco</t>
  </si>
  <si>
    <t>SOMBRERETE 100mm</t>
  </si>
  <si>
    <t>4"</t>
  </si>
  <si>
    <t>SC07</t>
  </si>
  <si>
    <t>WCHV056 En Lekons están mas eco</t>
  </si>
  <si>
    <t>SOMBRERETE 125mm</t>
  </si>
  <si>
    <t>5"</t>
  </si>
  <si>
    <t>SC012</t>
  </si>
  <si>
    <t>SOMBRERETE HACHE 100mm</t>
  </si>
  <si>
    <t>SC11</t>
  </si>
  <si>
    <t>ACCESORIOS GAS</t>
  </si>
  <si>
    <t>GASSS</t>
  </si>
  <si>
    <t>CODO GAS FUSION 20</t>
  </si>
  <si>
    <t>F21020</t>
  </si>
  <si>
    <t>CODO GAS FUSION 20 C/ROSCA H 1/2</t>
  </si>
  <si>
    <t>20mmx1/2"</t>
  </si>
  <si>
    <t>F21220</t>
  </si>
  <si>
    <t>TEE FUSION 20</t>
  </si>
  <si>
    <t>F22020</t>
  </si>
  <si>
    <t>CUPLA FUSION 20 GAS</t>
  </si>
  <si>
    <t>F23020</t>
  </si>
  <si>
    <t>TUBO FUSION GAS RH 20 X 1/2 H3</t>
  </si>
  <si>
    <t>F23220</t>
  </si>
  <si>
    <t>NIPLE epoxi</t>
  </si>
  <si>
    <t>1/2" x 5cm</t>
  </si>
  <si>
    <t>AE060</t>
  </si>
  <si>
    <t>1/2" x 12cm</t>
  </si>
  <si>
    <t>AE090</t>
  </si>
  <si>
    <t>1/2" x 20cm</t>
  </si>
  <si>
    <t>AE120</t>
  </si>
  <si>
    <t>ROSCA CON TUERCA epoxi gas</t>
  </si>
  <si>
    <t>AE160</t>
  </si>
  <si>
    <t>TAPON M tapon epoxi gas</t>
  </si>
  <si>
    <t>AE180</t>
  </si>
  <si>
    <t>AEX0100 Lekons</t>
  </si>
  <si>
    <t>TAPA H epoxi gas</t>
  </si>
  <si>
    <t>AE170</t>
  </si>
  <si>
    <t xml:space="preserve">CODO x 90 HH epoxi </t>
  </si>
  <si>
    <t>AE000</t>
  </si>
  <si>
    <t xml:space="preserve">CODO x 90 MH epoxi </t>
  </si>
  <si>
    <t>AE010</t>
  </si>
  <si>
    <t>CUPLA epoxi</t>
  </si>
  <si>
    <t>AE020</t>
  </si>
  <si>
    <t>TEE epoxi</t>
  </si>
  <si>
    <t>AE190</t>
  </si>
  <si>
    <t>BUJE REDUCCION epoxi</t>
  </si>
  <si>
    <t>AEX0300</t>
  </si>
  <si>
    <t>CUPLA REDUCCION epoxi 3/4x1/2</t>
  </si>
  <si>
    <t>AEX0380</t>
  </si>
  <si>
    <t>Union Doble Gas</t>
  </si>
  <si>
    <t>AE200</t>
  </si>
  <si>
    <t>3/4x5cm</t>
  </si>
  <si>
    <t>AE061</t>
  </si>
  <si>
    <t>AE191</t>
  </si>
  <si>
    <t>AEX0111 Lekons</t>
  </si>
  <si>
    <t>TAPON epoxi</t>
  </si>
  <si>
    <t>AEX0101</t>
  </si>
  <si>
    <t>AEX0031</t>
  </si>
  <si>
    <t>LLAVE/VALVULA GAS envasado Bronce</t>
  </si>
  <si>
    <t>Fisbin</t>
  </si>
  <si>
    <t>LG01</t>
  </si>
  <si>
    <t>LG02</t>
  </si>
  <si>
    <t>MANIJA LLAVE GAS</t>
  </si>
  <si>
    <t>MG1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</si>
</sst>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[$-409]d\-mmm"/>
    <numFmt numFmtId="166" formatCode="[$-409]mmm\-yy"/>
  </numFmts>
  <fonts count="39">
    <font>
      <sz val="11.0"/>
      <color rgb="FF000000"/>
      <name val="Calibri"/>
      <scheme val="minor"/>
    </font>
    <font>
      <sz val="8.0"/>
      <color rgb="FF000000"/>
      <name val="Calibri"/>
    </font>
    <font>
      <b/>
      <sz val="9.0"/>
      <color rgb="FF000000"/>
      <name val="Calibri"/>
    </font>
    <font>
      <sz val="6.0"/>
      <color rgb="FF000000"/>
      <name val="Calibri"/>
    </font>
    <font>
      <sz val="8.0"/>
      <color rgb="FFFF9900"/>
      <name val="Calibri"/>
    </font>
    <font>
      <sz val="8.0"/>
      <color rgb="FF99CC00"/>
      <name val="Calibri"/>
    </font>
    <font>
      <b/>
      <sz val="9.0"/>
      <color rgb="FF99CC00"/>
      <name val="Calibri"/>
    </font>
    <font>
      <sz val="8.0"/>
      <color theme="1"/>
      <name val="Calibri"/>
    </font>
    <font>
      <b/>
      <sz val="9.0"/>
      <color theme="1"/>
      <name val="Calibri"/>
    </font>
    <font>
      <sz val="6.0"/>
      <color theme="1"/>
      <name val="Calibri"/>
    </font>
    <font>
      <sz val="6.0"/>
      <color rgb="FF99CC00"/>
      <name val="Calibri"/>
    </font>
    <font>
      <sz val="8.0"/>
      <color rgb="FF993300"/>
      <name val="Calibri"/>
    </font>
    <font>
      <sz val="11.0"/>
      <color theme="1"/>
      <name val="Calibri"/>
    </font>
    <font>
      <sz val="8.0"/>
      <color rgb="FF333333"/>
      <name val="Calibri"/>
    </font>
    <font>
      <b/>
      <sz val="8.0"/>
      <color rgb="FF99CC00"/>
      <name val="Calibri"/>
    </font>
    <font>
      <b/>
      <sz val="8.0"/>
      <color theme="1"/>
      <name val="Calibri"/>
    </font>
    <font>
      <sz val="9.0"/>
      <color rgb="FF000000"/>
      <name val="Calibri"/>
    </font>
    <font>
      <sz val="8.0"/>
      <color rgb="FF00FF00"/>
      <name val="Calibri"/>
    </font>
    <font>
      <sz val="7.0"/>
      <color theme="1"/>
      <name val="Calibri"/>
    </font>
    <font>
      <b/>
      <sz val="8.0"/>
      <color rgb="FF000000"/>
      <name val="Calibri"/>
    </font>
    <font>
      <sz val="8.0"/>
      <color rgb="FF0000FF"/>
      <name val="Calibri"/>
    </font>
    <font>
      <sz val="8.0"/>
      <color rgb="FF339966"/>
      <name val="Calibri"/>
    </font>
    <font>
      <b/>
      <sz val="8.0"/>
      <color rgb="FF800000"/>
      <name val="Calibri"/>
    </font>
    <font>
      <sz val="7.0"/>
      <color rgb="FF000000"/>
      <name val="Calibri"/>
    </font>
    <font>
      <b/>
      <sz val="7.0"/>
      <color rgb="FF000000"/>
      <name val="Calibri"/>
    </font>
    <font>
      <b/>
      <sz val="8.0"/>
      <color rgb="FF993366"/>
      <name val="Calibri"/>
    </font>
    <font>
      <b/>
      <sz val="8.0"/>
      <color rgb="FFFF9900"/>
      <name val="Calibri"/>
    </font>
    <font>
      <sz val="8.0"/>
      <color rgb="FFFF6600"/>
      <name val="Calibri"/>
    </font>
    <font>
      <b/>
      <sz val="8.0"/>
      <color rgb="FFFF6600"/>
      <name val="Calibri"/>
    </font>
    <font>
      <sz val="8.0"/>
      <color rgb="FFFF0000"/>
      <name val="Calibri"/>
    </font>
    <font>
      <b/>
      <sz val="8.0"/>
      <color rgb="FF0000FF"/>
      <name val="Calibri"/>
    </font>
    <font>
      <sz val="6.0"/>
      <color rgb="FF993300"/>
      <name val="Calibri"/>
    </font>
    <font>
      <b/>
      <sz val="6.0"/>
      <color rgb="FF000000"/>
      <name val="Calibri"/>
    </font>
    <font>
      <sz val="6.0"/>
      <color rgb="FF800000"/>
      <name val="Calibri"/>
    </font>
    <font>
      <b/>
      <sz val="7.0"/>
      <color theme="1"/>
      <name val="Calibri"/>
    </font>
    <font>
      <sz val="11.0"/>
      <color rgb="FF99CC00"/>
      <name val="Calibri"/>
    </font>
    <font>
      <b/>
      <sz val="6.0"/>
      <color theme="1"/>
      <name val="Calibri"/>
    </font>
    <font>
      <sz val="6.0"/>
      <color rgb="FF00FF00"/>
      <name val="Calibri"/>
    </font>
    <font>
      <b/>
      <sz val="9.0"/>
      <color rgb="FF00FF00"/>
      <name val="Calibri"/>
    </font>
  </fonts>
  <fills count="30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CCFFCC"/>
        <bgColor rgb="FFCCFFCC"/>
      </patternFill>
    </fill>
    <fill>
      <patternFill patternType="solid">
        <fgColor rgb="FF993300"/>
        <bgColor rgb="FF993300"/>
      </patternFill>
    </fill>
    <fill>
      <patternFill patternType="solid">
        <fgColor rgb="FF99CCFF"/>
        <bgColor rgb="FF99CCFF"/>
      </patternFill>
    </fill>
    <fill>
      <patternFill patternType="solid">
        <fgColor rgb="FF333333"/>
        <bgColor rgb="FF333333"/>
      </patternFill>
    </fill>
    <fill>
      <patternFill patternType="solid">
        <fgColor rgb="FF3366FF"/>
        <bgColor rgb="FF3366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800080"/>
        <bgColor rgb="FF80008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000000"/>
        <bgColor rgb="FF000000"/>
      </patternFill>
    </fill>
    <fill>
      <patternFill patternType="solid">
        <fgColor rgb="FF008000"/>
        <bgColor rgb="FF008000"/>
      </patternFill>
    </fill>
    <fill>
      <patternFill patternType="solid">
        <fgColor rgb="FF339966"/>
        <bgColor rgb="FF339966"/>
      </patternFill>
    </fill>
    <fill>
      <patternFill patternType="solid">
        <fgColor rgb="FF808080"/>
        <bgColor rgb="FF808080"/>
      </patternFill>
    </fill>
    <fill>
      <patternFill patternType="solid">
        <fgColor rgb="FFCC99FF"/>
        <bgColor rgb="FFCC99FF"/>
      </patternFill>
    </fill>
    <fill>
      <patternFill patternType="solid">
        <fgColor rgb="FFFFCC99"/>
        <bgColor rgb="FFFFCC99"/>
      </patternFill>
    </fill>
    <fill>
      <patternFill patternType="solid">
        <fgColor rgb="FF969696"/>
        <bgColor rgb="FF969696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333399"/>
        <bgColor rgb="FF333399"/>
      </patternFill>
    </fill>
    <fill>
      <patternFill patternType="solid">
        <fgColor rgb="FF0000FF"/>
        <bgColor rgb="FF0000FF"/>
      </patternFill>
    </fill>
    <fill>
      <patternFill patternType="solid">
        <fgColor rgb="FF003366"/>
        <bgColor rgb="FF003366"/>
      </patternFill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99CC00"/>
        <bgColor rgb="FF99CC00"/>
      </patternFill>
    </fill>
  </fills>
  <borders count="36">
    <border/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right style="medium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5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horizontal="right" shrinkToFit="0" vertical="bottom" wrapText="0"/>
    </xf>
    <xf borderId="2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3" numFmtId="1" xfId="0" applyAlignment="1" applyBorder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2" fillId="3" fontId="4" numFmtId="0" xfId="0" applyAlignment="1" applyBorder="1" applyFont="1">
      <alignment horizontal="left" shrinkToFit="0" vertical="bottom" wrapText="0"/>
    </xf>
    <xf borderId="2" fillId="3" fontId="1" numFmtId="0" xfId="0" applyAlignment="1" applyBorder="1" applyFont="1">
      <alignment shrinkToFit="0" vertical="bottom" wrapText="0"/>
    </xf>
    <xf borderId="3" fillId="3" fontId="1" numFmtId="0" xfId="0" applyAlignment="1" applyBorder="1" applyFont="1">
      <alignment horizontal="right" shrinkToFit="0" vertical="bottom" wrapText="0"/>
    </xf>
    <xf borderId="2" fillId="4" fontId="1" numFmtId="0" xfId="0" applyAlignment="1" applyBorder="1" applyFill="1" applyFont="1">
      <alignment shrinkToFit="0" vertical="bottom" wrapText="0"/>
    </xf>
    <xf borderId="1" fillId="4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horizontal="right" shrinkToFit="0" vertical="bottom" wrapText="0"/>
    </xf>
    <xf borderId="2" fillId="2" fontId="2" numFmtId="164" xfId="0" applyAlignment="1" applyBorder="1" applyFont="1" applyNumberForma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2" fillId="4" fontId="1" numFmtId="0" xfId="0" applyAlignment="1" applyBorder="1" applyFont="1">
      <alignment horizontal="left" shrinkToFit="0" vertical="bottom" wrapText="0"/>
    </xf>
    <xf borderId="3" fillId="4" fontId="1" numFmtId="0" xfId="0" applyAlignment="1" applyBorder="1" applyFont="1">
      <alignment horizontal="right" shrinkToFit="0" vertical="bottom" wrapText="0"/>
    </xf>
    <xf borderId="3" fillId="4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right" shrinkToFit="0" vertical="bottom" wrapText="0"/>
    </xf>
    <xf borderId="4" fillId="0" fontId="5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horizontal="left" shrinkToFit="0" vertical="bottom" wrapText="0"/>
    </xf>
    <xf borderId="2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horizontal="right" shrinkToFit="0" vertical="bottom" wrapText="0"/>
    </xf>
    <xf borderId="2" fillId="2" fontId="6" numFmtId="164" xfId="0" applyAlignment="1" applyBorder="1" applyFont="1" applyNumberForma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horizontal="left" shrinkToFit="0" vertical="bottom" wrapText="0"/>
    </xf>
    <xf borderId="2" fillId="0" fontId="7" numFmtId="0" xfId="0" applyAlignment="1" applyBorder="1" applyFont="1">
      <alignment shrinkToFit="0" vertical="bottom" wrapText="0"/>
    </xf>
    <xf borderId="5" fillId="0" fontId="7" numFmtId="0" xfId="0" applyAlignment="1" applyBorder="1" applyFont="1">
      <alignment horizontal="right" shrinkToFit="0" vertical="bottom" wrapText="0"/>
    </xf>
    <xf borderId="2" fillId="2" fontId="8" numFmtId="164" xfId="0" applyAlignment="1" applyBorder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2" fillId="0" fontId="9" numFmtId="1" xfId="0" applyAlignment="1" applyBorder="1" applyFont="1" applyNumberFormat="1">
      <alignment shrinkToFit="0" vertical="bottom" wrapText="0"/>
    </xf>
    <xf borderId="5" fillId="0" fontId="7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shrinkToFit="0" vertical="bottom" wrapText="0"/>
    </xf>
    <xf borderId="2" fillId="4" fontId="5" numFmtId="0" xfId="0" applyAlignment="1" applyBorder="1" applyFont="1">
      <alignment horizontal="left" shrinkToFit="0" vertical="bottom" wrapText="0"/>
    </xf>
    <xf borderId="2" fillId="4" fontId="5" numFmtId="0" xfId="0" applyAlignment="1" applyBorder="1" applyFont="1">
      <alignment shrinkToFit="0" vertical="bottom" wrapText="0"/>
    </xf>
    <xf borderId="3" fillId="4" fontId="5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2" fillId="0" fontId="10" numFmtId="1" xfId="0" applyAlignment="1" applyBorder="1" applyFont="1" applyNumberFormat="1">
      <alignment shrinkToFit="0" vertical="bottom" wrapText="0"/>
    </xf>
    <xf borderId="3" fillId="4" fontId="5" numFmtId="0" xfId="0" applyAlignment="1" applyBorder="1" applyFont="1">
      <alignment shrinkToFit="0" vertical="bottom" wrapText="0"/>
    </xf>
    <xf borderId="1" fillId="4" fontId="7" numFmtId="0" xfId="0" applyAlignment="1" applyBorder="1" applyFont="1">
      <alignment shrinkToFit="0" vertical="bottom" wrapText="0"/>
    </xf>
    <xf borderId="2" fillId="4" fontId="7" numFmtId="0" xfId="0" applyAlignment="1" applyBorder="1" applyFont="1">
      <alignment horizontal="left" shrinkToFit="0" vertical="bottom" wrapText="0"/>
    </xf>
    <xf borderId="3" fillId="4" fontId="7" numFmtId="0" xfId="0" applyAlignment="1" applyBorder="1" applyFont="1">
      <alignment horizontal="right" shrinkToFit="0" vertical="bottom" wrapText="0"/>
    </xf>
    <xf borderId="3" fillId="4" fontId="7" numFmtId="0" xfId="0" applyAlignment="1" applyBorder="1" applyFont="1">
      <alignment shrinkToFit="0" vertical="bottom" wrapText="0"/>
    </xf>
    <xf borderId="2" fillId="4" fontId="7" numFmtId="0" xfId="0" applyAlignment="1" applyBorder="1" applyFont="1">
      <alignment shrinkToFit="0" vertical="bottom" wrapText="0"/>
    </xf>
    <xf borderId="2" fillId="4" fontId="1" numFmtId="0" xfId="0" applyAlignment="1" applyBorder="1" applyFont="1">
      <alignment horizontal="right" shrinkToFit="0" vertical="bottom" wrapText="0"/>
    </xf>
    <xf borderId="2" fillId="5" fontId="1" numFmtId="0" xfId="0" applyAlignment="1" applyBorder="1" applyFill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1" fillId="4" fontId="7" numFmtId="1" xfId="0" applyAlignment="1" applyBorder="1" applyFont="1" applyNumberFormat="1">
      <alignment shrinkToFit="0" vertical="bottom" wrapText="0"/>
    </xf>
    <xf borderId="4" fillId="0" fontId="7" numFmtId="1" xfId="0" applyAlignment="1" applyBorder="1" applyFont="1" applyNumberFormat="1">
      <alignment shrinkToFit="0" vertical="bottom" wrapText="0"/>
    </xf>
    <xf borderId="2" fillId="4" fontId="7" numFmtId="2" xfId="0" applyAlignment="1" applyBorder="1" applyFont="1" applyNumberFormat="1">
      <alignment horizontal="left" shrinkToFit="0" vertical="bottom" wrapText="0"/>
    </xf>
    <xf borderId="2" fillId="0" fontId="7" numFmtId="2" xfId="0" applyAlignment="1" applyBorder="1" applyFont="1" applyNumberFormat="1">
      <alignment horizontal="left" shrinkToFit="0" vertical="bottom" wrapText="0"/>
    </xf>
    <xf borderId="4" fillId="0" fontId="5" numFmtId="1" xfId="0" applyAlignment="1" applyBorder="1" applyFont="1" applyNumberFormat="1">
      <alignment shrinkToFit="0" vertical="bottom" wrapText="0"/>
    </xf>
    <xf borderId="2" fillId="0" fontId="7" numFmtId="0" xfId="0" applyAlignment="1" applyBorder="1" applyFont="1">
      <alignment horizontal="right" shrinkToFit="0" vertical="bottom" wrapText="0"/>
    </xf>
    <xf borderId="2" fillId="4" fontId="7" numFmtId="0" xfId="0" applyAlignment="1" applyBorder="1" applyFont="1">
      <alignment horizontal="right" shrinkToFit="0" vertical="bottom" wrapText="0"/>
    </xf>
    <xf borderId="6" fillId="0" fontId="7" numFmtId="0" xfId="0" applyAlignment="1" applyBorder="1" applyFont="1">
      <alignment shrinkToFit="0" vertical="bottom" wrapText="0"/>
    </xf>
    <xf borderId="2" fillId="4" fontId="1" numFmtId="165" xfId="0" applyAlignment="1" applyBorder="1" applyFont="1" applyNumberFormat="1">
      <alignment horizontal="left" shrinkToFit="0" vertical="bottom" wrapText="0"/>
    </xf>
    <xf borderId="1" fillId="6" fontId="11" numFmtId="0" xfId="0" applyAlignment="1" applyBorder="1" applyFill="1" applyFont="1">
      <alignment shrinkToFit="0" vertical="bottom" wrapText="0"/>
    </xf>
    <xf borderId="1" fillId="7" fontId="1" numFmtId="0" xfId="0" applyAlignment="1" applyBorder="1" applyFill="1" applyFont="1">
      <alignment shrinkToFit="0" vertical="bottom" wrapText="0"/>
    </xf>
    <xf borderId="3" fillId="3" fontId="1" numFmtId="0" xfId="0" applyAlignment="1" applyBorder="1" applyFont="1">
      <alignment shrinkToFit="0" vertical="bottom" wrapText="0"/>
    </xf>
    <xf borderId="1" fillId="8" fontId="1" numFmtId="0" xfId="0" applyAlignment="1" applyBorder="1" applyFill="1" applyFont="1">
      <alignment shrinkToFit="0" vertical="bottom" wrapText="0"/>
    </xf>
    <xf borderId="1" fillId="9" fontId="1" numFmtId="0" xfId="0" applyAlignment="1" applyBorder="1" applyFill="1" applyFont="1">
      <alignment shrinkToFit="0" vertical="bottom" wrapText="0"/>
    </xf>
    <xf borderId="1" fillId="10" fontId="1" numFmtId="0" xfId="0" applyAlignment="1" applyBorder="1" applyFill="1" applyFont="1">
      <alignment shrinkToFit="0" vertical="bottom" wrapText="0"/>
    </xf>
    <xf borderId="1" fillId="11" fontId="1" numFmtId="0" xfId="0" applyAlignment="1" applyBorder="1" applyFill="1" applyFont="1">
      <alignment shrinkToFit="0" vertical="bottom" wrapText="0"/>
    </xf>
    <xf borderId="7" fillId="0" fontId="7" numFmtId="0" xfId="0" applyAlignment="1" applyBorder="1" applyFont="1">
      <alignment horizontal="left" shrinkToFit="0" vertical="bottom" wrapText="0"/>
    </xf>
    <xf borderId="1" fillId="12" fontId="1" numFmtId="0" xfId="0" applyAlignment="1" applyBorder="1" applyFill="1" applyFont="1">
      <alignment shrinkToFit="0" vertical="bottom" wrapText="0"/>
    </xf>
    <xf borderId="8" fillId="0" fontId="7" numFmtId="0" xfId="0" applyAlignment="1" applyBorder="1" applyFont="1">
      <alignment shrinkToFit="0" vertical="bottom" wrapText="0"/>
    </xf>
    <xf borderId="9" fillId="0" fontId="7" numFmtId="0" xfId="0" applyAlignment="1" applyBorder="1" applyFont="1">
      <alignment horizontal="left" shrinkToFit="0" vertical="bottom" wrapText="0"/>
    </xf>
    <xf borderId="1" fillId="13" fontId="1" numFmtId="0" xfId="0" applyAlignment="1" applyBorder="1" applyFill="1" applyFont="1">
      <alignment shrinkToFit="0" vertical="bottom" wrapText="0"/>
    </xf>
    <xf borderId="10" fillId="4" fontId="5" numFmtId="0" xfId="0" applyAlignment="1" applyBorder="1" applyFont="1">
      <alignment shrinkToFit="0" vertical="bottom" wrapText="0"/>
    </xf>
    <xf borderId="11" fillId="4" fontId="5" numFmtId="0" xfId="0" applyAlignment="1" applyBorder="1" applyFont="1">
      <alignment horizontal="left" shrinkToFit="0" vertical="bottom" wrapText="0"/>
    </xf>
    <xf borderId="12" fillId="4" fontId="5" numFmtId="0" xfId="0" applyAlignment="1" applyBorder="1" applyFont="1">
      <alignment shrinkToFit="0" vertical="bottom" wrapText="0"/>
    </xf>
    <xf borderId="1" fillId="14" fontId="1" numFmtId="0" xfId="0" applyAlignment="1" applyBorder="1" applyFill="1" applyFont="1">
      <alignment shrinkToFit="0" vertical="bottom" wrapText="0"/>
    </xf>
    <xf borderId="1" fillId="15" fontId="1" numFmtId="0" xfId="0" applyAlignment="1" applyBorder="1" applyFill="1" applyFont="1">
      <alignment shrinkToFit="0" vertical="bottom" wrapText="0"/>
    </xf>
    <xf borderId="1" fillId="16" fontId="1" numFmtId="0" xfId="0" applyAlignment="1" applyBorder="1" applyFill="1" applyFont="1">
      <alignment shrinkToFit="0" vertical="bottom" wrapText="0"/>
    </xf>
    <xf borderId="2" fillId="4" fontId="5" numFmtId="0" xfId="0" applyAlignment="1" applyBorder="1" applyFont="1">
      <alignment horizontal="right" shrinkToFit="0" vertical="bottom" wrapText="0"/>
    </xf>
    <xf borderId="1" fillId="17" fontId="1" numFmtId="0" xfId="0" applyAlignment="1" applyBorder="1" applyFill="1" applyFont="1">
      <alignment shrinkToFit="0" vertical="bottom" wrapText="0"/>
    </xf>
    <xf borderId="13" fillId="17" fontId="1" numFmtId="0" xfId="0" applyAlignment="1" applyBorder="1" applyFont="1">
      <alignment shrinkToFit="0" vertical="bottom" wrapText="0"/>
    </xf>
    <xf borderId="14" fillId="4" fontId="1" numFmtId="0" xfId="0" applyAlignment="1" applyBorder="1" applyFont="1">
      <alignment shrinkToFit="0" vertical="bottom" wrapText="0"/>
    </xf>
    <xf borderId="15" fillId="4" fontId="5" numFmtId="0" xfId="0" applyAlignment="1" applyBorder="1" applyFont="1">
      <alignment shrinkToFit="0" vertical="bottom" wrapText="0"/>
    </xf>
    <xf borderId="16" fillId="4" fontId="5" numFmtId="0" xfId="0" applyAlignment="1" applyBorder="1" applyFont="1">
      <alignment horizontal="left" shrinkToFit="0" vertical="bottom" wrapText="0"/>
    </xf>
    <xf borderId="16" fillId="4" fontId="5" numFmtId="0" xfId="0" applyAlignment="1" applyBorder="1" applyFont="1">
      <alignment shrinkToFit="0" vertical="bottom" wrapText="0"/>
    </xf>
    <xf borderId="17" fillId="4" fontId="5" numFmtId="0" xfId="0" applyAlignment="1" applyBorder="1" applyFont="1">
      <alignment shrinkToFit="0" vertical="bottom" wrapText="0"/>
    </xf>
    <xf borderId="16" fillId="2" fontId="6" numFmtId="164" xfId="0" applyAlignment="1" applyBorder="1" applyFont="1" applyNumberFormat="1">
      <alignment shrinkToFit="0" vertical="bottom" wrapText="0"/>
    </xf>
    <xf borderId="4" fillId="0" fontId="1" numFmtId="1" xfId="0" applyAlignment="1" applyBorder="1" applyFont="1" applyNumberFormat="1">
      <alignment shrinkToFit="0" vertical="bottom" wrapText="0"/>
    </xf>
    <xf borderId="2" fillId="0" fontId="1" numFmtId="1" xfId="0" applyAlignment="1" applyBorder="1" applyFont="1" applyNumberFormat="1">
      <alignment horizontal="left" shrinkToFit="0" vertical="bottom" wrapText="0"/>
    </xf>
    <xf borderId="1" fillId="4" fontId="1" numFmtId="1" xfId="0" applyAlignment="1" applyBorder="1" applyFont="1" applyNumberFormat="1">
      <alignment shrinkToFit="0" vertical="bottom" wrapText="0"/>
    </xf>
    <xf borderId="2" fillId="4" fontId="1" numFmtId="1" xfId="0" applyAlignment="1" applyBorder="1" applyFont="1" applyNumberFormat="1">
      <alignment horizontal="left" shrinkToFit="0" vertical="bottom" wrapText="0"/>
    </xf>
    <xf borderId="5" fillId="0" fontId="1" numFmtId="1" xfId="0" applyAlignment="1" applyBorder="1" applyFont="1" applyNumberFormat="1">
      <alignment horizontal="right" shrinkToFit="0" vertical="bottom" wrapText="0"/>
    </xf>
    <xf borderId="5" fillId="0" fontId="1" numFmtId="1" xfId="0" applyAlignment="1" applyBorder="1" applyFont="1" applyNumberFormat="1">
      <alignment shrinkToFit="0" vertical="bottom" wrapText="0"/>
    </xf>
    <xf borderId="3" fillId="4" fontId="1" numFmtId="1" xfId="0" applyAlignment="1" applyBorder="1" applyFont="1" applyNumberFormat="1">
      <alignment horizontal="right" shrinkToFit="0" vertical="bottom" wrapText="0"/>
    </xf>
    <xf borderId="3" fillId="4" fontId="1" numFmtId="1" xfId="0" applyAlignment="1" applyBorder="1" applyFont="1" applyNumberFormat="1">
      <alignment shrinkToFit="0" vertical="bottom" wrapText="0"/>
    </xf>
    <xf borderId="2" fillId="4" fontId="12" numFmtId="1" xfId="0" applyAlignment="1" applyBorder="1" applyFont="1" applyNumberFormat="1">
      <alignment shrinkToFit="0" vertical="bottom" wrapText="0"/>
    </xf>
    <xf borderId="2" fillId="0" fontId="12" numFmtId="1" xfId="0" applyAlignment="1" applyBorder="1" applyFont="1" applyNumberFormat="1">
      <alignment shrinkToFit="0" vertical="bottom" wrapText="0"/>
    </xf>
    <xf borderId="1" fillId="7" fontId="13" numFmtId="0" xfId="0" applyAlignment="1" applyBorder="1" applyFont="1">
      <alignment shrinkToFit="0" vertical="bottom" wrapText="0"/>
    </xf>
    <xf borderId="4" fillId="0" fontId="14" numFmtId="0" xfId="0" applyAlignment="1" applyBorder="1" applyFont="1">
      <alignment shrinkToFit="0" vertical="bottom" wrapText="0"/>
    </xf>
    <xf borderId="2" fillId="0" fontId="14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horizontal="right" shrinkToFit="0" vertical="bottom" wrapText="0"/>
    </xf>
    <xf borderId="2" fillId="4" fontId="14" numFmtId="0" xfId="0" applyAlignment="1" applyBorder="1" applyFont="1">
      <alignment shrinkToFit="0" vertical="bottom" wrapText="0"/>
    </xf>
    <xf borderId="2" fillId="4" fontId="15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shrinkToFit="0" vertical="bottom" wrapText="0"/>
    </xf>
    <xf borderId="2" fillId="0" fontId="15" numFmtId="0" xfId="0" applyAlignment="1" applyBorder="1" applyFont="1">
      <alignment shrinkToFit="0" vertical="bottom" wrapText="0"/>
    </xf>
    <xf borderId="13" fillId="4" fontId="7" numFmtId="0" xfId="0" applyAlignment="1" applyBorder="1" applyFont="1">
      <alignment shrinkToFit="0" vertical="bottom" wrapText="0"/>
    </xf>
    <xf borderId="10" fillId="4" fontId="1" numFmtId="0" xfId="0" applyAlignment="1" applyBorder="1" applyFont="1">
      <alignment shrinkToFit="0" vertical="bottom" wrapText="0"/>
    </xf>
    <xf borderId="12" fillId="4" fontId="1" numFmtId="0" xfId="0" applyAlignment="1" applyBorder="1" applyFont="1">
      <alignment horizontal="left" shrinkToFit="0" vertical="bottom" wrapText="0"/>
    </xf>
    <xf borderId="11" fillId="4" fontId="1" numFmtId="0" xfId="0" applyAlignment="1" applyBorder="1" applyFont="1">
      <alignment shrinkToFit="0" vertical="bottom" wrapText="0"/>
    </xf>
    <xf borderId="18" fillId="4" fontId="1" numFmtId="0" xfId="0" applyAlignment="1" applyBorder="1" applyFont="1">
      <alignment horizontal="right" shrinkToFit="0" vertical="bottom" wrapText="0"/>
    </xf>
    <xf borderId="8" fillId="0" fontId="1" numFmtId="0" xfId="0" applyAlignment="1" applyBorder="1" applyFont="1">
      <alignment shrinkToFit="0" vertical="bottom" wrapText="0"/>
    </xf>
    <xf borderId="1" fillId="8" fontId="5" numFmtId="0" xfId="0" applyAlignment="1" applyBorder="1" applyFont="1">
      <alignment shrinkToFit="0" vertical="bottom" wrapText="0"/>
    </xf>
    <xf borderId="2" fillId="0" fontId="16" numFmtId="0" xfId="0" applyAlignment="1" applyBorder="1" applyFont="1">
      <alignment shrinkToFit="0" vertical="bottom" wrapText="0"/>
    </xf>
    <xf borderId="2" fillId="0" fontId="17" numFmtId="0" xfId="0" applyAlignment="1" applyBorder="1" applyFont="1">
      <alignment shrinkToFit="0" vertical="bottom" wrapText="0"/>
    </xf>
    <xf borderId="2" fillId="0" fontId="17" numFmtId="0" xfId="0" applyAlignment="1" applyBorder="1" applyFont="1">
      <alignment horizontal="left" shrinkToFit="0" vertical="bottom" wrapText="0"/>
    </xf>
    <xf borderId="5" fillId="0" fontId="17" numFmtId="0" xfId="0" applyAlignment="1" applyBorder="1" applyFont="1">
      <alignment horizontal="right" shrinkToFit="0" vertical="bottom" wrapText="0"/>
    </xf>
    <xf borderId="5" fillId="0" fontId="17" numFmtId="0" xfId="0" applyAlignment="1" applyBorder="1" applyFont="1">
      <alignment shrinkToFit="0" vertical="bottom" wrapText="0"/>
    </xf>
    <xf borderId="2" fillId="4" fontId="17" numFmtId="0" xfId="0" applyAlignment="1" applyBorder="1" applyFont="1">
      <alignment horizontal="left" shrinkToFit="0" vertical="bottom" wrapText="0"/>
    </xf>
    <xf borderId="2" fillId="4" fontId="17" numFmtId="0" xfId="0" applyAlignment="1" applyBorder="1" applyFont="1">
      <alignment shrinkToFit="0" vertical="bottom" wrapText="0"/>
    </xf>
    <xf borderId="3" fillId="4" fontId="17" numFmtId="0" xfId="0" applyAlignment="1" applyBorder="1" applyFont="1">
      <alignment horizontal="right" shrinkToFit="0" vertical="bottom" wrapText="0"/>
    </xf>
    <xf borderId="3" fillId="2" fontId="1" numFmtId="0" xfId="0" applyAlignment="1" applyBorder="1" applyFont="1">
      <alignment shrinkToFit="0" vertical="bottom" wrapText="0"/>
    </xf>
    <xf borderId="1" fillId="18" fontId="13" numFmtId="0" xfId="0" applyAlignment="1" applyBorder="1" applyFill="1" applyFont="1">
      <alignment shrinkToFit="0" vertical="bottom" wrapText="0"/>
    </xf>
    <xf borderId="2" fillId="4" fontId="18" numFmtId="0" xfId="0" applyAlignment="1" applyBorder="1" applyFont="1">
      <alignment shrinkToFit="0" vertical="bottom" wrapText="0"/>
    </xf>
    <xf borderId="2" fillId="4" fontId="18" numFmtId="0" xfId="0" applyAlignment="1" applyBorder="1" applyFont="1">
      <alignment horizontal="right" shrinkToFit="0" vertical="bottom" wrapText="0"/>
    </xf>
    <xf borderId="1" fillId="19" fontId="1" numFmtId="0" xfId="0" applyAlignment="1" applyBorder="1" applyFill="1" applyFont="1">
      <alignment shrinkToFit="0" vertical="bottom" wrapText="0"/>
    </xf>
    <xf borderId="1" fillId="20" fontId="1" numFmtId="0" xfId="0" applyAlignment="1" applyBorder="1" applyFill="1" applyFont="1">
      <alignment shrinkToFit="0" vertical="bottom" wrapText="0"/>
    </xf>
    <xf borderId="4" fillId="0" fontId="19" numFmtId="0" xfId="0" applyAlignment="1" applyBorder="1" applyFont="1">
      <alignment shrinkToFit="0" vertical="bottom" wrapText="0"/>
    </xf>
    <xf borderId="1" fillId="4" fontId="14" numFmtId="0" xfId="0" applyAlignment="1" applyBorder="1" applyFont="1">
      <alignment shrinkToFit="0" vertical="bottom" wrapText="0"/>
    </xf>
    <xf borderId="2" fillId="0" fontId="20" numFmtId="0" xfId="0" applyAlignment="1" applyBorder="1" applyFont="1">
      <alignment horizontal="left" shrinkToFit="0" vertical="bottom" wrapText="0"/>
    </xf>
    <xf borderId="2" fillId="4" fontId="20" numFmtId="0" xfId="0" applyAlignment="1" applyBorder="1" applyFont="1">
      <alignment horizontal="left" shrinkToFit="0" vertical="bottom" wrapText="0"/>
    </xf>
    <xf borderId="0" fillId="0" fontId="20" numFmtId="0" xfId="0" applyAlignment="1" applyFont="1">
      <alignment horizontal="left" shrinkToFit="0" vertical="bottom" wrapText="0"/>
    </xf>
    <xf borderId="1" fillId="4" fontId="4" numFmtId="0" xfId="0" applyAlignment="1" applyBorder="1" applyFont="1">
      <alignment shrinkToFit="0" vertical="bottom" wrapText="0"/>
    </xf>
    <xf borderId="1" fillId="15" fontId="5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horizontal="right" shrinkToFit="0" vertical="bottom" wrapText="0"/>
    </xf>
    <xf borderId="1" fillId="3" fontId="19" numFmtId="0" xfId="0" applyAlignment="1" applyBorder="1" applyFont="1">
      <alignment shrinkToFit="0" vertical="bottom" wrapText="0"/>
    </xf>
    <xf borderId="3" fillId="4" fontId="7" numFmtId="1" xfId="0" applyAlignment="1" applyBorder="1" applyFont="1" applyNumberFormat="1">
      <alignment shrinkToFit="0" vertical="bottom" wrapText="0"/>
    </xf>
    <xf borderId="3" fillId="4" fontId="5" numFmtId="1" xfId="0" applyAlignment="1" applyBorder="1" applyFont="1" applyNumberFormat="1">
      <alignment shrinkToFit="0" vertical="bottom" wrapText="0"/>
    </xf>
    <xf borderId="0" fillId="0" fontId="9" numFmtId="1" xfId="0" applyAlignment="1" applyFont="1" applyNumberFormat="1">
      <alignment shrinkToFit="0" vertical="bottom" wrapText="0"/>
    </xf>
    <xf borderId="5" fillId="0" fontId="7" numFmtId="1" xfId="0" applyAlignment="1" applyBorder="1" applyFont="1" applyNumberFormat="1">
      <alignment shrinkToFit="0" vertical="bottom" wrapText="0"/>
    </xf>
    <xf borderId="9" fillId="0" fontId="7" numFmtId="0" xfId="0" applyAlignment="1" applyBorder="1" applyFont="1">
      <alignment horizontal="right" shrinkToFit="0" vertical="bottom" wrapText="0"/>
    </xf>
    <xf borderId="9" fillId="0" fontId="7" numFmtId="0" xfId="0" applyAlignment="1" applyBorder="1" applyFont="1">
      <alignment shrinkToFit="0" vertical="bottom" wrapText="0"/>
    </xf>
    <xf borderId="19" fillId="0" fontId="7" numFmtId="0" xfId="0" applyAlignment="1" applyBorder="1" applyFont="1">
      <alignment horizontal="right" shrinkToFit="0" vertical="bottom" wrapText="0"/>
    </xf>
    <xf borderId="11" fillId="4" fontId="5" numFmtId="0" xfId="0" applyAlignment="1" applyBorder="1" applyFont="1">
      <alignment horizontal="right" shrinkToFit="0" vertical="bottom" wrapText="0"/>
    </xf>
    <xf borderId="11" fillId="4" fontId="5" numFmtId="0" xfId="0" applyAlignment="1" applyBorder="1" applyFont="1">
      <alignment shrinkToFit="0" vertical="bottom" wrapText="0"/>
    </xf>
    <xf borderId="18" fillId="4" fontId="5" numFmtId="0" xfId="0" applyAlignment="1" applyBorder="1" applyFont="1">
      <alignment horizontal="right" shrinkToFit="0" vertical="bottom" wrapText="0"/>
    </xf>
    <xf borderId="16" fillId="4" fontId="1" numFmtId="0" xfId="0" applyAlignment="1" applyBorder="1" applyFont="1">
      <alignment horizontal="left" shrinkToFit="0" vertical="bottom" wrapText="0"/>
    </xf>
    <xf borderId="16" fillId="4" fontId="1" numFmtId="0" xfId="0" applyAlignment="1" applyBorder="1" applyFont="1">
      <alignment shrinkToFit="0" vertical="bottom" wrapText="0"/>
    </xf>
    <xf borderId="17" fillId="4" fontId="1" numFmtId="0" xfId="0" applyAlignment="1" applyBorder="1" applyFont="1">
      <alignment horizontal="right" shrinkToFit="0" vertical="bottom" wrapText="0"/>
    </xf>
    <xf borderId="17" fillId="4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horizontal="left"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6" fillId="0" fontId="1" numFmtId="0" xfId="0" applyAlignment="1" applyBorder="1" applyFont="1">
      <alignment shrinkToFit="0" vertical="bottom" wrapText="0"/>
    </xf>
    <xf borderId="16" fillId="4" fontId="7" numFmtId="0" xfId="0" applyAlignment="1" applyBorder="1" applyFont="1">
      <alignment shrinkToFit="0" vertical="bottom" wrapText="0"/>
    </xf>
    <xf borderId="12" fillId="4" fontId="1" numFmtId="0" xfId="0" applyAlignment="1" applyBorder="1" applyFont="1">
      <alignment shrinkToFit="0" vertical="bottom" wrapText="0"/>
    </xf>
    <xf borderId="11" fillId="4" fontId="7" numFmtId="0" xfId="0" applyAlignment="1" applyBorder="1" applyFont="1">
      <alignment horizontal="left" shrinkToFit="0" vertical="bottom" wrapText="0"/>
    </xf>
    <xf borderId="11" fillId="4" fontId="7" numFmtId="0" xfId="0" applyAlignment="1" applyBorder="1" applyFont="1">
      <alignment shrinkToFit="0" vertical="bottom" wrapText="0"/>
    </xf>
    <xf borderId="18" fillId="4" fontId="7" numFmtId="0" xfId="0" applyAlignment="1" applyBorder="1" applyFont="1">
      <alignment shrinkToFit="0" vertical="bottom" wrapText="0"/>
    </xf>
    <xf borderId="20" fillId="0" fontId="7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shrinkToFit="0" vertical="bottom" wrapText="0"/>
    </xf>
    <xf borderId="14" fillId="4" fontId="7" numFmtId="0" xfId="0" applyAlignment="1" applyBorder="1" applyFont="1">
      <alignment shrinkToFit="0" vertical="bottom" wrapText="0"/>
    </xf>
    <xf borderId="17" fillId="4" fontId="7" numFmtId="0" xfId="0" applyAlignment="1" applyBorder="1" applyFont="1">
      <alignment shrinkToFit="0" vertical="bottom" wrapText="0"/>
    </xf>
    <xf borderId="16" fillId="4" fontId="1" numFmtId="0" xfId="0" applyAlignment="1" applyBorder="1" applyFont="1">
      <alignment horizontal="right" shrinkToFit="0" vertical="bottom" wrapText="0"/>
    </xf>
    <xf borderId="3" fillId="4" fontId="17" numFmtId="0" xfId="0" applyAlignment="1" applyBorder="1" applyFont="1">
      <alignment shrinkToFit="0" vertical="bottom" wrapText="0"/>
    </xf>
    <xf borderId="12" fillId="4" fontId="7" numFmtId="0" xfId="0" applyAlignment="1" applyBorder="1" applyFont="1">
      <alignment shrinkToFit="0" vertical="bottom" wrapText="0"/>
    </xf>
    <xf borderId="1" fillId="4" fontId="21" numFmtId="0" xfId="0" applyAlignment="1" applyBorder="1" applyFont="1">
      <alignment shrinkToFit="0" vertical="bottom" wrapText="0"/>
    </xf>
    <xf borderId="1" fillId="9" fontId="22" numFmtId="0" xfId="0" applyAlignment="1" applyBorder="1" applyFont="1">
      <alignment shrinkToFit="0" vertical="bottom" wrapText="0"/>
    </xf>
    <xf borderId="2" fillId="9" fontId="4" numFmtId="0" xfId="0" applyAlignment="1" applyBorder="1" applyFont="1">
      <alignment horizontal="left" shrinkToFit="0" vertical="bottom" wrapText="0"/>
    </xf>
    <xf borderId="2" fillId="9" fontId="1" numFmtId="0" xfId="0" applyAlignment="1" applyBorder="1" applyFont="1">
      <alignment shrinkToFit="0" vertical="bottom" wrapText="0"/>
    </xf>
    <xf borderId="3" fillId="9" fontId="1" numFmtId="0" xfId="0" applyAlignment="1" applyBorder="1" applyFont="1">
      <alignment horizontal="right" shrinkToFit="0" vertical="bottom" wrapText="0"/>
    </xf>
    <xf borderId="3" fillId="9" fontId="1" numFmtId="0" xfId="0" applyAlignment="1" applyBorder="1" applyFont="1">
      <alignment shrinkToFit="0" vertical="bottom" wrapText="0"/>
    </xf>
    <xf borderId="1" fillId="4" fontId="5" numFmtId="1" xfId="0" applyAlignment="1" applyBorder="1" applyFont="1" applyNumberFormat="1">
      <alignment shrinkToFit="0" vertical="bottom" wrapText="0"/>
    </xf>
    <xf borderId="2" fillId="4" fontId="5" numFmtId="2" xfId="0" applyAlignment="1" applyBorder="1" applyFont="1" applyNumberFormat="1">
      <alignment horizontal="left" shrinkToFit="0" vertical="bottom" wrapText="0"/>
    </xf>
    <xf borderId="2" fillId="0" fontId="7" numFmtId="1" xfId="0" applyAlignment="1" applyBorder="1" applyFont="1" applyNumberFormat="1">
      <alignment horizontal="left" shrinkToFit="0" vertical="bottom" wrapText="0"/>
    </xf>
    <xf borderId="5" fillId="0" fontId="7" numFmtId="1" xfId="0" applyAlignment="1" applyBorder="1" applyFont="1" applyNumberFormat="1">
      <alignment horizontal="right" shrinkToFit="0" vertical="bottom" wrapText="0"/>
    </xf>
    <xf borderId="2" fillId="4" fontId="7" numFmtId="1" xfId="0" applyAlignment="1" applyBorder="1" applyFont="1" applyNumberFormat="1">
      <alignment horizontal="right" shrinkToFit="0" vertical="bottom" wrapText="0"/>
    </xf>
    <xf borderId="1" fillId="2" fontId="23" numFmtId="0" xfId="0" applyAlignment="1" applyBorder="1" applyFont="1">
      <alignment shrinkToFit="0" vertical="bottom" wrapText="0"/>
    </xf>
    <xf borderId="21" fillId="2" fontId="24" numFmtId="0" xfId="0" applyAlignment="1" applyBorder="1" applyFont="1">
      <alignment shrinkToFit="0" vertical="bottom" wrapText="0"/>
    </xf>
    <xf borderId="22" fillId="2" fontId="23" numFmtId="0" xfId="0" applyAlignment="1" applyBorder="1" applyFont="1">
      <alignment shrinkToFit="0" vertical="bottom" wrapText="0"/>
    </xf>
    <xf borderId="23" fillId="2" fontId="23" numFmtId="0" xfId="0" applyAlignment="1" applyBorder="1" applyFont="1">
      <alignment shrinkToFit="0" vertical="bottom" wrapText="0"/>
    </xf>
    <xf borderId="24" fillId="2" fontId="23" numFmtId="0" xfId="0" applyAlignment="1" applyBorder="1" applyFont="1">
      <alignment shrinkToFit="0" vertical="bottom" wrapText="0"/>
    </xf>
    <xf borderId="1" fillId="3" fontId="15" numFmtId="0" xfId="0" applyAlignment="1" applyBorder="1" applyFont="1">
      <alignment shrinkToFit="0" vertical="bottom" wrapText="0"/>
    </xf>
    <xf borderId="18" fillId="3" fontId="1" numFmtId="0" xfId="0" applyAlignment="1" applyBorder="1" applyFont="1">
      <alignment horizontal="right" shrinkToFit="0" vertical="bottom" wrapText="0"/>
    </xf>
    <xf borderId="1" fillId="9" fontId="25" numFmtId="0" xfId="0" applyAlignment="1" applyBorder="1" applyFont="1">
      <alignment shrinkToFit="0" vertical="bottom" wrapText="0"/>
    </xf>
    <xf borderId="2" fillId="9" fontId="26" numFmtId="0" xfId="0" applyAlignment="1" applyBorder="1" applyFont="1">
      <alignment horizontal="left" shrinkToFit="0" vertical="bottom" wrapText="0"/>
    </xf>
    <xf borderId="1" fillId="21" fontId="1" numFmtId="0" xfId="0" applyAlignment="1" applyBorder="1" applyFill="1" applyFont="1">
      <alignment shrinkToFit="0" vertical="bottom" wrapText="0"/>
    </xf>
    <xf borderId="25" fillId="4" fontId="1" numFmtId="0" xfId="0" applyAlignment="1" applyBorder="1" applyFont="1">
      <alignment horizontal="right" shrinkToFit="0" vertical="bottom" wrapText="0"/>
    </xf>
    <xf borderId="2" fillId="0" fontId="7" numFmtId="165" xfId="0" applyAlignment="1" applyBorder="1" applyFont="1" applyNumberFormat="1">
      <alignment horizontal="left" shrinkToFit="0" vertical="bottom" wrapText="0"/>
    </xf>
    <xf borderId="1" fillId="6" fontId="1" numFmtId="0" xfId="0" applyAlignment="1" applyBorder="1" applyFont="1">
      <alignment shrinkToFit="0" vertical="bottom" wrapText="0"/>
    </xf>
    <xf borderId="1" fillId="22" fontId="1" numFmtId="0" xfId="0" applyAlignment="1" applyBorder="1" applyFill="1" applyFont="1">
      <alignment shrinkToFit="0" vertical="bottom" wrapText="0"/>
    </xf>
    <xf borderId="0" fillId="0" fontId="7" numFmtId="0" xfId="0" applyAlignment="1" applyFont="1">
      <alignment horizontal="right" shrinkToFit="0" vertical="bottom" wrapText="0"/>
    </xf>
    <xf borderId="1" fillId="4" fontId="20" numFmtId="0" xfId="0" applyAlignment="1" applyBorder="1" applyFont="1">
      <alignment shrinkToFit="0" vertical="bottom" wrapText="0"/>
    </xf>
    <xf borderId="1" fillId="23" fontId="1" numFmtId="0" xfId="0" applyAlignment="1" applyBorder="1" applyFill="1" applyFont="1">
      <alignment shrinkToFit="0" vertical="bottom" wrapText="0"/>
    </xf>
    <xf borderId="4" fillId="0" fontId="20" numFmtId="0" xfId="0" applyAlignment="1" applyBorder="1" applyFont="1">
      <alignment shrinkToFit="0" vertical="bottom" wrapText="0"/>
    </xf>
    <xf borderId="4" fillId="0" fontId="27" numFmtId="0" xfId="0" applyAlignment="1" applyBorder="1" applyFont="1">
      <alignment shrinkToFit="0" vertical="bottom" wrapText="0"/>
    </xf>
    <xf borderId="2" fillId="0" fontId="27" numFmtId="0" xfId="0" applyAlignment="1" applyBorder="1" applyFont="1">
      <alignment horizontal="left" shrinkToFit="0" vertical="bottom" wrapText="0"/>
    </xf>
    <xf borderId="1" fillId="4" fontId="27" numFmtId="0" xfId="0" applyAlignment="1" applyBorder="1" applyFont="1">
      <alignment shrinkToFit="0" vertical="bottom" wrapText="0"/>
    </xf>
    <xf borderId="2" fillId="4" fontId="27" numFmtId="0" xfId="0" applyAlignment="1" applyBorder="1" applyFont="1">
      <alignment horizontal="left" shrinkToFit="0" vertical="bottom" wrapText="0"/>
    </xf>
    <xf borderId="2" fillId="4" fontId="7" numFmtId="165" xfId="0" applyAlignment="1" applyBorder="1" applyFont="1" applyNumberFormat="1">
      <alignment horizontal="left" shrinkToFit="0" vertical="bottom" wrapText="0"/>
    </xf>
    <xf borderId="2" fillId="0" fontId="5" numFmtId="165" xfId="0" applyAlignment="1" applyBorder="1" applyFont="1" applyNumberFormat="1">
      <alignment horizontal="left" shrinkToFit="0" vertical="bottom" wrapText="0"/>
    </xf>
    <xf borderId="0" fillId="0" fontId="10" numFmtId="1" xfId="0" applyAlignment="1" applyFont="1" applyNumberFormat="1">
      <alignment shrinkToFit="0" vertical="bottom" wrapText="0"/>
    </xf>
    <xf borderId="26" fillId="4" fontId="7" numFmtId="0" xfId="0" applyAlignment="1" applyBorder="1" applyFont="1">
      <alignment horizontal="right" shrinkToFit="0" vertical="bottom" wrapText="0"/>
    </xf>
    <xf borderId="1" fillId="24" fontId="1" numFmtId="0" xfId="0" applyAlignment="1" applyBorder="1" applyFill="1" applyFont="1">
      <alignment shrinkToFit="0" vertical="bottom" wrapText="0"/>
    </xf>
    <xf borderId="6" fillId="0" fontId="7" numFmtId="0" xfId="0" applyAlignment="1" applyBorder="1" applyFont="1">
      <alignment horizontal="right" shrinkToFit="0" vertical="bottom" wrapText="0"/>
    </xf>
    <xf borderId="2" fillId="0" fontId="1" numFmtId="165" xfId="0" applyAlignment="1" applyBorder="1" applyFont="1" applyNumberFormat="1">
      <alignment horizontal="left" shrinkToFit="0" vertical="bottom" wrapText="0"/>
    </xf>
    <xf borderId="3" fillId="4" fontId="7" numFmtId="1" xfId="0" applyAlignment="1" applyBorder="1" applyFont="1" applyNumberFormat="1">
      <alignment horizontal="right" shrinkToFit="0" vertical="bottom" wrapText="0"/>
    </xf>
    <xf borderId="3" fillId="4" fontId="1" numFmtId="0" xfId="0" applyAlignment="1" applyBorder="1" applyFont="1">
      <alignment horizontal="right" shrinkToFit="0" vertical="top" wrapText="1"/>
    </xf>
    <xf borderId="2" fillId="4" fontId="20" numFmtId="165" xfId="0" applyAlignment="1" applyBorder="1" applyFont="1" applyNumberFormat="1">
      <alignment horizontal="left" shrinkToFit="0" vertical="bottom" wrapText="0"/>
    </xf>
    <xf borderId="1" fillId="5" fontId="1" numFmtId="0" xfId="0" applyAlignment="1" applyBorder="1" applyFont="1">
      <alignment shrinkToFit="0" vertical="bottom" wrapText="0"/>
    </xf>
    <xf borderId="3" fillId="4" fontId="1" numFmtId="166" xfId="0" applyAlignment="1" applyBorder="1" applyFont="1" applyNumberFormat="1">
      <alignment horizontal="right" shrinkToFit="0" vertical="bottom" wrapText="0"/>
    </xf>
    <xf borderId="5" fillId="0" fontId="1" numFmtId="166" xfId="0" applyAlignment="1" applyBorder="1" applyFont="1" applyNumberFormat="1">
      <alignment horizontal="right" shrinkToFit="0" vertical="bottom" wrapText="0"/>
    </xf>
    <xf borderId="1" fillId="25" fontId="1" numFmtId="0" xfId="0" applyAlignment="1" applyBorder="1" applyFill="1" applyFont="1">
      <alignment shrinkToFit="0" vertical="bottom" wrapText="0"/>
    </xf>
    <xf borderId="7" fillId="0" fontId="1" numFmtId="1" xfId="0" applyAlignment="1" applyBorder="1" applyFont="1" applyNumberFormat="1">
      <alignment horizontal="right" shrinkToFit="0" vertical="bottom" wrapText="0"/>
    </xf>
    <xf borderId="2" fillId="0" fontId="1" numFmtId="166" xfId="0" applyAlignment="1" applyBorder="1" applyFont="1" applyNumberFormat="1">
      <alignment horizontal="right" shrinkToFit="0" vertical="bottom" wrapText="0"/>
    </xf>
    <xf borderId="2" fillId="4" fontId="1" numFmtId="166" xfId="0" applyAlignment="1" applyBorder="1" applyFont="1" applyNumberForma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1" fillId="4" fontId="3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horizontal="left" shrinkToFit="0" vertical="bottom" wrapText="0"/>
    </xf>
    <xf borderId="7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horizontal="right" shrinkToFit="0" vertical="bottom" wrapText="0"/>
    </xf>
    <xf borderId="1" fillId="26" fontId="1" numFmtId="0" xfId="0" applyAlignment="1" applyBorder="1" applyFill="1" applyFont="1">
      <alignment shrinkToFit="0" vertical="bottom" wrapText="0"/>
    </xf>
    <xf borderId="1" fillId="27" fontId="1" numFmtId="0" xfId="0" applyAlignment="1" applyBorder="1" applyFill="1" applyFont="1">
      <alignment shrinkToFit="0" vertical="bottom" wrapText="0"/>
    </xf>
    <xf borderId="2" fillId="2" fontId="1" numFmtId="1" xfId="0" applyAlignment="1" applyBorder="1" applyFont="1" applyNumberFormat="1">
      <alignment shrinkToFit="0" vertical="bottom" wrapText="0"/>
    </xf>
    <xf borderId="27" fillId="0" fontId="19" numFmtId="0" xfId="0" applyAlignment="1" applyBorder="1" applyFont="1">
      <alignment shrinkToFit="0" vertical="bottom" wrapText="0"/>
    </xf>
    <xf borderId="1" fillId="17" fontId="5" numFmtId="0" xfId="0" applyAlignment="1" applyBorder="1" applyFont="1">
      <alignment shrinkToFit="0" vertical="bottom" wrapText="0"/>
    </xf>
    <xf borderId="2" fillId="0" fontId="20" numFmtId="165" xfId="0" applyAlignment="1" applyBorder="1" applyFont="1" applyNumberFormat="1">
      <alignment horizontal="left" shrinkToFit="0" vertical="bottom" wrapText="0"/>
    </xf>
    <xf borderId="27" fillId="0" fontId="1" numFmtId="0" xfId="0" applyAlignment="1" applyBorder="1" applyFont="1">
      <alignment shrinkToFit="0" vertical="bottom" wrapText="0"/>
    </xf>
    <xf borderId="2" fillId="4" fontId="28" numFmtId="0" xfId="0" applyAlignment="1" applyBorder="1" applyFont="1">
      <alignment shrinkToFit="0" vertical="bottom" wrapText="0"/>
    </xf>
    <xf borderId="2" fillId="4" fontId="28" numFmtId="0" xfId="0" applyAlignment="1" applyBorder="1" applyFont="1">
      <alignment horizontal="left" shrinkToFit="0" vertical="bottom" wrapText="0"/>
    </xf>
    <xf borderId="1" fillId="4" fontId="29" numFmtId="0" xfId="0" applyAlignment="1" applyBorder="1" applyFont="1">
      <alignment shrinkToFit="0" vertical="bottom" wrapText="0"/>
    </xf>
    <xf borderId="4" fillId="0" fontId="29" numFmtId="0" xfId="0" applyAlignment="1" applyBorder="1" applyFont="1">
      <alignment shrinkToFit="0" vertical="bottom" wrapText="0"/>
    </xf>
    <xf borderId="10" fillId="4" fontId="7" numFmtId="0" xfId="0" applyAlignment="1" applyBorder="1" applyFont="1">
      <alignment shrinkToFit="0" vertical="bottom" wrapText="0"/>
    </xf>
    <xf borderId="11" fillId="4" fontId="7" numFmtId="165" xfId="0" applyAlignment="1" applyBorder="1" applyFont="1" applyNumberFormat="1">
      <alignment horizontal="left" shrinkToFit="0" vertical="bottom" wrapText="0"/>
    </xf>
    <xf borderId="17" fillId="4" fontId="7" numFmtId="0" xfId="0" applyAlignment="1" applyBorder="1" applyFont="1">
      <alignment horizontal="right" shrinkToFit="0" vertical="bottom" wrapText="0"/>
    </xf>
    <xf borderId="1" fillId="9" fontId="5" numFmtId="0" xfId="0" applyAlignment="1" applyBorder="1" applyFont="1">
      <alignment shrinkToFit="0" vertical="bottom" wrapText="0"/>
    </xf>
    <xf borderId="2" fillId="28" fontId="5" numFmtId="0" xfId="0" applyAlignment="1" applyBorder="1" applyFill="1" applyFont="1">
      <alignment shrinkToFit="0" vertical="bottom" wrapText="0"/>
    </xf>
    <xf borderId="28" fillId="0" fontId="5" numFmtId="0" xfId="0" applyAlignment="1" applyBorder="1" applyFont="1">
      <alignment horizontal="right" shrinkToFit="0" vertical="top" wrapText="1"/>
    </xf>
    <xf borderId="2" fillId="0" fontId="28" numFmtId="0" xfId="0" applyAlignment="1" applyBorder="1" applyFont="1">
      <alignment shrinkToFit="0" vertical="bottom" wrapText="0"/>
    </xf>
    <xf borderId="2" fillId="0" fontId="28" numFmtId="0" xfId="0" applyAlignment="1" applyBorder="1" applyFont="1">
      <alignment horizontal="left" shrinkToFit="0" vertical="bottom" wrapText="0"/>
    </xf>
    <xf borderId="2" fillId="4" fontId="19" numFmtId="0" xfId="0" applyAlignment="1" applyBorder="1" applyFont="1">
      <alignment horizontal="left" shrinkToFit="0" vertical="bottom" wrapText="0"/>
    </xf>
    <xf borderId="2" fillId="0" fontId="19" numFmtId="0" xfId="0" applyAlignment="1" applyBorder="1" applyFont="1">
      <alignment horizontal="left" shrinkToFit="0" vertical="bottom" wrapText="0"/>
    </xf>
    <xf borderId="1" fillId="4" fontId="15" numFmtId="0" xfId="0" applyAlignment="1" applyBorder="1" applyFont="1">
      <alignment shrinkToFit="0" vertical="bottom" wrapText="0"/>
    </xf>
    <xf borderId="2" fillId="4" fontId="1" numFmtId="1" xfId="0" applyAlignment="1" applyBorder="1" applyFont="1" applyNumberFormat="1">
      <alignment horizontal="right" shrinkToFit="0" vertical="bottom" wrapText="0"/>
    </xf>
    <xf borderId="29" fillId="0" fontId="1" numFmtId="0" xfId="0" applyAlignment="1" applyBorder="1" applyFont="1">
      <alignment horizontal="right" shrinkToFit="0" vertical="bottom" wrapText="0"/>
    </xf>
    <xf borderId="14" fillId="4" fontId="15" numFmtId="0" xfId="0" applyAlignment="1" applyBorder="1" applyFont="1">
      <alignment shrinkToFit="0" vertical="bottom" wrapText="0"/>
    </xf>
    <xf borderId="16" fillId="4" fontId="15" numFmtId="0" xfId="0" applyAlignment="1" applyBorder="1" applyFont="1">
      <alignment horizontal="left" shrinkToFit="0" vertical="bottom" wrapText="0"/>
    </xf>
    <xf borderId="17" fillId="4" fontId="7" numFmtId="0" xfId="0" applyAlignment="1" applyBorder="1" applyFont="1">
      <alignment horizontal="left" shrinkToFit="0" vertical="bottom" wrapText="0"/>
    </xf>
    <xf borderId="2" fillId="0" fontId="14" numFmtId="0" xfId="0" applyAlignment="1" applyBorder="1" applyFont="1">
      <alignment horizontal="left" shrinkToFit="0" vertical="bottom" wrapText="0"/>
    </xf>
    <xf borderId="2" fillId="0" fontId="15" numFmtId="165" xfId="0" applyAlignment="1" applyBorder="1" applyFont="1" applyNumberFormat="1">
      <alignment horizontal="left" shrinkToFit="0" vertical="bottom" wrapText="0"/>
    </xf>
    <xf borderId="5" fillId="0" fontId="7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right" shrinkToFit="0" vertical="bottom" wrapText="0"/>
    </xf>
    <xf borderId="3" fillId="4" fontId="7" numFmtId="0" xfId="0" applyAlignment="1" applyBorder="1" applyFont="1">
      <alignment horizontal="center" shrinkToFit="0" vertical="bottom" wrapText="0"/>
    </xf>
    <xf borderId="1" fillId="4" fontId="19" numFmtId="0" xfId="0" applyAlignment="1" applyBorder="1" applyFont="1">
      <alignment shrinkToFit="0" vertical="bottom" wrapText="0"/>
    </xf>
    <xf borderId="4" fillId="0" fontId="30" numFmtId="0" xfId="0" applyAlignment="1" applyBorder="1" applyFont="1">
      <alignment shrinkToFit="0" vertical="bottom" wrapText="0"/>
    </xf>
    <xf borderId="2" fillId="0" fontId="30" numFmtId="0" xfId="0" applyAlignment="1" applyBorder="1" applyFont="1">
      <alignment horizontal="left" shrinkToFit="0" vertical="bottom" wrapText="0"/>
    </xf>
    <xf borderId="1" fillId="4" fontId="30" numFmtId="0" xfId="0" applyAlignment="1" applyBorder="1" applyFont="1">
      <alignment shrinkToFit="0" vertical="bottom" wrapText="0"/>
    </xf>
    <xf borderId="2" fillId="4" fontId="30" numFmtId="0" xfId="0" applyAlignment="1" applyBorder="1" applyFont="1">
      <alignment horizontal="left" shrinkToFit="0" vertical="bottom" wrapText="0"/>
    </xf>
    <xf borderId="2" fillId="0" fontId="30" numFmtId="0" xfId="0" applyAlignment="1" applyBorder="1" applyFont="1">
      <alignment shrinkToFit="0" vertical="bottom" wrapText="0"/>
    </xf>
    <xf borderId="2" fillId="0" fontId="30" numFmtId="165" xfId="0" applyAlignment="1" applyBorder="1" applyFont="1" applyNumberFormat="1">
      <alignment horizontal="left"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2" fillId="4" fontId="30" numFmtId="0" xfId="0" applyAlignment="1" applyBorder="1" applyFont="1">
      <alignment shrinkToFit="0" vertical="bottom" wrapText="0"/>
    </xf>
    <xf borderId="2" fillId="4" fontId="30" numFmtId="165" xfId="0" applyAlignment="1" applyBorder="1" applyFont="1" applyNumberFormat="1">
      <alignment horizontal="left" shrinkToFit="0" vertical="bottom" wrapText="0"/>
    </xf>
    <xf borderId="2" fillId="0" fontId="28" numFmtId="165" xfId="0" applyAlignment="1" applyBorder="1" applyFont="1" applyNumberFormat="1">
      <alignment horizontal="left" shrinkToFit="0" vertical="bottom" wrapText="0"/>
    </xf>
    <xf borderId="11" fillId="4" fontId="28" numFmtId="0" xfId="0" applyAlignment="1" applyBorder="1" applyFont="1">
      <alignment shrinkToFit="0" vertical="bottom" wrapText="0"/>
    </xf>
    <xf borderId="11" fillId="4" fontId="28" numFmtId="165" xfId="0" applyAlignment="1" applyBorder="1" applyFont="1" applyNumberFormat="1">
      <alignment horizontal="left" shrinkToFit="0" vertical="bottom" wrapText="0"/>
    </xf>
    <xf borderId="4" fillId="0" fontId="28" numFmtId="0" xfId="0" applyAlignment="1" applyBorder="1" applyFont="1">
      <alignment shrinkToFit="0" vertical="bottom" wrapText="0"/>
    </xf>
    <xf borderId="16" fillId="4" fontId="28" numFmtId="0" xfId="0" applyAlignment="1" applyBorder="1" applyFont="1">
      <alignment shrinkToFit="0" vertical="bottom" wrapText="0"/>
    </xf>
    <xf borderId="2" fillId="4" fontId="28" numFmtId="165" xfId="0" applyAlignment="1" applyBorder="1" applyFont="1" applyNumberFormat="1">
      <alignment horizontal="left" shrinkToFit="0" vertical="bottom" wrapText="0"/>
    </xf>
    <xf borderId="3" fillId="4" fontId="7" numFmtId="0" xfId="0" applyAlignment="1" applyBorder="1" applyFont="1">
      <alignment horizontal="left" shrinkToFit="0" vertical="bottom" wrapText="0"/>
    </xf>
    <xf borderId="7" fillId="0" fontId="28" numFmtId="0" xfId="0" applyAlignment="1" applyBorder="1" applyFont="1">
      <alignment shrinkToFit="0" vertical="bottom" wrapText="0"/>
    </xf>
    <xf borderId="7" fillId="0" fontId="28" numFmtId="165" xfId="0" applyAlignment="1" applyBorder="1" applyFont="1" applyNumberFormat="1">
      <alignment horizontal="left" shrinkToFit="0" vertical="bottom" wrapText="0"/>
    </xf>
    <xf borderId="16" fillId="4" fontId="28" numFmtId="165" xfId="0" applyAlignment="1" applyBorder="1" applyFont="1" applyNumberFormat="1">
      <alignment horizontal="left" shrinkToFit="0" vertical="bottom" wrapText="0"/>
    </xf>
    <xf borderId="28" fillId="0" fontId="1" numFmtId="0" xfId="0" applyAlignment="1" applyBorder="1" applyFont="1">
      <alignment horizontal="right" shrinkToFit="0" vertical="top" wrapText="1"/>
    </xf>
    <xf borderId="20" fillId="0" fontId="28" numFmtId="0" xfId="0" applyAlignment="1" applyBorder="1" applyFont="1">
      <alignment shrinkToFit="0" vertical="bottom" wrapText="0"/>
    </xf>
    <xf borderId="7" fillId="0" fontId="28" numFmtId="0" xfId="0" applyAlignment="1" applyBorder="1" applyFont="1">
      <alignment horizontal="left" shrinkToFit="0" vertical="bottom" wrapText="0"/>
    </xf>
    <xf borderId="14" fillId="4" fontId="14" numFmtId="0" xfId="0" applyAlignment="1" applyBorder="1" applyFont="1">
      <alignment shrinkToFit="0" vertical="bottom" wrapText="0"/>
    </xf>
    <xf borderId="2" fillId="4" fontId="14" numFmtId="0" xfId="0" applyAlignment="1" applyBorder="1" applyFont="1">
      <alignment horizontal="left" shrinkToFit="0" vertical="bottom" wrapText="0"/>
    </xf>
    <xf borderId="14" fillId="4" fontId="28" numFmtId="0" xfId="0" applyAlignment="1" applyBorder="1" applyFont="1">
      <alignment shrinkToFit="0" vertical="bottom" wrapText="0"/>
    </xf>
    <xf borderId="1" fillId="18" fontId="1" numFmtId="0" xfId="0" applyAlignment="1" applyBorder="1" applyFont="1">
      <alignment shrinkToFit="0" vertical="bottom" wrapText="0"/>
    </xf>
    <xf borderId="2" fillId="9" fontId="27" numFmtId="0" xfId="0" applyAlignment="1" applyBorder="1" applyFont="1">
      <alignment horizontal="left" shrinkToFit="0" vertical="bottom" wrapText="0"/>
    </xf>
    <xf borderId="2" fillId="6" fontId="1" numFmtId="0" xfId="0" applyAlignment="1" applyBorder="1" applyFont="1">
      <alignment shrinkToFit="0" vertical="bottom" wrapText="0"/>
    </xf>
    <xf borderId="2" fillId="6" fontId="7" numFmtId="165" xfId="0" applyAlignment="1" applyBorder="1" applyFont="1" applyNumberFormat="1">
      <alignment horizontal="left" shrinkToFit="0" vertical="bottom" wrapText="0"/>
    </xf>
    <xf borderId="2" fillId="6" fontId="7" numFmtId="0" xfId="0" applyAlignment="1" applyBorder="1" applyFont="1">
      <alignment shrinkToFit="0" vertical="bottom" wrapText="0"/>
    </xf>
    <xf borderId="3" fillId="6" fontId="7" numFmtId="0" xfId="0" applyAlignment="1" applyBorder="1" applyFont="1">
      <alignment horizontal="right" shrinkToFit="0" vertical="bottom" wrapText="0"/>
    </xf>
    <xf borderId="3" fillId="6" fontId="7" numFmtId="0" xfId="0" applyAlignment="1" applyBorder="1" applyFont="1">
      <alignment shrinkToFit="0" vertical="bottom" wrapText="0"/>
    </xf>
    <xf borderId="2" fillId="6" fontId="7" numFmtId="0" xfId="0" applyAlignment="1" applyBorder="1" applyFont="1">
      <alignment horizontal="left" shrinkToFit="0" vertical="bottom" wrapText="0"/>
    </xf>
    <xf borderId="2" fillId="6" fontId="1" numFmtId="0" xfId="0" applyAlignment="1" applyBorder="1" applyFont="1">
      <alignment horizontal="right" shrinkToFit="0" vertical="top" wrapText="1"/>
    </xf>
    <xf borderId="2" fillId="0" fontId="1" numFmtId="0" xfId="0" applyAlignment="1" applyBorder="1" applyFont="1">
      <alignment horizontal="right" shrinkToFit="0" vertical="top" wrapText="1"/>
    </xf>
    <xf borderId="3" fillId="6" fontId="1" numFmtId="0" xfId="0" applyAlignment="1" applyBorder="1" applyFont="1">
      <alignment horizontal="right" shrinkToFit="0" vertical="top" wrapText="1"/>
    </xf>
    <xf borderId="16" fillId="6" fontId="7" numFmtId="0" xfId="0" applyAlignment="1" applyBorder="1" applyFont="1">
      <alignment horizontal="left" shrinkToFit="0" vertical="bottom" wrapText="0"/>
    </xf>
    <xf borderId="16" fillId="6" fontId="7" numFmtId="0" xfId="0" applyAlignment="1" applyBorder="1" applyFont="1">
      <alignment shrinkToFit="0" vertical="bottom" wrapText="0"/>
    </xf>
    <xf borderId="2" fillId="6" fontId="7" numFmtId="0" xfId="0" applyAlignment="1" applyBorder="1" applyFont="1">
      <alignment horizontal="right" shrinkToFit="0" vertical="bottom" wrapText="0"/>
    </xf>
    <xf borderId="2" fillId="6" fontId="20" numFmtId="0" xfId="0" applyAlignment="1" applyBorder="1" applyFont="1">
      <alignment shrinkToFit="0" vertical="bottom" wrapText="0"/>
    </xf>
    <xf borderId="2" fillId="0" fontId="20" numFmtId="0" xfId="0" applyAlignment="1" applyBorder="1" applyFont="1">
      <alignment shrinkToFit="0" vertical="bottom" wrapText="0"/>
    </xf>
    <xf borderId="2" fillId="2" fontId="3" numFmtId="164" xfId="0" applyAlignment="1" applyBorder="1" applyFont="1" applyNumberFormat="1">
      <alignment shrinkToFit="0" vertical="bottom" wrapText="0"/>
    </xf>
    <xf borderId="2" fillId="2" fontId="1" numFmtId="0" xfId="0" applyAlignment="1" applyBorder="1" applyFont="1">
      <alignment horizontal="right" shrinkToFit="0" vertical="bottom" wrapText="0"/>
    </xf>
    <xf borderId="3" fillId="2" fontId="3" numFmtId="0" xfId="0" applyAlignment="1" applyBorder="1" applyFont="1">
      <alignment shrinkToFit="0" vertical="bottom" wrapText="0"/>
    </xf>
    <xf borderId="3" fillId="2" fontId="2" numFmtId="164" xfId="0" applyAlignment="1" applyBorder="1" applyFont="1" applyNumberFormat="1">
      <alignment shrinkToFit="0" vertical="bottom" wrapText="0"/>
    </xf>
    <xf borderId="2" fillId="3" fontId="3" numFmtId="164" xfId="0" applyAlignment="1" applyBorder="1" applyFont="1" applyNumberFormat="1">
      <alignment shrinkToFit="0" vertical="bottom" wrapText="0"/>
    </xf>
    <xf borderId="2" fillId="3" fontId="1" numFmtId="0" xfId="0" applyAlignment="1" applyBorder="1" applyFont="1">
      <alignment horizontal="right" shrinkToFit="0" vertical="bottom" wrapText="0"/>
    </xf>
    <xf borderId="3" fillId="3" fontId="3" numFmtId="0" xfId="0" applyAlignment="1" applyBorder="1" applyFont="1">
      <alignment shrinkToFit="0" vertical="bottom" wrapText="0"/>
    </xf>
    <xf borderId="2" fillId="0" fontId="31" numFmtId="164" xfId="0" applyAlignment="1" applyBorder="1" applyFont="1" applyNumberForma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2" fillId="4" fontId="31" numFmtId="164" xfId="0" applyAlignment="1" applyBorder="1" applyFont="1" applyNumberFormat="1">
      <alignment shrinkToFit="0" vertical="bottom" wrapText="0"/>
    </xf>
    <xf borderId="3" fillId="4" fontId="3" numFmtId="0" xfId="0" applyAlignment="1" applyBorder="1" applyFont="1">
      <alignment shrinkToFit="0" vertical="bottom" wrapText="0"/>
    </xf>
    <xf borderId="2" fillId="4" fontId="1" numFmtId="165" xfId="0" applyAlignment="1" applyBorder="1" applyFont="1" applyNumberFormat="1">
      <alignment shrinkToFit="0" vertical="bottom" wrapText="0"/>
    </xf>
    <xf borderId="2" fillId="0" fontId="9" numFmtId="0" xfId="0" applyAlignment="1" applyBorder="1" applyFont="1">
      <alignment shrinkToFit="0" vertical="bottom" wrapText="0"/>
    </xf>
    <xf borderId="2" fillId="0" fontId="9" numFmtId="9" xfId="0" applyAlignment="1" applyBorder="1" applyFont="1" applyNumberFormat="1">
      <alignment shrinkToFit="0" vertical="bottom" wrapText="0"/>
    </xf>
    <xf borderId="2" fillId="4" fontId="9" numFmtId="0" xfId="0" applyAlignment="1" applyBorder="1" applyFont="1">
      <alignment shrinkToFit="0" vertical="bottom" wrapText="0"/>
    </xf>
    <xf borderId="2" fillId="4" fontId="9" numFmtId="9" xfId="0" applyAlignment="1" applyBorder="1" applyFont="1" applyNumberFormat="1">
      <alignment shrinkToFit="0" vertical="bottom" wrapText="0"/>
    </xf>
    <xf borderId="2" fillId="4" fontId="3" numFmtId="0" xfId="0" applyAlignment="1" applyBorder="1" applyFont="1">
      <alignment shrinkToFit="0" vertical="bottom" wrapText="0"/>
    </xf>
    <xf borderId="2" fillId="0" fontId="10" numFmtId="164" xfId="0" applyAlignment="1" applyBorder="1" applyFont="1" applyNumberFormat="1">
      <alignment shrinkToFit="0" vertical="bottom" wrapText="0"/>
    </xf>
    <xf borderId="5" fillId="0" fontId="10" numFmtId="0" xfId="0" applyAlignment="1" applyBorder="1" applyFont="1">
      <alignment shrinkToFit="0" vertical="bottom" wrapText="0"/>
    </xf>
    <xf borderId="3" fillId="2" fontId="6" numFmtId="164" xfId="0" applyAlignment="1" applyBorder="1" applyFont="1" applyNumberFormat="1">
      <alignment shrinkToFit="0" vertical="bottom" wrapText="0"/>
    </xf>
    <xf borderId="2" fillId="4" fontId="32" numFmtId="164" xfId="0" applyAlignment="1" applyBorder="1" applyFont="1" applyNumberFormat="1">
      <alignment shrinkToFit="0" vertical="bottom" wrapText="0"/>
    </xf>
    <xf borderId="2" fillId="4" fontId="10" numFmtId="164" xfId="0" applyAlignment="1" applyBorder="1" applyFont="1" applyNumberFormat="1">
      <alignment shrinkToFit="0" vertical="bottom" wrapText="0"/>
    </xf>
    <xf borderId="3" fillId="4" fontId="10" numFmtId="0" xfId="0" applyAlignment="1" applyBorder="1" applyFont="1">
      <alignment shrinkToFit="0" vertical="bottom" wrapText="0"/>
    </xf>
    <xf borderId="0" fillId="0" fontId="29" numFmtId="0" xfId="0" applyAlignment="1" applyFont="1">
      <alignment shrinkToFit="0" vertical="bottom" wrapText="0"/>
    </xf>
    <xf borderId="3" fillId="4" fontId="9" numFmtId="0" xfId="0" applyAlignment="1" applyBorder="1" applyFont="1">
      <alignment shrinkToFit="0" vertical="bottom" wrapText="0"/>
    </xf>
    <xf borderId="5" fillId="0" fontId="9" numFmtId="0" xfId="0" applyAlignment="1" applyBorder="1" applyFont="1">
      <alignment shrinkToFit="0" vertical="bottom" wrapText="0"/>
    </xf>
    <xf borderId="2" fillId="28" fontId="9" numFmtId="0" xfId="0" applyAlignment="1" applyBorder="1" applyFont="1">
      <alignment shrinkToFit="0" vertical="bottom" wrapText="0"/>
    </xf>
    <xf borderId="2" fillId="28" fontId="9" numFmtId="9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4" fontId="7" numFmtId="1" xfId="0" applyAlignment="1" applyBorder="1" applyFont="1" applyNumberFormat="1">
      <alignment shrinkToFit="0" vertical="bottom" wrapText="0"/>
    </xf>
    <xf borderId="2" fillId="4" fontId="15" numFmtId="164" xfId="0" applyAlignment="1" applyBorder="1" applyFont="1" applyNumberFormat="1">
      <alignment shrinkToFit="0" vertical="bottom" wrapText="0"/>
    </xf>
    <xf borderId="2" fillId="4" fontId="29" numFmtId="0" xfId="0" applyAlignment="1" applyBorder="1" applyFont="1">
      <alignment shrinkToFit="0" vertical="bottom" wrapText="0"/>
    </xf>
    <xf borderId="2" fillId="0" fontId="7" numFmtId="1" xfId="0" applyAlignment="1" applyBorder="1" applyFont="1" applyNumberFormat="1">
      <alignment shrinkToFit="0" vertical="bottom" wrapText="0"/>
    </xf>
    <xf borderId="2" fillId="0" fontId="10" numFmtId="0" xfId="0" applyAlignment="1" applyBorder="1" applyFont="1">
      <alignment shrinkToFit="0" vertical="bottom" wrapText="0"/>
    </xf>
    <xf borderId="2" fillId="0" fontId="10" numFmtId="9" xfId="0" applyAlignment="1" applyBorder="1" applyFont="1" applyNumberFormat="1">
      <alignment shrinkToFit="0" vertical="bottom" wrapText="0"/>
    </xf>
    <xf borderId="2" fillId="0" fontId="18" numFmtId="164" xfId="0" applyAlignment="1" applyBorder="1" applyFont="1" applyNumberFormat="1">
      <alignment shrinkToFit="0" vertical="bottom" wrapText="0"/>
    </xf>
    <xf borderId="2" fillId="0" fontId="18" numFmtId="0" xfId="0" applyAlignment="1" applyBorder="1" applyFont="1">
      <alignment shrinkToFit="0" vertical="bottom" wrapText="0"/>
    </xf>
    <xf borderId="2" fillId="4" fontId="18" numFmtId="164" xfId="0" applyAlignment="1" applyBorder="1" applyFont="1" applyNumberFormat="1">
      <alignment shrinkToFit="0" vertical="bottom" wrapText="0"/>
    </xf>
    <xf borderId="2" fillId="0" fontId="19" numFmtId="164" xfId="0" applyAlignment="1" applyBorder="1" applyFont="1" applyNumberFormat="1">
      <alignment shrinkToFit="0" vertical="bottom" wrapText="0"/>
    </xf>
    <xf borderId="2" fillId="4" fontId="33" numFmtId="164" xfId="0" applyAlignment="1" applyBorder="1" applyFont="1" applyNumberFormat="1">
      <alignment shrinkToFit="0" vertical="bottom" wrapText="0"/>
    </xf>
    <xf borderId="2" fillId="0" fontId="33" numFmtId="164" xfId="0" applyAlignment="1" applyBorder="1" applyFont="1" applyNumberFormat="1">
      <alignment shrinkToFit="0" vertical="bottom" wrapText="0"/>
    </xf>
    <xf borderId="7" fillId="0" fontId="9" numFmtId="164" xfId="0" applyAlignment="1" applyBorder="1" applyFont="1" applyNumberFormat="1">
      <alignment shrinkToFit="0" vertical="bottom" wrapText="0"/>
    </xf>
    <xf borderId="2" fillId="6" fontId="11" numFmtId="0" xfId="0" applyAlignment="1" applyBorder="1" applyFont="1">
      <alignment shrinkToFit="0" vertical="bottom" wrapText="0"/>
    </xf>
    <xf borderId="2" fillId="0" fontId="3" numFmtId="164" xfId="0" applyAlignment="1" applyBorder="1" applyFont="1" applyNumberFormat="1">
      <alignment shrinkToFit="0" vertical="bottom" wrapText="0"/>
    </xf>
    <xf borderId="2" fillId="4" fontId="10" numFmtId="0" xfId="0" applyAlignment="1" applyBorder="1" applyFont="1">
      <alignment shrinkToFit="0" vertical="bottom" wrapText="0"/>
    </xf>
    <xf borderId="2" fillId="4" fontId="10" numFmtId="9" xfId="0" applyAlignment="1" applyBorder="1" applyFont="1" applyNumberFormat="1">
      <alignment shrinkToFit="0" vertical="bottom" wrapText="0"/>
    </xf>
    <xf borderId="2" fillId="4" fontId="3" numFmtId="164" xfId="0" applyAlignment="1" applyBorder="1" applyFont="1" applyNumberFormat="1">
      <alignment shrinkToFit="0" vertical="bottom" wrapText="0"/>
    </xf>
    <xf borderId="2" fillId="0" fontId="9" numFmtId="164" xfId="0" applyAlignment="1" applyBorder="1" applyFont="1" applyNumberFormat="1">
      <alignment shrinkToFit="0" vertical="bottom" wrapText="0"/>
    </xf>
    <xf borderId="3" fillId="2" fontId="8" numFmtId="164" xfId="0" applyAlignment="1" applyBorder="1" applyFont="1" applyNumberFormat="1">
      <alignment shrinkToFit="0" vertical="bottom" wrapText="0"/>
    </xf>
    <xf borderId="2" fillId="4" fontId="34" numFmtId="0" xfId="0" applyAlignment="1" applyBorder="1" applyFont="1">
      <alignment shrinkToFit="0" vertical="bottom" wrapText="0"/>
    </xf>
    <xf borderId="7" fillId="0" fontId="15" numFmtId="164" xfId="0" applyAlignment="1" applyBorder="1" applyFont="1" applyNumberFormat="1">
      <alignment shrinkToFit="0" vertical="bottom" wrapText="0"/>
    </xf>
    <xf borderId="9" fillId="0" fontId="1" numFmtId="0" xfId="0" applyAlignment="1" applyBorder="1" applyFont="1">
      <alignment horizontal="left" shrinkToFit="0" vertical="bottom" wrapText="0"/>
    </xf>
    <xf borderId="0" fillId="0" fontId="27" numFmtId="0" xfId="0" applyAlignment="1" applyFont="1">
      <alignment shrinkToFit="0" vertical="bottom" wrapText="0"/>
    </xf>
    <xf borderId="2" fillId="0" fontId="34" numFmtId="164" xfId="0" applyAlignment="1" applyBorder="1" applyFont="1" applyNumberFormat="1">
      <alignment shrinkToFit="0" vertical="bottom" wrapText="0"/>
    </xf>
    <xf borderId="2" fillId="0" fontId="34" numFmtId="0" xfId="0" applyAlignment="1" applyBorder="1" applyFont="1">
      <alignment shrinkToFit="0" vertical="bottom" wrapText="0"/>
    </xf>
    <xf borderId="2" fillId="0" fontId="27" numFmtId="0" xfId="0" applyAlignment="1" applyBorder="1" applyFont="1">
      <alignment shrinkToFit="0" vertical="bottom" wrapText="0"/>
    </xf>
    <xf borderId="30" fillId="4" fontId="5" numFmtId="0" xfId="0" applyAlignment="1" applyBorder="1" applyFont="1">
      <alignment shrinkToFit="0" vertical="bottom" wrapText="0"/>
    </xf>
    <xf borderId="30" fillId="4" fontId="10" numFmtId="164" xfId="0" applyAlignment="1" applyBorder="1" applyFont="1" applyNumberFormat="1">
      <alignment shrinkToFit="0" vertical="bottom" wrapText="0"/>
    </xf>
    <xf borderId="30" fillId="4" fontId="5" numFmtId="0" xfId="0" applyAlignment="1" applyBorder="1" applyFont="1">
      <alignment horizontal="right" shrinkToFit="0" vertical="bottom" wrapText="0"/>
    </xf>
    <xf borderId="15" fillId="4" fontId="1" numFmtId="0" xfId="0" applyAlignment="1" applyBorder="1" applyFont="1">
      <alignment shrinkToFit="0" vertical="bottom" wrapText="0"/>
    </xf>
    <xf borderId="16" fillId="4" fontId="31" numFmtId="164" xfId="0" applyAlignment="1" applyBorder="1" applyFont="1" applyNumberFormat="1">
      <alignment shrinkToFit="0" vertical="bottom" wrapText="0"/>
    </xf>
    <xf borderId="26" fillId="0" fontId="1" numFmtId="0" xfId="0" applyAlignment="1" applyBorder="1" applyFont="1">
      <alignment shrinkToFit="0" vertical="bottom" wrapText="0"/>
    </xf>
    <xf borderId="26" fillId="4" fontId="5" numFmtId="0" xfId="0" applyAlignment="1" applyBorder="1" applyFont="1">
      <alignment shrinkToFit="0" vertical="bottom" wrapText="0"/>
    </xf>
    <xf borderId="2" fillId="0" fontId="1" numFmtId="1" xfId="0" applyAlignment="1" applyBorder="1" applyFont="1" applyNumberFormat="1">
      <alignment shrinkToFit="0" vertical="bottom" wrapText="0"/>
    </xf>
    <xf borderId="2" fillId="0" fontId="1" numFmtId="1" xfId="0" applyAlignment="1" applyBorder="1" applyFont="1" applyNumberFormat="1">
      <alignment horizontal="right" shrinkToFit="0" vertical="bottom" wrapText="0"/>
    </xf>
    <xf borderId="2" fillId="4" fontId="1" numFmtId="1" xfId="0" applyAlignment="1" applyBorder="1" applyFont="1" applyNumberFormat="1">
      <alignment shrinkToFit="0" vertical="bottom" wrapText="0"/>
    </xf>
    <xf borderId="2" fillId="4" fontId="24" numFmtId="164" xfId="0" applyAlignment="1" applyBorder="1" applyFont="1" applyNumberFormat="1">
      <alignment shrinkToFit="0" vertical="bottom" wrapText="0"/>
    </xf>
    <xf borderId="2" fillId="4" fontId="9" numFmtId="164" xfId="0" applyAlignment="1" applyBorder="1" applyFont="1" applyNumberFormat="1">
      <alignment shrinkToFit="0" vertical="bottom" wrapText="0"/>
    </xf>
    <xf borderId="2" fillId="0" fontId="35" numFmtId="1" xfId="0" applyAlignment="1" applyBorder="1" applyFont="1" applyNumberFormat="1">
      <alignment shrinkToFit="0" vertical="bottom" wrapText="0"/>
    </xf>
    <xf borderId="2" fillId="4" fontId="35" numFmtId="1" xfId="0" applyAlignment="1" applyBorder="1" applyFont="1" applyNumberFormat="1">
      <alignment shrinkToFit="0" vertical="bottom" wrapText="0"/>
    </xf>
    <xf borderId="2" fillId="4" fontId="19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7" fillId="0" fontId="10" numFmtId="0" xfId="0" applyAlignment="1" applyBorder="1" applyFont="1">
      <alignment shrinkToFit="0" vertical="bottom" wrapText="0"/>
    </xf>
    <xf borderId="7" fillId="0" fontId="10" numFmtId="9" xfId="0" applyAlignment="1" applyBorder="1" applyFont="1" applyNumberFormat="1">
      <alignment shrinkToFit="0" vertical="bottom" wrapText="0"/>
    </xf>
    <xf borderId="7" fillId="0" fontId="31" numFmtId="164" xfId="0" applyAlignment="1" applyBorder="1" applyFont="1" applyNumberFormat="1">
      <alignment shrinkToFit="0" vertical="bottom" wrapText="0"/>
    </xf>
    <xf borderId="11" fillId="4" fontId="1" numFmtId="0" xfId="0" applyAlignment="1" applyBorder="1" applyFont="1">
      <alignment horizontal="right" shrinkToFit="0" vertical="bottom" wrapText="0"/>
    </xf>
    <xf borderId="18" fillId="4" fontId="3" numFmtId="0" xfId="0" applyAlignment="1" applyBorder="1" applyFont="1">
      <alignment shrinkToFit="0" vertical="bottom" wrapText="0"/>
    </xf>
    <xf borderId="7" fillId="0" fontId="10" numFmtId="164" xfId="0" applyAlignment="1" applyBorder="1" applyFont="1" applyNumberFormat="1">
      <alignment shrinkToFit="0" vertical="bottom" wrapText="0"/>
    </xf>
    <xf borderId="11" fillId="4" fontId="31" numFmtId="164" xfId="0" applyAlignment="1" applyBorder="1" applyFont="1" applyNumberFormat="1">
      <alignment shrinkToFit="0" vertical="bottom" wrapText="0"/>
    </xf>
    <xf borderId="2" fillId="4" fontId="34" numFmtId="164" xfId="0" applyAlignment="1" applyBorder="1" applyFont="1" applyNumberFormat="1">
      <alignment shrinkToFit="0" vertical="bottom" wrapText="0"/>
    </xf>
    <xf borderId="31" fillId="0" fontId="31" numFmtId="164" xfId="0" applyAlignment="1" applyBorder="1" applyFont="1" applyNumberFormat="1">
      <alignment shrinkToFit="0" vertical="bottom" wrapText="0"/>
    </xf>
    <xf borderId="2" fillId="0" fontId="24" numFmtId="164" xfId="0" applyAlignment="1" applyBorder="1" applyFont="1" applyNumberFormat="1">
      <alignment shrinkToFit="0" vertical="bottom" wrapText="0"/>
    </xf>
    <xf borderId="2" fillId="0" fontId="32" numFmtId="0" xfId="0" applyAlignment="1" applyBorder="1" applyFont="1">
      <alignment shrinkToFit="0" vertical="bottom" wrapText="0"/>
    </xf>
    <xf borderId="2" fillId="0" fontId="15" numFmtId="164" xfId="0" applyAlignment="1" applyBorder="1" applyFont="1" applyNumberFormat="1">
      <alignment shrinkToFit="0" vertical="bottom" wrapText="0"/>
    </xf>
    <xf borderId="2" fillId="0" fontId="19" numFmtId="0" xfId="0" applyAlignment="1" applyBorder="1" applyFont="1">
      <alignment shrinkToFit="0" vertical="bottom" wrapText="0"/>
    </xf>
    <xf borderId="2" fillId="4" fontId="32" numFmtId="0" xfId="0" applyAlignment="1" applyBorder="1" applyFont="1">
      <alignment shrinkToFit="0" vertical="bottom" wrapText="0"/>
    </xf>
    <xf borderId="2" fillId="4" fontId="36" numFmtId="164" xfId="0" applyAlignment="1" applyBorder="1" applyFont="1" applyNumberFormat="1">
      <alignment shrinkToFit="0" vertical="bottom" wrapText="0"/>
    </xf>
    <xf borderId="2" fillId="4" fontId="36" numFmtId="0" xfId="0" applyAlignment="1" applyBorder="1" applyFont="1">
      <alignment shrinkToFit="0" vertical="bottom" wrapText="0"/>
    </xf>
    <xf borderId="2" fillId="4" fontId="31" numFmtId="0" xfId="0" applyAlignment="1" applyBorder="1" applyFont="1">
      <alignment shrinkToFit="0" vertical="bottom" wrapText="0"/>
    </xf>
    <xf borderId="2" fillId="0" fontId="36" numFmtId="164" xfId="0" applyAlignment="1" applyBorder="1" applyFont="1" applyNumberFormat="1">
      <alignment shrinkToFit="0" vertical="bottom" wrapText="0"/>
    </xf>
    <xf borderId="9" fillId="0" fontId="31" numFmtId="164" xfId="0" applyAlignment="1" applyBorder="1" applyFont="1" applyNumberFormat="1">
      <alignment shrinkToFit="0" vertical="bottom" wrapText="0"/>
    </xf>
    <xf borderId="11" fillId="4" fontId="10" numFmtId="164" xfId="0" applyAlignment="1" applyBorder="1" applyFont="1" applyNumberFormat="1">
      <alignment shrinkToFit="0" vertical="bottom" wrapText="0"/>
    </xf>
    <xf borderId="18" fillId="4" fontId="10" numFmtId="0" xfId="0" applyAlignment="1" applyBorder="1" applyFont="1">
      <alignment shrinkToFit="0" vertical="bottom" wrapText="0"/>
    </xf>
    <xf borderId="17" fillId="4" fontId="3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shrinkToFit="0" vertical="bottom" wrapText="0"/>
    </xf>
    <xf borderId="2" fillId="4" fontId="19" numFmtId="164" xfId="0" applyAlignment="1" applyBorder="1" applyFont="1" applyNumberFormat="1">
      <alignment shrinkToFit="0" vertical="bottom" wrapText="0"/>
    </xf>
    <xf borderId="2" fillId="4" fontId="27" numFmtId="0" xfId="0" applyAlignment="1" applyBorder="1" applyFont="1">
      <alignment shrinkToFit="0" vertical="bottom" wrapText="0"/>
    </xf>
    <xf borderId="11" fillId="4" fontId="34" numFmtId="164" xfId="0" applyAlignment="1" applyBorder="1" applyFont="1" applyNumberFormat="1">
      <alignment shrinkToFit="0" vertical="bottom" wrapText="0"/>
    </xf>
    <xf borderId="12" fillId="4" fontId="9" numFmtId="0" xfId="0" applyAlignment="1" applyBorder="1" applyFont="1">
      <alignment shrinkToFit="0" vertical="bottom" wrapText="0"/>
    </xf>
    <xf borderId="2" fillId="0" fontId="36" numFmtId="0" xfId="0" applyAlignment="1" applyBorder="1" applyFont="1">
      <alignment shrinkToFit="0" vertical="bottom" wrapText="0"/>
    </xf>
    <xf borderId="2" fillId="0" fontId="29" numFmtId="0" xfId="0" applyAlignment="1" applyBorder="1" applyFont="1">
      <alignment shrinkToFit="0" vertical="bottom" wrapText="0"/>
    </xf>
    <xf borderId="2" fillId="0" fontId="37" numFmtId="164" xfId="0" applyAlignment="1" applyBorder="1" applyFont="1" applyNumberFormat="1">
      <alignment shrinkToFit="0" vertical="bottom" wrapText="0"/>
    </xf>
    <xf borderId="2" fillId="0" fontId="37" numFmtId="0" xfId="0" applyAlignment="1" applyBorder="1" applyFont="1">
      <alignment shrinkToFit="0" vertical="bottom" wrapText="0"/>
    </xf>
    <xf borderId="3" fillId="2" fontId="38" numFmtId="164" xfId="0" applyAlignment="1" applyBorder="1" applyFont="1" applyNumberFormat="1">
      <alignment shrinkToFit="0" vertical="bottom" wrapText="0"/>
    </xf>
    <xf borderId="2" fillId="4" fontId="37" numFmtId="164" xfId="0" applyAlignment="1" applyBorder="1" applyFont="1" applyNumberFormat="1">
      <alignment shrinkToFit="0" vertical="bottom" wrapText="0"/>
    </xf>
    <xf borderId="2" fillId="4" fontId="37" numFmtId="0" xfId="0" applyAlignment="1" applyBorder="1" applyFont="1">
      <alignment shrinkToFit="0" vertical="bottom" wrapText="0"/>
    </xf>
    <xf borderId="0" fillId="0" fontId="31" numFmtId="164" xfId="0" applyAlignment="1" applyFont="1" applyNumberFormat="1">
      <alignment shrinkToFit="0" vertical="bottom" wrapText="0"/>
    </xf>
    <xf borderId="12" fillId="4" fontId="31" numFmtId="164" xfId="0" applyAlignment="1" applyBorder="1" applyFont="1" applyNumberForma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9" fontId="3" numFmtId="164" xfId="0" applyAlignment="1" applyBorder="1" applyFont="1" applyNumberFormat="1">
      <alignment shrinkToFit="0" vertical="bottom" wrapText="0"/>
    </xf>
    <xf borderId="2" fillId="9" fontId="1" numFmtId="0" xfId="0" applyAlignment="1" applyBorder="1" applyFont="1">
      <alignment horizontal="right" shrinkToFit="0" vertical="bottom" wrapText="0"/>
    </xf>
    <xf borderId="3" fillId="9" fontId="3" numFmtId="0" xfId="0" applyAlignment="1" applyBorder="1" applyFont="1">
      <alignment shrinkToFit="0" vertical="bottom" wrapText="0"/>
    </xf>
    <xf borderId="3" fillId="2" fontId="19" numFmtId="164" xfId="0" applyAlignment="1" applyBorder="1" applyFont="1" applyNumberFormat="1">
      <alignment shrinkToFit="0" vertical="bottom" wrapText="0"/>
    </xf>
    <xf borderId="21" fillId="2" fontId="23" numFmtId="0" xfId="0" applyAlignment="1" applyBorder="1" applyFont="1">
      <alignment shrinkToFit="0" vertical="bottom" wrapText="0"/>
    </xf>
    <xf borderId="11" fillId="3" fontId="1" numFmtId="0" xfId="0" applyAlignment="1" applyBorder="1" applyFont="1">
      <alignment horizontal="right" shrinkToFit="0" vertical="bottom" wrapText="0"/>
    </xf>
    <xf borderId="18" fillId="3" fontId="3" numFmtId="0" xfId="0" applyAlignment="1" applyBorder="1" applyFont="1">
      <alignment shrinkToFit="0" vertical="bottom" wrapText="0"/>
    </xf>
    <xf borderId="2" fillId="3" fontId="19" numFmtId="0" xfId="0" applyAlignment="1" applyBorder="1" applyFont="1">
      <alignment shrinkToFit="0" vertical="bottom" wrapText="0"/>
    </xf>
    <xf borderId="2" fillId="9" fontId="7" numFmtId="0" xfId="0" applyAlignment="1" applyBorder="1" applyFont="1">
      <alignment shrinkToFit="0" vertical="bottom" wrapText="0"/>
    </xf>
    <xf borderId="2" fillId="9" fontId="9" numFmtId="164" xfId="0" applyAlignment="1" applyBorder="1" applyFont="1" applyNumberFormat="1">
      <alignment shrinkToFit="0" vertical="bottom" wrapText="0"/>
    </xf>
    <xf borderId="2" fillId="9" fontId="3" numFmtId="0" xfId="0" applyAlignment="1" applyBorder="1" applyFont="1">
      <alignment shrinkToFit="0" vertical="bottom" wrapText="0"/>
    </xf>
    <xf borderId="26" fillId="4" fontId="1" numFmtId="0" xfId="0" applyAlignment="1" applyBorder="1" applyFont="1">
      <alignment horizontal="right" shrinkToFit="0" vertical="bottom" wrapText="0"/>
    </xf>
    <xf borderId="26" fillId="4" fontId="5" numFmtId="0" xfId="0" applyAlignment="1" applyBorder="1" applyFont="1">
      <alignment horizontal="right" shrinkToFit="0" vertical="bottom" wrapText="0"/>
    </xf>
    <xf borderId="12" fillId="4" fontId="7" numFmtId="0" xfId="0" applyAlignment="1" applyBorder="1" applyFont="1">
      <alignment horizontal="right" shrinkToFit="0" vertical="bottom" wrapText="0"/>
    </xf>
    <xf borderId="2" fillId="4" fontId="1" numFmtId="0" xfId="0" applyAlignment="1" applyBorder="1" applyFont="1">
      <alignment horizontal="right" shrinkToFit="0" vertical="top" wrapText="1"/>
    </xf>
    <xf borderId="2" fillId="0" fontId="31" numFmtId="0" xfId="0" applyAlignment="1" applyBorder="1" applyFont="1">
      <alignment shrinkToFit="0" vertical="bottom" wrapText="0"/>
    </xf>
    <xf borderId="0" fillId="0" fontId="19" numFmtId="0" xfId="0" applyAlignment="1" applyFont="1">
      <alignment shrinkToFit="0" vertical="bottom" wrapText="0"/>
    </xf>
    <xf borderId="12" fillId="4" fontId="3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horizontal="right" shrinkToFit="0" vertical="bottom" wrapText="0"/>
    </xf>
    <xf borderId="1" fillId="17" fontId="7" numFmtId="0" xfId="0" applyAlignment="1" applyBorder="1" applyFont="1">
      <alignment shrinkToFit="0" vertical="bottom" wrapText="0"/>
    </xf>
    <xf borderId="2" fillId="28" fontId="7" numFmtId="0" xfId="0" applyAlignment="1" applyBorder="1" applyFont="1">
      <alignment shrinkToFit="0" vertical="bottom" wrapText="0"/>
    </xf>
    <xf borderId="2" fillId="28" fontId="7" numFmtId="165" xfId="0" applyAlignment="1" applyBorder="1" applyFont="1" applyNumberFormat="1">
      <alignment horizontal="left" shrinkToFit="0" vertical="bottom" wrapText="0"/>
    </xf>
    <xf borderId="2" fillId="28" fontId="1" numFmtId="0" xfId="0" applyAlignment="1" applyBorder="1" applyFont="1">
      <alignment shrinkToFit="0" vertical="bottom" wrapText="0"/>
    </xf>
    <xf borderId="16" fillId="4" fontId="5" numFmtId="1" xfId="0" applyAlignment="1" applyBorder="1" applyFont="1" applyNumberFormat="1">
      <alignment horizontal="right" shrinkToFit="0" vertical="bottom" wrapText="0"/>
    </xf>
    <xf borderId="2" fillId="9" fontId="19" numFmtId="0" xfId="0" applyAlignment="1" applyBorder="1" applyFont="1">
      <alignment shrinkToFit="0" vertical="bottom" wrapText="0"/>
    </xf>
    <xf borderId="26" fillId="0" fontId="1" numFmtId="0" xfId="0" applyAlignment="1" applyBorder="1" applyFont="1">
      <alignment horizontal="right" shrinkToFit="0" vertical="bottom" wrapText="0"/>
    </xf>
    <xf borderId="16" fillId="4" fontId="7" numFmtId="0" xfId="0" applyAlignment="1" applyBorder="1" applyFont="1">
      <alignment horizontal="left" shrinkToFit="0" vertical="bottom" wrapText="0"/>
    </xf>
    <xf borderId="17" fillId="4" fontId="9" numFmtId="0" xfId="0" applyAlignment="1" applyBorder="1" applyFont="1">
      <alignment shrinkToFit="0" vertical="bottom" wrapText="0"/>
    </xf>
    <xf borderId="17" fillId="2" fontId="8" numFmtId="164" xfId="0" applyAlignment="1" applyBorder="1" applyFont="1" applyNumberFormat="1">
      <alignment shrinkToFit="0" vertical="bottom" wrapText="0"/>
    </xf>
    <xf borderId="17" fillId="2" fontId="6" numFmtId="164" xfId="0" applyAlignment="1" applyBorder="1" applyFont="1" applyNumberFormat="1">
      <alignment shrinkToFit="0" vertical="bottom" wrapText="0"/>
    </xf>
    <xf borderId="2" fillId="4" fontId="7" numFmtId="0" xfId="0" applyAlignment="1" applyBorder="1" applyFont="1">
      <alignment horizontal="center" shrinkToFit="0" vertical="bottom" wrapText="0"/>
    </xf>
    <xf borderId="2" fillId="0" fontId="7" numFmtId="0" xfId="0" applyAlignment="1" applyBorder="1" applyFont="1">
      <alignment horizontal="center" shrinkToFit="0" vertical="bottom" wrapText="0"/>
    </xf>
    <xf borderId="11" fillId="4" fontId="3" numFmtId="0" xfId="0" applyAlignment="1" applyBorder="1" applyFont="1">
      <alignment shrinkToFit="0" vertical="bottom" wrapText="0"/>
    </xf>
    <xf borderId="32" fillId="2" fontId="2" numFmtId="164" xfId="0" applyAlignment="1" applyBorder="1" applyFont="1" applyNumberFormat="1">
      <alignment shrinkToFit="0" vertical="bottom" wrapText="0"/>
    </xf>
    <xf borderId="7" fillId="0" fontId="9" numFmtId="0" xfId="0" applyAlignment="1" applyBorder="1" applyFont="1">
      <alignment shrinkToFit="0" vertical="bottom" wrapText="0"/>
    </xf>
    <xf borderId="16" fillId="4" fontId="9" numFmtId="0" xfId="0" applyAlignment="1" applyBorder="1" applyFont="1">
      <alignment shrinkToFit="0" vertical="bottom" wrapText="0"/>
    </xf>
    <xf borderId="17" fillId="2" fontId="2" numFmtId="164" xfId="0" applyAlignment="1" applyBorder="1" applyFont="1" applyNumberFormat="1">
      <alignment shrinkToFit="0" vertical="bottom" wrapText="0"/>
    </xf>
    <xf borderId="16" fillId="4" fontId="10" numFmtId="0" xfId="0" applyAlignment="1" applyBorder="1" applyFont="1">
      <alignment shrinkToFit="0" vertical="bottom" wrapText="0"/>
    </xf>
    <xf borderId="2" fillId="6" fontId="9" numFmtId="164" xfId="0" applyAlignment="1" applyBorder="1" applyFont="1" applyNumberFormat="1">
      <alignment shrinkToFit="0" vertical="bottom" wrapText="0"/>
    </xf>
    <xf borderId="2" fillId="6" fontId="3" numFmtId="0" xfId="0" applyAlignment="1" applyBorder="1" applyFont="1">
      <alignment shrinkToFit="0" vertical="bottom" wrapText="0"/>
    </xf>
    <xf borderId="2" fillId="6" fontId="31" numFmtId="164" xfId="0" applyAlignment="1" applyBorder="1" applyFont="1" applyNumberFormat="1">
      <alignment shrinkToFit="0" vertical="bottom" wrapText="0"/>
    </xf>
    <xf borderId="2" fillId="6" fontId="34" numFmtId="164" xfId="0" applyAlignment="1" applyBorder="1" applyFont="1" applyNumberFormat="1">
      <alignment shrinkToFit="0" vertical="bottom" wrapText="0"/>
    </xf>
    <xf borderId="2" fillId="6" fontId="24" numFmtId="0" xfId="0" applyAlignment="1" applyBorder="1" applyFont="1">
      <alignment shrinkToFit="0" vertical="bottom" wrapText="0"/>
    </xf>
    <xf borderId="2" fillId="6" fontId="20" numFmtId="0" xfId="0" applyAlignment="1" applyBorder="1" applyFont="1">
      <alignment horizontal="left" shrinkToFit="0" vertical="bottom" wrapText="0"/>
    </xf>
    <xf borderId="12" fillId="6" fontId="1" numFmtId="0" xfId="0" applyAlignment="1" applyBorder="1" applyFont="1">
      <alignment shrinkToFit="0" vertical="bottom" wrapText="0"/>
    </xf>
    <xf borderId="2" fillId="0" fontId="24" numFmtId="0" xfId="0" applyAlignment="1" applyBorder="1" applyFont="1">
      <alignment shrinkToFit="0" vertical="bottom" wrapText="0"/>
    </xf>
    <xf borderId="7" fillId="0" fontId="20" numFmtId="0" xfId="0" applyAlignment="1" applyBorder="1" applyFont="1">
      <alignment shrinkToFit="0" vertical="bottom" wrapText="0"/>
    </xf>
    <xf borderId="20" fillId="0" fontId="20" numFmtId="0" xfId="0" applyAlignment="1" applyBorder="1" applyFont="1">
      <alignment shrinkToFit="0" vertical="bottom" wrapText="0"/>
    </xf>
    <xf borderId="2" fillId="6" fontId="29" numFmtId="0" xfId="0" applyAlignment="1" applyBorder="1" applyFont="1">
      <alignment shrinkToFit="0" vertical="bottom" wrapText="0"/>
    </xf>
    <xf borderId="2" fillId="6" fontId="29" numFmtId="0" xfId="0" applyAlignment="1" applyBorder="1" applyFont="1">
      <alignment horizontal="left" shrinkToFit="0" vertical="bottom" wrapText="0"/>
    </xf>
    <xf borderId="2" fillId="0" fontId="29" numFmtId="0" xfId="0" applyAlignment="1" applyBorder="1" applyFont="1">
      <alignment horizontal="left" shrinkToFit="0" vertical="bottom" wrapText="0"/>
    </xf>
    <xf borderId="7" fillId="0" fontId="29" numFmtId="0" xfId="0" applyAlignment="1" applyBorder="1" applyFont="1">
      <alignment shrinkToFit="0" vertical="bottom" wrapText="0"/>
    </xf>
    <xf borderId="20" fillId="0" fontId="29" numFmtId="0" xfId="0" applyAlignment="1" applyBorder="1" applyFont="1">
      <alignment shrinkToFit="0" vertical="bottom" wrapText="0"/>
    </xf>
    <xf borderId="1" fillId="6" fontId="7" numFmtId="0" xfId="0" applyAlignment="1" applyBorder="1" applyFont="1">
      <alignment shrinkToFit="0" vertical="bottom" wrapText="0"/>
    </xf>
    <xf borderId="2" fillId="6" fontId="1" numFmtId="0" xfId="0" applyAlignment="1" applyBorder="1" applyFont="1">
      <alignment horizontal="right" shrinkToFit="0" vertical="bottom" wrapText="0"/>
    </xf>
    <xf borderId="1" fillId="6" fontId="20" numFmtId="0" xfId="0" applyAlignment="1" applyBorder="1" applyFont="1">
      <alignment shrinkToFit="0" vertical="bottom" wrapText="0"/>
    </xf>
    <xf borderId="2" fillId="6" fontId="20" numFmtId="165" xfId="0" applyAlignment="1" applyBorder="1" applyFont="1" applyNumberFormat="1">
      <alignment horizontal="left" shrinkToFit="0" vertical="bottom" wrapText="0"/>
    </xf>
    <xf borderId="2" fillId="9" fontId="4" numFmtId="165" xfId="0" applyAlignment="1" applyBorder="1" applyFont="1" applyNumberFormat="1">
      <alignment horizontal="left" shrinkToFit="0" vertical="bottom" wrapText="0"/>
    </xf>
    <xf borderId="1" fillId="29" fontId="7" numFmtId="0" xfId="0" applyAlignment="1" applyBorder="1" applyFill="1" applyFont="1">
      <alignment shrinkToFit="0" vertical="bottom" wrapText="0"/>
    </xf>
    <xf borderId="2" fillId="29" fontId="1" numFmtId="0" xfId="0" applyAlignment="1" applyBorder="1" applyFont="1">
      <alignment horizontal="left" shrinkToFit="0" vertical="bottom" wrapText="0"/>
    </xf>
    <xf borderId="2" fillId="29" fontId="1" numFmtId="0" xfId="0" applyAlignment="1" applyBorder="1" applyFont="1">
      <alignment shrinkToFit="0" vertical="bottom" wrapText="0"/>
    </xf>
    <xf borderId="2" fillId="29" fontId="31" numFmtId="164" xfId="0" applyAlignment="1" applyBorder="1" applyFont="1" applyNumberFormat="1">
      <alignment shrinkToFit="0" vertical="bottom" wrapText="0"/>
    </xf>
    <xf borderId="2" fillId="29" fontId="7" numFmtId="0" xfId="0" applyAlignment="1" applyBorder="1" applyFont="1">
      <alignment horizontal="right" shrinkToFit="0" vertical="bottom" wrapText="0"/>
    </xf>
    <xf borderId="2" fillId="29" fontId="9" numFmtId="0" xfId="0" applyAlignment="1" applyBorder="1" applyFont="1">
      <alignment shrinkToFit="0" vertical="bottom" wrapText="0"/>
    </xf>
    <xf borderId="2" fillId="29" fontId="3" numFmtId="0" xfId="0" applyAlignment="1" applyBorder="1" applyFont="1">
      <alignment shrinkToFit="0" vertical="bottom" wrapText="0"/>
    </xf>
    <xf borderId="2" fillId="29" fontId="7" numFmtId="165" xfId="0" applyAlignment="1" applyBorder="1" applyFont="1" applyNumberFormat="1">
      <alignment horizontal="left" shrinkToFit="0" vertical="bottom" wrapText="0"/>
    </xf>
    <xf borderId="2" fillId="29" fontId="7" numFmtId="0" xfId="0" applyAlignment="1" applyBorder="1" applyFont="1">
      <alignment shrinkToFit="0" vertical="bottom" wrapText="0"/>
    </xf>
    <xf borderId="2" fillId="29" fontId="7" numFmtId="0" xfId="0" applyAlignment="1" applyBorder="1" applyFont="1">
      <alignment horizontal="left" shrinkToFit="0" vertical="bottom" wrapText="0"/>
    </xf>
    <xf borderId="3" fillId="29" fontId="3" numFmtId="0" xfId="0" applyAlignment="1" applyBorder="1" applyFont="1">
      <alignment shrinkToFit="0" vertical="bottom" wrapText="0"/>
    </xf>
    <xf borderId="1" fillId="29" fontId="20" numFmtId="0" xfId="0" applyAlignment="1" applyBorder="1" applyFont="1">
      <alignment shrinkToFit="0" vertical="bottom" wrapText="0"/>
    </xf>
    <xf borderId="2" fillId="29" fontId="20" numFmtId="0" xfId="0" applyAlignment="1" applyBorder="1" applyFont="1">
      <alignment horizontal="left" shrinkToFit="0" vertical="bottom" wrapText="0"/>
    </xf>
    <xf borderId="26" fillId="29" fontId="1" numFmtId="0" xfId="0" applyAlignment="1" applyBorder="1" applyFont="1">
      <alignment horizontal="right" shrinkToFit="0" vertical="bottom" wrapText="0"/>
    </xf>
    <xf borderId="2" fillId="29" fontId="20" numFmtId="165" xfId="0" applyAlignment="1" applyBorder="1" applyFont="1" applyNumberFormat="1">
      <alignment horizontal="left" shrinkToFit="0" vertical="bottom" wrapText="0"/>
    </xf>
    <xf borderId="2" fillId="29" fontId="9" numFmtId="9" xfId="0" applyAlignment="1" applyBorder="1" applyFont="1" applyNumberFormat="1">
      <alignment shrinkToFit="0" vertical="bottom" wrapText="0"/>
    </xf>
    <xf borderId="2" fillId="29" fontId="1" numFmtId="0" xfId="0" applyAlignment="1" applyBorder="1" applyFont="1">
      <alignment horizontal="right" shrinkToFit="0" vertical="bottom" wrapText="0"/>
    </xf>
    <xf borderId="6" fillId="0" fontId="9" numFmtId="0" xfId="0" applyAlignment="1" applyBorder="1" applyFont="1">
      <alignment shrinkToFit="0" vertical="bottom" wrapText="0"/>
    </xf>
    <xf borderId="14" fillId="29" fontId="29" numFmtId="0" xfId="0" applyAlignment="1" applyBorder="1" applyFont="1">
      <alignment shrinkToFit="0" vertical="bottom" wrapText="0"/>
    </xf>
    <xf borderId="2" fillId="29" fontId="29" numFmtId="165" xfId="0" applyAlignment="1" applyBorder="1" applyFont="1" applyNumberFormat="1">
      <alignment horizontal="left" shrinkToFit="0" vertical="bottom" wrapText="0"/>
    </xf>
    <xf borderId="2" fillId="0" fontId="29" numFmtId="165" xfId="0" applyAlignment="1" applyBorder="1" applyFont="1" applyNumberFormat="1">
      <alignment horizontal="left" shrinkToFit="0" vertical="bottom" wrapText="0"/>
    </xf>
    <xf borderId="1" fillId="29" fontId="29" numFmtId="0" xfId="0" applyAlignment="1" applyBorder="1" applyFont="1">
      <alignment shrinkToFit="0" vertical="bottom" wrapText="0"/>
    </xf>
    <xf borderId="12" fillId="4" fontId="1" numFmtId="0" xfId="0" applyAlignment="1" applyBorder="1" applyFont="1">
      <alignment horizontal="right" shrinkToFit="0" vertical="bottom" wrapText="0"/>
    </xf>
    <xf borderId="12" fillId="4" fontId="29" numFmtId="0" xfId="0" applyAlignment="1" applyBorder="1" applyFont="1">
      <alignment shrinkToFit="0" vertical="bottom" wrapText="0"/>
    </xf>
    <xf borderId="1" fillId="28" fontId="1" numFmtId="0" xfId="0" applyAlignment="1" applyBorder="1" applyFont="1">
      <alignment shrinkToFit="0" vertical="bottom" wrapText="0"/>
    </xf>
    <xf borderId="33" fillId="4" fontId="1" numFmtId="0" xfId="0" applyAlignment="1" applyBorder="1" applyFont="1">
      <alignment horizontal="right" shrinkToFit="0" vertical="top" wrapText="1"/>
    </xf>
    <xf borderId="11" fillId="4" fontId="1" numFmtId="0" xfId="0" applyAlignment="1" applyBorder="1" applyFont="1">
      <alignment horizontal="left" shrinkToFit="0" vertical="bottom" wrapText="0"/>
    </xf>
    <xf borderId="34" fillId="4" fontId="7" numFmtId="0" xfId="0" applyAlignment="1" applyBorder="1" applyFont="1">
      <alignment shrinkToFit="0" vertical="bottom" wrapText="0"/>
    </xf>
    <xf borderId="35" fillId="0" fontId="7" numFmtId="0" xfId="0" applyAlignment="1" applyBorder="1" applyFont="1">
      <alignment shrinkToFit="0" vertical="bottom" wrapText="0"/>
    </xf>
    <xf borderId="10" fillId="4" fontId="9" numFmtId="0" xfId="0" applyAlignment="1" applyBorder="1" applyFont="1">
      <alignment shrinkToFit="0" vertical="bottom" wrapText="0"/>
    </xf>
    <xf borderId="9" fillId="0" fontId="9" numFmtId="0" xfId="0" applyAlignment="1" applyBorder="1" applyFont="1">
      <alignment shrinkToFit="0" vertical="bottom" wrapText="0"/>
    </xf>
    <xf borderId="2" fillId="28" fontId="7" numFmtId="0" xfId="0" applyAlignment="1" applyBorder="1" applyFont="1">
      <alignment horizontal="left" shrinkToFit="0" vertical="bottom" wrapText="0"/>
    </xf>
    <xf borderId="13" fillId="13" fontId="1" numFmtId="0" xfId="0" applyAlignment="1" applyBorder="1" applyFont="1">
      <alignment shrinkToFit="0" vertical="bottom" wrapText="0"/>
    </xf>
    <xf borderId="16" fillId="4" fontId="1" numFmtId="1" xfId="0" applyAlignment="1" applyBorder="1" applyFont="1" applyNumberFormat="1">
      <alignment horizontal="right" shrinkToFit="0" vertical="bottom" wrapText="0"/>
    </xf>
    <xf borderId="28" fillId="4" fontId="1" numFmtId="0" xfId="0" applyAlignment="1" applyBorder="1" applyFont="1">
      <alignment horizontal="right" shrinkToFit="0" vertical="top" wrapText="1"/>
    </xf>
    <xf borderId="0" fillId="0" fontId="1" numFmtId="0" xfId="0" applyAlignment="1" applyFont="1">
      <alignment horizontal="right" shrinkToFit="0" vertical="top" wrapText="1"/>
    </xf>
    <xf borderId="1" fillId="29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12" fillId="2" fontId="2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2">
    <dxf>
      <font>
        <sz val="11.0"/>
        <color rgb="FFFFFFFF"/>
        <name val="Calibri"/>
      </font>
      <fill>
        <patternFill patternType="none"/>
      </fill>
      <border/>
    </dxf>
    <dxf>
      <font>
        <b/>
        <sz val="11.0"/>
        <color rgb="FF003366"/>
        <name val="Calibri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131</xdr:row>
      <xdr:rowOff>38100</xdr:rowOff>
    </xdr:from>
    <xdr:ext cx="314325" cy="304800"/>
    <xdr:pic>
      <xdr:nvPicPr>
        <xdr:cNvPr descr="discodiaman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60</xdr:row>
      <xdr:rowOff>0</xdr:rowOff>
    </xdr:from>
    <xdr:ext cx="200025" cy="914400"/>
    <xdr:pic>
      <xdr:nvPicPr>
        <xdr:cNvPr descr="mechapala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132</xdr:row>
      <xdr:rowOff>38100</xdr:rowOff>
    </xdr:from>
    <xdr:ext cx="323850" cy="304800"/>
    <xdr:pic>
      <xdr:nvPicPr>
        <xdr:cNvPr descr="discodiaman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</xdr:colOff>
      <xdr:row>60</xdr:row>
      <xdr:rowOff>0</xdr:rowOff>
    </xdr:from>
    <xdr:ext cx="200025" cy="914400"/>
    <xdr:pic>
      <xdr:nvPicPr>
        <xdr:cNvPr descr="mechapala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00"/>
    <pageSetUpPr/>
  </sheetPr>
  <sheetViews>
    <sheetView workbookViewId="0"/>
  </sheetViews>
  <sheetFormatPr customHeight="1" defaultColWidth="14.43" defaultRowHeight="15.0"/>
  <cols>
    <col customWidth="1" min="1" max="1" width="1.0"/>
    <col customWidth="1" min="2" max="2" width="0.71"/>
    <col customWidth="1" min="3" max="3" width="2.0"/>
    <col customWidth="1" min="4" max="4" width="25.57"/>
    <col customWidth="1" min="5" max="5" width="8.0"/>
    <col customWidth="1" min="6" max="6" width="6.57"/>
    <col customWidth="1" min="7" max="7" width="7.71"/>
    <col customWidth="1" min="8" max="8" width="6.57"/>
    <col customWidth="1" min="9" max="9" width="6.43"/>
    <col customWidth="1" min="10" max="10" width="8.43"/>
    <col customWidth="1" min="11" max="11" width="9.43"/>
    <col customWidth="1" min="12" max="12" width="3.86"/>
    <col customWidth="1" min="13" max="13" width="3.57"/>
    <col customWidth="1" min="14" max="14" width="7.14"/>
    <col customWidth="1" min="15" max="15" width="6.71"/>
    <col customWidth="1" min="16" max="16" width="11.57"/>
  </cols>
  <sheetData>
    <row r="1" ht="12.0" customHeight="1">
      <c r="A1" s="1"/>
      <c r="B1" s="1"/>
      <c r="C1" s="1"/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/>
      <c r="J1" s="6"/>
      <c r="K1" s="6"/>
      <c r="L1" s="7"/>
      <c r="M1" s="8"/>
      <c r="N1" s="6"/>
      <c r="O1" s="9"/>
      <c r="P1" s="6"/>
    </row>
    <row r="2" ht="12.0" customHeight="1">
      <c r="A2" s="10" t="s">
        <v>5</v>
      </c>
      <c r="B2" s="10" t="s">
        <v>5</v>
      </c>
      <c r="C2" s="10"/>
      <c r="D2" s="10" t="s">
        <v>6</v>
      </c>
      <c r="E2" s="11" t="s">
        <v>7</v>
      </c>
      <c r="F2" s="12"/>
      <c r="G2" s="13"/>
      <c r="H2" s="5"/>
      <c r="I2" s="6"/>
      <c r="J2" s="6"/>
      <c r="K2" s="6"/>
      <c r="L2" s="7"/>
      <c r="M2" s="8"/>
      <c r="N2" s="6"/>
      <c r="O2" s="9"/>
      <c r="P2" s="6"/>
    </row>
    <row r="3" ht="12.0" customHeight="1">
      <c r="A3" s="14"/>
      <c r="B3" s="15"/>
      <c r="C3" s="15"/>
      <c r="D3" s="16" t="s">
        <v>8</v>
      </c>
      <c r="E3" s="17" t="s">
        <v>9</v>
      </c>
      <c r="F3" s="9" t="s">
        <v>10</v>
      </c>
      <c r="G3" s="18">
        <v>6304.0</v>
      </c>
      <c r="H3" s="19">
        <f t="shared" ref="H3:H467" si="1">SUM(L3+M3)</f>
        <v>480.924</v>
      </c>
      <c r="I3" s="6"/>
      <c r="J3" s="6"/>
      <c r="K3" s="6"/>
      <c r="L3" s="7">
        <f>SUM(1*'Mercadería'!L3)</f>
        <v>480.924</v>
      </c>
      <c r="M3" s="8"/>
      <c r="N3" s="20" t="s">
        <v>11</v>
      </c>
      <c r="O3" s="9"/>
      <c r="P3" s="6"/>
    </row>
    <row r="4" ht="12.0" customHeight="1">
      <c r="A4" s="14"/>
      <c r="B4" s="15"/>
      <c r="C4" s="15"/>
      <c r="D4" s="15" t="s">
        <v>8</v>
      </c>
      <c r="E4" s="21" t="s">
        <v>12</v>
      </c>
      <c r="F4" s="14" t="s">
        <v>10</v>
      </c>
      <c r="G4" s="22">
        <v>6305.0</v>
      </c>
      <c r="H4" s="19">
        <f t="shared" si="1"/>
        <v>473.04</v>
      </c>
      <c r="I4" s="6"/>
      <c r="J4" s="6"/>
      <c r="K4" s="6"/>
      <c r="L4" s="7">
        <f>SUM(1*'Mercadería'!L4)</f>
        <v>473.04</v>
      </c>
      <c r="M4" s="8"/>
      <c r="N4" s="23" t="s">
        <v>11</v>
      </c>
      <c r="O4" s="9"/>
      <c r="P4" s="6"/>
    </row>
    <row r="5" ht="12.0" customHeight="1">
      <c r="A5" s="14"/>
      <c r="B5" s="15"/>
      <c r="C5" s="15"/>
      <c r="D5" s="16" t="s">
        <v>8</v>
      </c>
      <c r="E5" s="17" t="s">
        <v>13</v>
      </c>
      <c r="F5" s="9" t="s">
        <v>10</v>
      </c>
      <c r="G5" s="18">
        <v>6306.0</v>
      </c>
      <c r="H5" s="19">
        <f t="shared" si="1"/>
        <v>465.156</v>
      </c>
      <c r="I5" s="6"/>
      <c r="J5" s="6"/>
      <c r="K5" s="6"/>
      <c r="L5" s="7">
        <f>SUM(1*'Mercadería'!L5)</f>
        <v>465.156</v>
      </c>
      <c r="M5" s="8"/>
      <c r="N5" s="20" t="s">
        <v>11</v>
      </c>
      <c r="O5" s="9"/>
      <c r="P5" s="6"/>
    </row>
    <row r="6" ht="12.0" customHeight="1">
      <c r="A6" s="14"/>
      <c r="B6" s="15"/>
      <c r="C6" s="15"/>
      <c r="D6" s="15" t="s">
        <v>8</v>
      </c>
      <c r="E6" s="21" t="s">
        <v>14</v>
      </c>
      <c r="F6" s="14" t="s">
        <v>10</v>
      </c>
      <c r="G6" s="22">
        <v>6307.0</v>
      </c>
      <c r="H6" s="19">
        <f t="shared" si="1"/>
        <v>425.736</v>
      </c>
      <c r="I6" s="6"/>
      <c r="J6" s="6"/>
      <c r="K6" s="6"/>
      <c r="L6" s="7">
        <f>SUM(1*'Mercadería'!L6)</f>
        <v>425.736</v>
      </c>
      <c r="M6" s="8"/>
      <c r="N6" s="23" t="s">
        <v>11</v>
      </c>
      <c r="O6" s="9"/>
      <c r="P6" s="6"/>
    </row>
    <row r="7" ht="12.0" customHeight="1">
      <c r="A7" s="14"/>
      <c r="B7" s="15"/>
      <c r="C7" s="15"/>
      <c r="D7" s="16" t="s">
        <v>8</v>
      </c>
      <c r="E7" s="17" t="s">
        <v>15</v>
      </c>
      <c r="F7" s="9" t="s">
        <v>16</v>
      </c>
      <c r="G7" s="24">
        <v>8906.0</v>
      </c>
      <c r="H7" s="19">
        <f t="shared" si="1"/>
        <v>342.954</v>
      </c>
      <c r="I7" s="6"/>
      <c r="J7" s="6"/>
      <c r="K7" s="6"/>
      <c r="L7" s="7">
        <f>SUM(1*'Mercadería'!L7)</f>
        <v>342.954</v>
      </c>
      <c r="M7" s="8"/>
      <c r="N7" s="20" t="s">
        <v>17</v>
      </c>
      <c r="O7" s="9"/>
      <c r="P7" s="6"/>
    </row>
    <row r="8" ht="12.0" customHeight="1">
      <c r="A8" s="14"/>
      <c r="B8" s="15"/>
      <c r="C8" s="15"/>
      <c r="D8" s="15" t="s">
        <v>18</v>
      </c>
      <c r="E8" s="21" t="s">
        <v>19</v>
      </c>
      <c r="F8" s="14" t="s">
        <v>20</v>
      </c>
      <c r="G8" s="22">
        <v>5147.0</v>
      </c>
      <c r="H8" s="19">
        <f t="shared" si="1"/>
        <v>342.954</v>
      </c>
      <c r="I8" s="6"/>
      <c r="J8" s="6"/>
      <c r="K8" s="6"/>
      <c r="L8" s="7">
        <f>SUM(1*'Mercadería'!L8)</f>
        <v>342.954</v>
      </c>
      <c r="M8" s="8"/>
      <c r="N8" s="23" t="s">
        <v>11</v>
      </c>
      <c r="O8" s="9"/>
      <c r="P8" s="6"/>
    </row>
    <row r="9" ht="12.0" customHeight="1">
      <c r="A9" s="14"/>
      <c r="B9" s="15"/>
      <c r="C9" s="15"/>
      <c r="D9" s="16" t="s">
        <v>8</v>
      </c>
      <c r="E9" s="17" t="s">
        <v>21</v>
      </c>
      <c r="F9" s="9" t="s">
        <v>10</v>
      </c>
      <c r="G9" s="18">
        <v>6310.0</v>
      </c>
      <c r="H9" s="19">
        <f t="shared" si="1"/>
        <v>449.388</v>
      </c>
      <c r="I9" s="6"/>
      <c r="J9" s="6"/>
      <c r="K9" s="6"/>
      <c r="L9" s="7">
        <f>SUM(1*'Mercadería'!L9)</f>
        <v>449.388</v>
      </c>
      <c r="M9" s="8"/>
      <c r="N9" s="20" t="s">
        <v>11</v>
      </c>
      <c r="O9" s="9"/>
      <c r="P9" s="6"/>
    </row>
    <row r="10" ht="12.0" customHeight="1">
      <c r="A10" s="14"/>
      <c r="B10" s="15"/>
      <c r="C10" s="15"/>
      <c r="D10" s="15" t="s">
        <v>22</v>
      </c>
      <c r="E10" s="21" t="s">
        <v>23</v>
      </c>
      <c r="F10" s="14" t="s">
        <v>16</v>
      </c>
      <c r="G10" s="22">
        <v>8910.0</v>
      </c>
      <c r="H10" s="19">
        <f t="shared" si="1"/>
        <v>370.548</v>
      </c>
      <c r="I10" s="6"/>
      <c r="J10" s="6"/>
      <c r="K10" s="6"/>
      <c r="L10" s="7">
        <f>SUM(1*'Mercadería'!L10)</f>
        <v>370.548</v>
      </c>
      <c r="M10" s="8"/>
      <c r="N10" s="23" t="s">
        <v>17</v>
      </c>
      <c r="O10" s="9"/>
      <c r="P10" s="6"/>
    </row>
    <row r="11" ht="12.0" customHeight="1">
      <c r="A11" s="14"/>
      <c r="B11" s="15"/>
      <c r="C11" s="15"/>
      <c r="D11" s="25" t="s">
        <v>8</v>
      </c>
      <c r="E11" s="26" t="s">
        <v>24</v>
      </c>
      <c r="F11" s="27" t="s">
        <v>10</v>
      </c>
      <c r="G11" s="28">
        <v>6313.0</v>
      </c>
      <c r="H11" s="29">
        <f t="shared" si="1"/>
        <v>41.04</v>
      </c>
      <c r="I11" s="6"/>
      <c r="J11" s="6"/>
      <c r="K11" s="6"/>
      <c r="L11" s="7">
        <f>SUM(1*'Mercadería'!L11)</f>
        <v>41.04</v>
      </c>
      <c r="M11" s="8"/>
      <c r="N11" s="30" t="s">
        <v>11</v>
      </c>
      <c r="O11" s="9"/>
      <c r="P11" s="6"/>
    </row>
    <row r="12" ht="12.0" customHeight="1">
      <c r="A12" s="14"/>
      <c r="B12" s="15"/>
      <c r="C12" s="15"/>
      <c r="D12" s="15" t="s">
        <v>18</v>
      </c>
      <c r="E12" s="21" t="s">
        <v>24</v>
      </c>
      <c r="F12" s="14" t="s">
        <v>20</v>
      </c>
      <c r="G12" s="22">
        <v>5151.0</v>
      </c>
      <c r="H12" s="19">
        <f t="shared" si="1"/>
        <v>394.2</v>
      </c>
      <c r="I12" s="6"/>
      <c r="J12" s="6"/>
      <c r="K12" s="6"/>
      <c r="L12" s="7">
        <f>SUM(1*'Mercadería'!L12)</f>
        <v>394.2</v>
      </c>
      <c r="M12" s="8"/>
      <c r="N12" s="23" t="s">
        <v>11</v>
      </c>
      <c r="O12" s="9"/>
      <c r="P12" s="6"/>
    </row>
    <row r="13" ht="12.0" customHeight="1">
      <c r="A13" s="14"/>
      <c r="B13" s="15"/>
      <c r="C13" s="15"/>
      <c r="D13" s="31" t="s">
        <v>8</v>
      </c>
      <c r="E13" s="32" t="s">
        <v>25</v>
      </c>
      <c r="F13" s="33" t="s">
        <v>10</v>
      </c>
      <c r="G13" s="34">
        <v>6314.0</v>
      </c>
      <c r="H13" s="35">
        <f t="shared" si="1"/>
        <v>539.835</v>
      </c>
      <c r="I13" s="36"/>
      <c r="J13" s="36"/>
      <c r="K13" s="36"/>
      <c r="L13" s="37">
        <f>SUM(1*'Mercadería'!L13)</f>
        <v>539.835</v>
      </c>
      <c r="M13" s="8"/>
      <c r="N13" s="38" t="s">
        <v>11</v>
      </c>
      <c r="O13" s="9"/>
      <c r="P13" s="6"/>
    </row>
    <row r="14" ht="12.0" customHeight="1">
      <c r="A14" s="14"/>
      <c r="B14" s="15"/>
      <c r="C14" s="15"/>
      <c r="D14" s="39" t="s">
        <v>22</v>
      </c>
      <c r="E14" s="40" t="s">
        <v>25</v>
      </c>
      <c r="F14" s="41" t="s">
        <v>16</v>
      </c>
      <c r="G14" s="42">
        <v>8912.0</v>
      </c>
      <c r="H14" s="29">
        <f t="shared" si="1"/>
        <v>480.924</v>
      </c>
      <c r="I14" s="43"/>
      <c r="J14" s="43"/>
      <c r="K14" s="43"/>
      <c r="L14" s="44">
        <f>SUM(1*'Mercadería'!L14)</f>
        <v>480.924</v>
      </c>
      <c r="M14" s="8"/>
      <c r="N14" s="45" t="s">
        <v>17</v>
      </c>
      <c r="O14" s="9"/>
      <c r="P14" s="6"/>
    </row>
    <row r="15" ht="12.0" customHeight="1">
      <c r="A15" s="14"/>
      <c r="B15" s="15"/>
      <c r="C15" s="15"/>
      <c r="D15" s="16" t="s">
        <v>18</v>
      </c>
      <c r="E15" s="17" t="s">
        <v>26</v>
      </c>
      <c r="F15" s="33" t="s">
        <v>10</v>
      </c>
      <c r="G15" s="18"/>
      <c r="H15" s="19">
        <f t="shared" si="1"/>
        <v>614.295</v>
      </c>
      <c r="I15" s="6"/>
      <c r="J15" s="6"/>
      <c r="K15" s="6"/>
      <c r="L15" s="7">
        <f>SUM(1*'Mercadería'!L15)</f>
        <v>614.295</v>
      </c>
      <c r="M15" s="8"/>
      <c r="N15" s="20" t="s">
        <v>11</v>
      </c>
      <c r="O15" s="9"/>
      <c r="P15" s="6"/>
    </row>
    <row r="16" ht="12.0" customHeight="1">
      <c r="A16" s="14"/>
      <c r="B16" s="15"/>
      <c r="C16" s="15"/>
      <c r="D16" s="39" t="s">
        <v>8</v>
      </c>
      <c r="E16" s="40" t="s">
        <v>27</v>
      </c>
      <c r="F16" s="41" t="s">
        <v>10</v>
      </c>
      <c r="G16" s="42">
        <v>6316.0</v>
      </c>
      <c r="H16" s="29">
        <f t="shared" si="1"/>
        <v>45</v>
      </c>
      <c r="I16" s="6"/>
      <c r="J16" s="6"/>
      <c r="K16" s="6"/>
      <c r="L16" s="7">
        <f>SUM(1*'Mercadería'!L16)</f>
        <v>45</v>
      </c>
      <c r="M16" s="8"/>
      <c r="N16" s="45" t="s">
        <v>11</v>
      </c>
      <c r="O16" s="9"/>
      <c r="P16" s="6"/>
    </row>
    <row r="17" ht="12.0" customHeight="1">
      <c r="A17" s="14"/>
      <c r="B17" s="15"/>
      <c r="C17" s="15"/>
      <c r="D17" s="31" t="s">
        <v>8</v>
      </c>
      <c r="E17" s="17" t="s">
        <v>27</v>
      </c>
      <c r="F17" s="9"/>
      <c r="G17" s="24"/>
      <c r="H17" s="19">
        <f t="shared" si="1"/>
        <v>632.91</v>
      </c>
      <c r="I17" s="6"/>
      <c r="J17" s="6"/>
      <c r="K17" s="6"/>
      <c r="L17" s="7">
        <f>SUM(1*'Mercadería'!L17)</f>
        <v>632.91</v>
      </c>
      <c r="M17" s="8"/>
      <c r="N17" s="20"/>
      <c r="O17" s="9"/>
      <c r="P17" s="6"/>
    </row>
    <row r="18" ht="12.0" customHeight="1">
      <c r="A18" s="14"/>
      <c r="B18" s="15"/>
      <c r="C18" s="15"/>
      <c r="D18" s="46" t="s">
        <v>18</v>
      </c>
      <c r="E18" s="47" t="s">
        <v>28</v>
      </c>
      <c r="F18" s="14" t="s">
        <v>20</v>
      </c>
      <c r="G18" s="48">
        <v>5155.0</v>
      </c>
      <c r="H18" s="19">
        <f t="shared" si="1"/>
        <v>483.99</v>
      </c>
      <c r="I18" s="6"/>
      <c r="J18" s="6"/>
      <c r="K18" s="6"/>
      <c r="L18" s="7">
        <f>SUM(1*'Mercadería'!L18)</f>
        <v>483.99</v>
      </c>
      <c r="M18" s="8"/>
      <c r="N18" s="49" t="s">
        <v>11</v>
      </c>
      <c r="O18" s="9"/>
      <c r="P18" s="6"/>
    </row>
    <row r="19" ht="12.0" customHeight="1">
      <c r="A19" s="14"/>
      <c r="B19" s="15"/>
      <c r="C19" s="15"/>
      <c r="D19" s="31" t="s">
        <v>8</v>
      </c>
      <c r="E19" s="32" t="s">
        <v>29</v>
      </c>
      <c r="F19" s="33" t="s">
        <v>10</v>
      </c>
      <c r="G19" s="34">
        <v>6318.0</v>
      </c>
      <c r="H19" s="19">
        <f t="shared" si="1"/>
        <v>718.539</v>
      </c>
      <c r="I19" s="6"/>
      <c r="J19" s="6"/>
      <c r="K19" s="6"/>
      <c r="L19" s="7">
        <f>SUM(1*'Mercadería'!L19)</f>
        <v>718.539</v>
      </c>
      <c r="M19" s="8"/>
      <c r="N19" s="38" t="s">
        <v>11</v>
      </c>
      <c r="O19" s="9"/>
      <c r="P19" s="6"/>
    </row>
    <row r="20" ht="12.0" customHeight="1">
      <c r="A20" s="14"/>
      <c r="B20" s="15"/>
      <c r="C20" s="15"/>
      <c r="D20" s="15" t="s">
        <v>8</v>
      </c>
      <c r="E20" s="21" t="s">
        <v>30</v>
      </c>
      <c r="F20" s="50" t="s">
        <v>16</v>
      </c>
      <c r="G20" s="22">
        <v>8917.0</v>
      </c>
      <c r="H20" s="19">
        <f t="shared" si="1"/>
        <v>718.539</v>
      </c>
      <c r="I20" s="6"/>
      <c r="J20" s="6"/>
      <c r="K20" s="6"/>
      <c r="L20" s="7">
        <f>SUM(1*'Mercadería'!L20)</f>
        <v>718.539</v>
      </c>
      <c r="M20" s="8"/>
      <c r="N20" s="23" t="s">
        <v>11</v>
      </c>
      <c r="O20" s="9"/>
      <c r="P20" s="6"/>
    </row>
    <row r="21" ht="12.0" customHeight="1">
      <c r="A21" s="14"/>
      <c r="B21" s="15"/>
      <c r="C21" s="15"/>
      <c r="D21" s="25" t="s">
        <v>8</v>
      </c>
      <c r="E21" s="26" t="s">
        <v>31</v>
      </c>
      <c r="F21" s="27" t="s">
        <v>10</v>
      </c>
      <c r="G21" s="28">
        <v>6320.0</v>
      </c>
      <c r="H21" s="29">
        <f t="shared" si="1"/>
        <v>70.04</v>
      </c>
      <c r="I21" s="6"/>
      <c r="J21" s="6"/>
      <c r="K21" s="6"/>
      <c r="L21" s="7">
        <f>SUM(1*'Mercadería'!L21)</f>
        <v>70.04</v>
      </c>
      <c r="M21" s="8"/>
      <c r="N21" s="30" t="s">
        <v>11</v>
      </c>
      <c r="O21" s="9"/>
      <c r="P21" s="6"/>
    </row>
    <row r="22" ht="12.0" customHeight="1">
      <c r="A22" s="14"/>
      <c r="B22" s="15"/>
      <c r="C22" s="15"/>
      <c r="D22" s="15" t="s">
        <v>22</v>
      </c>
      <c r="E22" s="21" t="s">
        <v>31</v>
      </c>
      <c r="F22" s="14" t="s">
        <v>16</v>
      </c>
      <c r="G22" s="22">
        <v>8918.0</v>
      </c>
      <c r="H22" s="19">
        <f t="shared" si="1"/>
        <v>595.68</v>
      </c>
      <c r="I22" s="6"/>
      <c r="J22" s="6"/>
      <c r="K22" s="6"/>
      <c r="L22" s="7">
        <f>SUM(1*'Mercadería'!L22)</f>
        <v>595.68</v>
      </c>
      <c r="M22" s="8"/>
      <c r="N22" s="23" t="s">
        <v>17</v>
      </c>
      <c r="O22" s="9"/>
      <c r="P22" s="6"/>
    </row>
    <row r="23" ht="12.0" customHeight="1">
      <c r="A23" s="14"/>
      <c r="B23" s="15"/>
      <c r="C23" s="15"/>
      <c r="D23" s="16" t="s">
        <v>22</v>
      </c>
      <c r="E23" s="17" t="s">
        <v>32</v>
      </c>
      <c r="F23" s="9" t="s">
        <v>16</v>
      </c>
      <c r="G23" s="18">
        <v>8919.0</v>
      </c>
      <c r="H23" s="19">
        <f t="shared" si="1"/>
        <v>629.187</v>
      </c>
      <c r="I23" s="6"/>
      <c r="J23" s="6"/>
      <c r="K23" s="6"/>
      <c r="L23" s="7">
        <f>SUM(1*'Mercadería'!L23)</f>
        <v>629.187</v>
      </c>
      <c r="M23" s="8"/>
      <c r="N23" s="20" t="s">
        <v>17</v>
      </c>
      <c r="O23" s="9"/>
      <c r="P23" s="6"/>
    </row>
    <row r="24" ht="12.0" customHeight="1">
      <c r="A24" s="14"/>
      <c r="B24" s="15"/>
      <c r="C24" s="15"/>
      <c r="D24" s="15" t="s">
        <v>8</v>
      </c>
      <c r="E24" s="21" t="s">
        <v>33</v>
      </c>
      <c r="F24" s="14" t="s">
        <v>16</v>
      </c>
      <c r="G24" s="22">
        <v>8920.0</v>
      </c>
      <c r="H24" s="19">
        <f t="shared" si="1"/>
        <v>681.309</v>
      </c>
      <c r="I24" s="6"/>
      <c r="J24" s="6"/>
      <c r="K24" s="6"/>
      <c r="L24" s="7">
        <f>SUM(1*'Mercadería'!L24)</f>
        <v>681.309</v>
      </c>
      <c r="M24" s="8"/>
      <c r="N24" s="23" t="s">
        <v>17</v>
      </c>
      <c r="O24" s="9"/>
      <c r="P24" s="6"/>
    </row>
    <row r="25" ht="12.0" customHeight="1">
      <c r="A25" s="14"/>
      <c r="B25" s="15"/>
      <c r="C25" s="15"/>
      <c r="D25" s="16" t="s">
        <v>8</v>
      </c>
      <c r="E25" s="17" t="s">
        <v>34</v>
      </c>
      <c r="F25" s="9" t="s">
        <v>10</v>
      </c>
      <c r="G25" s="18">
        <v>6323.0</v>
      </c>
      <c r="H25" s="19">
        <f t="shared" si="1"/>
        <v>930.75</v>
      </c>
      <c r="I25" s="6"/>
      <c r="J25" s="6"/>
      <c r="K25" s="6"/>
      <c r="L25" s="7">
        <f>SUM(1*'Mercadería'!L25)</f>
        <v>930.75</v>
      </c>
      <c r="M25" s="8"/>
      <c r="N25" s="20" t="s">
        <v>11</v>
      </c>
      <c r="O25" s="9"/>
      <c r="P25" s="6"/>
    </row>
    <row r="26" ht="12.0" customHeight="1">
      <c r="A26" s="14"/>
      <c r="B26" s="15"/>
      <c r="C26" s="15"/>
      <c r="D26" s="15" t="s">
        <v>22</v>
      </c>
      <c r="E26" s="21" t="s">
        <v>35</v>
      </c>
      <c r="F26" s="14" t="s">
        <v>16</v>
      </c>
      <c r="G26" s="51">
        <v>8922.0</v>
      </c>
      <c r="H26" s="19">
        <f t="shared" si="1"/>
        <v>722.262</v>
      </c>
      <c r="I26" s="6"/>
      <c r="J26" s="6"/>
      <c r="K26" s="6"/>
      <c r="L26" s="7">
        <f>SUM(1*'Mercadería'!L26)</f>
        <v>722.262</v>
      </c>
      <c r="M26" s="8"/>
      <c r="N26" s="23" t="s">
        <v>17</v>
      </c>
      <c r="O26" s="9"/>
      <c r="P26" s="6"/>
    </row>
    <row r="27" ht="12.0" customHeight="1">
      <c r="A27" s="14"/>
      <c r="B27" s="15"/>
      <c r="C27" s="15"/>
      <c r="D27" s="16" t="s">
        <v>22</v>
      </c>
      <c r="E27" s="17" t="s">
        <v>36</v>
      </c>
      <c r="F27" s="9" t="s">
        <v>16</v>
      </c>
      <c r="G27" s="18">
        <v>8923.0</v>
      </c>
      <c r="H27" s="19">
        <f t="shared" si="1"/>
        <v>744.6</v>
      </c>
      <c r="I27" s="6"/>
      <c r="J27" s="6"/>
      <c r="K27" s="6"/>
      <c r="L27" s="7">
        <f>SUM(1*'Mercadería'!L27)</f>
        <v>744.6</v>
      </c>
      <c r="M27" s="8"/>
      <c r="N27" s="20" t="s">
        <v>17</v>
      </c>
      <c r="O27" s="9"/>
      <c r="P27" s="6"/>
    </row>
    <row r="28" ht="12.0" customHeight="1">
      <c r="A28" s="52"/>
      <c r="B28" s="15"/>
      <c r="C28" s="15"/>
      <c r="D28" s="15" t="s">
        <v>22</v>
      </c>
      <c r="E28" s="21" t="s">
        <v>37</v>
      </c>
      <c r="F28" s="14" t="s">
        <v>16</v>
      </c>
      <c r="G28" s="22">
        <v>8924.0</v>
      </c>
      <c r="H28" s="19">
        <f t="shared" si="1"/>
        <v>796.722</v>
      </c>
      <c r="I28" s="6"/>
      <c r="J28" s="6"/>
      <c r="K28" s="6"/>
      <c r="L28" s="7">
        <f>SUM(1*'Mercadería'!L28)</f>
        <v>796.722</v>
      </c>
      <c r="M28" s="8"/>
      <c r="N28" s="23" t="s">
        <v>17</v>
      </c>
      <c r="O28" s="9"/>
      <c r="P28" s="6"/>
    </row>
    <row r="29" ht="12.0" customHeight="1">
      <c r="A29" s="52"/>
      <c r="B29" s="15"/>
      <c r="C29" s="15"/>
      <c r="D29" s="16" t="s">
        <v>8</v>
      </c>
      <c r="E29" s="17" t="s">
        <v>38</v>
      </c>
      <c r="F29" s="9" t="s">
        <v>10</v>
      </c>
      <c r="G29" s="18">
        <v>6327.0</v>
      </c>
      <c r="H29" s="19">
        <f t="shared" si="1"/>
        <v>1057.332</v>
      </c>
      <c r="I29" s="6"/>
      <c r="J29" s="6"/>
      <c r="K29" s="6"/>
      <c r="L29" s="7">
        <f>SUM(1*'Mercadería'!L29)</f>
        <v>1057.332</v>
      </c>
      <c r="M29" s="8"/>
      <c r="N29" s="20" t="s">
        <v>11</v>
      </c>
      <c r="O29" s="9"/>
      <c r="P29" s="6"/>
    </row>
    <row r="30" ht="12.0" customHeight="1">
      <c r="A30" s="14"/>
      <c r="B30" s="15"/>
      <c r="C30" s="15"/>
      <c r="D30" s="15" t="s">
        <v>18</v>
      </c>
      <c r="E30" s="21" t="s">
        <v>39</v>
      </c>
      <c r="F30" s="14" t="s">
        <v>20</v>
      </c>
      <c r="G30" s="22">
        <v>8926.0</v>
      </c>
      <c r="H30" s="19">
        <f t="shared" si="1"/>
        <v>1042.44</v>
      </c>
      <c r="I30" s="6"/>
      <c r="J30" s="6"/>
      <c r="K30" s="6"/>
      <c r="L30" s="7">
        <f>SUM(1*'Mercadería'!L30)</f>
        <v>1042.44</v>
      </c>
      <c r="M30" s="8"/>
      <c r="N30" s="23" t="s">
        <v>11</v>
      </c>
      <c r="O30" s="9"/>
      <c r="P30" s="6"/>
    </row>
    <row r="31" ht="12.0" customHeight="1">
      <c r="A31" s="52"/>
      <c r="B31" s="15"/>
      <c r="C31" s="15"/>
      <c r="D31" s="16" t="s">
        <v>8</v>
      </c>
      <c r="E31" s="17" t="s">
        <v>40</v>
      </c>
      <c r="F31" s="9" t="s">
        <v>10</v>
      </c>
      <c r="G31" s="18">
        <v>6329.0</v>
      </c>
      <c r="H31" s="19">
        <f t="shared" si="1"/>
        <v>1072.224</v>
      </c>
      <c r="I31" s="6"/>
      <c r="J31" s="6"/>
      <c r="K31" s="6"/>
      <c r="L31" s="7">
        <f>SUM(1*'Mercadería'!L31)</f>
        <v>1072.224</v>
      </c>
      <c r="M31" s="8"/>
      <c r="N31" s="20" t="s">
        <v>11</v>
      </c>
      <c r="O31" s="9"/>
      <c r="P31" s="6"/>
    </row>
    <row r="32" ht="12.0" customHeight="1">
      <c r="A32" s="52"/>
      <c r="B32" s="15"/>
      <c r="C32" s="15"/>
      <c r="D32" s="15" t="s">
        <v>8</v>
      </c>
      <c r="E32" s="21" t="s">
        <v>41</v>
      </c>
      <c r="F32" s="14" t="s">
        <v>10</v>
      </c>
      <c r="G32" s="22">
        <v>6330.0</v>
      </c>
      <c r="H32" s="19">
        <f t="shared" si="1"/>
        <v>1414.74</v>
      </c>
      <c r="I32" s="6"/>
      <c r="J32" s="6"/>
      <c r="K32" s="6"/>
      <c r="L32" s="7">
        <f>SUM(1*'Mercadería'!L32)</f>
        <v>1414.74</v>
      </c>
      <c r="M32" s="8"/>
      <c r="N32" s="23" t="s">
        <v>11</v>
      </c>
      <c r="O32" s="9"/>
      <c r="P32" s="6"/>
    </row>
    <row r="33" ht="12.0" customHeight="1">
      <c r="A33" s="52"/>
      <c r="B33" s="15"/>
      <c r="C33" s="15"/>
      <c r="D33" s="16" t="s">
        <v>8</v>
      </c>
      <c r="E33" s="17" t="s">
        <v>42</v>
      </c>
      <c r="F33" s="9" t="s">
        <v>10</v>
      </c>
      <c r="G33" s="18">
        <v>6331.0</v>
      </c>
      <c r="H33" s="19">
        <f t="shared" si="1"/>
        <v>1563.66</v>
      </c>
      <c r="I33" s="6"/>
      <c r="J33" s="6"/>
      <c r="K33" s="6"/>
      <c r="L33" s="7">
        <f>SUM(1*'Mercadería'!L33)</f>
        <v>1563.66</v>
      </c>
      <c r="M33" s="8"/>
      <c r="N33" s="20" t="s">
        <v>11</v>
      </c>
      <c r="O33" s="9"/>
      <c r="P33" s="6"/>
    </row>
    <row r="34" ht="12.0" customHeight="1">
      <c r="A34" s="14"/>
      <c r="B34" s="15"/>
      <c r="C34" s="15"/>
      <c r="D34" s="39" t="s">
        <v>8</v>
      </c>
      <c r="E34" s="40" t="s">
        <v>43</v>
      </c>
      <c r="F34" s="41" t="s">
        <v>10</v>
      </c>
      <c r="G34" s="42">
        <v>6332.0</v>
      </c>
      <c r="H34" s="29">
        <f t="shared" si="1"/>
        <v>141.1</v>
      </c>
      <c r="I34" s="6"/>
      <c r="J34" s="6"/>
      <c r="K34" s="6"/>
      <c r="L34" s="7">
        <f>SUM(1*'Mercadería'!L34)</f>
        <v>141.1</v>
      </c>
      <c r="M34" s="8"/>
      <c r="N34" s="45" t="s">
        <v>11</v>
      </c>
      <c r="O34" s="9"/>
      <c r="P34" s="6"/>
    </row>
    <row r="35" ht="12.0" customHeight="1">
      <c r="A35" s="14"/>
      <c r="B35" s="15"/>
      <c r="C35" s="15"/>
      <c r="D35" s="31" t="s">
        <v>18</v>
      </c>
      <c r="E35" s="32" t="s">
        <v>43</v>
      </c>
      <c r="F35" s="9" t="s">
        <v>20</v>
      </c>
      <c r="G35" s="38">
        <v>5170.0</v>
      </c>
      <c r="H35" s="19">
        <f t="shared" si="1"/>
        <v>1228.59</v>
      </c>
      <c r="I35" s="6"/>
      <c r="J35" s="6"/>
      <c r="K35" s="6"/>
      <c r="L35" s="7">
        <f>SUM(1*'Mercadería'!L35)</f>
        <v>1228.59</v>
      </c>
      <c r="M35" s="8"/>
      <c r="N35" s="38" t="s">
        <v>17</v>
      </c>
      <c r="O35" s="9"/>
      <c r="P35" s="6"/>
    </row>
    <row r="36" ht="12.0" customHeight="1">
      <c r="A36" s="52"/>
      <c r="B36" s="15"/>
      <c r="C36" s="15"/>
      <c r="D36" s="15" t="s">
        <v>8</v>
      </c>
      <c r="E36" s="21" t="s">
        <v>44</v>
      </c>
      <c r="F36" s="14" t="s">
        <v>16</v>
      </c>
      <c r="G36" s="22"/>
      <c r="H36" s="19">
        <f t="shared" si="1"/>
        <v>1116.9</v>
      </c>
      <c r="I36" s="6"/>
      <c r="J36" s="6"/>
      <c r="K36" s="6"/>
      <c r="L36" s="7">
        <f>SUM(1*'Mercadería'!L36)</f>
        <v>1116.9</v>
      </c>
      <c r="M36" s="8"/>
      <c r="N36" s="23" t="s">
        <v>17</v>
      </c>
      <c r="O36" s="9"/>
      <c r="P36" s="6"/>
    </row>
    <row r="37" ht="12.0" customHeight="1">
      <c r="A37" s="52"/>
      <c r="B37" s="15"/>
      <c r="C37" s="15"/>
      <c r="D37" s="16" t="s">
        <v>8</v>
      </c>
      <c r="E37" s="17" t="s">
        <v>45</v>
      </c>
      <c r="F37" s="9" t="s">
        <v>10</v>
      </c>
      <c r="G37" s="18">
        <v>6334.0</v>
      </c>
      <c r="H37" s="19">
        <f t="shared" si="1"/>
        <v>1306.773</v>
      </c>
      <c r="I37" s="6"/>
      <c r="J37" s="6"/>
      <c r="K37" s="6"/>
      <c r="L37" s="7">
        <f>SUM(1*'Mercadería'!L37)</f>
        <v>1306.773</v>
      </c>
      <c r="M37" s="8"/>
      <c r="N37" s="20" t="s">
        <v>11</v>
      </c>
      <c r="O37" s="9"/>
      <c r="P37" s="6"/>
    </row>
    <row r="38" ht="12.0" customHeight="1">
      <c r="A38" s="52"/>
      <c r="B38" s="15"/>
      <c r="C38" s="15"/>
      <c r="D38" s="15" t="s">
        <v>8</v>
      </c>
      <c r="E38" s="21" t="s">
        <v>46</v>
      </c>
      <c r="F38" s="14" t="s">
        <v>10</v>
      </c>
      <c r="G38" s="22">
        <v>6335.0</v>
      </c>
      <c r="H38" s="19">
        <f t="shared" si="1"/>
        <v>1973.19</v>
      </c>
      <c r="I38" s="6"/>
      <c r="J38" s="6"/>
      <c r="K38" s="6"/>
      <c r="L38" s="7">
        <f>SUM(1*'Mercadería'!L38)</f>
        <v>1973.19</v>
      </c>
      <c r="M38" s="8"/>
      <c r="N38" s="23" t="s">
        <v>11</v>
      </c>
      <c r="O38" s="9"/>
      <c r="P38" s="6"/>
    </row>
    <row r="39" ht="12.0" customHeight="1">
      <c r="A39" s="52"/>
      <c r="B39" s="15"/>
      <c r="C39" s="15"/>
      <c r="D39" s="16" t="s">
        <v>8</v>
      </c>
      <c r="E39" s="17" t="s">
        <v>47</v>
      </c>
      <c r="F39" s="9" t="s">
        <v>10</v>
      </c>
      <c r="G39" s="18">
        <v>6336.0</v>
      </c>
      <c r="H39" s="19">
        <f t="shared" si="1"/>
        <v>2233.8</v>
      </c>
      <c r="I39" s="6"/>
      <c r="J39" s="6"/>
      <c r="K39" s="6"/>
      <c r="L39" s="7">
        <f>SUM(1*'Mercadería'!L39)</f>
        <v>2233.8</v>
      </c>
      <c r="M39" s="8"/>
      <c r="N39" s="20" t="s">
        <v>11</v>
      </c>
      <c r="O39" s="9"/>
      <c r="P39" s="6"/>
    </row>
    <row r="40" ht="12.0" customHeight="1">
      <c r="A40" s="52"/>
      <c r="B40" s="15"/>
      <c r="C40" s="15"/>
      <c r="D40" s="15" t="s">
        <v>8</v>
      </c>
      <c r="E40" s="21" t="s">
        <v>48</v>
      </c>
      <c r="F40" s="14" t="s">
        <v>10</v>
      </c>
      <c r="G40" s="22">
        <v>6337.0</v>
      </c>
      <c r="H40" s="19">
        <f t="shared" si="1"/>
        <v>2308.26</v>
      </c>
      <c r="I40" s="6"/>
      <c r="J40" s="6"/>
      <c r="K40" s="6"/>
      <c r="L40" s="7">
        <f>SUM(1*'Mercadería'!L40)</f>
        <v>2308.26</v>
      </c>
      <c r="M40" s="8"/>
      <c r="N40" s="23" t="s">
        <v>11</v>
      </c>
      <c r="O40" s="9"/>
      <c r="P40" s="6"/>
    </row>
    <row r="41" ht="12.0" customHeight="1">
      <c r="A41" s="52"/>
      <c r="B41" s="15"/>
      <c r="C41" s="15"/>
      <c r="D41" s="25" t="s">
        <v>22</v>
      </c>
      <c r="E41" s="26" t="s">
        <v>48</v>
      </c>
      <c r="F41" s="27" t="s">
        <v>16</v>
      </c>
      <c r="G41" s="53">
        <v>8935.0</v>
      </c>
      <c r="H41" s="29">
        <f t="shared" si="1"/>
        <v>150.161</v>
      </c>
      <c r="I41" s="6"/>
      <c r="J41" s="6"/>
      <c r="K41" s="6"/>
      <c r="L41" s="7">
        <f>SUM(1*'Mercadería'!L41)</f>
        <v>150.161</v>
      </c>
      <c r="M41" s="8"/>
      <c r="N41" s="30" t="s">
        <v>17</v>
      </c>
      <c r="O41" s="9"/>
      <c r="P41" s="6"/>
    </row>
    <row r="42" ht="12.0" customHeight="1">
      <c r="A42" s="52"/>
      <c r="B42" s="15"/>
      <c r="C42" s="15"/>
      <c r="D42" s="15" t="s">
        <v>8</v>
      </c>
      <c r="E42" s="21" t="s">
        <v>49</v>
      </c>
      <c r="F42" s="14" t="s">
        <v>16</v>
      </c>
      <c r="G42" s="22">
        <v>8936.0</v>
      </c>
      <c r="H42" s="19">
        <f t="shared" si="1"/>
        <v>1746.087</v>
      </c>
      <c r="I42" s="6"/>
      <c r="J42" s="6"/>
      <c r="K42" s="6"/>
      <c r="L42" s="7">
        <f>SUM(1*'Mercadería'!L42)</f>
        <v>1746.087</v>
      </c>
      <c r="M42" s="8"/>
      <c r="N42" s="23" t="s">
        <v>17</v>
      </c>
      <c r="O42" s="9"/>
      <c r="P42" s="6"/>
    </row>
    <row r="43" ht="12.0" customHeight="1">
      <c r="A43" s="52"/>
      <c r="B43" s="15"/>
      <c r="C43" s="15"/>
      <c r="D43" s="25" t="s">
        <v>8</v>
      </c>
      <c r="E43" s="26" t="s">
        <v>50</v>
      </c>
      <c r="F43" s="27" t="s">
        <v>10</v>
      </c>
      <c r="G43" s="28">
        <v>6339.0</v>
      </c>
      <c r="H43" s="19">
        <f t="shared" si="1"/>
        <v>0</v>
      </c>
      <c r="I43" s="6"/>
      <c r="J43" s="6"/>
      <c r="K43" s="6"/>
      <c r="L43" s="7">
        <f>SUM(1*'Mercadería'!L43)</f>
        <v>0</v>
      </c>
      <c r="M43" s="8"/>
      <c r="N43" s="30" t="s">
        <v>11</v>
      </c>
      <c r="O43" s="9"/>
      <c r="P43" s="6"/>
    </row>
    <row r="44" ht="12.0" customHeight="1">
      <c r="A44" s="52"/>
      <c r="B44" s="15"/>
      <c r="C44" s="15"/>
      <c r="D44" s="39" t="s">
        <v>8</v>
      </c>
      <c r="E44" s="40" t="s">
        <v>51</v>
      </c>
      <c r="F44" s="41" t="s">
        <v>10</v>
      </c>
      <c r="G44" s="42">
        <v>6340.0</v>
      </c>
      <c r="H44" s="29">
        <f t="shared" si="1"/>
        <v>884</v>
      </c>
      <c r="I44" s="43"/>
      <c r="J44" s="43"/>
      <c r="K44" s="43"/>
      <c r="L44" s="44">
        <f>SUM(1*'Mercadería'!L44)</f>
        <v>884</v>
      </c>
      <c r="M44" s="8"/>
      <c r="N44" s="45" t="s">
        <v>11</v>
      </c>
      <c r="O44" s="9"/>
      <c r="P44" s="6"/>
    </row>
    <row r="45" ht="12.0" customHeight="1">
      <c r="A45" s="52"/>
      <c r="B45" s="15"/>
      <c r="C45" s="15"/>
      <c r="D45" s="15" t="s">
        <v>8</v>
      </c>
      <c r="E45" s="21" t="s">
        <v>51</v>
      </c>
      <c r="F45" s="14" t="s">
        <v>20</v>
      </c>
      <c r="G45" s="51">
        <v>5178.0</v>
      </c>
      <c r="H45" s="19">
        <f t="shared" si="1"/>
        <v>1857.12</v>
      </c>
      <c r="I45" s="6"/>
      <c r="J45" s="6"/>
      <c r="K45" s="6"/>
      <c r="L45" s="7">
        <f>SUM(1*'Mercadería'!L45)</f>
        <v>1857.12</v>
      </c>
      <c r="M45" s="8"/>
      <c r="N45" s="23" t="s">
        <v>11</v>
      </c>
      <c r="O45" s="9"/>
      <c r="P45" s="6"/>
    </row>
    <row r="46" ht="12.0" customHeight="1">
      <c r="A46" s="52"/>
      <c r="B46" s="15"/>
      <c r="C46" s="15"/>
      <c r="D46" s="16" t="s">
        <v>8</v>
      </c>
      <c r="E46" s="17" t="s">
        <v>52</v>
      </c>
      <c r="F46" s="9" t="s">
        <v>16</v>
      </c>
      <c r="G46" s="18">
        <v>8940.0</v>
      </c>
      <c r="H46" s="19">
        <f t="shared" si="1"/>
        <v>2908.32</v>
      </c>
      <c r="I46" s="6"/>
      <c r="J46" s="6"/>
      <c r="K46" s="6"/>
      <c r="L46" s="7">
        <f>SUM(1*'Mercadería'!L46)</f>
        <v>2908.32</v>
      </c>
      <c r="M46" s="8"/>
      <c r="N46" s="20" t="s">
        <v>17</v>
      </c>
      <c r="O46" s="9"/>
      <c r="P46" s="6"/>
    </row>
    <row r="47" ht="12.0" customHeight="1">
      <c r="A47" s="52"/>
      <c r="B47" s="15"/>
      <c r="C47" s="15"/>
      <c r="D47" s="15" t="s">
        <v>8</v>
      </c>
      <c r="E47" s="21" t="s">
        <v>53</v>
      </c>
      <c r="F47" s="14" t="s">
        <v>10</v>
      </c>
      <c r="G47" s="22">
        <v>6344.0</v>
      </c>
      <c r="H47" s="19">
        <f t="shared" si="1"/>
        <v>3328.8</v>
      </c>
      <c r="I47" s="6"/>
      <c r="J47" s="6"/>
      <c r="K47" s="6"/>
      <c r="L47" s="7">
        <f>SUM(1*'Mercadería'!L47)</f>
        <v>3328.8</v>
      </c>
      <c r="M47" s="8"/>
      <c r="N47" s="23" t="s">
        <v>11</v>
      </c>
      <c r="O47" s="9"/>
      <c r="P47" s="6"/>
    </row>
    <row r="48" ht="12.0" customHeight="1">
      <c r="A48" s="52"/>
      <c r="B48" s="15"/>
      <c r="C48" s="15"/>
      <c r="D48" s="16" t="s">
        <v>8</v>
      </c>
      <c r="E48" s="17" t="s">
        <v>54</v>
      </c>
      <c r="F48" s="9" t="s">
        <v>20</v>
      </c>
      <c r="G48" s="18"/>
      <c r="H48" s="19">
        <f t="shared" si="1"/>
        <v>3083.52</v>
      </c>
      <c r="I48" s="6"/>
      <c r="J48" s="6"/>
      <c r="K48" s="6"/>
      <c r="L48" s="7">
        <f>SUM(1*'Mercadería'!L48)</f>
        <v>3083.52</v>
      </c>
      <c r="M48" s="8"/>
      <c r="N48" s="20" t="s">
        <v>11</v>
      </c>
      <c r="O48" s="9"/>
      <c r="P48" s="6"/>
    </row>
    <row r="49" ht="12.0" customHeight="1">
      <c r="A49" s="52"/>
      <c r="B49" s="15"/>
      <c r="C49" s="15"/>
      <c r="D49" s="39" t="s">
        <v>8</v>
      </c>
      <c r="E49" s="40" t="s">
        <v>55</v>
      </c>
      <c r="F49" s="41" t="s">
        <v>10</v>
      </c>
      <c r="G49" s="42">
        <v>6349.0</v>
      </c>
      <c r="H49" s="19">
        <f t="shared" si="1"/>
        <v>0</v>
      </c>
      <c r="I49" s="6"/>
      <c r="J49" s="6"/>
      <c r="K49" s="6"/>
      <c r="L49" s="7">
        <f>SUM(1*'Mercadería'!L49)</f>
        <v>0</v>
      </c>
      <c r="M49" s="8"/>
      <c r="N49" s="45" t="s">
        <v>11</v>
      </c>
      <c r="O49" s="9"/>
      <c r="P49" s="6"/>
    </row>
    <row r="50" ht="12.0" customHeight="1">
      <c r="A50" s="52"/>
      <c r="B50" s="15"/>
      <c r="C50" s="15"/>
      <c r="D50" s="25" t="s">
        <v>8</v>
      </c>
      <c r="E50" s="26" t="s">
        <v>56</v>
      </c>
      <c r="F50" s="27" t="s">
        <v>10</v>
      </c>
      <c r="G50" s="28">
        <v>6350.0</v>
      </c>
      <c r="H50" s="19">
        <f t="shared" si="1"/>
        <v>0</v>
      </c>
      <c r="I50" s="6"/>
      <c r="J50" s="6"/>
      <c r="K50" s="6"/>
      <c r="L50" s="7">
        <f>SUM(1*'Mercadería'!L50)</f>
        <v>0</v>
      </c>
      <c r="M50" s="8"/>
      <c r="N50" s="30" t="s">
        <v>11</v>
      </c>
      <c r="O50" s="9"/>
      <c r="P50" s="6"/>
    </row>
    <row r="51" ht="12.0" customHeight="1">
      <c r="A51" s="52"/>
      <c r="B51" s="15"/>
      <c r="C51" s="15"/>
      <c r="D51" s="15" t="s">
        <v>8</v>
      </c>
      <c r="E51" s="21" t="s">
        <v>57</v>
      </c>
      <c r="F51" s="14" t="s">
        <v>10</v>
      </c>
      <c r="G51" s="22">
        <v>6352.0</v>
      </c>
      <c r="H51" s="19">
        <f t="shared" si="1"/>
        <v>776</v>
      </c>
      <c r="I51" s="6"/>
      <c r="J51" s="6"/>
      <c r="K51" s="6"/>
      <c r="L51" s="7">
        <f>SUM(1*'Mercadería'!L51)</f>
        <v>776</v>
      </c>
      <c r="M51" s="8"/>
      <c r="N51" s="23" t="s">
        <v>11</v>
      </c>
      <c r="O51" s="9"/>
      <c r="P51" s="6"/>
    </row>
    <row r="52" ht="12.0" customHeight="1">
      <c r="A52" s="14"/>
      <c r="B52" s="15"/>
      <c r="C52" s="15"/>
      <c r="D52" s="54" t="s">
        <v>58</v>
      </c>
      <c r="E52" s="47" t="s">
        <v>27</v>
      </c>
      <c r="F52" s="50" t="s">
        <v>10</v>
      </c>
      <c r="G52" s="48"/>
      <c r="H52" s="35">
        <f t="shared" si="1"/>
        <v>322.32</v>
      </c>
      <c r="I52" s="36"/>
      <c r="J52" s="36"/>
      <c r="K52" s="36"/>
      <c r="L52" s="37">
        <f>SUM(1*'Mercadería'!L52)</f>
        <v>322.32</v>
      </c>
      <c r="M52" s="8"/>
      <c r="N52" s="49"/>
      <c r="O52" s="9"/>
      <c r="P52" s="6"/>
    </row>
    <row r="53" ht="12.0" customHeight="1">
      <c r="A53" s="14"/>
      <c r="B53" s="15"/>
      <c r="C53" s="15"/>
      <c r="D53" s="55" t="s">
        <v>58</v>
      </c>
      <c r="E53" s="32" t="s">
        <v>31</v>
      </c>
      <c r="F53" s="33" t="s">
        <v>10</v>
      </c>
      <c r="G53" s="34"/>
      <c r="H53" s="35">
        <f t="shared" si="1"/>
        <v>342.465</v>
      </c>
      <c r="I53" s="36"/>
      <c r="J53" s="36"/>
      <c r="K53" s="36"/>
      <c r="L53" s="37">
        <f>SUM(1*'Mercadería'!L53)</f>
        <v>342.465</v>
      </c>
      <c r="M53" s="8"/>
      <c r="N53" s="38"/>
      <c r="O53" s="9"/>
      <c r="P53" s="6"/>
    </row>
    <row r="54" ht="12.0" customHeight="1">
      <c r="A54" s="14"/>
      <c r="B54" s="15"/>
      <c r="C54" s="15"/>
      <c r="D54" s="54" t="s">
        <v>58</v>
      </c>
      <c r="E54" s="56" t="s">
        <v>59</v>
      </c>
      <c r="F54" s="14" t="s">
        <v>60</v>
      </c>
      <c r="G54" s="48">
        <v>4311.0</v>
      </c>
      <c r="H54" s="19">
        <f t="shared" si="1"/>
        <v>402.9</v>
      </c>
      <c r="I54" s="6"/>
      <c r="J54" s="6"/>
      <c r="K54" s="6"/>
      <c r="L54" s="7">
        <f>SUM(1*'Mercadería'!L54)</f>
        <v>402.9</v>
      </c>
      <c r="M54" s="8"/>
      <c r="N54" s="23" t="s">
        <v>61</v>
      </c>
      <c r="O54" s="9"/>
      <c r="P54" s="6"/>
    </row>
    <row r="55" ht="12.0" customHeight="1">
      <c r="A55" s="14"/>
      <c r="B55" s="15"/>
      <c r="C55" s="15"/>
      <c r="D55" s="55" t="s">
        <v>58</v>
      </c>
      <c r="E55" s="57" t="s">
        <v>62</v>
      </c>
      <c r="F55" s="9" t="s">
        <v>60</v>
      </c>
      <c r="G55" s="34">
        <v>5975.0</v>
      </c>
      <c r="H55" s="19">
        <f t="shared" si="1"/>
        <v>564.06</v>
      </c>
      <c r="I55" s="6"/>
      <c r="J55" s="6"/>
      <c r="K55" s="6"/>
      <c r="L55" s="7">
        <f>SUM(1*'Mercadería'!L55)</f>
        <v>564.06</v>
      </c>
      <c r="M55" s="8"/>
      <c r="N55" s="20" t="s">
        <v>17</v>
      </c>
      <c r="O55" s="9"/>
      <c r="P55" s="6"/>
    </row>
    <row r="56" ht="12.0" customHeight="1">
      <c r="A56" s="14"/>
      <c r="B56" s="15"/>
      <c r="C56" s="15"/>
      <c r="D56" s="54" t="s">
        <v>58</v>
      </c>
      <c r="E56" s="21" t="s">
        <v>51</v>
      </c>
      <c r="F56" s="14" t="s">
        <v>60</v>
      </c>
      <c r="G56" s="22">
        <v>5976.0</v>
      </c>
      <c r="H56" s="19">
        <f t="shared" si="1"/>
        <v>886.38</v>
      </c>
      <c r="I56" s="6"/>
      <c r="J56" s="6"/>
      <c r="K56" s="6"/>
      <c r="L56" s="7">
        <f>SUM(1*'Mercadería'!L56)</f>
        <v>886.38</v>
      </c>
      <c r="M56" s="8"/>
      <c r="N56" s="23" t="s">
        <v>17</v>
      </c>
      <c r="O56" s="9"/>
      <c r="P56" s="6"/>
    </row>
    <row r="57" ht="12.0" customHeight="1">
      <c r="A57" s="14"/>
      <c r="B57" s="15"/>
      <c r="C57" s="15"/>
      <c r="D57" s="58" t="s">
        <v>58</v>
      </c>
      <c r="E57" s="26" t="s">
        <v>51</v>
      </c>
      <c r="F57" s="27" t="s">
        <v>63</v>
      </c>
      <c r="G57" s="28"/>
      <c r="H57" s="19">
        <f t="shared" si="1"/>
        <v>0</v>
      </c>
      <c r="I57" s="6"/>
      <c r="J57" s="6"/>
      <c r="K57" s="6"/>
      <c r="L57" s="7">
        <f>SUM(1*'Mercadería'!L57)</f>
        <v>0</v>
      </c>
      <c r="M57" s="8"/>
      <c r="N57" s="30" t="s">
        <v>17</v>
      </c>
      <c r="O57" s="9"/>
      <c r="P57" s="6"/>
    </row>
    <row r="58" ht="12.0" customHeight="1">
      <c r="A58" s="14"/>
      <c r="B58" s="15"/>
      <c r="C58" s="15"/>
      <c r="D58" s="54" t="s">
        <v>64</v>
      </c>
      <c r="E58" s="21" t="s">
        <v>54</v>
      </c>
      <c r="F58" s="14"/>
      <c r="G58" s="22">
        <v>4314.0</v>
      </c>
      <c r="H58" s="19">
        <f t="shared" si="1"/>
        <v>1329.57</v>
      </c>
      <c r="I58" s="6"/>
      <c r="J58" s="6"/>
      <c r="K58" s="6"/>
      <c r="L58" s="7">
        <f>SUM(1*'Mercadería'!L58)</f>
        <v>1329.57</v>
      </c>
      <c r="M58" s="8"/>
      <c r="N58" s="23" t="s">
        <v>61</v>
      </c>
      <c r="O58" s="9"/>
      <c r="P58" s="6"/>
    </row>
    <row r="59" ht="12.0" customHeight="1">
      <c r="A59" s="14"/>
      <c r="B59" s="15"/>
      <c r="C59" s="15"/>
      <c r="D59" s="55" t="s">
        <v>65</v>
      </c>
      <c r="E59" s="57" t="s">
        <v>66</v>
      </c>
      <c r="F59" s="9"/>
      <c r="G59" s="59">
        <v>22071.0</v>
      </c>
      <c r="H59" s="19">
        <f t="shared" si="1"/>
        <v>2478.08</v>
      </c>
      <c r="I59" s="6"/>
      <c r="J59" s="6"/>
      <c r="K59" s="6"/>
      <c r="L59" s="7">
        <f>SUM(1*'Mercadería'!L59)</f>
        <v>2478.08</v>
      </c>
      <c r="M59" s="8"/>
      <c r="N59" s="23"/>
      <c r="O59" s="9"/>
      <c r="P59" s="6"/>
    </row>
    <row r="60" ht="12.0" customHeight="1">
      <c r="A60" s="14"/>
      <c r="B60" s="15"/>
      <c r="C60" s="15"/>
      <c r="D60" s="54" t="s">
        <v>67</v>
      </c>
      <c r="E60" s="21" t="s">
        <v>68</v>
      </c>
      <c r="F60" s="14"/>
      <c r="G60" s="60">
        <v>7255.0</v>
      </c>
      <c r="H60" s="19">
        <f t="shared" si="1"/>
        <v>818.928</v>
      </c>
      <c r="I60" s="6"/>
      <c r="J60" s="6"/>
      <c r="K60" s="6"/>
      <c r="L60" s="7">
        <f>SUM(1*'Mercadería'!L60)</f>
        <v>818.928</v>
      </c>
      <c r="M60" s="8"/>
      <c r="N60" s="23"/>
      <c r="O60" s="9"/>
      <c r="P60" s="6"/>
    </row>
    <row r="61" ht="12.0" customHeight="1">
      <c r="A61" s="14"/>
      <c r="B61" s="15"/>
      <c r="C61" s="15"/>
      <c r="D61" s="15" t="s">
        <v>69</v>
      </c>
      <c r="E61" s="21" t="s">
        <v>70</v>
      </c>
      <c r="F61" s="14"/>
      <c r="G61" s="22"/>
      <c r="H61" s="19">
        <f t="shared" si="1"/>
        <v>864.6225</v>
      </c>
      <c r="I61" s="6"/>
      <c r="J61" s="6"/>
      <c r="K61" s="6"/>
      <c r="L61" s="7">
        <f>SUM(1*'Mercadería'!L61)</f>
        <v>864.6225</v>
      </c>
      <c r="M61" s="8"/>
      <c r="N61" s="23" t="s">
        <v>17</v>
      </c>
      <c r="O61" s="9"/>
      <c r="P61" s="6"/>
    </row>
    <row r="62" ht="12.0" customHeight="1">
      <c r="A62" s="14"/>
      <c r="B62" s="15"/>
      <c r="C62" s="15"/>
      <c r="D62" s="16" t="s">
        <v>69</v>
      </c>
      <c r="E62" s="17" t="s">
        <v>68</v>
      </c>
      <c r="F62" s="9"/>
      <c r="G62" s="61"/>
      <c r="H62" s="19">
        <f t="shared" si="1"/>
        <v>727.7</v>
      </c>
      <c r="I62" s="6"/>
      <c r="J62" s="6"/>
      <c r="K62" s="6"/>
      <c r="L62" s="7">
        <f>SUM(1*'Mercadería'!L62)</f>
        <v>727.7</v>
      </c>
      <c r="M62" s="8"/>
      <c r="N62" s="20" t="s">
        <v>61</v>
      </c>
      <c r="O62" s="9"/>
      <c r="P62" s="6"/>
    </row>
    <row r="63" ht="12.0" customHeight="1">
      <c r="A63" s="14"/>
      <c r="B63" s="15"/>
      <c r="C63" s="15"/>
      <c r="D63" s="15" t="s">
        <v>69</v>
      </c>
      <c r="E63" s="21" t="s">
        <v>71</v>
      </c>
      <c r="F63" s="14"/>
      <c r="G63" s="51"/>
      <c r="H63" s="19">
        <f t="shared" si="1"/>
        <v>689.4</v>
      </c>
      <c r="I63" s="6"/>
      <c r="J63" s="6"/>
      <c r="K63" s="6"/>
      <c r="L63" s="7">
        <f>SUM(1*'Mercadería'!L63)</f>
        <v>689.4</v>
      </c>
      <c r="M63" s="8"/>
      <c r="N63" s="23" t="s">
        <v>61</v>
      </c>
      <c r="O63" s="9"/>
      <c r="P63" s="6"/>
    </row>
    <row r="64" ht="12.0" customHeight="1">
      <c r="A64" s="14"/>
      <c r="B64" s="15"/>
      <c r="C64" s="15"/>
      <c r="D64" s="16" t="s">
        <v>69</v>
      </c>
      <c r="E64" s="17" t="s">
        <v>72</v>
      </c>
      <c r="F64" s="9"/>
      <c r="G64" s="18"/>
      <c r="H64" s="19">
        <f t="shared" si="1"/>
        <v>689.4</v>
      </c>
      <c r="I64" s="6"/>
      <c r="J64" s="6"/>
      <c r="K64" s="6"/>
      <c r="L64" s="7">
        <f>SUM(1*'Mercadería'!L64)</f>
        <v>689.4</v>
      </c>
      <c r="M64" s="8"/>
      <c r="N64" s="20" t="s">
        <v>17</v>
      </c>
      <c r="O64" s="9"/>
      <c r="P64" s="6"/>
    </row>
    <row r="65" ht="12.0" customHeight="1">
      <c r="A65" s="14"/>
      <c r="B65" s="15"/>
      <c r="C65" s="15"/>
      <c r="D65" s="15" t="s">
        <v>69</v>
      </c>
      <c r="E65" s="62" t="s">
        <v>73</v>
      </c>
      <c r="F65" s="14"/>
      <c r="G65" s="22"/>
      <c r="H65" s="19">
        <f t="shared" si="1"/>
        <v>896.22</v>
      </c>
      <c r="I65" s="6"/>
      <c r="J65" s="6"/>
      <c r="K65" s="6"/>
      <c r="L65" s="7">
        <f>SUM(1*'Mercadería'!L65)</f>
        <v>896.22</v>
      </c>
      <c r="M65" s="8"/>
      <c r="N65" s="23" t="s">
        <v>61</v>
      </c>
      <c r="O65" s="9"/>
      <c r="P65" s="6"/>
    </row>
    <row r="66" ht="12.0" customHeight="1">
      <c r="A66" s="14"/>
      <c r="B66" s="15"/>
      <c r="C66" s="15"/>
      <c r="D66" s="16" t="s">
        <v>69</v>
      </c>
      <c r="E66" s="17" t="s">
        <v>74</v>
      </c>
      <c r="F66" s="9"/>
      <c r="G66" s="18"/>
      <c r="H66" s="19">
        <f t="shared" si="1"/>
        <v>1240.92</v>
      </c>
      <c r="I66" s="6"/>
      <c r="J66" s="6"/>
      <c r="K66" s="6"/>
      <c r="L66" s="7">
        <f>SUM(1*'Mercadería'!L66)</f>
        <v>1240.92</v>
      </c>
      <c r="M66" s="8"/>
      <c r="N66" s="20" t="s">
        <v>17</v>
      </c>
      <c r="O66" s="9"/>
      <c r="P66" s="6"/>
    </row>
    <row r="67" ht="12.0" customHeight="1">
      <c r="A67" s="14"/>
      <c r="B67" s="15"/>
      <c r="C67" s="15"/>
      <c r="D67" s="16" t="s">
        <v>75</v>
      </c>
      <c r="E67" s="17" t="s">
        <v>68</v>
      </c>
      <c r="F67" s="9" t="s">
        <v>76</v>
      </c>
      <c r="G67" s="18"/>
      <c r="H67" s="19">
        <f t="shared" si="1"/>
        <v>761.787</v>
      </c>
      <c r="I67" s="6"/>
      <c r="J67" s="6"/>
      <c r="K67" s="6"/>
      <c r="L67" s="7">
        <f>SUM(1*'Mercadería'!L67)</f>
        <v>761.787</v>
      </c>
      <c r="M67" s="8"/>
      <c r="N67" s="20" t="s">
        <v>77</v>
      </c>
      <c r="O67" s="9"/>
      <c r="P67" s="6"/>
    </row>
    <row r="68" ht="12.0" customHeight="1">
      <c r="A68" s="14"/>
      <c r="B68" s="15"/>
      <c r="C68" s="15"/>
      <c r="D68" s="16" t="s">
        <v>75</v>
      </c>
      <c r="E68" s="17" t="s">
        <v>71</v>
      </c>
      <c r="F68" s="9" t="s">
        <v>76</v>
      </c>
      <c r="G68" s="18"/>
      <c r="H68" s="19">
        <f t="shared" si="1"/>
        <v>919.2</v>
      </c>
      <c r="I68" s="6"/>
      <c r="J68" s="6"/>
      <c r="K68" s="6"/>
      <c r="L68" s="7">
        <f>SUM(1*'Mercadería'!L68)</f>
        <v>919.2</v>
      </c>
      <c r="M68" s="8"/>
      <c r="N68" s="20" t="s">
        <v>77</v>
      </c>
      <c r="O68" s="9"/>
      <c r="P68" s="6"/>
    </row>
    <row r="69" ht="12.0" customHeight="1">
      <c r="A69" s="14"/>
      <c r="B69" s="15"/>
      <c r="C69" s="15"/>
      <c r="D69" s="39" t="s">
        <v>78</v>
      </c>
      <c r="E69" s="40" t="s">
        <v>79</v>
      </c>
      <c r="F69" s="41"/>
      <c r="G69" s="42">
        <v>5472.0</v>
      </c>
      <c r="H69" s="29">
        <f t="shared" si="1"/>
        <v>125.56</v>
      </c>
      <c r="I69" s="6"/>
      <c r="J69" s="6"/>
      <c r="K69" s="6"/>
      <c r="L69" s="7">
        <f>SUM(1*'Mercadería'!L69)</f>
        <v>125.56</v>
      </c>
      <c r="M69" s="8"/>
      <c r="N69" s="45" t="s">
        <v>61</v>
      </c>
      <c r="O69" s="9"/>
      <c r="P69" s="6"/>
    </row>
    <row r="70" ht="12.0" customHeight="1">
      <c r="A70" s="14"/>
      <c r="B70" s="15"/>
      <c r="C70" s="15"/>
      <c r="D70" s="31" t="s">
        <v>80</v>
      </c>
      <c r="E70" s="26"/>
      <c r="F70" s="9" t="s">
        <v>81</v>
      </c>
      <c r="G70" s="24" t="s">
        <v>82</v>
      </c>
      <c r="H70" s="19">
        <f t="shared" si="1"/>
        <v>1486.674</v>
      </c>
      <c r="I70" s="6"/>
      <c r="J70" s="6"/>
      <c r="K70" s="6"/>
      <c r="L70" s="7">
        <f>SUM(1*'Mercadería'!L70)</f>
        <v>1486.674</v>
      </c>
      <c r="M70" s="8"/>
      <c r="N70" s="20"/>
      <c r="O70" s="9"/>
      <c r="P70" s="6"/>
    </row>
    <row r="71" ht="12.0" customHeight="1">
      <c r="A71" s="52"/>
      <c r="B71" s="15"/>
      <c r="C71" s="15"/>
      <c r="D71" s="16" t="s">
        <v>83</v>
      </c>
      <c r="E71" s="17" t="s">
        <v>84</v>
      </c>
      <c r="F71" s="9" t="s">
        <v>85</v>
      </c>
      <c r="G71" s="18">
        <v>4574.0</v>
      </c>
      <c r="H71" s="19">
        <f t="shared" si="1"/>
        <v>842.6</v>
      </c>
      <c r="I71" s="63" t="s">
        <v>86</v>
      </c>
      <c r="J71" s="6"/>
      <c r="K71" s="6"/>
      <c r="L71" s="7">
        <f>SUM(1*'Mercadería'!L71)</f>
        <v>842.6</v>
      </c>
      <c r="M71" s="8"/>
      <c r="N71" s="20" t="s">
        <v>61</v>
      </c>
      <c r="O71" s="9"/>
      <c r="P71" s="6"/>
    </row>
    <row r="72" ht="12.0" customHeight="1">
      <c r="A72" s="52"/>
      <c r="B72" s="15"/>
      <c r="C72" s="15"/>
      <c r="D72" s="15" t="s">
        <v>83</v>
      </c>
      <c r="E72" s="21" t="s">
        <v>87</v>
      </c>
      <c r="F72" s="14" t="s">
        <v>85</v>
      </c>
      <c r="G72" s="22">
        <v>4575.0</v>
      </c>
      <c r="H72" s="19">
        <f t="shared" si="1"/>
        <v>919.2</v>
      </c>
      <c r="I72" s="63" t="s">
        <v>88</v>
      </c>
      <c r="J72" s="6"/>
      <c r="K72" s="6"/>
      <c r="L72" s="7">
        <f>SUM(1*'Mercadería'!L72)</f>
        <v>919.2</v>
      </c>
      <c r="M72" s="8"/>
      <c r="N72" s="23" t="s">
        <v>61</v>
      </c>
      <c r="O72" s="9"/>
      <c r="P72" s="6"/>
    </row>
    <row r="73" ht="12.0" customHeight="1">
      <c r="A73" s="52"/>
      <c r="B73" s="15"/>
      <c r="C73" s="15"/>
      <c r="D73" s="16" t="s">
        <v>83</v>
      </c>
      <c r="E73" s="17" t="s">
        <v>89</v>
      </c>
      <c r="F73" s="9" t="s">
        <v>85</v>
      </c>
      <c r="G73" s="18">
        <v>4578.0</v>
      </c>
      <c r="H73" s="19">
        <f t="shared" si="1"/>
        <v>996.949</v>
      </c>
      <c r="I73" s="63" t="s">
        <v>90</v>
      </c>
      <c r="J73" s="6"/>
      <c r="K73" s="6"/>
      <c r="L73" s="7">
        <f>SUM(1*'Mercadería'!L73)</f>
        <v>996.949</v>
      </c>
      <c r="M73" s="8"/>
      <c r="N73" s="20" t="s">
        <v>61</v>
      </c>
      <c r="O73" s="9"/>
      <c r="P73" s="6"/>
    </row>
    <row r="74" ht="12.0" customHeight="1">
      <c r="A74" s="52"/>
      <c r="B74" s="15"/>
      <c r="C74" s="15"/>
      <c r="D74" s="15" t="s">
        <v>83</v>
      </c>
      <c r="E74" s="21" t="s">
        <v>91</v>
      </c>
      <c r="F74" s="14" t="s">
        <v>85</v>
      </c>
      <c r="G74" s="22">
        <v>4585.0</v>
      </c>
      <c r="H74" s="19">
        <f t="shared" si="1"/>
        <v>1413.27</v>
      </c>
      <c r="I74" s="63" t="s">
        <v>92</v>
      </c>
      <c r="J74" s="6"/>
      <c r="K74" s="6"/>
      <c r="L74" s="7">
        <f>SUM(1*'Mercadería'!L74)</f>
        <v>1413.27</v>
      </c>
      <c r="M74" s="8"/>
      <c r="N74" s="23" t="s">
        <v>61</v>
      </c>
      <c r="O74" s="9"/>
      <c r="P74" s="6"/>
    </row>
    <row r="75" ht="12.0" customHeight="1">
      <c r="A75" s="14"/>
      <c r="B75" s="64"/>
      <c r="C75" s="64"/>
      <c r="D75" s="16" t="s">
        <v>93</v>
      </c>
      <c r="E75" s="17"/>
      <c r="F75" s="9" t="s">
        <v>94</v>
      </c>
      <c r="G75" s="18">
        <v>5047.0</v>
      </c>
      <c r="H75" s="19">
        <f t="shared" si="1"/>
        <v>1516.68</v>
      </c>
      <c r="I75" s="6"/>
      <c r="J75" s="6"/>
      <c r="K75" s="6"/>
      <c r="L75" s="7">
        <f>SUM(1*'Mercadería'!L75)</f>
        <v>1516.68</v>
      </c>
      <c r="M75" s="8"/>
      <c r="N75" s="20" t="s">
        <v>17</v>
      </c>
      <c r="O75" s="9"/>
      <c r="P75" s="6"/>
    </row>
    <row r="76" ht="12.0" customHeight="1">
      <c r="A76" s="14"/>
      <c r="B76" s="10" t="s">
        <v>5</v>
      </c>
      <c r="C76" s="10"/>
      <c r="D76" s="10" t="s">
        <v>95</v>
      </c>
      <c r="E76" s="11" t="s">
        <v>96</v>
      </c>
      <c r="F76" s="12"/>
      <c r="G76" s="13"/>
      <c r="H76" s="19">
        <f t="shared" si="1"/>
        <v>0</v>
      </c>
      <c r="I76" s="6"/>
      <c r="J76" s="6"/>
      <c r="K76" s="6"/>
      <c r="L76" s="7">
        <f>SUM(1*'Mercadería'!L76)</f>
        <v>0</v>
      </c>
      <c r="M76" s="8"/>
      <c r="N76" s="65"/>
      <c r="O76" s="9"/>
      <c r="P76" s="6"/>
    </row>
    <row r="77" ht="12.0" customHeight="1">
      <c r="A77" s="14"/>
      <c r="B77" s="15"/>
      <c r="C77" s="15"/>
      <c r="D77" s="16" t="s">
        <v>97</v>
      </c>
      <c r="E77" s="17" t="s">
        <v>98</v>
      </c>
      <c r="F77" s="9"/>
      <c r="G77" s="18"/>
      <c r="H77" s="19">
        <f t="shared" si="1"/>
        <v>333</v>
      </c>
      <c r="I77" s="6"/>
      <c r="J77" s="6"/>
      <c r="K77" s="6"/>
      <c r="L77" s="7">
        <f>SUM(1*'Mercadería'!L77)</f>
        <v>333</v>
      </c>
      <c r="M77" s="8"/>
      <c r="N77" s="20"/>
      <c r="O77" s="9"/>
      <c r="P77" s="6"/>
    </row>
    <row r="78" ht="12.0" customHeight="1">
      <c r="A78" s="14"/>
      <c r="B78" s="66"/>
      <c r="C78" s="66"/>
      <c r="D78" s="39" t="s">
        <v>99</v>
      </c>
      <c r="E78" s="40" t="s">
        <v>98</v>
      </c>
      <c r="F78" s="41"/>
      <c r="G78" s="42"/>
      <c r="H78" s="29">
        <f t="shared" si="1"/>
        <v>45.24</v>
      </c>
      <c r="I78" s="6"/>
      <c r="J78" s="6"/>
      <c r="K78" s="6"/>
      <c r="L78" s="7">
        <f>SUM(1*'Mercadería'!L78)</f>
        <v>45.24</v>
      </c>
      <c r="M78" s="8"/>
      <c r="N78" s="23" t="s">
        <v>100</v>
      </c>
      <c r="O78" s="9"/>
      <c r="P78" s="6"/>
    </row>
    <row r="79" ht="12.0" customHeight="1">
      <c r="A79" s="14"/>
      <c r="B79" s="67"/>
      <c r="C79" s="66"/>
      <c r="D79" s="46" t="s">
        <v>101</v>
      </c>
      <c r="E79" s="47" t="s">
        <v>102</v>
      </c>
      <c r="F79" s="14" t="s">
        <v>103</v>
      </c>
      <c r="G79" s="48"/>
      <c r="H79" s="35">
        <f t="shared" si="1"/>
        <v>137.214</v>
      </c>
      <c r="I79" s="36"/>
      <c r="J79" s="36"/>
      <c r="K79" s="36"/>
      <c r="L79" s="37">
        <f>SUM(1*'Mercadería'!L79)</f>
        <v>137.214</v>
      </c>
      <c r="M79" s="8"/>
      <c r="N79" s="49" t="s">
        <v>17</v>
      </c>
      <c r="O79" s="9"/>
      <c r="P79" s="6"/>
    </row>
    <row r="80" ht="12.0" customHeight="1">
      <c r="A80" s="14"/>
      <c r="B80" s="15"/>
      <c r="C80" s="15"/>
      <c r="D80" s="16" t="s">
        <v>104</v>
      </c>
      <c r="E80" s="17" t="s">
        <v>105</v>
      </c>
      <c r="F80" s="9"/>
      <c r="G80" s="18"/>
      <c r="H80" s="19">
        <f t="shared" si="1"/>
        <v>1116.55</v>
      </c>
      <c r="I80" s="6"/>
      <c r="J80" s="6"/>
      <c r="K80" s="6"/>
      <c r="L80" s="7">
        <f>SUM(1*'Mercadería'!L80)</f>
        <v>1116.55</v>
      </c>
      <c r="M80" s="8"/>
      <c r="N80" s="20"/>
      <c r="O80" s="9"/>
      <c r="P80" s="6"/>
    </row>
    <row r="81" ht="12.0" customHeight="1">
      <c r="A81" s="14"/>
      <c r="B81" s="68"/>
      <c r="C81" s="68"/>
      <c r="D81" s="46" t="s">
        <v>106</v>
      </c>
      <c r="E81" s="47" t="s">
        <v>107</v>
      </c>
      <c r="F81" s="50"/>
      <c r="G81" s="48"/>
      <c r="H81" s="35">
        <f t="shared" si="1"/>
        <v>1000.1</v>
      </c>
      <c r="I81" s="36"/>
      <c r="J81" s="36"/>
      <c r="K81" s="36"/>
      <c r="L81" s="37">
        <f>SUM(1*'Mercadería'!L81)</f>
        <v>1000.1</v>
      </c>
      <c r="M81" s="8"/>
      <c r="N81" s="49"/>
      <c r="O81" s="9"/>
      <c r="P81" s="6"/>
    </row>
    <row r="82" ht="12.0" customHeight="1">
      <c r="A82" s="14"/>
      <c r="B82" s="69"/>
      <c r="C82" s="69"/>
      <c r="D82" s="31" t="s">
        <v>108</v>
      </c>
      <c r="E82" s="32" t="s">
        <v>109</v>
      </c>
      <c r="F82" s="33"/>
      <c r="G82" s="34"/>
      <c r="H82" s="35">
        <f t="shared" si="1"/>
        <v>954.1</v>
      </c>
      <c r="I82" s="36"/>
      <c r="J82" s="36"/>
      <c r="K82" s="36"/>
      <c r="L82" s="37">
        <f>SUM(1*'Mercadería'!L82)</f>
        <v>954.1</v>
      </c>
      <c r="M82" s="8"/>
      <c r="N82" s="38"/>
      <c r="O82" s="9"/>
      <c r="P82" s="6"/>
    </row>
    <row r="83" ht="12.0" customHeight="1">
      <c r="A83" s="14"/>
      <c r="B83" s="15"/>
      <c r="C83" s="15"/>
      <c r="D83" s="15" t="s">
        <v>110</v>
      </c>
      <c r="E83" s="21"/>
      <c r="F83" s="14"/>
      <c r="G83" s="22"/>
      <c r="H83" s="19">
        <f t="shared" si="1"/>
        <v>18.3</v>
      </c>
      <c r="I83" s="6"/>
      <c r="J83" s="6"/>
      <c r="K83" s="6"/>
      <c r="L83" s="7">
        <f>SUM(1*'Mercadería'!L83)</f>
        <v>18.3</v>
      </c>
      <c r="M83" s="8"/>
      <c r="N83" s="23"/>
      <c r="O83" s="9"/>
      <c r="P83" s="6"/>
    </row>
    <row r="84" ht="12.0" customHeight="1">
      <c r="A84" s="14"/>
      <c r="B84" s="15"/>
      <c r="C84" s="15"/>
      <c r="D84" s="16" t="s">
        <v>111</v>
      </c>
      <c r="E84" s="17"/>
      <c r="F84" s="9"/>
      <c r="G84" s="18"/>
      <c r="H84" s="19">
        <f t="shared" si="1"/>
        <v>38.6</v>
      </c>
      <c r="I84" s="6" t="s">
        <v>112</v>
      </c>
      <c r="J84" s="6"/>
      <c r="K84" s="6"/>
      <c r="L84" s="7">
        <f>SUM(1*'Mercadería'!L84)</f>
        <v>38.6</v>
      </c>
      <c r="M84" s="8"/>
      <c r="N84" s="20"/>
      <c r="O84" s="9"/>
      <c r="P84" s="6"/>
    </row>
    <row r="85" ht="12.0" customHeight="1">
      <c r="A85" s="14"/>
      <c r="B85" s="16"/>
      <c r="C85" s="16"/>
      <c r="D85" s="46" t="s">
        <v>113</v>
      </c>
      <c r="E85" s="21" t="s">
        <v>114</v>
      </c>
      <c r="F85" s="14" t="s">
        <v>103</v>
      </c>
      <c r="G85" s="60"/>
      <c r="H85" s="35">
        <f t="shared" si="1"/>
        <v>734.25</v>
      </c>
      <c r="I85" s="36"/>
      <c r="J85" s="36"/>
      <c r="K85" s="36"/>
      <c r="L85" s="37">
        <f>SUM(1*'Mercadería'!L85)</f>
        <v>734.25</v>
      </c>
      <c r="M85" s="8"/>
      <c r="N85" s="49" t="s">
        <v>17</v>
      </c>
      <c r="O85" s="9"/>
      <c r="P85" s="6"/>
    </row>
    <row r="86" ht="12.0" customHeight="1">
      <c r="A86" s="14"/>
      <c r="B86" s="16"/>
      <c r="C86" s="16"/>
      <c r="D86" s="31" t="s">
        <v>115</v>
      </c>
      <c r="E86" s="70" t="s">
        <v>114</v>
      </c>
      <c r="F86" s="33" t="s">
        <v>103</v>
      </c>
      <c r="G86" s="28"/>
      <c r="H86" s="35">
        <f t="shared" si="1"/>
        <v>734.25</v>
      </c>
      <c r="I86" s="43"/>
      <c r="J86" s="43"/>
      <c r="K86" s="43"/>
      <c r="L86" s="44">
        <f>SUM(1*'Mercadería'!L86)</f>
        <v>734.25</v>
      </c>
      <c r="M86" s="8"/>
      <c r="N86" s="30"/>
      <c r="O86" s="9"/>
      <c r="P86" s="6"/>
    </row>
    <row r="87" ht="12.0" customHeight="1">
      <c r="A87" s="14"/>
      <c r="B87" s="71"/>
      <c r="C87" s="71"/>
      <c r="D87" s="72" t="s">
        <v>116</v>
      </c>
      <c r="E87" s="73" t="s">
        <v>109</v>
      </c>
      <c r="F87" s="33" t="s">
        <v>103</v>
      </c>
      <c r="G87" s="59"/>
      <c r="H87" s="35">
        <f t="shared" si="1"/>
        <v>954.525</v>
      </c>
      <c r="I87" s="36"/>
      <c r="J87" s="36"/>
      <c r="K87" s="36"/>
      <c r="L87" s="37">
        <f>SUM(1*'Mercadería'!L87)</f>
        <v>954.525</v>
      </c>
      <c r="M87" s="8"/>
      <c r="N87" s="38"/>
      <c r="O87" s="9"/>
      <c r="P87" s="6"/>
    </row>
    <row r="88" ht="12.0" customHeight="1">
      <c r="A88" s="14"/>
      <c r="B88" s="15"/>
      <c r="C88" s="74"/>
      <c r="D88" s="75" t="s">
        <v>116</v>
      </c>
      <c r="E88" s="76" t="s">
        <v>117</v>
      </c>
      <c r="F88" s="77" t="s">
        <v>118</v>
      </c>
      <c r="G88" s="42"/>
      <c r="H88" s="29">
        <f t="shared" si="1"/>
        <v>381.3642</v>
      </c>
      <c r="I88" s="43"/>
      <c r="J88" s="43"/>
      <c r="K88" s="43"/>
      <c r="L88" s="44">
        <f>SUM(1*'Mercadería'!L88)</f>
        <v>381.3642</v>
      </c>
      <c r="M88" s="8"/>
      <c r="N88" s="45" t="s">
        <v>119</v>
      </c>
      <c r="O88" s="9"/>
      <c r="P88" s="6"/>
    </row>
    <row r="89" ht="12.0" customHeight="1">
      <c r="A89" s="52"/>
      <c r="B89" s="78"/>
      <c r="C89" s="78"/>
      <c r="D89" s="75" t="s">
        <v>120</v>
      </c>
      <c r="E89" s="76" t="s">
        <v>121</v>
      </c>
      <c r="F89" s="77" t="s">
        <v>122</v>
      </c>
      <c r="G89" s="42"/>
      <c r="H89" s="29">
        <f t="shared" si="1"/>
        <v>323</v>
      </c>
      <c r="I89" s="43"/>
      <c r="J89" s="43"/>
      <c r="K89" s="43"/>
      <c r="L89" s="44">
        <f>SUM(1*'Mercadería'!L89)</f>
        <v>323</v>
      </c>
      <c r="M89" s="8"/>
      <c r="N89" s="45" t="s">
        <v>77</v>
      </c>
      <c r="O89" s="9"/>
      <c r="P89" s="6"/>
    </row>
    <row r="90" ht="12.0" customHeight="1">
      <c r="A90" s="52"/>
      <c r="B90" s="16"/>
      <c r="C90" s="16"/>
      <c r="D90" s="31" t="s">
        <v>123</v>
      </c>
      <c r="E90" s="33" t="s">
        <v>124</v>
      </c>
      <c r="F90" s="33"/>
      <c r="G90" s="38">
        <v>11041.0</v>
      </c>
      <c r="H90" s="19">
        <f t="shared" si="1"/>
        <v>1488.3</v>
      </c>
      <c r="I90" s="6"/>
      <c r="J90" s="6"/>
      <c r="K90" s="6"/>
      <c r="L90" s="7">
        <f>SUM(1*'Mercadería'!L90)</f>
        <v>1488.3</v>
      </c>
      <c r="M90" s="8"/>
      <c r="N90" s="38" t="s">
        <v>17</v>
      </c>
      <c r="O90" s="9"/>
      <c r="P90" s="6"/>
    </row>
    <row r="91" ht="12.0" customHeight="1">
      <c r="A91" s="52"/>
      <c r="B91" s="16"/>
      <c r="C91" s="16"/>
      <c r="D91" s="15" t="s">
        <v>125</v>
      </c>
      <c r="E91" s="21" t="s">
        <v>124</v>
      </c>
      <c r="F91" s="14"/>
      <c r="G91" s="22">
        <v>11042.0</v>
      </c>
      <c r="H91" s="19">
        <f t="shared" si="1"/>
        <v>1711.545</v>
      </c>
      <c r="I91" s="6"/>
      <c r="J91" s="6"/>
      <c r="K91" s="6"/>
      <c r="L91" s="7">
        <f>SUM(1*'Mercadería'!L91)</f>
        <v>1711.545</v>
      </c>
      <c r="M91" s="8"/>
      <c r="N91" s="23" t="s">
        <v>17</v>
      </c>
      <c r="O91" s="9"/>
      <c r="P91" s="6"/>
    </row>
    <row r="92" ht="12.0" customHeight="1">
      <c r="A92" s="52"/>
      <c r="B92" s="79"/>
      <c r="C92" s="79"/>
      <c r="D92" s="16" t="s">
        <v>126</v>
      </c>
      <c r="E92" s="17" t="s">
        <v>124</v>
      </c>
      <c r="F92" s="9" t="s">
        <v>127</v>
      </c>
      <c r="G92" s="18"/>
      <c r="H92" s="19">
        <f t="shared" si="1"/>
        <v>1488.3</v>
      </c>
      <c r="I92" s="6"/>
      <c r="J92" s="6"/>
      <c r="K92" s="6"/>
      <c r="L92" s="7">
        <f>SUM(1*'Mercadería'!L92)</f>
        <v>1488.3</v>
      </c>
      <c r="M92" s="8"/>
      <c r="N92" s="20" t="s">
        <v>17</v>
      </c>
      <c r="O92" s="9"/>
      <c r="P92" s="6"/>
    </row>
    <row r="93" ht="12.0" customHeight="1">
      <c r="A93" s="52"/>
      <c r="B93" s="16"/>
      <c r="C93" s="16"/>
      <c r="D93" s="25" t="s">
        <v>128</v>
      </c>
      <c r="E93" s="26" t="s">
        <v>129</v>
      </c>
      <c r="F93" s="27" t="s">
        <v>130</v>
      </c>
      <c r="G93" s="27" t="s">
        <v>131</v>
      </c>
      <c r="H93" s="29">
        <f t="shared" si="1"/>
        <v>513.1005</v>
      </c>
      <c r="I93" s="43"/>
      <c r="J93" s="43"/>
      <c r="K93" s="43"/>
      <c r="L93" s="44">
        <f>SUM(1*'Mercadería'!L93)</f>
        <v>513.1005</v>
      </c>
      <c r="M93" s="8"/>
      <c r="N93" s="30" t="s">
        <v>17</v>
      </c>
      <c r="O93" s="9"/>
      <c r="P93" s="6"/>
    </row>
    <row r="94" ht="12.0" customHeight="1">
      <c r="A94" s="14"/>
      <c r="B94" s="15"/>
      <c r="C94" s="15"/>
      <c r="D94" s="46" t="s">
        <v>132</v>
      </c>
      <c r="E94" s="21"/>
      <c r="F94" s="14" t="s">
        <v>132</v>
      </c>
      <c r="G94" s="22"/>
      <c r="H94" s="19">
        <f t="shared" si="1"/>
        <v>345.1</v>
      </c>
      <c r="I94" s="6"/>
      <c r="J94" s="6"/>
      <c r="K94" s="6"/>
      <c r="L94" s="7">
        <f>SUM(1*'Mercadería'!L94)</f>
        <v>345.1</v>
      </c>
      <c r="M94" s="8"/>
      <c r="N94" s="23"/>
      <c r="O94" s="9"/>
      <c r="P94" s="6"/>
    </row>
    <row r="95" ht="12.0" customHeight="1">
      <c r="A95" s="14"/>
      <c r="B95" s="15"/>
      <c r="C95" s="15"/>
      <c r="D95" s="31" t="s">
        <v>133</v>
      </c>
      <c r="E95" s="32" t="s">
        <v>134</v>
      </c>
      <c r="F95" s="33" t="s">
        <v>133</v>
      </c>
      <c r="G95" s="34"/>
      <c r="H95" s="35">
        <f t="shared" si="1"/>
        <v>606.1</v>
      </c>
      <c r="I95" s="6"/>
      <c r="J95" s="6"/>
      <c r="K95" s="6"/>
      <c r="L95" s="7">
        <f>SUM(1*'Mercadería'!L95)</f>
        <v>606.1</v>
      </c>
      <c r="M95" s="8"/>
      <c r="N95" s="20" t="s">
        <v>100</v>
      </c>
      <c r="O95" s="9"/>
      <c r="P95" s="6"/>
    </row>
    <row r="96" ht="12.0" customHeight="1">
      <c r="A96" s="14"/>
      <c r="B96" s="80"/>
      <c r="C96" s="80"/>
      <c r="D96" s="15" t="s">
        <v>135</v>
      </c>
      <c r="E96" s="21" t="s">
        <v>136</v>
      </c>
      <c r="F96" s="14" t="s">
        <v>137</v>
      </c>
      <c r="G96" s="22"/>
      <c r="H96" s="19">
        <f t="shared" si="1"/>
        <v>796.5</v>
      </c>
      <c r="I96" s="6"/>
      <c r="J96" s="6"/>
      <c r="K96" s="6"/>
      <c r="L96" s="7">
        <f>SUM(1*'Mercadería'!L96)</f>
        <v>796.5</v>
      </c>
      <c r="M96" s="8"/>
      <c r="N96" s="23" t="s">
        <v>138</v>
      </c>
      <c r="O96" s="9"/>
      <c r="P96" s="6"/>
    </row>
    <row r="97" ht="12.0" customHeight="1">
      <c r="A97" s="14"/>
      <c r="B97" s="15"/>
      <c r="C97" s="15"/>
      <c r="D97" s="16" t="s">
        <v>139</v>
      </c>
      <c r="E97" s="17" t="s">
        <v>140</v>
      </c>
      <c r="F97" s="9" t="s">
        <v>141</v>
      </c>
      <c r="G97" s="18">
        <v>3612.0</v>
      </c>
      <c r="H97" s="19">
        <f t="shared" si="1"/>
        <v>78.3475</v>
      </c>
      <c r="I97" s="6"/>
      <c r="J97" s="6"/>
      <c r="K97" s="6"/>
      <c r="L97" s="7">
        <f>SUM(1*'Mercadería'!L97)</f>
        <v>78.3475</v>
      </c>
      <c r="M97" s="8"/>
      <c r="N97" s="20" t="s">
        <v>17</v>
      </c>
      <c r="O97" s="9"/>
      <c r="P97" s="6"/>
    </row>
    <row r="98" ht="12.0" customHeight="1">
      <c r="A98" s="14"/>
      <c r="B98" s="15"/>
      <c r="C98" s="14"/>
      <c r="D98" s="41" t="s">
        <v>142</v>
      </c>
      <c r="E98" s="40" t="s">
        <v>143</v>
      </c>
      <c r="F98" s="41" t="s">
        <v>144</v>
      </c>
      <c r="G98" s="81"/>
      <c r="H98" s="29">
        <f t="shared" si="1"/>
        <v>45.5</v>
      </c>
      <c r="I98" s="43"/>
      <c r="J98" s="43"/>
      <c r="K98" s="43"/>
      <c r="L98" s="44">
        <f>SUM(1*'Mercadería'!L98)</f>
        <v>45.5</v>
      </c>
      <c r="M98" s="8"/>
      <c r="N98" s="45" t="s">
        <v>145</v>
      </c>
      <c r="O98" s="9"/>
      <c r="P98" s="6"/>
    </row>
    <row r="99" ht="12.0" customHeight="1">
      <c r="A99" s="14"/>
      <c r="B99" s="82"/>
      <c r="C99" s="83"/>
      <c r="D99" s="33" t="s">
        <v>146</v>
      </c>
      <c r="E99" s="32" t="s">
        <v>114</v>
      </c>
      <c r="F99" s="33" t="s">
        <v>147</v>
      </c>
      <c r="G99" s="33">
        <v>1540.0</v>
      </c>
      <c r="H99" s="35">
        <f t="shared" si="1"/>
        <v>834.9</v>
      </c>
      <c r="I99" s="6"/>
      <c r="J99" s="6"/>
      <c r="K99" s="6"/>
      <c r="L99" s="7">
        <f>SUM(1*'Mercadería'!L99)</f>
        <v>834.9</v>
      </c>
      <c r="M99" s="8"/>
      <c r="N99" s="20" t="s">
        <v>17</v>
      </c>
      <c r="O99" s="9"/>
      <c r="P99" s="6"/>
    </row>
    <row r="100" ht="12.0" customHeight="1">
      <c r="A100" s="52"/>
      <c r="B100" s="82"/>
      <c r="C100" s="82"/>
      <c r="D100" s="14" t="s">
        <v>146</v>
      </c>
      <c r="E100" s="21" t="s">
        <v>148</v>
      </c>
      <c r="F100" s="14"/>
      <c r="G100" s="50"/>
      <c r="H100" s="19">
        <f t="shared" si="1"/>
        <v>1168.86</v>
      </c>
      <c r="I100" s="6"/>
      <c r="J100" s="6"/>
      <c r="K100" s="6"/>
      <c r="L100" s="7">
        <f>SUM(1*'Mercadería'!L100)</f>
        <v>1168.86</v>
      </c>
      <c r="M100" s="8"/>
      <c r="N100" s="23" t="s">
        <v>17</v>
      </c>
      <c r="O100" s="9"/>
      <c r="P100" s="6"/>
    </row>
    <row r="101" ht="12.0" customHeight="1">
      <c r="A101" s="52"/>
      <c r="B101" s="82"/>
      <c r="C101" s="82"/>
      <c r="D101" s="9" t="s">
        <v>146</v>
      </c>
      <c r="E101" s="17" t="s">
        <v>149</v>
      </c>
      <c r="F101" s="9" t="s">
        <v>147</v>
      </c>
      <c r="G101" s="33">
        <v>1543.0</v>
      </c>
      <c r="H101" s="19">
        <f t="shared" si="1"/>
        <v>1948.1</v>
      </c>
      <c r="I101" s="6"/>
      <c r="J101" s="6"/>
      <c r="K101" s="6"/>
      <c r="L101" s="7">
        <f>SUM(1*'Mercadería'!L101)</f>
        <v>1948.1</v>
      </c>
      <c r="M101" s="8"/>
      <c r="N101" s="20" t="s">
        <v>17</v>
      </c>
      <c r="O101" s="9"/>
      <c r="P101" s="6"/>
    </row>
    <row r="102" ht="12.0" customHeight="1">
      <c r="A102" s="52"/>
      <c r="B102" s="15"/>
      <c r="C102" s="84"/>
      <c r="D102" s="85" t="s">
        <v>146</v>
      </c>
      <c r="E102" s="86" t="s">
        <v>150</v>
      </c>
      <c r="F102" s="87" t="s">
        <v>147</v>
      </c>
      <c r="G102" s="88">
        <v>1544.0</v>
      </c>
      <c r="H102" s="89">
        <f t="shared" si="1"/>
        <v>522.841</v>
      </c>
      <c r="I102" s="6"/>
      <c r="J102" s="6"/>
      <c r="K102" s="6"/>
      <c r="L102" s="7">
        <f>SUM(1*'Mercadería'!L102)</f>
        <v>522.841</v>
      </c>
      <c r="M102" s="8"/>
      <c r="N102" s="49" t="s">
        <v>17</v>
      </c>
      <c r="O102" s="9"/>
      <c r="P102" s="6"/>
    </row>
    <row r="103" ht="12.0" customHeight="1">
      <c r="A103" s="52"/>
      <c r="B103" s="71"/>
      <c r="C103" s="16"/>
      <c r="D103" s="90" t="s">
        <v>151</v>
      </c>
      <c r="E103" s="91" t="s">
        <v>152</v>
      </c>
      <c r="F103" s="33" t="s">
        <v>153</v>
      </c>
      <c r="G103" s="53"/>
      <c r="H103" s="19">
        <f t="shared" si="1"/>
        <v>326.4</v>
      </c>
      <c r="I103" s="6"/>
      <c r="J103" s="6"/>
      <c r="K103" s="6"/>
      <c r="L103" s="7">
        <f>SUM(1*'Mercadería'!L103)</f>
        <v>326.4</v>
      </c>
      <c r="M103" s="8"/>
      <c r="N103" s="38" t="s">
        <v>154</v>
      </c>
      <c r="O103" s="9"/>
      <c r="P103" s="6"/>
    </row>
    <row r="104" ht="12.0" customHeight="1">
      <c r="A104" s="52"/>
      <c r="B104" s="71"/>
      <c r="C104" s="16"/>
      <c r="D104" s="92" t="s">
        <v>151</v>
      </c>
      <c r="E104" s="93" t="s">
        <v>155</v>
      </c>
      <c r="F104" s="50" t="s">
        <v>153</v>
      </c>
      <c r="G104" s="88"/>
      <c r="H104" s="19">
        <f t="shared" si="1"/>
        <v>571.2</v>
      </c>
      <c r="I104" s="6"/>
      <c r="J104" s="6"/>
      <c r="K104" s="6"/>
      <c r="L104" s="7">
        <f>SUM(1*'Mercadería'!L104)</f>
        <v>571.2</v>
      </c>
      <c r="M104" s="8"/>
      <c r="N104" s="49"/>
      <c r="O104" s="9"/>
      <c r="P104" s="6"/>
    </row>
    <row r="105" ht="12.0" customHeight="1">
      <c r="A105" s="14"/>
      <c r="B105" s="67"/>
      <c r="C105" s="67"/>
      <c r="D105" s="90" t="s">
        <v>156</v>
      </c>
      <c r="E105" s="91" t="s">
        <v>152</v>
      </c>
      <c r="F105" s="9" t="s">
        <v>147</v>
      </c>
      <c r="G105" s="94">
        <v>1500.0</v>
      </c>
      <c r="H105" s="19">
        <f t="shared" si="1"/>
        <v>483.12</v>
      </c>
      <c r="I105" s="6"/>
      <c r="J105" s="6"/>
      <c r="K105" s="6"/>
      <c r="L105" s="7">
        <f>SUM(1*'Mercadería'!L105)</f>
        <v>483.12</v>
      </c>
      <c r="M105" s="8"/>
      <c r="N105" s="95" t="s">
        <v>17</v>
      </c>
      <c r="O105" s="9"/>
      <c r="P105" s="6"/>
    </row>
    <row r="106" ht="12.0" customHeight="1">
      <c r="A106" s="14"/>
      <c r="B106" s="67"/>
      <c r="C106" s="67"/>
      <c r="D106" s="92" t="s">
        <v>156</v>
      </c>
      <c r="E106" s="93" t="s">
        <v>157</v>
      </c>
      <c r="F106" s="14" t="s">
        <v>147</v>
      </c>
      <c r="G106" s="96">
        <v>3213.0</v>
      </c>
      <c r="H106" s="19">
        <f t="shared" si="1"/>
        <v>792</v>
      </c>
      <c r="I106" s="6"/>
      <c r="J106" s="6"/>
      <c r="K106" s="6"/>
      <c r="L106" s="7">
        <f>SUM(1*'Mercadería'!L106)</f>
        <v>792</v>
      </c>
      <c r="M106" s="8"/>
      <c r="N106" s="97" t="s">
        <v>61</v>
      </c>
      <c r="O106" s="9"/>
      <c r="P106" s="6"/>
    </row>
    <row r="107" ht="12.0" customHeight="1">
      <c r="A107" s="14"/>
      <c r="B107" s="67"/>
      <c r="C107" s="67"/>
      <c r="D107" s="90" t="s">
        <v>156</v>
      </c>
      <c r="E107" s="91" t="s">
        <v>158</v>
      </c>
      <c r="F107" s="9" t="s">
        <v>147</v>
      </c>
      <c r="G107" s="94">
        <v>1502.0</v>
      </c>
      <c r="H107" s="19">
        <f t="shared" si="1"/>
        <v>1344</v>
      </c>
      <c r="I107" s="6"/>
      <c r="J107" s="6"/>
      <c r="K107" s="6"/>
      <c r="L107" s="7">
        <f>SUM(1*'Mercadería'!L107)</f>
        <v>1344</v>
      </c>
      <c r="M107" s="8"/>
      <c r="N107" s="95" t="s">
        <v>17</v>
      </c>
      <c r="O107" s="9"/>
      <c r="P107" s="6"/>
    </row>
    <row r="108" ht="12.0" customHeight="1">
      <c r="A108" s="14"/>
      <c r="B108" s="71"/>
      <c r="C108" s="16"/>
      <c r="D108" s="31" t="s">
        <v>159</v>
      </c>
      <c r="E108" s="32"/>
      <c r="F108" s="33" t="s">
        <v>160</v>
      </c>
      <c r="G108" s="34">
        <v>5428.0</v>
      </c>
      <c r="H108" s="35">
        <f t="shared" si="1"/>
        <v>316.8</v>
      </c>
      <c r="I108" s="36"/>
      <c r="J108" s="36"/>
      <c r="K108" s="36"/>
      <c r="L108" s="37">
        <f>SUM(1*'Mercadería'!L108)</f>
        <v>316.8</v>
      </c>
      <c r="M108" s="8"/>
      <c r="N108" s="36" t="s">
        <v>17</v>
      </c>
      <c r="O108" s="9"/>
      <c r="P108" s="6"/>
    </row>
    <row r="109" ht="12.0" customHeight="1">
      <c r="A109" s="14"/>
      <c r="B109" s="15"/>
      <c r="C109" s="15"/>
      <c r="D109" s="25" t="s">
        <v>161</v>
      </c>
      <c r="E109" s="26"/>
      <c r="F109" s="27"/>
      <c r="G109" s="28"/>
      <c r="H109" s="29">
        <f t="shared" si="1"/>
        <v>87</v>
      </c>
      <c r="I109" s="43"/>
      <c r="J109" s="43"/>
      <c r="K109" s="43"/>
      <c r="L109" s="44">
        <f>SUM(1*'Mercadería'!L109)</f>
        <v>87</v>
      </c>
      <c r="M109" s="8"/>
      <c r="N109" s="43" t="s">
        <v>162</v>
      </c>
      <c r="O109" s="9"/>
      <c r="P109" s="6"/>
    </row>
    <row r="110" ht="12.0" customHeight="1">
      <c r="A110" s="14"/>
      <c r="B110" s="79"/>
      <c r="C110" s="68"/>
      <c r="D110" s="16" t="s">
        <v>163</v>
      </c>
      <c r="E110" s="17"/>
      <c r="F110" s="9"/>
      <c r="G110" s="18"/>
      <c r="H110" s="19">
        <f t="shared" si="1"/>
        <v>5</v>
      </c>
      <c r="I110" s="6" t="s">
        <v>112</v>
      </c>
      <c r="J110" s="6"/>
      <c r="K110" s="6"/>
      <c r="L110" s="7">
        <f>SUM(1*'Mercadería'!L110)</f>
        <v>5</v>
      </c>
      <c r="M110" s="8"/>
      <c r="N110" s="6" t="s">
        <v>162</v>
      </c>
      <c r="O110" s="9"/>
      <c r="P110" s="6"/>
    </row>
    <row r="111" ht="12.0" customHeight="1">
      <c r="A111" s="14"/>
      <c r="B111" s="15"/>
      <c r="C111" s="15"/>
      <c r="D111" s="50" t="s">
        <v>164</v>
      </c>
      <c r="E111" s="98"/>
      <c r="F111" s="50"/>
      <c r="G111" s="48"/>
      <c r="H111" s="19">
        <f t="shared" si="1"/>
        <v>878.46</v>
      </c>
      <c r="I111" s="6"/>
      <c r="J111" s="6"/>
      <c r="K111" s="6"/>
      <c r="L111" s="7">
        <f>SUM(1*'Mercadería'!L111)</f>
        <v>878.46</v>
      </c>
      <c r="M111" s="8"/>
      <c r="N111" s="49" t="s">
        <v>61</v>
      </c>
      <c r="O111" s="9"/>
      <c r="P111" s="6"/>
    </row>
    <row r="112" ht="12.0" customHeight="1">
      <c r="A112" s="14"/>
      <c r="B112" s="64"/>
      <c r="C112" s="64"/>
      <c r="D112" s="31" t="s">
        <v>165</v>
      </c>
      <c r="E112" s="99"/>
      <c r="F112" s="33"/>
      <c r="G112" s="34"/>
      <c r="H112" s="19">
        <f t="shared" si="1"/>
        <v>480</v>
      </c>
      <c r="I112" s="6"/>
      <c r="J112" s="6"/>
      <c r="K112" s="6"/>
      <c r="L112" s="7">
        <f>SUM(1*'Mercadería'!L112)</f>
        <v>480</v>
      </c>
      <c r="M112" s="8"/>
      <c r="N112" s="38"/>
      <c r="O112" s="9"/>
      <c r="P112" s="6"/>
    </row>
    <row r="113" ht="12.0" customHeight="1">
      <c r="A113" s="14"/>
      <c r="B113" s="15"/>
      <c r="C113" s="15"/>
      <c r="D113" s="46" t="s">
        <v>166</v>
      </c>
      <c r="E113" s="98"/>
      <c r="F113" s="50" t="s">
        <v>167</v>
      </c>
      <c r="G113" s="48">
        <v>4922.0</v>
      </c>
      <c r="H113" s="19">
        <f t="shared" si="1"/>
        <v>72</v>
      </c>
      <c r="I113" s="6"/>
      <c r="J113" s="6"/>
      <c r="K113" s="6"/>
      <c r="L113" s="7">
        <f>SUM(1*'Mercadería'!L113)</f>
        <v>72</v>
      </c>
      <c r="M113" s="8"/>
      <c r="N113" s="49" t="s">
        <v>162</v>
      </c>
      <c r="O113" s="9"/>
      <c r="P113" s="6"/>
    </row>
    <row r="114" ht="12.0" customHeight="1">
      <c r="A114" s="14"/>
      <c r="B114" s="15"/>
      <c r="C114" s="15"/>
      <c r="D114" s="15" t="s">
        <v>168</v>
      </c>
      <c r="E114" s="21"/>
      <c r="F114" s="14"/>
      <c r="G114" s="22"/>
      <c r="H114" s="19">
        <f t="shared" si="1"/>
        <v>134.6636923</v>
      </c>
      <c r="I114" s="6"/>
      <c r="J114" s="6"/>
      <c r="K114" s="6"/>
      <c r="L114" s="7">
        <f>SUM(1*'Mercadería'!L114)</f>
        <v>134.6636923</v>
      </c>
      <c r="M114" s="8"/>
      <c r="N114" s="23" t="s">
        <v>17</v>
      </c>
      <c r="O114" s="9"/>
      <c r="P114" s="6"/>
    </row>
    <row r="115" ht="12.0" customHeight="1">
      <c r="A115" s="14"/>
      <c r="B115" s="15"/>
      <c r="C115" s="15"/>
      <c r="D115" s="16" t="s">
        <v>169</v>
      </c>
      <c r="E115" s="17"/>
      <c r="F115" s="9"/>
      <c r="G115" s="18"/>
      <c r="H115" s="19">
        <f t="shared" si="1"/>
        <v>296.6528922</v>
      </c>
      <c r="I115" s="6"/>
      <c r="J115" s="6"/>
      <c r="K115" s="6"/>
      <c r="L115" s="7">
        <f>SUM(1*'Mercadería'!L115)</f>
        <v>296.6528922</v>
      </c>
      <c r="M115" s="8"/>
      <c r="N115" s="20" t="s">
        <v>170</v>
      </c>
      <c r="O115" s="9"/>
      <c r="P115" s="6"/>
    </row>
    <row r="116" ht="12.0" customHeight="1">
      <c r="A116" s="14"/>
      <c r="B116" s="15"/>
      <c r="C116" s="15"/>
      <c r="D116" s="16" t="s">
        <v>171</v>
      </c>
      <c r="E116" s="17" t="s">
        <v>172</v>
      </c>
      <c r="F116" s="9"/>
      <c r="G116" s="18">
        <v>1951.0</v>
      </c>
      <c r="H116" s="19">
        <f t="shared" si="1"/>
        <v>190.817</v>
      </c>
      <c r="I116" s="6" t="s">
        <v>173</v>
      </c>
      <c r="J116" s="6"/>
      <c r="K116" s="6"/>
      <c r="L116" s="7">
        <f>SUM(1*'Mercadería'!L116)</f>
        <v>190.817</v>
      </c>
      <c r="M116" s="8"/>
      <c r="N116" s="20" t="s">
        <v>17</v>
      </c>
      <c r="O116" s="9"/>
      <c r="P116" s="6"/>
    </row>
    <row r="117" ht="12.0" customHeight="1">
      <c r="A117" s="52"/>
      <c r="B117" s="15"/>
      <c r="C117" s="15"/>
      <c r="D117" s="15" t="s">
        <v>174</v>
      </c>
      <c r="E117" s="21" t="s">
        <v>175</v>
      </c>
      <c r="F117" s="14"/>
      <c r="G117" s="22">
        <v>715.0</v>
      </c>
      <c r="H117" s="19">
        <f t="shared" si="1"/>
        <v>2856.23</v>
      </c>
      <c r="I117" s="15" t="s">
        <v>176</v>
      </c>
      <c r="J117" s="14" t="s">
        <v>177</v>
      </c>
      <c r="K117" s="6"/>
      <c r="L117" s="7">
        <f>SUM(1*'Mercadería'!L117)</f>
        <v>2856.23</v>
      </c>
      <c r="M117" s="8"/>
      <c r="N117" s="23" t="s">
        <v>61</v>
      </c>
      <c r="O117" s="9"/>
      <c r="P117" s="6"/>
    </row>
    <row r="118" ht="12.0" customHeight="1">
      <c r="A118" s="14"/>
      <c r="B118" s="15"/>
      <c r="C118" s="15"/>
      <c r="D118" s="31" t="s">
        <v>178</v>
      </c>
      <c r="E118" s="32" t="s">
        <v>179</v>
      </c>
      <c r="F118" s="33"/>
      <c r="G118" s="34">
        <v>713.0</v>
      </c>
      <c r="H118" s="19">
        <f t="shared" si="1"/>
        <v>2666.365</v>
      </c>
      <c r="I118" s="6" t="s">
        <v>176</v>
      </c>
      <c r="J118" s="6" t="s">
        <v>180</v>
      </c>
      <c r="K118" s="6"/>
      <c r="L118" s="7">
        <f>SUM(1*'Mercadería'!L118)</f>
        <v>2666.365</v>
      </c>
      <c r="M118" s="8"/>
      <c r="N118" s="30" t="s">
        <v>61</v>
      </c>
      <c r="O118" s="9"/>
      <c r="P118" s="6"/>
    </row>
    <row r="119" ht="12.0" customHeight="1">
      <c r="A119" s="52"/>
      <c r="B119" s="15"/>
      <c r="C119" s="15"/>
      <c r="D119" s="15" t="s">
        <v>181</v>
      </c>
      <c r="E119" s="21" t="s">
        <v>182</v>
      </c>
      <c r="F119" s="14"/>
      <c r="G119" s="22">
        <v>718.0</v>
      </c>
      <c r="H119" s="19">
        <f t="shared" si="1"/>
        <v>2456.3578</v>
      </c>
      <c r="I119" s="15" t="s">
        <v>176</v>
      </c>
      <c r="J119" s="14" t="s">
        <v>183</v>
      </c>
      <c r="K119" s="6"/>
      <c r="L119" s="7">
        <f>SUM(1*'Mercadería'!L119)</f>
        <v>2456.3578</v>
      </c>
      <c r="M119" s="8"/>
      <c r="N119" s="23" t="s">
        <v>61</v>
      </c>
      <c r="O119" s="9"/>
      <c r="P119" s="6"/>
    </row>
    <row r="120" ht="12.0" customHeight="1">
      <c r="A120" s="14"/>
      <c r="B120" s="100"/>
      <c r="C120" s="68"/>
      <c r="D120" s="101" t="s">
        <v>184</v>
      </c>
      <c r="E120" s="26" t="s">
        <v>185</v>
      </c>
      <c r="F120" s="102" t="s">
        <v>186</v>
      </c>
      <c r="G120" s="28"/>
      <c r="H120" s="29">
        <f t="shared" si="1"/>
        <v>40.25</v>
      </c>
      <c r="I120" s="43"/>
      <c r="J120" s="43"/>
      <c r="K120" s="43"/>
      <c r="L120" s="44">
        <f>SUM(1*'Mercadería'!L121)</f>
        <v>40.25</v>
      </c>
      <c r="M120" s="8"/>
      <c r="N120" s="30"/>
      <c r="O120" s="9"/>
      <c r="P120" s="6"/>
    </row>
    <row r="121" ht="12.0" customHeight="1">
      <c r="A121" s="14"/>
      <c r="B121" s="69"/>
      <c r="C121" s="66"/>
      <c r="D121" s="101" t="s">
        <v>187</v>
      </c>
      <c r="E121" s="26" t="s">
        <v>188</v>
      </c>
      <c r="F121" s="102" t="s">
        <v>189</v>
      </c>
      <c r="G121" s="103">
        <v>1978.0</v>
      </c>
      <c r="H121" s="29">
        <f t="shared" si="1"/>
        <v>105</v>
      </c>
      <c r="I121" s="43"/>
      <c r="J121" s="43"/>
      <c r="K121" s="43"/>
      <c r="L121" s="44">
        <f>SUM(1*'Mercadería'!L122)</f>
        <v>105</v>
      </c>
      <c r="M121" s="8"/>
      <c r="N121" s="30" t="s">
        <v>61</v>
      </c>
      <c r="O121" s="9"/>
      <c r="P121" s="6"/>
    </row>
    <row r="122" ht="12.0" customHeight="1">
      <c r="A122" s="14"/>
      <c r="B122" s="15"/>
      <c r="C122" s="15"/>
      <c r="D122" s="39" t="s">
        <v>190</v>
      </c>
      <c r="E122" s="40" t="s">
        <v>191</v>
      </c>
      <c r="F122" s="104" t="s">
        <v>192</v>
      </c>
      <c r="G122" s="81">
        <v>5232.0</v>
      </c>
      <c r="H122" s="29">
        <f t="shared" si="1"/>
        <v>3504.61375</v>
      </c>
      <c r="I122" s="43"/>
      <c r="J122" s="43"/>
      <c r="K122" s="43"/>
      <c r="L122" s="44">
        <f>SUM(1*'Mercadería'!L123)</f>
        <v>3504.61375</v>
      </c>
      <c r="M122" s="8"/>
      <c r="N122" s="45" t="s">
        <v>17</v>
      </c>
      <c r="O122" s="9"/>
      <c r="P122" s="6"/>
    </row>
    <row r="123" ht="12.0" customHeight="1">
      <c r="A123" s="14"/>
      <c r="B123" s="15"/>
      <c r="C123" s="15"/>
      <c r="D123" s="15" t="s">
        <v>193</v>
      </c>
      <c r="E123" s="47" t="s">
        <v>194</v>
      </c>
      <c r="F123" s="105" t="s">
        <v>195</v>
      </c>
      <c r="G123" s="42"/>
      <c r="H123" s="35">
        <f t="shared" si="1"/>
        <v>178.6</v>
      </c>
      <c r="I123" s="36"/>
      <c r="J123" s="33"/>
      <c r="K123" s="36"/>
      <c r="L123" s="37">
        <f>SUM(1*'Mercadería'!L124)</f>
        <v>178.6</v>
      </c>
      <c r="M123" s="8"/>
      <c r="N123" s="45"/>
      <c r="O123" s="9"/>
      <c r="P123" s="6"/>
    </row>
    <row r="124" ht="12.0" customHeight="1">
      <c r="A124" s="14"/>
      <c r="B124" s="15"/>
      <c r="C124" s="15"/>
      <c r="D124" s="106" t="s">
        <v>196</v>
      </c>
      <c r="E124" s="32" t="s">
        <v>194</v>
      </c>
      <c r="F124" s="107" t="s">
        <v>197</v>
      </c>
      <c r="G124" s="34">
        <v>5253.0</v>
      </c>
      <c r="H124" s="35">
        <f t="shared" si="1"/>
        <v>182.0445</v>
      </c>
      <c r="I124" s="36"/>
      <c r="J124" s="33"/>
      <c r="K124" s="36"/>
      <c r="L124" s="37">
        <f>SUM(1*'Mercadería'!L125)</f>
        <v>182.0445</v>
      </c>
      <c r="M124" s="8"/>
      <c r="N124" s="38" t="s">
        <v>17</v>
      </c>
      <c r="O124" s="9"/>
      <c r="P124" s="6"/>
    </row>
    <row r="125" ht="12.0" customHeight="1">
      <c r="A125" s="14"/>
      <c r="B125" s="15"/>
      <c r="C125" s="15"/>
      <c r="D125" s="46" t="s">
        <v>198</v>
      </c>
      <c r="E125" s="50" t="s">
        <v>199</v>
      </c>
      <c r="F125" s="105" t="s">
        <v>189</v>
      </c>
      <c r="G125" s="49">
        <v>1980.0</v>
      </c>
      <c r="H125" s="19">
        <f t="shared" si="1"/>
        <v>370.26</v>
      </c>
      <c r="I125" s="6"/>
      <c r="J125" s="6"/>
      <c r="K125" s="6"/>
      <c r="L125" s="7">
        <f>SUM(1*'Mercadería'!L126)</f>
        <v>370.26</v>
      </c>
      <c r="M125" s="8"/>
      <c r="N125" s="108" t="s">
        <v>17</v>
      </c>
      <c r="O125" s="9"/>
      <c r="P125" s="6"/>
    </row>
    <row r="126" ht="12.0" customHeight="1">
      <c r="A126" s="14"/>
      <c r="B126" s="15"/>
      <c r="C126" s="15"/>
      <c r="D126" s="16" t="s">
        <v>200</v>
      </c>
      <c r="E126" s="17" t="s">
        <v>201</v>
      </c>
      <c r="F126" s="9" t="s">
        <v>202</v>
      </c>
      <c r="G126" s="18"/>
      <c r="H126" s="19">
        <f t="shared" si="1"/>
        <v>669.92376</v>
      </c>
      <c r="I126" s="6"/>
      <c r="J126" s="6"/>
      <c r="K126" s="6"/>
      <c r="L126" s="7">
        <f>SUM(1*'Mercadería'!L127)</f>
        <v>669.92376</v>
      </c>
      <c r="M126" s="8"/>
      <c r="N126" s="20"/>
      <c r="O126" s="9"/>
      <c r="P126" s="6"/>
    </row>
    <row r="127" ht="12.0" customHeight="1">
      <c r="A127" s="14"/>
      <c r="B127" s="15"/>
      <c r="C127" s="15"/>
      <c r="D127" s="109" t="s">
        <v>203</v>
      </c>
      <c r="E127" s="110" t="s">
        <v>204</v>
      </c>
      <c r="F127" s="111" t="s">
        <v>202</v>
      </c>
      <c r="G127" s="112"/>
      <c r="H127" s="19">
        <f t="shared" si="1"/>
        <v>1117.75323</v>
      </c>
      <c r="I127" s="6"/>
      <c r="J127" s="6"/>
      <c r="K127" s="6"/>
      <c r="L127" s="7">
        <f>SUM(1*'Mercadería'!L128)</f>
        <v>1117.75323</v>
      </c>
      <c r="M127" s="8"/>
      <c r="N127" s="23"/>
      <c r="O127" s="9"/>
      <c r="P127" s="6"/>
    </row>
    <row r="128" ht="12.0" customHeight="1">
      <c r="A128" s="14"/>
      <c r="B128" s="15"/>
      <c r="C128" s="15"/>
      <c r="D128" s="113" t="s">
        <v>203</v>
      </c>
      <c r="E128" s="17" t="s">
        <v>205</v>
      </c>
      <c r="F128" s="9" t="s">
        <v>206</v>
      </c>
      <c r="G128" s="18"/>
      <c r="H128" s="19">
        <f t="shared" si="1"/>
        <v>1288.4685</v>
      </c>
      <c r="I128" s="6"/>
      <c r="J128" s="6"/>
      <c r="K128" s="6"/>
      <c r="L128" s="7">
        <f>SUM(1*'Mercadería'!L129)</f>
        <v>1288.4685</v>
      </c>
      <c r="M128" s="8"/>
      <c r="N128" s="20" t="s">
        <v>207</v>
      </c>
      <c r="O128" s="9"/>
      <c r="P128" s="6"/>
    </row>
    <row r="129" ht="12.0" customHeight="1">
      <c r="A129" s="14"/>
      <c r="B129" s="15"/>
      <c r="C129" s="15"/>
      <c r="D129" s="15" t="s">
        <v>208</v>
      </c>
      <c r="E129" s="21" t="s">
        <v>209</v>
      </c>
      <c r="F129" s="14" t="s">
        <v>189</v>
      </c>
      <c r="G129" s="22">
        <v>5247.0</v>
      </c>
      <c r="H129" s="19">
        <f t="shared" si="1"/>
        <v>437.1125</v>
      </c>
      <c r="I129" s="6"/>
      <c r="J129" s="6"/>
      <c r="K129" s="6"/>
      <c r="L129" s="7">
        <f>SUM(1*'Mercadería'!L130)</f>
        <v>437.1125</v>
      </c>
      <c r="M129" s="8"/>
      <c r="N129" s="23" t="s">
        <v>17</v>
      </c>
      <c r="O129" s="9"/>
      <c r="P129" s="6"/>
    </row>
    <row r="130" ht="12.0" customHeight="1">
      <c r="A130" s="14"/>
      <c r="B130" s="15"/>
      <c r="C130" s="15"/>
      <c r="D130" s="15" t="s">
        <v>210</v>
      </c>
      <c r="E130" s="21" t="s">
        <v>211</v>
      </c>
      <c r="F130" s="14"/>
      <c r="G130" s="22" t="s">
        <v>212</v>
      </c>
      <c r="H130" s="19">
        <f t="shared" si="1"/>
        <v>797.2932</v>
      </c>
      <c r="I130" s="6"/>
      <c r="J130" s="6"/>
      <c r="K130" s="6"/>
      <c r="L130" s="7">
        <f>SUM(1*'Mercadería'!L131)</f>
        <v>797.2932</v>
      </c>
      <c r="M130" s="8"/>
      <c r="N130" s="23"/>
      <c r="O130" s="9"/>
      <c r="P130" s="6"/>
    </row>
    <row r="131" ht="12.0" customHeight="1">
      <c r="A131" s="14"/>
      <c r="B131" s="39"/>
      <c r="C131" s="114"/>
      <c r="D131" s="27" t="s">
        <v>213</v>
      </c>
      <c r="E131" s="26" t="s">
        <v>191</v>
      </c>
      <c r="F131" s="27" t="s">
        <v>76</v>
      </c>
      <c r="G131" s="30">
        <v>5264.0</v>
      </c>
      <c r="H131" s="29">
        <f t="shared" si="1"/>
        <v>101.258</v>
      </c>
      <c r="I131" s="43"/>
      <c r="J131" s="43"/>
      <c r="K131" s="43"/>
      <c r="L131" s="44">
        <f>SUM(1*'Mercadería'!L132)</f>
        <v>101.258</v>
      </c>
      <c r="M131" s="8"/>
      <c r="N131" s="30" t="s">
        <v>17</v>
      </c>
      <c r="O131" s="9"/>
      <c r="P131" s="6"/>
    </row>
    <row r="132" ht="12.0" customHeight="1">
      <c r="A132" s="52"/>
      <c r="B132" s="15"/>
      <c r="C132" s="15"/>
      <c r="D132" s="50" t="s">
        <v>214</v>
      </c>
      <c r="E132" s="50" t="s">
        <v>191</v>
      </c>
      <c r="F132" s="50" t="s">
        <v>195</v>
      </c>
      <c r="G132" s="51" t="s">
        <v>215</v>
      </c>
      <c r="H132" s="35">
        <f t="shared" si="1"/>
        <v>1497.96</v>
      </c>
      <c r="I132" s="36"/>
      <c r="J132" s="36"/>
      <c r="K132" s="36"/>
      <c r="L132" s="37">
        <f>SUM(1*'Mercadería'!L133)</f>
        <v>1497.96</v>
      </c>
      <c r="M132" s="8"/>
      <c r="N132" s="49" t="s">
        <v>61</v>
      </c>
      <c r="O132" s="9"/>
      <c r="P132" s="6"/>
    </row>
    <row r="133" ht="12.0" customHeight="1">
      <c r="A133" s="52"/>
      <c r="B133" s="15"/>
      <c r="C133" s="15"/>
      <c r="D133" s="50" t="s">
        <v>214</v>
      </c>
      <c r="E133" s="14" t="s">
        <v>191</v>
      </c>
      <c r="F133" s="14" t="s">
        <v>189</v>
      </c>
      <c r="G133" s="22">
        <v>5444.0</v>
      </c>
      <c r="H133" s="19">
        <f t="shared" si="1"/>
        <v>1824</v>
      </c>
      <c r="I133" s="6"/>
      <c r="J133" s="6"/>
      <c r="K133" s="6"/>
      <c r="L133" s="7">
        <f>SUM(1*'Mercadería'!L134)</f>
        <v>1824</v>
      </c>
      <c r="M133" s="8"/>
      <c r="N133" s="23" t="s">
        <v>17</v>
      </c>
      <c r="O133" s="9"/>
      <c r="P133" s="6"/>
    </row>
    <row r="134" ht="12.0" customHeight="1">
      <c r="A134" s="52"/>
      <c r="B134" s="15"/>
      <c r="C134" s="15"/>
      <c r="D134" s="33" t="s">
        <v>216</v>
      </c>
      <c r="E134" s="9" t="s">
        <v>191</v>
      </c>
      <c r="F134" s="9" t="s">
        <v>195</v>
      </c>
      <c r="G134" s="18">
        <v>1969.0</v>
      </c>
      <c r="H134" s="19">
        <f t="shared" si="1"/>
        <v>1395.36</v>
      </c>
      <c r="I134" s="6"/>
      <c r="J134" s="6"/>
      <c r="K134" s="6"/>
      <c r="L134" s="7">
        <f>SUM(1*'Mercadería'!L135)</f>
        <v>1395.36</v>
      </c>
      <c r="M134" s="8"/>
      <c r="N134" s="23"/>
      <c r="O134" s="9"/>
      <c r="P134" s="6"/>
    </row>
    <row r="135" ht="12.0" customHeight="1">
      <c r="A135" s="52"/>
      <c r="B135" s="15"/>
      <c r="C135" s="15"/>
      <c r="D135" s="33" t="s">
        <v>216</v>
      </c>
      <c r="E135" s="9" t="s">
        <v>191</v>
      </c>
      <c r="F135" s="9" t="s">
        <v>189</v>
      </c>
      <c r="G135" s="18">
        <v>5263.0</v>
      </c>
      <c r="H135" s="19">
        <f t="shared" si="1"/>
        <v>1627.92</v>
      </c>
      <c r="I135" s="6"/>
      <c r="J135" s="6"/>
      <c r="K135" s="6"/>
      <c r="L135" s="7">
        <f>SUM(1*'Mercadería'!L136)</f>
        <v>1627.92</v>
      </c>
      <c r="M135" s="8"/>
      <c r="N135" s="20" t="s">
        <v>17</v>
      </c>
      <c r="O135" s="9"/>
      <c r="P135" s="6"/>
    </row>
    <row r="136" ht="12.0" customHeight="1">
      <c r="A136" s="52"/>
      <c r="B136" s="15"/>
      <c r="C136" s="15"/>
      <c r="D136" s="41" t="s">
        <v>217</v>
      </c>
      <c r="E136" s="41" t="s">
        <v>191</v>
      </c>
      <c r="F136" s="41" t="s">
        <v>189</v>
      </c>
      <c r="G136" s="42">
        <v>5460.0</v>
      </c>
      <c r="H136" s="29">
        <f t="shared" si="1"/>
        <v>199.287</v>
      </c>
      <c r="I136" s="6"/>
      <c r="J136" s="6"/>
      <c r="K136" s="6"/>
      <c r="L136" s="7">
        <f>SUM(1*'Mercadería'!L137)</f>
        <v>199.287</v>
      </c>
      <c r="M136" s="8"/>
      <c r="N136" s="45" t="s">
        <v>17</v>
      </c>
      <c r="O136" s="9"/>
      <c r="P136" s="6"/>
    </row>
    <row r="137" ht="12.0" customHeight="1">
      <c r="A137" s="52"/>
      <c r="B137" s="15"/>
      <c r="C137" s="15"/>
      <c r="D137" s="33" t="s">
        <v>218</v>
      </c>
      <c r="E137" s="115" t="s">
        <v>219</v>
      </c>
      <c r="F137" s="9"/>
      <c r="G137" s="18"/>
      <c r="H137" s="19">
        <f t="shared" si="1"/>
        <v>3078</v>
      </c>
      <c r="I137" s="6"/>
      <c r="J137" s="6"/>
      <c r="K137" s="6"/>
      <c r="L137" s="7">
        <f>SUM(1*'Mercadería'!L138)</f>
        <v>3078</v>
      </c>
      <c r="M137" s="8"/>
      <c r="N137" s="20"/>
      <c r="O137" s="9"/>
      <c r="P137" s="6"/>
    </row>
    <row r="138" ht="12.0" customHeight="1">
      <c r="A138" s="52"/>
      <c r="B138" s="15"/>
      <c r="C138" s="15"/>
      <c r="D138" s="46" t="s">
        <v>220</v>
      </c>
      <c r="E138" s="50" t="s">
        <v>191</v>
      </c>
      <c r="F138" s="50"/>
      <c r="G138" s="48">
        <v>5309.0</v>
      </c>
      <c r="H138" s="35">
        <f t="shared" si="1"/>
        <v>2814</v>
      </c>
      <c r="I138" s="36"/>
      <c r="J138" s="36"/>
      <c r="K138" s="36"/>
      <c r="L138" s="37">
        <f>SUM(1*'Mercadería'!L139)</f>
        <v>2814</v>
      </c>
      <c r="M138" s="8"/>
      <c r="N138" s="49"/>
      <c r="O138" s="9"/>
      <c r="P138" s="6"/>
    </row>
    <row r="139" ht="12.0" customHeight="1">
      <c r="A139" s="52"/>
      <c r="B139" s="15"/>
      <c r="C139" s="15"/>
      <c r="D139" s="31" t="s">
        <v>221</v>
      </c>
      <c r="E139" s="9" t="s">
        <v>222</v>
      </c>
      <c r="F139" s="9" t="s">
        <v>189</v>
      </c>
      <c r="G139" s="24">
        <v>1888.0</v>
      </c>
      <c r="H139" s="19">
        <f t="shared" si="1"/>
        <v>2523.96</v>
      </c>
      <c r="I139" s="6"/>
      <c r="J139" s="6"/>
      <c r="K139" s="6"/>
      <c r="L139" s="7">
        <f>SUM(1*'Mercadería'!L140)</f>
        <v>2523.96</v>
      </c>
      <c r="M139" s="8"/>
      <c r="N139" s="49" t="s">
        <v>61</v>
      </c>
      <c r="O139" s="9"/>
      <c r="P139" s="6"/>
    </row>
    <row r="140" ht="12.0" customHeight="1">
      <c r="A140" s="52"/>
      <c r="B140" s="15"/>
      <c r="C140" s="15"/>
      <c r="D140" s="46" t="s">
        <v>221</v>
      </c>
      <c r="E140" s="14" t="s">
        <v>223</v>
      </c>
      <c r="F140" s="14" t="s">
        <v>189</v>
      </c>
      <c r="G140" s="51">
        <v>1889.0</v>
      </c>
      <c r="H140" s="19">
        <f t="shared" si="1"/>
        <v>3180.6</v>
      </c>
      <c r="I140" s="6"/>
      <c r="J140" s="6"/>
      <c r="K140" s="6"/>
      <c r="L140" s="7">
        <f>SUM(1*'Mercadería'!L141)</f>
        <v>3180.6</v>
      </c>
      <c r="M140" s="8"/>
      <c r="N140" s="49" t="s">
        <v>61</v>
      </c>
      <c r="O140" s="9"/>
      <c r="P140" s="6"/>
    </row>
    <row r="141" ht="12.0" customHeight="1">
      <c r="A141" s="14"/>
      <c r="B141" s="15"/>
      <c r="C141" s="15"/>
      <c r="D141" s="31" t="s">
        <v>224</v>
      </c>
      <c r="E141" s="32" t="s">
        <v>209</v>
      </c>
      <c r="F141" s="33" t="s">
        <v>225</v>
      </c>
      <c r="G141" s="34">
        <v>1853.0</v>
      </c>
      <c r="H141" s="19">
        <f t="shared" si="1"/>
        <v>649.23</v>
      </c>
      <c r="I141" s="6"/>
      <c r="J141" s="6"/>
      <c r="K141" s="6"/>
      <c r="L141" s="7">
        <f>SUM(1*'Mercadería'!L142)</f>
        <v>649.23</v>
      </c>
      <c r="M141" s="8"/>
      <c r="N141" s="38" t="s">
        <v>17</v>
      </c>
      <c r="O141" s="9"/>
      <c r="P141" s="6"/>
    </row>
    <row r="142" ht="12.0" customHeight="1">
      <c r="A142" s="14"/>
      <c r="B142" s="15"/>
      <c r="C142" s="15"/>
      <c r="D142" s="39" t="s">
        <v>226</v>
      </c>
      <c r="E142" s="40" t="s">
        <v>209</v>
      </c>
      <c r="F142" s="41"/>
      <c r="G142" s="42">
        <v>1854.0</v>
      </c>
      <c r="H142" s="29">
        <f t="shared" si="1"/>
        <v>107.9925</v>
      </c>
      <c r="I142" s="43"/>
      <c r="J142" s="43"/>
      <c r="K142" s="43"/>
      <c r="L142" s="44">
        <f>SUM(1*'Mercadería'!L143)</f>
        <v>107.9925</v>
      </c>
      <c r="M142" s="8"/>
      <c r="N142" s="45" t="s">
        <v>17</v>
      </c>
      <c r="O142" s="9"/>
      <c r="P142" s="6"/>
    </row>
    <row r="143" ht="12.0" customHeight="1">
      <c r="A143" s="14"/>
      <c r="B143" s="15"/>
      <c r="C143" s="15"/>
      <c r="D143" s="31" t="s">
        <v>227</v>
      </c>
      <c r="E143" s="32" t="s">
        <v>209</v>
      </c>
      <c r="F143" s="33" t="s">
        <v>228</v>
      </c>
      <c r="G143" s="33">
        <v>5364.0</v>
      </c>
      <c r="H143" s="35">
        <f t="shared" si="1"/>
        <v>329.46</v>
      </c>
      <c r="I143" s="36"/>
      <c r="J143" s="36"/>
      <c r="K143" s="36"/>
      <c r="L143" s="37">
        <f>SUM(1*'Mercadería'!L144)</f>
        <v>329.46</v>
      </c>
      <c r="M143" s="8"/>
      <c r="N143" s="38" t="s">
        <v>17</v>
      </c>
      <c r="O143" s="9"/>
      <c r="P143" s="6"/>
    </row>
    <row r="144" ht="12.0" customHeight="1">
      <c r="A144" s="14"/>
      <c r="B144" s="15"/>
      <c r="C144" s="15"/>
      <c r="D144" s="46" t="s">
        <v>229</v>
      </c>
      <c r="E144" s="47" t="s">
        <v>230</v>
      </c>
      <c r="F144" s="50" t="s">
        <v>231</v>
      </c>
      <c r="G144" s="60">
        <v>15099.0</v>
      </c>
      <c r="H144" s="35">
        <f t="shared" si="1"/>
        <v>872.1</v>
      </c>
      <c r="I144" s="36"/>
      <c r="J144" s="36"/>
      <c r="K144" s="36"/>
      <c r="L144" s="37">
        <f>SUM(1*'Mercadería'!L145)</f>
        <v>872.1</v>
      </c>
      <c r="M144" s="8"/>
      <c r="N144" s="49" t="s">
        <v>17</v>
      </c>
      <c r="O144" s="9"/>
      <c r="P144" s="6"/>
    </row>
    <row r="145" ht="12.0" customHeight="1">
      <c r="A145" s="52"/>
      <c r="B145" s="15"/>
      <c r="C145" s="15"/>
      <c r="D145" s="46" t="s">
        <v>232</v>
      </c>
      <c r="E145" s="47" t="s">
        <v>233</v>
      </c>
      <c r="F145" s="50"/>
      <c r="G145" s="48">
        <v>4782.0</v>
      </c>
      <c r="H145" s="19">
        <f t="shared" si="1"/>
        <v>1915.2</v>
      </c>
      <c r="I145" s="6"/>
      <c r="J145" s="6"/>
      <c r="K145" s="6"/>
      <c r="L145" s="7">
        <f>SUM(1*'Mercadería'!L146)</f>
        <v>1915.2</v>
      </c>
      <c r="M145" s="8"/>
      <c r="N145" s="49" t="s">
        <v>61</v>
      </c>
      <c r="O145" s="9"/>
      <c r="P145" s="6"/>
    </row>
    <row r="146" ht="12.0" customHeight="1">
      <c r="A146" s="52"/>
      <c r="B146" s="15"/>
      <c r="C146" s="15"/>
      <c r="D146" s="31" t="s">
        <v>234</v>
      </c>
      <c r="E146" s="32" t="s">
        <v>235</v>
      </c>
      <c r="F146" s="33" t="s">
        <v>189</v>
      </c>
      <c r="G146" s="34">
        <v>4787.0</v>
      </c>
      <c r="H146" s="19">
        <f t="shared" si="1"/>
        <v>775.2</v>
      </c>
      <c r="I146" s="6"/>
      <c r="J146" s="6"/>
      <c r="K146" s="6"/>
      <c r="L146" s="7">
        <f>SUM(1*'Mercadería'!L147)</f>
        <v>775.2</v>
      </c>
      <c r="M146" s="8"/>
      <c r="N146" s="38" t="s">
        <v>61</v>
      </c>
      <c r="O146" s="9"/>
      <c r="P146" s="6"/>
    </row>
    <row r="147" ht="12.0" customHeight="1">
      <c r="A147" s="52"/>
      <c r="B147" s="15"/>
      <c r="C147" s="15"/>
      <c r="D147" s="31" t="s">
        <v>236</v>
      </c>
      <c r="E147" s="32" t="s">
        <v>235</v>
      </c>
      <c r="F147" s="33"/>
      <c r="G147" s="59">
        <v>5293.0</v>
      </c>
      <c r="H147" s="19">
        <f t="shared" si="1"/>
        <v>837.216</v>
      </c>
      <c r="I147" s="6"/>
      <c r="J147" s="6"/>
      <c r="K147" s="6"/>
      <c r="L147" s="7">
        <f>SUM(1*'Mercadería'!L148)</f>
        <v>837.216</v>
      </c>
      <c r="M147" s="8"/>
      <c r="N147" s="38"/>
      <c r="O147" s="9"/>
      <c r="P147" s="6"/>
    </row>
    <row r="148" ht="12.0" customHeight="1">
      <c r="A148" s="14"/>
      <c r="B148" s="15"/>
      <c r="C148" s="15"/>
      <c r="D148" s="31" t="s">
        <v>237</v>
      </c>
      <c r="E148" s="32"/>
      <c r="F148" s="33" t="s">
        <v>231</v>
      </c>
      <c r="G148" s="34">
        <v>5335.0</v>
      </c>
      <c r="H148" s="19">
        <f t="shared" si="1"/>
        <v>930.24</v>
      </c>
      <c r="I148" s="6"/>
      <c r="J148" s="6"/>
      <c r="K148" s="6"/>
      <c r="L148" s="7">
        <f>SUM(1*'Mercadería'!L149)</f>
        <v>930.24</v>
      </c>
      <c r="M148" s="8"/>
      <c r="N148" s="38"/>
      <c r="O148" s="9"/>
      <c r="P148" s="6"/>
    </row>
    <row r="149" ht="12.0" customHeight="1">
      <c r="A149" s="14"/>
      <c r="B149" s="15"/>
      <c r="C149" s="15"/>
      <c r="D149" s="15" t="s">
        <v>238</v>
      </c>
      <c r="E149" s="21"/>
      <c r="F149" s="14"/>
      <c r="G149" s="22"/>
      <c r="H149" s="19">
        <f t="shared" si="1"/>
        <v>95.4</v>
      </c>
      <c r="I149" s="6"/>
      <c r="J149" s="6"/>
      <c r="K149" s="6"/>
      <c r="L149" s="7">
        <f>SUM(1*'Mercadería'!L150)</f>
        <v>95.4</v>
      </c>
      <c r="M149" s="8"/>
      <c r="N149" s="23" t="s">
        <v>239</v>
      </c>
      <c r="O149" s="9"/>
      <c r="P149" s="6"/>
    </row>
    <row r="150" ht="12.0" customHeight="1">
      <c r="A150" s="14"/>
      <c r="B150" s="15"/>
      <c r="C150" s="15"/>
      <c r="D150" s="16" t="s">
        <v>240</v>
      </c>
      <c r="E150" s="17" t="s">
        <v>241</v>
      </c>
      <c r="F150" s="9" t="s">
        <v>242</v>
      </c>
      <c r="G150" s="18"/>
      <c r="H150" s="19">
        <f t="shared" si="1"/>
        <v>264</v>
      </c>
      <c r="I150" s="6"/>
      <c r="J150" s="6"/>
      <c r="K150" s="6"/>
      <c r="L150" s="7">
        <f>SUM(1*'Mercadería'!L151)</f>
        <v>264</v>
      </c>
      <c r="M150" s="8"/>
      <c r="N150" s="20" t="s">
        <v>239</v>
      </c>
      <c r="O150" s="9"/>
      <c r="P150" s="6"/>
    </row>
    <row r="151" ht="12.0" customHeight="1">
      <c r="A151" s="14"/>
      <c r="B151" s="15"/>
      <c r="C151" s="15"/>
      <c r="D151" s="46" t="s">
        <v>243</v>
      </c>
      <c r="E151" s="47"/>
      <c r="F151" s="50" t="s">
        <v>244</v>
      </c>
      <c r="G151" s="60">
        <v>1500831.0</v>
      </c>
      <c r="H151" s="35">
        <f t="shared" si="1"/>
        <v>594</v>
      </c>
      <c r="I151" s="36" t="s">
        <v>245</v>
      </c>
      <c r="J151" s="36"/>
      <c r="K151" s="36"/>
      <c r="L151" s="37">
        <f>SUM(1*'Mercadería'!L152)</f>
        <v>594</v>
      </c>
      <c r="M151" s="8"/>
      <c r="N151" s="49" t="s">
        <v>239</v>
      </c>
      <c r="O151" s="9"/>
      <c r="P151" s="6"/>
    </row>
    <row r="152" ht="12.0" customHeight="1">
      <c r="A152" s="14"/>
      <c r="B152" s="15"/>
      <c r="C152" s="15"/>
      <c r="D152" s="16" t="s">
        <v>246</v>
      </c>
      <c r="E152" s="17" t="s">
        <v>247</v>
      </c>
      <c r="F152" s="9" t="s">
        <v>248</v>
      </c>
      <c r="G152" s="18">
        <v>8760.0</v>
      </c>
      <c r="H152" s="19">
        <f t="shared" si="1"/>
        <v>280.5</v>
      </c>
      <c r="I152" s="6"/>
      <c r="J152" s="6"/>
      <c r="K152" s="6"/>
      <c r="L152" s="7">
        <f>SUM(1*'Mercadería'!L153)</f>
        <v>280.5</v>
      </c>
      <c r="M152" s="8"/>
      <c r="N152" s="20" t="s">
        <v>61</v>
      </c>
      <c r="O152" s="9"/>
      <c r="P152" s="6"/>
    </row>
    <row r="153" ht="12.0" customHeight="1">
      <c r="A153" s="14"/>
      <c r="B153" s="15"/>
      <c r="C153" s="15"/>
      <c r="D153" s="14" t="s">
        <v>249</v>
      </c>
      <c r="E153" s="21" t="s">
        <v>250</v>
      </c>
      <c r="F153" s="14" t="s">
        <v>248</v>
      </c>
      <c r="G153" s="22">
        <v>8750.0</v>
      </c>
      <c r="H153" s="19">
        <f t="shared" si="1"/>
        <v>690.2</v>
      </c>
      <c r="I153" s="6"/>
      <c r="J153" s="6"/>
      <c r="K153" s="6"/>
      <c r="L153" s="7">
        <f>SUM(1*'Mercadería'!L154)</f>
        <v>690.2</v>
      </c>
      <c r="M153" s="8"/>
      <c r="N153" s="23" t="s">
        <v>61</v>
      </c>
      <c r="O153" s="9"/>
      <c r="P153" s="6"/>
    </row>
    <row r="154" ht="12.0" customHeight="1">
      <c r="A154" s="14"/>
      <c r="B154" s="15"/>
      <c r="C154" s="15"/>
      <c r="D154" s="116" t="s">
        <v>251</v>
      </c>
      <c r="E154" s="117" t="s">
        <v>252</v>
      </c>
      <c r="F154" s="116" t="s">
        <v>248</v>
      </c>
      <c r="G154" s="118">
        <v>8751.0</v>
      </c>
      <c r="H154" s="19">
        <f t="shared" si="1"/>
        <v>82.56</v>
      </c>
      <c r="I154" s="6"/>
      <c r="J154" s="6"/>
      <c r="K154" s="6"/>
      <c r="L154" s="7">
        <f>SUM(1*'Mercadería'!L155)</f>
        <v>82.56</v>
      </c>
      <c r="M154" s="8"/>
      <c r="N154" s="119" t="s">
        <v>61</v>
      </c>
      <c r="O154" s="9"/>
      <c r="P154" s="6"/>
    </row>
    <row r="155" ht="12.0" customHeight="1">
      <c r="A155" s="14"/>
      <c r="B155" s="15"/>
      <c r="C155" s="15"/>
      <c r="D155" s="14" t="s">
        <v>253</v>
      </c>
      <c r="E155" s="120"/>
      <c r="F155" s="121"/>
      <c r="G155" s="122"/>
      <c r="H155" s="35">
        <f t="shared" si="1"/>
        <v>396</v>
      </c>
      <c r="I155" s="6"/>
      <c r="J155" s="6"/>
      <c r="K155" s="6"/>
      <c r="L155" s="7">
        <f>SUM(1*'Mercadería'!L156)</f>
        <v>396</v>
      </c>
      <c r="M155" s="8"/>
      <c r="N155" s="23" t="s">
        <v>239</v>
      </c>
      <c r="O155" s="9"/>
      <c r="P155" s="6"/>
    </row>
    <row r="156" ht="12.0" customHeight="1">
      <c r="A156" s="14"/>
      <c r="B156" s="15"/>
      <c r="C156" s="15"/>
      <c r="D156" s="14" t="s">
        <v>254</v>
      </c>
      <c r="E156" s="21" t="s">
        <v>255</v>
      </c>
      <c r="F156" s="14"/>
      <c r="G156" s="22">
        <v>2960.0</v>
      </c>
      <c r="H156" s="19">
        <f t="shared" si="1"/>
        <v>33.3</v>
      </c>
      <c r="I156" s="6"/>
      <c r="J156" s="6"/>
      <c r="K156" s="6"/>
      <c r="L156" s="7">
        <f>SUM(1*'Mercadería'!L157)</f>
        <v>33.3</v>
      </c>
      <c r="M156" s="8"/>
      <c r="N156" s="23" t="s">
        <v>61</v>
      </c>
      <c r="O156" s="9"/>
      <c r="P156" s="6"/>
    </row>
    <row r="157" ht="12.0" customHeight="1">
      <c r="A157" s="14"/>
      <c r="B157" s="67"/>
      <c r="C157" s="67"/>
      <c r="D157" s="9" t="s">
        <v>256</v>
      </c>
      <c r="E157" s="17" t="s">
        <v>257</v>
      </c>
      <c r="F157" s="9"/>
      <c r="G157" s="24"/>
      <c r="H157" s="19">
        <f t="shared" si="1"/>
        <v>280.5</v>
      </c>
      <c r="I157" s="16" t="s">
        <v>258</v>
      </c>
      <c r="J157" s="6"/>
      <c r="K157" s="6"/>
      <c r="L157" s="7">
        <f>SUM(1*'Mercadería'!L158)</f>
        <v>280.5</v>
      </c>
      <c r="M157" s="8"/>
      <c r="N157" s="23" t="s">
        <v>239</v>
      </c>
      <c r="O157" s="9"/>
      <c r="P157" s="6"/>
    </row>
    <row r="158" ht="12.0" customHeight="1">
      <c r="A158" s="14"/>
      <c r="B158" s="67"/>
      <c r="C158" s="67"/>
      <c r="D158" s="14" t="s">
        <v>256</v>
      </c>
      <c r="E158" s="21" t="s">
        <v>259</v>
      </c>
      <c r="F158" s="14"/>
      <c r="G158" s="22"/>
      <c r="H158" s="19">
        <f t="shared" si="1"/>
        <v>952.875</v>
      </c>
      <c r="I158" s="1" t="s">
        <v>260</v>
      </c>
      <c r="J158" s="6"/>
      <c r="K158" s="6"/>
      <c r="L158" s="7">
        <f>SUM(1*'Mercadería'!L159)</f>
        <v>952.875</v>
      </c>
      <c r="M158" s="8"/>
      <c r="N158" s="23" t="s">
        <v>239</v>
      </c>
      <c r="O158" s="9"/>
      <c r="P158" s="6"/>
    </row>
    <row r="159" ht="12.0" customHeight="1">
      <c r="A159" s="14"/>
      <c r="B159" s="15"/>
      <c r="C159" s="15"/>
      <c r="D159" s="41" t="s">
        <v>261</v>
      </c>
      <c r="E159" s="40" t="s">
        <v>148</v>
      </c>
      <c r="F159" s="41"/>
      <c r="G159" s="42"/>
      <c r="H159" s="29">
        <f t="shared" si="1"/>
        <v>59.84</v>
      </c>
      <c r="I159" s="6"/>
      <c r="J159" s="6"/>
      <c r="K159" s="6"/>
      <c r="L159" s="7">
        <f>SUM(1*'Mercadería'!L160)</f>
        <v>59.84</v>
      </c>
      <c r="M159" s="8"/>
      <c r="N159" s="23"/>
      <c r="O159" s="9"/>
      <c r="P159" s="6"/>
    </row>
    <row r="160" ht="12.0" customHeight="1">
      <c r="A160" s="14"/>
      <c r="B160" s="66"/>
      <c r="C160" s="66"/>
      <c r="D160" s="9" t="s">
        <v>262</v>
      </c>
      <c r="E160" s="17"/>
      <c r="F160" s="9" t="s">
        <v>263</v>
      </c>
      <c r="G160" s="18"/>
      <c r="H160" s="19">
        <f t="shared" si="1"/>
        <v>85.635</v>
      </c>
      <c r="I160" s="6"/>
      <c r="J160" s="6"/>
      <c r="K160" s="6"/>
      <c r="L160" s="7">
        <f>SUM(1*'Mercadería'!L161)</f>
        <v>85.635</v>
      </c>
      <c r="M160" s="8"/>
      <c r="N160" s="20" t="s">
        <v>239</v>
      </c>
      <c r="O160" s="9"/>
      <c r="P160" s="6"/>
    </row>
    <row r="161" ht="12.0" customHeight="1">
      <c r="A161" s="14"/>
      <c r="B161" s="16"/>
      <c r="C161" s="71"/>
      <c r="D161" s="50" t="s">
        <v>262</v>
      </c>
      <c r="E161" s="50" t="s">
        <v>264</v>
      </c>
      <c r="F161" s="50" t="s">
        <v>265</v>
      </c>
      <c r="G161" s="48"/>
      <c r="H161" s="35">
        <f t="shared" si="1"/>
        <v>660.3</v>
      </c>
      <c r="I161" s="6"/>
      <c r="J161" s="6"/>
      <c r="K161" s="6"/>
      <c r="L161" s="7">
        <f>SUM(1*'Mercadería'!L162)</f>
        <v>660.3</v>
      </c>
      <c r="M161" s="8"/>
      <c r="N161" s="23" t="s">
        <v>239</v>
      </c>
      <c r="O161" s="9"/>
      <c r="P161" s="6"/>
    </row>
    <row r="162" ht="12.0" customHeight="1">
      <c r="A162" s="14"/>
      <c r="B162" s="15"/>
      <c r="C162" s="15"/>
      <c r="D162" s="27" t="s">
        <v>262</v>
      </c>
      <c r="E162" s="27"/>
      <c r="F162" s="27" t="s">
        <v>266</v>
      </c>
      <c r="G162" s="28"/>
      <c r="H162" s="29">
        <f t="shared" si="1"/>
        <v>57.33</v>
      </c>
      <c r="I162" s="6"/>
      <c r="J162" s="6"/>
      <c r="K162" s="6"/>
      <c r="L162" s="7">
        <f>SUM(1*'Mercadería'!L163)</f>
        <v>57.33</v>
      </c>
      <c r="M162" s="8"/>
      <c r="N162" s="30" t="s">
        <v>267</v>
      </c>
      <c r="O162" s="9"/>
      <c r="P162" s="6"/>
    </row>
    <row r="163" ht="12.0" customHeight="1">
      <c r="A163" s="14"/>
      <c r="B163" s="15"/>
      <c r="C163" s="15"/>
      <c r="D163" s="41" t="s">
        <v>268</v>
      </c>
      <c r="E163" s="41"/>
      <c r="F163" s="41" t="s">
        <v>266</v>
      </c>
      <c r="G163" s="42"/>
      <c r="H163" s="29">
        <f t="shared" si="1"/>
        <v>57.6</v>
      </c>
      <c r="I163" s="6"/>
      <c r="J163" s="6"/>
      <c r="K163" s="6"/>
      <c r="L163" s="7">
        <f>SUM(1*'Mercadería'!L164)</f>
        <v>57.6</v>
      </c>
      <c r="M163" s="8"/>
      <c r="N163" s="45"/>
      <c r="O163" s="9"/>
      <c r="P163" s="6"/>
    </row>
    <row r="164" ht="12.0" customHeight="1">
      <c r="A164" s="14"/>
      <c r="B164" s="15"/>
      <c r="C164" s="15"/>
      <c r="D164" s="41" t="s">
        <v>269</v>
      </c>
      <c r="E164" s="41"/>
      <c r="F164" s="41" t="s">
        <v>266</v>
      </c>
      <c r="G164" s="42"/>
      <c r="H164" s="29">
        <f t="shared" si="1"/>
        <v>61.56</v>
      </c>
      <c r="I164" s="6"/>
      <c r="J164" s="6"/>
      <c r="K164" s="6"/>
      <c r="L164" s="7">
        <f>SUM(1*'Mercadería'!L165)</f>
        <v>61.56</v>
      </c>
      <c r="M164" s="8"/>
      <c r="N164" s="45" t="s">
        <v>239</v>
      </c>
      <c r="O164" s="9"/>
      <c r="P164" s="6"/>
    </row>
    <row r="165" ht="12.0" customHeight="1">
      <c r="A165" s="14"/>
      <c r="B165" s="1"/>
      <c r="C165" s="1"/>
      <c r="D165" s="9" t="s">
        <v>270</v>
      </c>
      <c r="E165" s="9" t="s">
        <v>271</v>
      </c>
      <c r="F165" s="9"/>
      <c r="G165" s="18"/>
      <c r="H165" s="19">
        <f t="shared" si="1"/>
        <v>532.95</v>
      </c>
      <c r="I165" s="9" t="s">
        <v>271</v>
      </c>
      <c r="J165" s="6"/>
      <c r="K165" s="6"/>
      <c r="L165" s="7">
        <f>SUM(1*'Mercadería'!L166)</f>
        <v>532.95</v>
      </c>
      <c r="M165" s="8"/>
      <c r="N165" s="20" t="s">
        <v>239</v>
      </c>
      <c r="O165" s="9"/>
      <c r="P165" s="6"/>
    </row>
    <row r="166" ht="12.0" customHeight="1">
      <c r="A166" s="14"/>
      <c r="B166" s="1"/>
      <c r="C166" s="1"/>
      <c r="D166" s="9" t="s">
        <v>270</v>
      </c>
      <c r="E166" s="16" t="s">
        <v>258</v>
      </c>
      <c r="F166" s="9"/>
      <c r="G166" s="18"/>
      <c r="H166" s="19">
        <f t="shared" si="1"/>
        <v>925.65</v>
      </c>
      <c r="I166" s="16" t="s">
        <v>258</v>
      </c>
      <c r="J166" s="6"/>
      <c r="K166" s="6"/>
      <c r="L166" s="7">
        <f>SUM(1*'Mercadería'!L167)</f>
        <v>925.65</v>
      </c>
      <c r="M166" s="8"/>
      <c r="N166" s="20" t="s">
        <v>239</v>
      </c>
      <c r="O166" s="9"/>
      <c r="P166" s="6"/>
    </row>
    <row r="167" ht="12.0" customHeight="1">
      <c r="A167" s="14"/>
      <c r="B167" s="15"/>
      <c r="C167" s="15"/>
      <c r="D167" s="33" t="s">
        <v>272</v>
      </c>
      <c r="E167" s="33"/>
      <c r="F167" s="33"/>
      <c r="G167" s="20">
        <v>10418.0</v>
      </c>
      <c r="H167" s="19">
        <f t="shared" si="1"/>
        <v>792</v>
      </c>
      <c r="I167" s="6"/>
      <c r="J167" s="6"/>
      <c r="K167" s="6"/>
      <c r="L167" s="7">
        <f>SUM(1*'Mercadería'!L168)</f>
        <v>792</v>
      </c>
      <c r="M167" s="8"/>
      <c r="N167" s="20" t="s">
        <v>273</v>
      </c>
      <c r="O167" s="9"/>
      <c r="P167" s="6"/>
    </row>
    <row r="168" ht="12.0" customHeight="1">
      <c r="A168" s="14"/>
      <c r="B168" s="71"/>
      <c r="C168" s="79"/>
      <c r="D168" s="50" t="s">
        <v>274</v>
      </c>
      <c r="E168" s="50" t="s">
        <v>275</v>
      </c>
      <c r="F168" s="50" t="s">
        <v>276</v>
      </c>
      <c r="G168" s="48">
        <v>8781.0</v>
      </c>
      <c r="H168" s="19">
        <f t="shared" si="1"/>
        <v>692.8</v>
      </c>
      <c r="I168" s="6"/>
      <c r="J168" s="6"/>
      <c r="K168" s="6"/>
      <c r="L168" s="7">
        <f>SUM(1*'Mercadería'!L169)</f>
        <v>692.8</v>
      </c>
      <c r="M168" s="8"/>
      <c r="N168" s="49" t="s">
        <v>61</v>
      </c>
      <c r="O168" s="9"/>
      <c r="P168" s="6"/>
    </row>
    <row r="169" ht="12.0" customHeight="1">
      <c r="A169" s="14"/>
      <c r="B169" s="79"/>
      <c r="C169" s="79"/>
      <c r="D169" s="27" t="s">
        <v>277</v>
      </c>
      <c r="E169" s="27" t="s">
        <v>278</v>
      </c>
      <c r="F169" s="27"/>
      <c r="G169" s="28"/>
      <c r="H169" s="29">
        <f t="shared" si="1"/>
        <v>106.79</v>
      </c>
      <c r="I169" s="43"/>
      <c r="J169" s="43"/>
      <c r="K169" s="43"/>
      <c r="L169" s="44">
        <f>SUM(1*'Mercadería'!L170)</f>
        <v>106.79</v>
      </c>
      <c r="M169" s="8"/>
      <c r="N169" s="30" t="s">
        <v>239</v>
      </c>
      <c r="O169" s="9"/>
      <c r="P169" s="6"/>
    </row>
    <row r="170" ht="12.0" customHeight="1">
      <c r="A170" s="14"/>
      <c r="B170" s="66"/>
      <c r="C170" s="66"/>
      <c r="D170" s="9" t="s">
        <v>279</v>
      </c>
      <c r="E170" s="9" t="s">
        <v>280</v>
      </c>
      <c r="F170" s="9" t="s">
        <v>281</v>
      </c>
      <c r="G170" s="18"/>
      <c r="H170" s="19">
        <f t="shared" si="1"/>
        <v>37.71166667</v>
      </c>
      <c r="I170" s="6" t="s">
        <v>282</v>
      </c>
      <c r="J170" s="3">
        <f>SUM(1.5*'Mercadería'!M171)</f>
        <v>363</v>
      </c>
      <c r="K170" s="123" t="s">
        <v>283</v>
      </c>
      <c r="L170" s="7">
        <f>SUM(1*'Mercadería'!L171)</f>
        <v>37.71166667</v>
      </c>
      <c r="M170" s="8"/>
      <c r="N170" s="20" t="s">
        <v>239</v>
      </c>
      <c r="O170" s="9"/>
      <c r="P170" s="6"/>
    </row>
    <row r="171" ht="12.0" customHeight="1">
      <c r="A171" s="14"/>
      <c r="B171" s="66"/>
      <c r="C171" s="66"/>
      <c r="D171" s="50" t="s">
        <v>284</v>
      </c>
      <c r="E171" s="50"/>
      <c r="F171" s="50"/>
      <c r="G171" s="48"/>
      <c r="H171" s="35">
        <f t="shared" si="1"/>
        <v>91.8</v>
      </c>
      <c r="I171" s="46" t="s">
        <v>285</v>
      </c>
      <c r="J171" s="36"/>
      <c r="K171" s="36"/>
      <c r="L171" s="37">
        <f>SUM(1*'Mercadería'!L172)</f>
        <v>91.8</v>
      </c>
      <c r="M171" s="8"/>
      <c r="N171" s="49" t="s">
        <v>239</v>
      </c>
      <c r="O171" s="9"/>
      <c r="P171" s="6"/>
    </row>
    <row r="172" ht="12.0" customHeight="1">
      <c r="A172" s="14"/>
      <c r="B172" s="66"/>
      <c r="C172" s="66"/>
      <c r="D172" s="33" t="s">
        <v>286</v>
      </c>
      <c r="E172" s="27"/>
      <c r="F172" s="27"/>
      <c r="G172" s="28"/>
      <c r="H172" s="35">
        <f t="shared" si="1"/>
        <v>336.6</v>
      </c>
      <c r="I172" s="31" t="s">
        <v>287</v>
      </c>
      <c r="J172" s="36"/>
      <c r="K172" s="36"/>
      <c r="L172" s="37">
        <f>SUM(1*'Mercadería'!L173)</f>
        <v>336.6</v>
      </c>
      <c r="M172" s="8"/>
      <c r="N172" s="38" t="s">
        <v>239</v>
      </c>
      <c r="O172" s="9"/>
      <c r="P172" s="6"/>
    </row>
    <row r="173" ht="12.0" customHeight="1">
      <c r="A173" s="14"/>
      <c r="B173" s="79"/>
      <c r="C173" s="79"/>
      <c r="D173" s="46" t="s">
        <v>288</v>
      </c>
      <c r="E173" s="47" t="s">
        <v>289</v>
      </c>
      <c r="F173" s="50" t="s">
        <v>225</v>
      </c>
      <c r="G173" s="48">
        <v>5656.0</v>
      </c>
      <c r="H173" s="19">
        <f t="shared" si="1"/>
        <v>368.56</v>
      </c>
      <c r="I173" s="6"/>
      <c r="J173" s="6"/>
      <c r="K173" s="6"/>
      <c r="L173" s="7">
        <f>SUM(1*'Mercadería'!L174)</f>
        <v>368.56</v>
      </c>
      <c r="M173" s="8"/>
      <c r="N173" s="49" t="s">
        <v>17</v>
      </c>
      <c r="O173" s="9"/>
      <c r="P173" s="6"/>
    </row>
    <row r="174" ht="12.0" customHeight="1">
      <c r="A174" s="14"/>
      <c r="B174" s="15"/>
      <c r="C174" s="67"/>
      <c r="D174" s="16" t="s">
        <v>290</v>
      </c>
      <c r="E174" s="17" t="s">
        <v>291</v>
      </c>
      <c r="F174" s="9" t="s">
        <v>225</v>
      </c>
      <c r="G174" s="24">
        <v>5127.0</v>
      </c>
      <c r="H174" s="19">
        <f t="shared" si="1"/>
        <v>474.25</v>
      </c>
      <c r="I174" s="6"/>
      <c r="J174" s="6"/>
      <c r="K174" s="6"/>
      <c r="L174" s="7">
        <f>SUM(1*'Mercadería'!L175)</f>
        <v>474.25</v>
      </c>
      <c r="M174" s="8"/>
      <c r="N174" s="20" t="s">
        <v>17</v>
      </c>
      <c r="O174" s="9"/>
      <c r="P174" s="6"/>
    </row>
    <row r="175" ht="12.0" customHeight="1">
      <c r="A175" s="14"/>
      <c r="B175" s="124"/>
      <c r="C175" s="124"/>
      <c r="D175" s="15" t="s">
        <v>292</v>
      </c>
      <c r="E175" s="21"/>
      <c r="F175" s="14"/>
      <c r="G175" s="22"/>
      <c r="H175" s="19">
        <f t="shared" si="1"/>
        <v>230.35</v>
      </c>
      <c r="I175" s="6"/>
      <c r="J175" s="6"/>
      <c r="K175" s="6"/>
      <c r="L175" s="7">
        <f>SUM(1*'Mercadería'!L176)</f>
        <v>230.35</v>
      </c>
      <c r="M175" s="8"/>
      <c r="N175" s="23" t="s">
        <v>293</v>
      </c>
      <c r="O175" s="9"/>
      <c r="P175" s="6"/>
    </row>
    <row r="176" ht="12.0" customHeight="1">
      <c r="A176" s="14"/>
      <c r="B176" s="124"/>
      <c r="C176" s="124"/>
      <c r="D176" s="16" t="s">
        <v>294</v>
      </c>
      <c r="E176" s="17"/>
      <c r="F176" s="9"/>
      <c r="G176" s="18"/>
      <c r="H176" s="19">
        <f t="shared" si="1"/>
        <v>237.125</v>
      </c>
      <c r="I176" s="6"/>
      <c r="J176" s="6"/>
      <c r="K176" s="6"/>
      <c r="L176" s="7">
        <f>SUM(1*'Mercadería'!L177)</f>
        <v>237.125</v>
      </c>
      <c r="M176" s="8"/>
      <c r="N176" s="20" t="s">
        <v>293</v>
      </c>
      <c r="O176" s="9"/>
      <c r="P176" s="6"/>
    </row>
    <row r="177" ht="12.0" customHeight="1">
      <c r="A177" s="14"/>
      <c r="B177" s="15"/>
      <c r="C177" s="15"/>
      <c r="D177" s="46" t="s">
        <v>295</v>
      </c>
      <c r="E177" s="47" t="s">
        <v>233</v>
      </c>
      <c r="F177" s="125" t="s">
        <v>296</v>
      </c>
      <c r="G177" s="126" t="s">
        <v>297</v>
      </c>
      <c r="H177" s="19">
        <f t="shared" si="1"/>
        <v>387.6</v>
      </c>
      <c r="I177" s="6"/>
      <c r="J177" s="6"/>
      <c r="K177" s="6"/>
      <c r="L177" s="7">
        <f>SUM(1*'Mercadería'!L178)</f>
        <v>387.6</v>
      </c>
      <c r="M177" s="8"/>
      <c r="N177" s="23"/>
      <c r="O177" s="9"/>
      <c r="P177" s="6"/>
    </row>
    <row r="178" ht="12.0" customHeight="1">
      <c r="A178" s="14"/>
      <c r="B178" s="15"/>
      <c r="C178" s="15"/>
      <c r="D178" s="46" t="s">
        <v>298</v>
      </c>
      <c r="E178" s="47" t="s">
        <v>299</v>
      </c>
      <c r="F178" s="125" t="s">
        <v>296</v>
      </c>
      <c r="G178" s="126" t="s">
        <v>300</v>
      </c>
      <c r="H178" s="19">
        <f t="shared" si="1"/>
        <v>543.6</v>
      </c>
      <c r="I178" s="6"/>
      <c r="J178" s="6"/>
      <c r="K178" s="6"/>
      <c r="L178" s="7">
        <f>SUM(1*'Mercadería'!L179)</f>
        <v>543.6</v>
      </c>
      <c r="M178" s="8"/>
      <c r="N178" s="23"/>
      <c r="O178" s="9"/>
      <c r="P178" s="6"/>
    </row>
    <row r="179" ht="12.0" customHeight="1">
      <c r="A179" s="14"/>
      <c r="B179" s="16"/>
      <c r="C179" s="16"/>
      <c r="D179" s="16" t="s">
        <v>301</v>
      </c>
      <c r="E179" s="17"/>
      <c r="F179" s="9"/>
      <c r="G179" s="18">
        <v>338.0</v>
      </c>
      <c r="H179" s="19">
        <f t="shared" si="1"/>
        <v>205.92</v>
      </c>
      <c r="I179" s="6"/>
      <c r="J179" s="6"/>
      <c r="K179" s="6"/>
      <c r="L179" s="7">
        <f>SUM(1*'Mercadería'!L180)</f>
        <v>205.92</v>
      </c>
      <c r="M179" s="8"/>
      <c r="N179" s="20" t="s">
        <v>61</v>
      </c>
      <c r="O179" s="9"/>
      <c r="P179" s="6"/>
    </row>
    <row r="180" ht="12.0" customHeight="1">
      <c r="A180" s="14"/>
      <c r="B180" s="16"/>
      <c r="C180" s="16"/>
      <c r="D180" s="39" t="s">
        <v>302</v>
      </c>
      <c r="E180" s="40" t="s">
        <v>303</v>
      </c>
      <c r="F180" s="41"/>
      <c r="G180" s="42">
        <v>2220.0</v>
      </c>
      <c r="H180" s="29">
        <f t="shared" si="1"/>
        <v>85.063</v>
      </c>
      <c r="I180" s="43"/>
      <c r="J180" s="43"/>
      <c r="K180" s="43"/>
      <c r="L180" s="44">
        <f>SUM(1*'Mercadería'!L181)</f>
        <v>85.063</v>
      </c>
      <c r="M180" s="8"/>
      <c r="N180" s="45" t="s">
        <v>17</v>
      </c>
      <c r="O180" s="9"/>
      <c r="P180" s="6"/>
    </row>
    <row r="181" ht="12.0" customHeight="1">
      <c r="A181" s="14"/>
      <c r="B181" s="16"/>
      <c r="C181" s="16"/>
      <c r="D181" s="15" t="s">
        <v>302</v>
      </c>
      <c r="E181" s="21" t="s">
        <v>304</v>
      </c>
      <c r="F181" s="14"/>
      <c r="G181" s="22"/>
      <c r="H181" s="19">
        <f t="shared" si="1"/>
        <v>612.986</v>
      </c>
      <c r="I181" s="6"/>
      <c r="J181" s="6"/>
      <c r="K181" s="6"/>
      <c r="L181" s="7">
        <f>SUM(1*'Mercadería'!L182)</f>
        <v>612.986</v>
      </c>
      <c r="M181" s="8"/>
      <c r="N181" s="23" t="s">
        <v>17</v>
      </c>
      <c r="O181" s="9"/>
      <c r="P181" s="6"/>
    </row>
    <row r="182" ht="12.0" customHeight="1">
      <c r="A182" s="14"/>
      <c r="B182" s="1"/>
      <c r="C182" s="1"/>
      <c r="D182" s="50" t="s">
        <v>305</v>
      </c>
      <c r="E182" s="50"/>
      <c r="F182" s="50"/>
      <c r="G182" s="49">
        <v>1703.0</v>
      </c>
      <c r="H182" s="19">
        <f t="shared" si="1"/>
        <v>268.983</v>
      </c>
      <c r="I182" s="6"/>
      <c r="J182" s="6"/>
      <c r="K182" s="6"/>
      <c r="L182" s="7">
        <f>SUM(1*'Mercadería'!L183)</f>
        <v>268.983</v>
      </c>
      <c r="M182" s="8"/>
      <c r="N182" s="49" t="s">
        <v>17</v>
      </c>
      <c r="O182" s="9"/>
      <c r="P182" s="6"/>
    </row>
    <row r="183" ht="12.0" customHeight="1">
      <c r="A183" s="14"/>
      <c r="B183" s="124"/>
      <c r="C183" s="127"/>
      <c r="D183" s="46" t="s">
        <v>306</v>
      </c>
      <c r="E183" s="50"/>
      <c r="F183" s="50"/>
      <c r="G183" s="49">
        <v>1710.0</v>
      </c>
      <c r="H183" s="19">
        <f t="shared" si="1"/>
        <v>512.193</v>
      </c>
      <c r="I183" s="6"/>
      <c r="J183" s="6"/>
      <c r="K183" s="6"/>
      <c r="L183" s="7">
        <f>SUM(1*'Mercadería'!L184)</f>
        <v>512.193</v>
      </c>
      <c r="M183" s="8"/>
      <c r="N183" s="49" t="s">
        <v>17</v>
      </c>
      <c r="O183" s="9"/>
      <c r="P183" s="6"/>
    </row>
    <row r="184" ht="12.0" customHeight="1">
      <c r="A184" s="14"/>
      <c r="B184" s="128"/>
      <c r="C184" s="128"/>
      <c r="D184" s="31" t="s">
        <v>307</v>
      </c>
      <c r="E184" s="32" t="s">
        <v>308</v>
      </c>
      <c r="F184" s="9"/>
      <c r="G184" s="34">
        <v>505.0</v>
      </c>
      <c r="H184" s="19">
        <f t="shared" si="1"/>
        <v>598.4</v>
      </c>
      <c r="I184" s="129" t="s">
        <v>173</v>
      </c>
      <c r="J184" s="6"/>
      <c r="K184" s="6"/>
      <c r="L184" s="7">
        <f>SUM(1*'Mercadería'!L185)</f>
        <v>598.4</v>
      </c>
      <c r="M184" s="8"/>
      <c r="N184" s="20" t="s">
        <v>61</v>
      </c>
      <c r="O184" s="9"/>
      <c r="P184" s="6"/>
    </row>
    <row r="185" ht="12.0" customHeight="1">
      <c r="A185" s="14"/>
      <c r="B185" s="128"/>
      <c r="C185" s="128"/>
      <c r="D185" s="39" t="s">
        <v>307</v>
      </c>
      <c r="E185" s="40" t="s">
        <v>309</v>
      </c>
      <c r="F185" s="41"/>
      <c r="G185" s="42">
        <v>506.0</v>
      </c>
      <c r="H185" s="29">
        <f t="shared" si="1"/>
        <v>44.693</v>
      </c>
      <c r="I185" s="130" t="s">
        <v>173</v>
      </c>
      <c r="J185" s="6"/>
      <c r="K185" s="6"/>
      <c r="L185" s="7">
        <f>SUM(1*'Mercadería'!L186)</f>
        <v>44.693</v>
      </c>
      <c r="M185" s="8"/>
      <c r="N185" s="45" t="s">
        <v>61</v>
      </c>
      <c r="O185" s="9"/>
      <c r="P185" s="6"/>
    </row>
    <row r="186" ht="12.0" customHeight="1">
      <c r="A186" s="14"/>
      <c r="B186" s="78"/>
      <c r="C186" s="78"/>
      <c r="D186" s="31" t="s">
        <v>310</v>
      </c>
      <c r="E186" s="131"/>
      <c r="F186" s="9"/>
      <c r="G186" s="34">
        <v>3063.0</v>
      </c>
      <c r="H186" s="19">
        <f t="shared" si="1"/>
        <v>2371.842</v>
      </c>
      <c r="I186" s="6"/>
      <c r="J186" s="6"/>
      <c r="K186" s="6"/>
      <c r="L186" s="7">
        <f>SUM(1*'Mercadería'!L187)</f>
        <v>2371.842</v>
      </c>
      <c r="M186" s="8"/>
      <c r="N186" s="20" t="s">
        <v>17</v>
      </c>
      <c r="O186" s="9"/>
      <c r="P186" s="6"/>
    </row>
    <row r="187" ht="12.0" customHeight="1">
      <c r="A187" s="14"/>
      <c r="B187" s="78"/>
      <c r="C187" s="78"/>
      <c r="D187" s="31" t="s">
        <v>311</v>
      </c>
      <c r="E187" s="131"/>
      <c r="F187" s="9"/>
      <c r="G187" s="34"/>
      <c r="H187" s="19">
        <f t="shared" si="1"/>
        <v>255</v>
      </c>
      <c r="I187" s="6"/>
      <c r="J187" s="6"/>
      <c r="K187" s="6"/>
      <c r="L187" s="7">
        <f>SUM(1*'Mercadería'!L188)</f>
        <v>255</v>
      </c>
      <c r="M187" s="8"/>
      <c r="N187" s="20"/>
      <c r="O187" s="9"/>
      <c r="P187" s="6"/>
    </row>
    <row r="188" ht="12.0" customHeight="1">
      <c r="A188" s="14"/>
      <c r="B188" s="15"/>
      <c r="C188" s="15"/>
      <c r="D188" s="15" t="s">
        <v>312</v>
      </c>
      <c r="E188" s="47" t="s">
        <v>308</v>
      </c>
      <c r="F188" s="14"/>
      <c r="G188" s="22">
        <v>516.0</v>
      </c>
      <c r="H188" s="19">
        <f t="shared" si="1"/>
        <v>142.2</v>
      </c>
      <c r="I188" s="6"/>
      <c r="J188" s="6"/>
      <c r="K188" s="6"/>
      <c r="L188" s="7">
        <f>SUM(1*'Mercadería'!L189)</f>
        <v>142.2</v>
      </c>
      <c r="M188" s="8"/>
      <c r="N188" s="23" t="s">
        <v>61</v>
      </c>
      <c r="O188" s="9"/>
      <c r="P188" s="6"/>
    </row>
    <row r="189" ht="12.0" customHeight="1">
      <c r="A189" s="14"/>
      <c r="B189" s="15"/>
      <c r="C189" s="15"/>
      <c r="D189" s="16" t="s">
        <v>313</v>
      </c>
      <c r="E189" s="32" t="s">
        <v>308</v>
      </c>
      <c r="F189" s="9"/>
      <c r="G189" s="18">
        <v>515.0</v>
      </c>
      <c r="H189" s="19">
        <f t="shared" si="1"/>
        <v>142.2</v>
      </c>
      <c r="I189" s="6"/>
      <c r="J189" s="6"/>
      <c r="K189" s="6"/>
      <c r="L189" s="7">
        <f>SUM(1*'Mercadería'!L190)</f>
        <v>142.2</v>
      </c>
      <c r="M189" s="8"/>
      <c r="N189" s="20" t="s">
        <v>61</v>
      </c>
      <c r="O189" s="9"/>
      <c r="P189" s="6"/>
    </row>
    <row r="190" ht="12.0" customHeight="1">
      <c r="A190" s="14"/>
      <c r="B190" s="15"/>
      <c r="C190" s="15"/>
      <c r="D190" s="15" t="s">
        <v>314</v>
      </c>
      <c r="E190" s="132" t="s">
        <v>315</v>
      </c>
      <c r="F190" s="14"/>
      <c r="G190" s="22">
        <v>518.0</v>
      </c>
      <c r="H190" s="19">
        <f t="shared" si="1"/>
        <v>142.2</v>
      </c>
      <c r="I190" s="6"/>
      <c r="J190" s="6"/>
      <c r="K190" s="6"/>
      <c r="L190" s="7">
        <f>SUM(1*'Mercadería'!L191)</f>
        <v>142.2</v>
      </c>
      <c r="M190" s="8"/>
      <c r="N190" s="23" t="s">
        <v>61</v>
      </c>
      <c r="O190" s="9"/>
      <c r="P190" s="6"/>
    </row>
    <row r="191" ht="12.0" customHeight="1">
      <c r="A191" s="14"/>
      <c r="B191" s="78"/>
      <c r="C191" s="78"/>
      <c r="D191" s="15" t="s">
        <v>316</v>
      </c>
      <c r="E191" s="132"/>
      <c r="F191" s="14"/>
      <c r="G191" s="51">
        <v>3079.0</v>
      </c>
      <c r="H191" s="19">
        <f t="shared" si="1"/>
        <v>1429.615</v>
      </c>
      <c r="I191" s="6"/>
      <c r="J191" s="6"/>
      <c r="K191" s="6"/>
      <c r="L191" s="7">
        <f>SUM(1*'Mercadería'!L192)</f>
        <v>1429.615</v>
      </c>
      <c r="M191" s="8"/>
      <c r="N191" s="23"/>
      <c r="O191" s="9"/>
      <c r="P191" s="6"/>
    </row>
    <row r="192" ht="12.0" customHeight="1">
      <c r="A192" s="14"/>
      <c r="B192" s="15"/>
      <c r="C192" s="15"/>
      <c r="D192" s="16" t="s">
        <v>317</v>
      </c>
      <c r="E192" s="131"/>
      <c r="F192" s="9"/>
      <c r="G192" s="18">
        <v>3094.0</v>
      </c>
      <c r="H192" s="19">
        <f t="shared" si="1"/>
        <v>156.7918</v>
      </c>
      <c r="I192" s="6"/>
      <c r="J192" s="6"/>
      <c r="K192" s="6"/>
      <c r="L192" s="7">
        <f>SUM(1*'Mercadería'!L193)</f>
        <v>156.7918</v>
      </c>
      <c r="M192" s="8"/>
      <c r="N192" s="20" t="s">
        <v>17</v>
      </c>
      <c r="O192" s="9"/>
      <c r="P192" s="6"/>
    </row>
    <row r="193" ht="12.0" customHeight="1">
      <c r="A193" s="14"/>
      <c r="B193" s="16"/>
      <c r="C193" s="16"/>
      <c r="D193" s="16" t="s">
        <v>318</v>
      </c>
      <c r="E193" s="133"/>
      <c r="F193" s="9"/>
      <c r="G193" s="18">
        <v>2620.0</v>
      </c>
      <c r="H193" s="19">
        <f t="shared" si="1"/>
        <v>405.1685</v>
      </c>
      <c r="I193" s="6"/>
      <c r="J193" s="6"/>
      <c r="K193" s="6"/>
      <c r="L193" s="7">
        <f>SUM(1*'Mercadería'!L194)</f>
        <v>405.1685</v>
      </c>
      <c r="M193" s="8"/>
      <c r="N193" s="20" t="s">
        <v>17</v>
      </c>
      <c r="O193" s="9"/>
      <c r="P193" s="6"/>
    </row>
    <row r="194" ht="12.0" customHeight="1">
      <c r="A194" s="14"/>
      <c r="B194" s="15"/>
      <c r="C194" s="15"/>
      <c r="D194" s="46" t="s">
        <v>319</v>
      </c>
      <c r="E194" s="14"/>
      <c r="F194" s="14"/>
      <c r="G194" s="48">
        <v>543.0</v>
      </c>
      <c r="H194" s="19">
        <f t="shared" si="1"/>
        <v>36.81907895</v>
      </c>
      <c r="I194" s="15" t="s">
        <v>245</v>
      </c>
      <c r="J194" s="6"/>
      <c r="K194" s="6"/>
      <c r="L194" s="7">
        <f>SUM(1*'Mercadería'!L195)</f>
        <v>36.81907895</v>
      </c>
      <c r="M194" s="8"/>
      <c r="N194" s="23" t="s">
        <v>61</v>
      </c>
      <c r="O194" s="9"/>
      <c r="P194" s="6"/>
    </row>
    <row r="195" ht="12.0" customHeight="1">
      <c r="A195" s="14"/>
      <c r="B195" s="15"/>
      <c r="C195" s="134"/>
      <c r="D195" s="36" t="s">
        <v>320</v>
      </c>
      <c r="E195" s="36"/>
      <c r="F195" s="33"/>
      <c r="G195" s="34">
        <v>4249.0</v>
      </c>
      <c r="H195" s="19">
        <f t="shared" si="1"/>
        <v>1326</v>
      </c>
      <c r="I195" s="6"/>
      <c r="J195" s="6"/>
      <c r="K195" s="6"/>
      <c r="L195" s="7">
        <f>SUM(1*'Mercadería'!L196)</f>
        <v>1326</v>
      </c>
      <c r="M195" s="8"/>
      <c r="N195" s="38" t="s">
        <v>61</v>
      </c>
      <c r="O195" s="9"/>
      <c r="P195" s="6"/>
    </row>
    <row r="196" ht="12.0" customHeight="1">
      <c r="A196" s="52"/>
      <c r="B196" s="15"/>
      <c r="C196" s="15"/>
      <c r="D196" s="15" t="s">
        <v>321</v>
      </c>
      <c r="E196" s="21"/>
      <c r="F196" s="14"/>
      <c r="G196" s="22">
        <v>875.0</v>
      </c>
      <c r="H196" s="19">
        <f t="shared" si="1"/>
        <v>969.5</v>
      </c>
      <c r="I196" s="6"/>
      <c r="J196" s="6"/>
      <c r="K196" s="6"/>
      <c r="L196" s="7">
        <f>SUM(1*'Mercadería'!L197)</f>
        <v>969.5</v>
      </c>
      <c r="M196" s="8"/>
      <c r="N196" s="23" t="s">
        <v>61</v>
      </c>
      <c r="O196" s="9"/>
      <c r="P196" s="6"/>
    </row>
    <row r="197" ht="12.0" customHeight="1">
      <c r="A197" s="52"/>
      <c r="B197" s="15"/>
      <c r="C197" s="15"/>
      <c r="D197" s="31" t="s">
        <v>322</v>
      </c>
      <c r="E197" s="32" t="s">
        <v>323</v>
      </c>
      <c r="F197" s="9"/>
      <c r="G197" s="18"/>
      <c r="H197" s="19">
        <f t="shared" si="1"/>
        <v>940.17</v>
      </c>
      <c r="I197" s="6"/>
      <c r="J197" s="6"/>
      <c r="K197" s="6"/>
      <c r="L197" s="7">
        <f>SUM(1*'Mercadería'!L198)</f>
        <v>940.17</v>
      </c>
      <c r="M197" s="8"/>
      <c r="N197" s="38" t="s">
        <v>17</v>
      </c>
      <c r="O197" s="9"/>
      <c r="P197" s="6"/>
    </row>
    <row r="198" ht="12.0" customHeight="1">
      <c r="A198" s="14"/>
      <c r="B198" s="15"/>
      <c r="C198" s="134"/>
      <c r="D198" s="31" t="s">
        <v>324</v>
      </c>
      <c r="E198" s="32" t="s">
        <v>325</v>
      </c>
      <c r="F198" s="33"/>
      <c r="G198" s="34">
        <v>7156.0</v>
      </c>
      <c r="H198" s="19">
        <f t="shared" si="1"/>
        <v>1047.618</v>
      </c>
      <c r="I198" s="6"/>
      <c r="J198" s="6"/>
      <c r="K198" s="6"/>
      <c r="L198" s="7">
        <f>SUM(1*'Mercadería'!L199)</f>
        <v>1047.618</v>
      </c>
      <c r="M198" s="8"/>
      <c r="N198" s="38" t="s">
        <v>17</v>
      </c>
      <c r="O198" s="9"/>
      <c r="P198" s="6"/>
    </row>
    <row r="199" ht="12.0" customHeight="1">
      <c r="A199" s="52"/>
      <c r="B199" s="67"/>
      <c r="C199" s="67"/>
      <c r="D199" s="15" t="s">
        <v>326</v>
      </c>
      <c r="E199" s="21"/>
      <c r="F199" s="14"/>
      <c r="G199" s="22">
        <v>1128.0</v>
      </c>
      <c r="H199" s="19">
        <f t="shared" si="1"/>
        <v>2538.8825</v>
      </c>
      <c r="I199" s="6"/>
      <c r="J199" s="6"/>
      <c r="K199" s="6"/>
      <c r="L199" s="7">
        <f>SUM(1*'Mercadería'!L200)</f>
        <v>2538.8825</v>
      </c>
      <c r="M199" s="8"/>
      <c r="N199" s="23" t="s">
        <v>17</v>
      </c>
      <c r="O199" s="9"/>
      <c r="P199" s="6"/>
    </row>
    <row r="200" ht="12.0" customHeight="1">
      <c r="A200" s="14"/>
      <c r="B200" s="15"/>
      <c r="C200" s="15"/>
      <c r="D200" s="16" t="s">
        <v>327</v>
      </c>
      <c r="E200" s="17"/>
      <c r="F200" s="9"/>
      <c r="G200" s="18"/>
      <c r="H200" s="19">
        <f t="shared" si="1"/>
        <v>308.94</v>
      </c>
      <c r="I200" s="6"/>
      <c r="J200" s="6"/>
      <c r="K200" s="6"/>
      <c r="L200" s="7">
        <f>SUM(1*'Mercadería'!L201)</f>
        <v>308.94</v>
      </c>
      <c r="M200" s="8"/>
      <c r="N200" s="20"/>
      <c r="O200" s="9"/>
      <c r="P200" s="6"/>
    </row>
    <row r="201" ht="12.0" customHeight="1">
      <c r="A201" s="14"/>
      <c r="B201" s="71"/>
      <c r="C201" s="71"/>
      <c r="D201" s="15" t="s">
        <v>328</v>
      </c>
      <c r="E201" s="21" t="s">
        <v>329</v>
      </c>
      <c r="F201" s="14" t="s">
        <v>330</v>
      </c>
      <c r="G201" s="22">
        <v>982.0</v>
      </c>
      <c r="H201" s="19">
        <f t="shared" si="1"/>
        <v>400.752</v>
      </c>
      <c r="I201" s="6"/>
      <c r="J201" s="6"/>
      <c r="K201" s="6"/>
      <c r="L201" s="7">
        <f>SUM(1*'Mercadería'!L202)</f>
        <v>400.752</v>
      </c>
      <c r="M201" s="8"/>
      <c r="N201" s="23" t="s">
        <v>17</v>
      </c>
      <c r="O201" s="9"/>
      <c r="P201" s="6"/>
    </row>
    <row r="202" ht="12.0" customHeight="1">
      <c r="A202" s="14"/>
      <c r="B202" s="71"/>
      <c r="C202" s="71"/>
      <c r="D202" s="39" t="s">
        <v>328</v>
      </c>
      <c r="E202" s="40" t="s">
        <v>331</v>
      </c>
      <c r="F202" s="41" t="s">
        <v>332</v>
      </c>
      <c r="G202" s="42">
        <v>8355.0</v>
      </c>
      <c r="H202" s="29">
        <f t="shared" si="1"/>
        <v>156.4</v>
      </c>
      <c r="I202" s="43"/>
      <c r="J202" s="43"/>
      <c r="K202" s="43"/>
      <c r="L202" s="44">
        <f>SUM(1*'Mercadería'!L203)</f>
        <v>156.4</v>
      </c>
      <c r="M202" s="8"/>
      <c r="N202" s="45" t="s">
        <v>61</v>
      </c>
      <c r="O202" s="9"/>
      <c r="P202" s="6"/>
    </row>
    <row r="203" ht="12.0" customHeight="1">
      <c r="A203" s="14"/>
      <c r="B203" s="135"/>
      <c r="C203" s="135"/>
      <c r="D203" s="31" t="s">
        <v>333</v>
      </c>
      <c r="E203" s="32" t="s">
        <v>334</v>
      </c>
      <c r="F203" s="27"/>
      <c r="G203" s="59">
        <v>1601.0</v>
      </c>
      <c r="H203" s="19">
        <f t="shared" si="1"/>
        <v>167.58</v>
      </c>
      <c r="I203" s="6"/>
      <c r="J203" s="6"/>
      <c r="K203" s="6"/>
      <c r="L203" s="7">
        <f>SUM(1*'Mercadería'!L204)</f>
        <v>167.58</v>
      </c>
      <c r="M203" s="8"/>
      <c r="N203" s="61" t="s">
        <v>119</v>
      </c>
      <c r="O203" s="9"/>
      <c r="P203" s="6"/>
    </row>
    <row r="204" ht="12.0" customHeight="1">
      <c r="A204" s="14"/>
      <c r="B204" s="135"/>
      <c r="C204" s="135"/>
      <c r="D204" s="31" t="s">
        <v>335</v>
      </c>
      <c r="E204" s="32" t="s">
        <v>336</v>
      </c>
      <c r="F204" s="6"/>
      <c r="G204" s="136">
        <v>1602.0</v>
      </c>
      <c r="H204" s="19">
        <f t="shared" si="1"/>
        <v>270.522</v>
      </c>
      <c r="I204" s="6"/>
      <c r="J204" s="6"/>
      <c r="K204" s="6"/>
      <c r="L204" s="7">
        <f>SUM(1*'Mercadería'!L205)</f>
        <v>270.522</v>
      </c>
      <c r="M204" s="8"/>
      <c r="N204" s="61" t="s">
        <v>119</v>
      </c>
      <c r="O204" s="9"/>
      <c r="P204" s="6"/>
    </row>
    <row r="205" ht="12.0" customHeight="1">
      <c r="A205" s="14"/>
      <c r="B205" s="15"/>
      <c r="C205" s="15"/>
      <c r="D205" s="39" t="s">
        <v>337</v>
      </c>
      <c r="E205" s="40" t="s">
        <v>338</v>
      </c>
      <c r="F205" s="41"/>
      <c r="G205" s="42">
        <v>2350.0</v>
      </c>
      <c r="H205" s="19">
        <f t="shared" si="1"/>
        <v>22.33</v>
      </c>
      <c r="I205" s="6"/>
      <c r="J205" s="6"/>
      <c r="K205" s="6"/>
      <c r="L205" s="7">
        <f>SUM(1*'Mercadería'!L206)</f>
        <v>22.33</v>
      </c>
      <c r="M205" s="8"/>
      <c r="N205" s="45" t="s">
        <v>61</v>
      </c>
      <c r="O205" s="9"/>
      <c r="P205" s="6"/>
    </row>
    <row r="206" ht="12.0" customHeight="1">
      <c r="A206" s="14"/>
      <c r="B206" s="15"/>
      <c r="C206" s="15"/>
      <c r="D206" s="16" t="s">
        <v>337</v>
      </c>
      <c r="E206" s="17" t="s">
        <v>339</v>
      </c>
      <c r="F206" s="9"/>
      <c r="G206" s="18">
        <v>2351.0</v>
      </c>
      <c r="H206" s="19">
        <f t="shared" si="1"/>
        <v>690.144</v>
      </c>
      <c r="I206" s="6"/>
      <c r="J206" s="6"/>
      <c r="K206" s="6"/>
      <c r="L206" s="7">
        <f>SUM(1*'Mercadería'!L207)</f>
        <v>690.144</v>
      </c>
      <c r="M206" s="8"/>
      <c r="N206" s="20" t="s">
        <v>61</v>
      </c>
      <c r="O206" s="9"/>
      <c r="P206" s="6"/>
    </row>
    <row r="207" ht="12.0" customHeight="1">
      <c r="A207" s="14"/>
      <c r="B207" s="15"/>
      <c r="C207" s="15"/>
      <c r="D207" s="15" t="s">
        <v>337</v>
      </c>
      <c r="E207" s="21" t="s">
        <v>235</v>
      </c>
      <c r="F207" s="14"/>
      <c r="G207" s="22">
        <v>2352.0</v>
      </c>
      <c r="H207" s="19">
        <f t="shared" si="1"/>
        <v>898.072</v>
      </c>
      <c r="I207" s="6"/>
      <c r="J207" s="6"/>
      <c r="K207" s="6"/>
      <c r="L207" s="7">
        <f>SUM(1*'Mercadería'!L208)</f>
        <v>898.072</v>
      </c>
      <c r="M207" s="8"/>
      <c r="N207" s="23" t="s">
        <v>61</v>
      </c>
      <c r="O207" s="9"/>
      <c r="P207" s="6"/>
    </row>
    <row r="208" ht="12.0" customHeight="1">
      <c r="A208" s="14"/>
      <c r="B208" s="15"/>
      <c r="C208" s="15"/>
      <c r="D208" s="16" t="s">
        <v>340</v>
      </c>
      <c r="E208" s="17" t="s">
        <v>341</v>
      </c>
      <c r="F208" s="9"/>
      <c r="G208" s="24">
        <v>15108.0</v>
      </c>
      <c r="H208" s="19">
        <f t="shared" si="1"/>
        <v>1100.495</v>
      </c>
      <c r="I208" s="6"/>
      <c r="J208" s="6"/>
      <c r="K208" s="6"/>
      <c r="L208" s="7">
        <f>SUM(1*'Mercadería'!L209)</f>
        <v>1100.495</v>
      </c>
      <c r="M208" s="8"/>
      <c r="N208" s="20" t="s">
        <v>17</v>
      </c>
      <c r="O208" s="9"/>
      <c r="P208" s="6"/>
    </row>
    <row r="209" ht="12.0" customHeight="1">
      <c r="A209" s="14"/>
      <c r="B209" s="15"/>
      <c r="C209" s="15"/>
      <c r="D209" s="15" t="s">
        <v>342</v>
      </c>
      <c r="E209" s="21"/>
      <c r="F209" s="14"/>
      <c r="G209" s="51">
        <v>6521.0</v>
      </c>
      <c r="H209" s="19">
        <f t="shared" si="1"/>
        <v>298.265</v>
      </c>
      <c r="I209" s="6"/>
      <c r="J209" s="6"/>
      <c r="K209" s="6"/>
      <c r="L209" s="7">
        <f>SUM(1*'Mercadería'!L210)</f>
        <v>298.265</v>
      </c>
      <c r="M209" s="8"/>
      <c r="N209" s="23" t="s">
        <v>17</v>
      </c>
      <c r="O209" s="9"/>
      <c r="P209" s="6"/>
    </row>
    <row r="210" ht="12.0" customHeight="1">
      <c r="A210" s="14"/>
      <c r="B210" s="15"/>
      <c r="C210" s="15"/>
      <c r="D210" s="16" t="s">
        <v>343</v>
      </c>
      <c r="E210" s="17"/>
      <c r="F210" s="9"/>
      <c r="G210" s="24">
        <v>6522.0</v>
      </c>
      <c r="H210" s="19">
        <f t="shared" si="1"/>
        <v>298.265</v>
      </c>
      <c r="I210" s="6"/>
      <c r="J210" s="6"/>
      <c r="K210" s="6"/>
      <c r="L210" s="7">
        <f>SUM(1*'Mercadería'!L211)</f>
        <v>298.265</v>
      </c>
      <c r="M210" s="8"/>
      <c r="N210" s="20" t="s">
        <v>17</v>
      </c>
      <c r="O210" s="9"/>
      <c r="P210" s="6"/>
    </row>
    <row r="211" ht="12.0" customHeight="1">
      <c r="A211" s="14"/>
      <c r="B211" s="15"/>
      <c r="C211" s="15"/>
      <c r="D211" s="39" t="s">
        <v>344</v>
      </c>
      <c r="E211" s="40"/>
      <c r="F211" s="41"/>
      <c r="G211" s="42">
        <v>6063.0</v>
      </c>
      <c r="H211" s="19">
        <f t="shared" si="1"/>
        <v>113.75</v>
      </c>
      <c r="I211" s="6"/>
      <c r="J211" s="6"/>
      <c r="K211" s="6"/>
      <c r="L211" s="7">
        <f>SUM(1*'Mercadería'!L212)</f>
        <v>113.75</v>
      </c>
      <c r="M211" s="8"/>
      <c r="N211" s="45" t="s">
        <v>17</v>
      </c>
      <c r="O211" s="9"/>
      <c r="P211" s="6"/>
    </row>
    <row r="212" ht="12.0" customHeight="1">
      <c r="A212" s="52"/>
      <c r="B212" s="15"/>
      <c r="C212" s="15"/>
      <c r="D212" s="16" t="s">
        <v>345</v>
      </c>
      <c r="E212" s="17"/>
      <c r="F212" s="9" t="s">
        <v>94</v>
      </c>
      <c r="G212" s="18">
        <v>2229.0</v>
      </c>
      <c r="H212" s="19">
        <f t="shared" si="1"/>
        <v>758.67</v>
      </c>
      <c r="I212" s="6"/>
      <c r="J212" s="6"/>
      <c r="K212" s="6"/>
      <c r="L212" s="7">
        <f>SUM(1*'Mercadería'!L213)</f>
        <v>758.67</v>
      </c>
      <c r="M212" s="8"/>
      <c r="N212" s="20" t="s">
        <v>17</v>
      </c>
      <c r="O212" s="9"/>
      <c r="P212" s="6"/>
    </row>
    <row r="213" ht="12.0" customHeight="1">
      <c r="A213" s="14"/>
      <c r="B213" s="15"/>
      <c r="C213" s="15"/>
      <c r="D213" s="39" t="s">
        <v>346</v>
      </c>
      <c r="E213" s="40"/>
      <c r="F213" s="41"/>
      <c r="G213" s="42">
        <v>5463.0</v>
      </c>
      <c r="H213" s="19">
        <f t="shared" si="1"/>
        <v>258.96</v>
      </c>
      <c r="I213" s="6"/>
      <c r="J213" s="6"/>
      <c r="K213" s="6"/>
      <c r="L213" s="7">
        <f>SUM(1*'Mercadería'!L214)</f>
        <v>258.96</v>
      </c>
      <c r="M213" s="8"/>
      <c r="N213" s="45" t="s">
        <v>61</v>
      </c>
      <c r="O213" s="9"/>
      <c r="P213" s="6"/>
    </row>
    <row r="214" ht="12.0" customHeight="1">
      <c r="A214" s="52"/>
      <c r="B214" s="15"/>
      <c r="C214" s="15"/>
      <c r="D214" s="31" t="s">
        <v>347</v>
      </c>
      <c r="E214" s="32"/>
      <c r="F214" s="33"/>
      <c r="G214" s="34">
        <v>5462.0</v>
      </c>
      <c r="H214" s="19">
        <f t="shared" si="1"/>
        <v>3308.2</v>
      </c>
      <c r="I214" s="6"/>
      <c r="J214" s="6"/>
      <c r="K214" s="6"/>
      <c r="L214" s="7">
        <f>SUM(1*'Mercadería'!L215)</f>
        <v>3308.2</v>
      </c>
      <c r="M214" s="8"/>
      <c r="N214" s="38" t="s">
        <v>61</v>
      </c>
      <c r="O214" s="9"/>
      <c r="P214" s="6"/>
    </row>
    <row r="215" ht="12.0" customHeight="1">
      <c r="A215" s="52"/>
      <c r="B215" s="15"/>
      <c r="C215" s="15"/>
      <c r="D215" s="15" t="s">
        <v>348</v>
      </c>
      <c r="E215" s="21" t="s">
        <v>349</v>
      </c>
      <c r="F215" s="14"/>
      <c r="G215" s="22"/>
      <c r="H215" s="19">
        <f t="shared" si="1"/>
        <v>130</v>
      </c>
      <c r="I215" s="6"/>
      <c r="J215" s="6"/>
      <c r="K215" s="6"/>
      <c r="L215" s="7">
        <f>SUM(1*'Mercadería'!L216)</f>
        <v>130</v>
      </c>
      <c r="M215" s="8"/>
      <c r="N215" s="23" t="s">
        <v>293</v>
      </c>
      <c r="O215" s="9"/>
      <c r="P215" s="6"/>
    </row>
    <row r="216" ht="12.0" customHeight="1">
      <c r="A216" s="52"/>
      <c r="B216" s="15"/>
      <c r="C216" s="15"/>
      <c r="D216" s="16" t="s">
        <v>350</v>
      </c>
      <c r="E216" s="17" t="s">
        <v>351</v>
      </c>
      <c r="F216" s="9"/>
      <c r="G216" s="18"/>
      <c r="H216" s="19">
        <f t="shared" si="1"/>
        <v>782</v>
      </c>
      <c r="I216" s="6"/>
      <c r="J216" s="6"/>
      <c r="K216" s="6"/>
      <c r="L216" s="7">
        <f>SUM(1*'Mercadería'!L217)</f>
        <v>782</v>
      </c>
      <c r="M216" s="8"/>
      <c r="N216" s="20" t="s">
        <v>293</v>
      </c>
      <c r="O216" s="9"/>
      <c r="P216" s="6"/>
    </row>
    <row r="217" ht="12.0" customHeight="1">
      <c r="A217" s="14"/>
      <c r="B217" s="15"/>
      <c r="C217" s="15"/>
      <c r="D217" s="16" t="s">
        <v>352</v>
      </c>
      <c r="E217" s="17" t="s">
        <v>353</v>
      </c>
      <c r="F217" s="9"/>
      <c r="G217" s="18">
        <v>3854.0</v>
      </c>
      <c r="H217" s="19">
        <f t="shared" si="1"/>
        <v>349.69</v>
      </c>
      <c r="I217" s="6" t="s">
        <v>112</v>
      </c>
      <c r="J217" s="6"/>
      <c r="K217" s="6"/>
      <c r="L217" s="7">
        <f>SUM(1*'Mercadería'!L218)</f>
        <v>349.69</v>
      </c>
      <c r="M217" s="8"/>
      <c r="N217" s="20" t="s">
        <v>354</v>
      </c>
      <c r="O217" s="9"/>
      <c r="P217" s="6"/>
    </row>
    <row r="218" ht="12.0" customHeight="1">
      <c r="A218" s="14"/>
      <c r="B218" s="15"/>
      <c r="C218" s="15"/>
      <c r="D218" s="15" t="s">
        <v>355</v>
      </c>
      <c r="E218" s="21"/>
      <c r="F218" s="14"/>
      <c r="G218" s="22"/>
      <c r="H218" s="19">
        <f t="shared" si="1"/>
        <v>252.7</v>
      </c>
      <c r="I218" s="6"/>
      <c r="J218" s="6"/>
      <c r="K218" s="6"/>
      <c r="L218" s="7">
        <f>SUM(1*'Mercadería'!L219)</f>
        <v>252.7</v>
      </c>
      <c r="M218" s="8"/>
      <c r="N218" s="23"/>
      <c r="O218" s="9"/>
      <c r="P218" s="6"/>
    </row>
    <row r="219" ht="12.0" customHeight="1">
      <c r="A219" s="14"/>
      <c r="B219" s="15"/>
      <c r="C219" s="15"/>
      <c r="D219" s="15" t="s">
        <v>356</v>
      </c>
      <c r="E219" s="21"/>
      <c r="F219" s="14"/>
      <c r="G219" s="22"/>
      <c r="H219" s="19">
        <f t="shared" si="1"/>
        <v>540</v>
      </c>
      <c r="I219" s="6"/>
      <c r="J219" s="6"/>
      <c r="K219" s="6"/>
      <c r="L219" s="7">
        <f>SUM(1*'Mercadería'!L220)</f>
        <v>540</v>
      </c>
      <c r="M219" s="8"/>
      <c r="N219" s="23"/>
      <c r="O219" s="9"/>
      <c r="P219" s="6"/>
    </row>
    <row r="220" ht="12.0" customHeight="1">
      <c r="A220" s="14"/>
      <c r="B220" s="10" t="s">
        <v>5</v>
      </c>
      <c r="C220" s="10"/>
      <c r="D220" s="137" t="s">
        <v>357</v>
      </c>
      <c r="E220" s="11" t="s">
        <v>358</v>
      </c>
      <c r="F220" s="12"/>
      <c r="G220" s="13"/>
      <c r="H220" s="19">
        <f t="shared" si="1"/>
        <v>0</v>
      </c>
      <c r="I220" s="6"/>
      <c r="J220" s="6"/>
      <c r="K220" s="6"/>
      <c r="L220" s="7">
        <f>SUM(1*'Mercadería'!L221)</f>
        <v>0</v>
      </c>
      <c r="M220" s="8"/>
      <c r="N220" s="65"/>
      <c r="O220" s="9"/>
      <c r="P220" s="6"/>
    </row>
    <row r="221" ht="12.0" customHeight="1">
      <c r="A221" s="52"/>
      <c r="B221" s="15"/>
      <c r="C221" s="15"/>
      <c r="D221" s="46" t="s">
        <v>359</v>
      </c>
      <c r="E221" s="47" t="s">
        <v>360</v>
      </c>
      <c r="F221" s="50" t="s">
        <v>361</v>
      </c>
      <c r="G221" s="60">
        <v>2063.0</v>
      </c>
      <c r="H221" s="35">
        <f t="shared" si="1"/>
        <v>4455</v>
      </c>
      <c r="I221" s="36"/>
      <c r="J221" s="36"/>
      <c r="K221" s="36"/>
      <c r="L221" s="37">
        <f>SUM(1*'Mercadería'!L222)</f>
        <v>4455</v>
      </c>
      <c r="M221" s="8"/>
      <c r="N221" s="49" t="s">
        <v>61</v>
      </c>
      <c r="O221" s="9"/>
      <c r="P221" s="6"/>
    </row>
    <row r="222" ht="12.0" customHeight="1">
      <c r="A222" s="52"/>
      <c r="B222" s="15"/>
      <c r="C222" s="15"/>
      <c r="D222" s="16" t="s">
        <v>362</v>
      </c>
      <c r="E222" s="17" t="s">
        <v>363</v>
      </c>
      <c r="F222" s="9" t="s">
        <v>361</v>
      </c>
      <c r="G222" s="24">
        <v>2094.0</v>
      </c>
      <c r="H222" s="19">
        <f t="shared" si="1"/>
        <v>4171.2</v>
      </c>
      <c r="I222" s="6"/>
      <c r="J222" s="6"/>
      <c r="K222" s="6"/>
      <c r="L222" s="7">
        <f>SUM(1*'Mercadería'!L223)</f>
        <v>4171.2</v>
      </c>
      <c r="M222" s="8"/>
      <c r="N222" s="95" t="s">
        <v>61</v>
      </c>
      <c r="O222" s="9"/>
      <c r="P222" s="6"/>
    </row>
    <row r="223" ht="12.0" customHeight="1">
      <c r="A223" s="52"/>
      <c r="B223" s="15"/>
      <c r="C223" s="15"/>
      <c r="D223" s="46" t="s">
        <v>359</v>
      </c>
      <c r="E223" s="47" t="s">
        <v>364</v>
      </c>
      <c r="F223" s="50" t="s">
        <v>361</v>
      </c>
      <c r="G223" s="60">
        <v>2097.0</v>
      </c>
      <c r="H223" s="35">
        <f t="shared" si="1"/>
        <v>3542.55</v>
      </c>
      <c r="I223" s="36"/>
      <c r="J223" s="36"/>
      <c r="K223" s="36"/>
      <c r="L223" s="37">
        <f>SUM(1*'Mercadería'!L224)</f>
        <v>3542.55</v>
      </c>
      <c r="M223" s="8"/>
      <c r="N223" s="138" t="s">
        <v>61</v>
      </c>
      <c r="O223" s="9"/>
      <c r="P223" s="6"/>
    </row>
    <row r="224" ht="12.0" customHeight="1">
      <c r="A224" s="52"/>
      <c r="B224" s="15"/>
      <c r="C224" s="15"/>
      <c r="D224" s="39" t="s">
        <v>365</v>
      </c>
      <c r="E224" s="40"/>
      <c r="F224" s="41" t="s">
        <v>231</v>
      </c>
      <c r="G224" s="81">
        <v>1263.0</v>
      </c>
      <c r="H224" s="29">
        <f t="shared" si="1"/>
        <v>1281.753</v>
      </c>
      <c r="I224" s="43"/>
      <c r="J224" s="43"/>
      <c r="K224" s="43"/>
      <c r="L224" s="44">
        <f>SUM(1*'Mercadería'!L225)</f>
        <v>1281.753</v>
      </c>
      <c r="M224" s="8"/>
      <c r="N224" s="139"/>
      <c r="O224" s="9"/>
      <c r="P224" s="6"/>
    </row>
    <row r="225" ht="12.0" customHeight="1">
      <c r="A225" s="52"/>
      <c r="B225" s="15"/>
      <c r="C225" s="15"/>
      <c r="D225" s="15" t="s">
        <v>366</v>
      </c>
      <c r="E225" s="21" t="s">
        <v>367</v>
      </c>
      <c r="F225" s="14" t="s">
        <v>361</v>
      </c>
      <c r="G225" s="51">
        <v>1260.0</v>
      </c>
      <c r="H225" s="19">
        <f t="shared" si="1"/>
        <v>1873.927</v>
      </c>
      <c r="I225" s="6"/>
      <c r="J225" s="6"/>
      <c r="K225" s="6"/>
      <c r="L225" s="7">
        <f>SUM(1*'Mercadería'!L226)</f>
        <v>1873.927</v>
      </c>
      <c r="M225" s="8"/>
      <c r="N225" s="138"/>
      <c r="O225" s="9"/>
      <c r="P225" s="6"/>
    </row>
    <row r="226" ht="12.0" customHeight="1">
      <c r="A226" s="52"/>
      <c r="B226" s="15"/>
      <c r="C226" s="15"/>
      <c r="D226" s="15" t="s">
        <v>368</v>
      </c>
      <c r="E226" s="21" t="s">
        <v>369</v>
      </c>
      <c r="F226" s="14" t="s">
        <v>361</v>
      </c>
      <c r="G226" s="51">
        <v>1207.0</v>
      </c>
      <c r="H226" s="19">
        <f t="shared" si="1"/>
        <v>1873.927</v>
      </c>
      <c r="I226" s="6"/>
      <c r="J226" s="6"/>
      <c r="K226" s="6"/>
      <c r="L226" s="7">
        <f>SUM(1*'Mercadería'!L227)</f>
        <v>1873.927</v>
      </c>
      <c r="M226" s="8"/>
      <c r="N226" s="138"/>
      <c r="O226" s="9"/>
      <c r="P226" s="6"/>
    </row>
    <row r="227" ht="12.0" customHeight="1">
      <c r="A227" s="52"/>
      <c r="B227" s="15"/>
      <c r="C227" s="15"/>
      <c r="D227" s="31" t="s">
        <v>370</v>
      </c>
      <c r="E227" s="17" t="s">
        <v>371</v>
      </c>
      <c r="F227" s="33" t="s">
        <v>372</v>
      </c>
      <c r="G227" s="34">
        <v>3107.0</v>
      </c>
      <c r="H227" s="35">
        <f t="shared" si="1"/>
        <v>1936</v>
      </c>
      <c r="I227" s="36"/>
      <c r="J227" s="36"/>
      <c r="K227" s="36"/>
      <c r="L227" s="37">
        <f>SUM(1*'Mercadería'!L228)</f>
        <v>1936</v>
      </c>
      <c r="M227" s="140"/>
      <c r="N227" s="141"/>
      <c r="O227" s="9"/>
      <c r="P227" s="6"/>
    </row>
    <row r="228" ht="12.0" customHeight="1">
      <c r="A228" s="52"/>
      <c r="B228" s="15"/>
      <c r="C228" s="15"/>
      <c r="D228" s="39" t="s">
        <v>373</v>
      </c>
      <c r="E228" s="40" t="s">
        <v>374</v>
      </c>
      <c r="F228" s="41" t="s">
        <v>361</v>
      </c>
      <c r="G228" s="42">
        <v>1282.0</v>
      </c>
      <c r="H228" s="29">
        <f t="shared" si="1"/>
        <v>740.7015</v>
      </c>
      <c r="I228" s="43"/>
      <c r="J228" s="43"/>
      <c r="K228" s="43"/>
      <c r="L228" s="44">
        <f>SUM(1*'Mercadería'!L229)</f>
        <v>740.7015</v>
      </c>
      <c r="M228" s="8"/>
      <c r="N228" s="45" t="s">
        <v>17</v>
      </c>
      <c r="O228" s="9"/>
      <c r="P228" s="6"/>
    </row>
    <row r="229" ht="12.0" customHeight="1">
      <c r="A229" s="52"/>
      <c r="B229" s="15"/>
      <c r="C229" s="15"/>
      <c r="D229" s="15" t="s">
        <v>375</v>
      </c>
      <c r="E229" s="21"/>
      <c r="F229" s="14"/>
      <c r="G229" s="22"/>
      <c r="H229" s="19">
        <f t="shared" si="1"/>
        <v>802.593</v>
      </c>
      <c r="I229" s="6"/>
      <c r="J229" s="6"/>
      <c r="K229" s="6"/>
      <c r="L229" s="7">
        <f>SUM(1*'Mercadería'!L230)</f>
        <v>802.593</v>
      </c>
      <c r="M229" s="8"/>
      <c r="N229" s="23" t="s">
        <v>17</v>
      </c>
      <c r="O229" s="9"/>
      <c r="P229" s="6"/>
    </row>
    <row r="230" ht="12.0" customHeight="1">
      <c r="A230" s="52"/>
      <c r="B230" s="15"/>
      <c r="C230" s="15"/>
      <c r="D230" s="16" t="s">
        <v>376</v>
      </c>
      <c r="E230" s="17" t="s">
        <v>377</v>
      </c>
      <c r="F230" s="9"/>
      <c r="G230" s="18"/>
      <c r="H230" s="19">
        <f t="shared" si="1"/>
        <v>1711.0005</v>
      </c>
      <c r="I230" s="6"/>
      <c r="J230" s="6"/>
      <c r="K230" s="6"/>
      <c r="L230" s="7">
        <f>SUM(1*'Mercadería'!L231)</f>
        <v>1711.0005</v>
      </c>
      <c r="M230" s="8"/>
      <c r="N230" s="20"/>
      <c r="O230" s="9"/>
      <c r="P230" s="6"/>
    </row>
    <row r="231" ht="12.0" customHeight="1">
      <c r="A231" s="14"/>
      <c r="B231" s="15"/>
      <c r="C231" s="15"/>
      <c r="D231" s="15" t="s">
        <v>378</v>
      </c>
      <c r="E231" s="21" t="s">
        <v>72</v>
      </c>
      <c r="F231" s="14"/>
      <c r="G231" s="22">
        <v>2242.0</v>
      </c>
      <c r="H231" s="19">
        <f t="shared" si="1"/>
        <v>1082.9</v>
      </c>
      <c r="I231" s="6"/>
      <c r="J231" s="6"/>
      <c r="K231" s="6"/>
      <c r="L231" s="7">
        <f>SUM(1*'Mercadería'!L232)</f>
        <v>1082.9</v>
      </c>
      <c r="M231" s="8"/>
      <c r="N231" s="23" t="s">
        <v>61</v>
      </c>
      <c r="O231" s="9"/>
      <c r="P231" s="6"/>
    </row>
    <row r="232" ht="12.0" customHeight="1">
      <c r="A232" s="52"/>
      <c r="B232" s="15"/>
      <c r="C232" s="15"/>
      <c r="D232" s="16" t="s">
        <v>378</v>
      </c>
      <c r="E232" s="17" t="s">
        <v>379</v>
      </c>
      <c r="F232" s="9"/>
      <c r="G232" s="18">
        <v>2244.0</v>
      </c>
      <c r="H232" s="19">
        <f t="shared" si="1"/>
        <v>1756.1</v>
      </c>
      <c r="I232" s="6"/>
      <c r="J232" s="6"/>
      <c r="K232" s="6"/>
      <c r="L232" s="7">
        <f>SUM(1*'Mercadería'!L233)</f>
        <v>1756.1</v>
      </c>
      <c r="M232" s="8"/>
      <c r="N232" s="20" t="s">
        <v>61</v>
      </c>
      <c r="O232" s="9"/>
      <c r="P232" s="6"/>
    </row>
    <row r="233" ht="12.0" customHeight="1">
      <c r="A233" s="52"/>
      <c r="B233" s="15"/>
      <c r="C233" s="15"/>
      <c r="D233" s="16" t="s">
        <v>380</v>
      </c>
      <c r="E233" s="17" t="s">
        <v>72</v>
      </c>
      <c r="F233" s="9"/>
      <c r="G233" s="24">
        <v>2247.0</v>
      </c>
      <c r="H233" s="19">
        <f t="shared" si="1"/>
        <v>807.5</v>
      </c>
      <c r="I233" s="6"/>
      <c r="J233" s="6"/>
      <c r="K233" s="6"/>
      <c r="L233" s="7">
        <f>SUM(1*'Mercadería'!L234)</f>
        <v>807.5</v>
      </c>
      <c r="M233" s="8"/>
      <c r="N233" s="20"/>
      <c r="O233" s="9"/>
      <c r="P233" s="6"/>
    </row>
    <row r="234" ht="12.0" customHeight="1">
      <c r="A234" s="14"/>
      <c r="B234" s="15"/>
      <c r="C234" s="15"/>
      <c r="D234" s="39" t="s">
        <v>381</v>
      </c>
      <c r="E234" s="40"/>
      <c r="F234" s="41" t="s">
        <v>382</v>
      </c>
      <c r="G234" s="42"/>
      <c r="H234" s="29">
        <f t="shared" si="1"/>
        <v>57.3</v>
      </c>
      <c r="I234" s="6"/>
      <c r="J234" s="6"/>
      <c r="K234" s="6"/>
      <c r="L234" s="7">
        <f>SUM(1*'Mercadería'!L235)</f>
        <v>57.3</v>
      </c>
      <c r="M234" s="8"/>
      <c r="N234" s="23" t="s">
        <v>293</v>
      </c>
      <c r="O234" s="9"/>
      <c r="P234" s="6"/>
    </row>
    <row r="235" ht="12.0" customHeight="1">
      <c r="A235" s="14"/>
      <c r="B235" s="15"/>
      <c r="C235" s="15"/>
      <c r="D235" s="25" t="s">
        <v>383</v>
      </c>
      <c r="E235" s="26">
        <v>45.0</v>
      </c>
      <c r="F235" s="27"/>
      <c r="G235" s="28"/>
      <c r="H235" s="29">
        <f t="shared" si="1"/>
        <v>28.288</v>
      </c>
      <c r="I235" s="43"/>
      <c r="J235" s="43"/>
      <c r="K235" s="43"/>
      <c r="L235" s="44">
        <f>SUM(1*'Mercadería'!L236)</f>
        <v>28.288</v>
      </c>
      <c r="M235" s="8"/>
      <c r="N235" s="30"/>
      <c r="O235" s="9"/>
      <c r="P235" s="6"/>
    </row>
    <row r="236" ht="12.0" customHeight="1">
      <c r="A236" s="14"/>
      <c r="B236" s="15"/>
      <c r="C236" s="15"/>
      <c r="D236" s="39" t="s">
        <v>384</v>
      </c>
      <c r="E236" s="40">
        <v>60.0</v>
      </c>
      <c r="F236" s="41"/>
      <c r="G236" s="42"/>
      <c r="H236" s="29">
        <f t="shared" si="1"/>
        <v>36</v>
      </c>
      <c r="I236" s="43"/>
      <c r="J236" s="43"/>
      <c r="K236" s="43"/>
      <c r="L236" s="44">
        <f>SUM(1*'Mercadería'!L237)</f>
        <v>36</v>
      </c>
      <c r="M236" s="8"/>
      <c r="N236" s="45"/>
      <c r="O236" s="9"/>
      <c r="P236" s="6"/>
    </row>
    <row r="237" ht="12.0" customHeight="1">
      <c r="A237" s="14"/>
      <c r="B237" s="15"/>
      <c r="C237" s="15"/>
      <c r="D237" s="16" t="s">
        <v>385</v>
      </c>
      <c r="E237" s="17" t="s">
        <v>386</v>
      </c>
      <c r="F237" s="33"/>
      <c r="G237" s="34">
        <v>4200.0</v>
      </c>
      <c r="H237" s="35">
        <f t="shared" si="1"/>
        <v>213.444</v>
      </c>
      <c r="I237" s="6"/>
      <c r="J237" s="6"/>
      <c r="K237" s="6"/>
      <c r="L237" s="7">
        <f>SUM(1*'Mercadería'!L238)</f>
        <v>213.444</v>
      </c>
      <c r="M237" s="8"/>
      <c r="N237" s="20" t="s">
        <v>17</v>
      </c>
      <c r="O237" s="9"/>
      <c r="P237" s="6"/>
    </row>
    <row r="238" ht="12.0" customHeight="1">
      <c r="A238" s="14"/>
      <c r="B238" s="15"/>
      <c r="C238" s="15"/>
      <c r="D238" s="15" t="s">
        <v>385</v>
      </c>
      <c r="E238" s="21" t="s">
        <v>235</v>
      </c>
      <c r="F238" s="50"/>
      <c r="G238" s="48">
        <v>4202.0</v>
      </c>
      <c r="H238" s="35">
        <f t="shared" si="1"/>
        <v>290.28384</v>
      </c>
      <c r="I238" s="6"/>
      <c r="J238" s="6"/>
      <c r="K238" s="6"/>
      <c r="L238" s="7">
        <f>SUM(1*'Mercadería'!L239)</f>
        <v>290.28384</v>
      </c>
      <c r="M238" s="8"/>
      <c r="N238" s="23" t="s">
        <v>17</v>
      </c>
      <c r="O238" s="9"/>
      <c r="P238" s="6"/>
    </row>
    <row r="239" ht="12.0" customHeight="1">
      <c r="A239" s="14"/>
      <c r="B239" s="15"/>
      <c r="C239" s="15"/>
      <c r="D239" s="25" t="s">
        <v>387</v>
      </c>
      <c r="E239" s="26" t="s">
        <v>386</v>
      </c>
      <c r="F239" s="27"/>
      <c r="G239" s="28">
        <v>2401.0</v>
      </c>
      <c r="H239" s="29">
        <f t="shared" si="1"/>
        <v>16.38</v>
      </c>
      <c r="I239" s="6"/>
      <c r="J239" s="6"/>
      <c r="K239" s="6"/>
      <c r="L239" s="7">
        <f>SUM(1*'Mercadería'!L240)</f>
        <v>16.38</v>
      </c>
      <c r="M239" s="8"/>
      <c r="N239" s="20" t="s">
        <v>61</v>
      </c>
      <c r="O239" s="9"/>
      <c r="P239" s="6"/>
    </row>
    <row r="240" ht="12.0" customHeight="1">
      <c r="A240" s="14"/>
      <c r="B240" s="15"/>
      <c r="C240" s="15"/>
      <c r="D240" s="15" t="s">
        <v>387</v>
      </c>
      <c r="E240" s="21" t="s">
        <v>339</v>
      </c>
      <c r="F240" s="14"/>
      <c r="G240" s="22">
        <v>4191.0</v>
      </c>
      <c r="H240" s="19">
        <f t="shared" si="1"/>
        <v>234.7884</v>
      </c>
      <c r="I240" s="6"/>
      <c r="J240" s="6"/>
      <c r="K240" s="6"/>
      <c r="L240" s="7">
        <f>SUM(1*'Mercadería'!L241)</f>
        <v>234.7884</v>
      </c>
      <c r="M240" s="8"/>
      <c r="N240" s="23" t="s">
        <v>17</v>
      </c>
      <c r="O240" s="9"/>
      <c r="P240" s="6"/>
    </row>
    <row r="241" ht="12.0" customHeight="1">
      <c r="A241" s="14"/>
      <c r="B241" s="15"/>
      <c r="C241" s="134"/>
      <c r="D241" s="31" t="s">
        <v>387</v>
      </c>
      <c r="E241" s="32" t="s">
        <v>388</v>
      </c>
      <c r="F241" s="33" t="s">
        <v>389</v>
      </c>
      <c r="G241" s="34">
        <v>4194.0</v>
      </c>
      <c r="H241" s="19">
        <f t="shared" si="1"/>
        <v>362.8548</v>
      </c>
      <c r="I241" s="6"/>
      <c r="J241" s="6"/>
      <c r="K241" s="6"/>
      <c r="L241" s="7">
        <f>SUM(1*'Mercadería'!L242)</f>
        <v>362.8548</v>
      </c>
      <c r="M241" s="8"/>
      <c r="N241" s="38" t="s">
        <v>17</v>
      </c>
      <c r="O241" s="9"/>
      <c r="P241" s="6"/>
    </row>
    <row r="242" ht="12.0" customHeight="1">
      <c r="A242" s="14"/>
      <c r="B242" s="15"/>
      <c r="C242" s="15"/>
      <c r="D242" s="46" t="s">
        <v>390</v>
      </c>
      <c r="E242" s="47"/>
      <c r="F242" s="14"/>
      <c r="G242" s="48">
        <v>2418.0</v>
      </c>
      <c r="H242" s="19">
        <f t="shared" si="1"/>
        <v>503.2</v>
      </c>
      <c r="I242" s="6"/>
      <c r="J242" s="6"/>
      <c r="K242" s="6"/>
      <c r="L242" s="7">
        <f>SUM(1*'Mercadería'!L243)</f>
        <v>503.2</v>
      </c>
      <c r="M242" s="8"/>
      <c r="N242" s="23" t="s">
        <v>61</v>
      </c>
      <c r="O242" s="9"/>
      <c r="P242" s="6"/>
    </row>
    <row r="243" ht="12.0" customHeight="1">
      <c r="A243" s="14"/>
      <c r="B243" s="15"/>
      <c r="C243" s="15"/>
      <c r="D243" s="31" t="s">
        <v>390</v>
      </c>
      <c r="E243" s="142"/>
      <c r="F243" s="143"/>
      <c r="G243" s="144">
        <v>2420.0</v>
      </c>
      <c r="H243" s="19">
        <f t="shared" si="1"/>
        <v>694.416</v>
      </c>
      <c r="I243" s="6"/>
      <c r="J243" s="6"/>
      <c r="K243" s="6"/>
      <c r="L243" s="7">
        <f>SUM(1*'Mercadería'!L244)</f>
        <v>694.416</v>
      </c>
      <c r="M243" s="8"/>
      <c r="N243" s="6" t="s">
        <v>61</v>
      </c>
      <c r="O243" s="9"/>
      <c r="P243" s="6"/>
    </row>
    <row r="244" ht="12.0" customHeight="1">
      <c r="A244" s="14"/>
      <c r="B244" s="15"/>
      <c r="C244" s="134"/>
      <c r="D244" s="75" t="s">
        <v>391</v>
      </c>
      <c r="E244" s="145"/>
      <c r="F244" s="146"/>
      <c r="G244" s="147">
        <v>2372.0</v>
      </c>
      <c r="H244" s="19">
        <f t="shared" si="1"/>
        <v>0</v>
      </c>
      <c r="I244" s="6"/>
      <c r="J244" s="6"/>
      <c r="K244" s="6"/>
      <c r="L244" s="7">
        <f>SUM(1*'Mercadería'!L245)</f>
        <v>0</v>
      </c>
      <c r="M244" s="8"/>
      <c r="N244" s="77" t="s">
        <v>61</v>
      </c>
      <c r="O244" s="9"/>
      <c r="P244" s="6"/>
    </row>
    <row r="245" ht="12.75" customHeight="1">
      <c r="A245" s="14"/>
      <c r="B245" s="15"/>
      <c r="C245" s="15"/>
      <c r="D245" s="25" t="s">
        <v>392</v>
      </c>
      <c r="E245" s="26"/>
      <c r="F245" s="27"/>
      <c r="G245" s="28"/>
      <c r="H245" s="29">
        <f t="shared" si="1"/>
        <v>107.97</v>
      </c>
      <c r="I245" s="6"/>
      <c r="J245" s="6"/>
      <c r="K245" s="6"/>
      <c r="L245" s="7">
        <f>SUM(1*'Mercadería'!L246)</f>
        <v>107.97</v>
      </c>
      <c r="M245" s="8"/>
      <c r="N245" s="20" t="s">
        <v>293</v>
      </c>
      <c r="O245" s="9"/>
      <c r="P245" s="6"/>
    </row>
    <row r="246" ht="12.75" customHeight="1">
      <c r="A246" s="14"/>
      <c r="B246" s="1"/>
      <c r="C246" s="1"/>
      <c r="D246" s="41" t="s">
        <v>393</v>
      </c>
      <c r="E246" s="40" t="s">
        <v>394</v>
      </c>
      <c r="F246" s="41"/>
      <c r="G246" s="45" t="s">
        <v>395</v>
      </c>
      <c r="H246" s="19">
        <f t="shared" si="1"/>
        <v>50</v>
      </c>
      <c r="I246" s="6"/>
      <c r="J246" s="6"/>
      <c r="K246" s="6"/>
      <c r="L246" s="7">
        <f>SUM(1*'Mercadería'!L247)</f>
        <v>50</v>
      </c>
      <c r="M246" s="8"/>
      <c r="N246" s="45" t="s">
        <v>162</v>
      </c>
      <c r="O246" s="9"/>
      <c r="P246" s="6"/>
    </row>
    <row r="247" ht="12.75" customHeight="1">
      <c r="A247" s="14"/>
      <c r="B247" s="1"/>
      <c r="C247" s="1"/>
      <c r="D247" s="27" t="s">
        <v>393</v>
      </c>
      <c r="E247" s="26" t="s">
        <v>396</v>
      </c>
      <c r="F247" s="27"/>
      <c r="G247" s="30" t="s">
        <v>397</v>
      </c>
      <c r="H247" s="19">
        <f t="shared" si="1"/>
        <v>60</v>
      </c>
      <c r="I247" s="6"/>
      <c r="J247" s="6"/>
      <c r="K247" s="6"/>
      <c r="L247" s="7">
        <f>SUM(1*'Mercadería'!L248)</f>
        <v>60</v>
      </c>
      <c r="M247" s="8"/>
      <c r="N247" s="30" t="s">
        <v>162</v>
      </c>
      <c r="O247" s="9"/>
      <c r="P247" s="6"/>
    </row>
    <row r="248" ht="12.75" customHeight="1">
      <c r="A248" s="14"/>
      <c r="B248" s="1"/>
      <c r="C248" s="1"/>
      <c r="D248" s="14" t="s">
        <v>398</v>
      </c>
      <c r="E248" s="21" t="s">
        <v>399</v>
      </c>
      <c r="F248" s="14"/>
      <c r="G248" s="22"/>
      <c r="H248" s="19">
        <f t="shared" si="1"/>
        <v>424</v>
      </c>
      <c r="I248" s="6"/>
      <c r="J248" s="6"/>
      <c r="K248" s="6"/>
      <c r="L248" s="7">
        <f>SUM(1*'Mercadería'!L249)</f>
        <v>424</v>
      </c>
      <c r="M248" s="8"/>
      <c r="N248" s="23"/>
      <c r="O248" s="9"/>
      <c r="P248" s="6"/>
    </row>
    <row r="249" ht="12.75" customHeight="1">
      <c r="A249" s="52"/>
      <c r="B249" s="1"/>
      <c r="C249" s="1"/>
      <c r="D249" s="27" t="s">
        <v>398</v>
      </c>
      <c r="E249" s="26" t="s">
        <v>339</v>
      </c>
      <c r="F249" s="27"/>
      <c r="G249" s="28">
        <v>1009.0</v>
      </c>
      <c r="H249" s="29">
        <f t="shared" si="1"/>
        <v>635.25</v>
      </c>
      <c r="I249" s="6"/>
      <c r="J249" s="6"/>
      <c r="K249" s="6"/>
      <c r="L249" s="7">
        <f>SUM(1*'Mercadería'!L250)</f>
        <v>635.25</v>
      </c>
      <c r="M249" s="8"/>
      <c r="N249" s="20" t="s">
        <v>17</v>
      </c>
      <c r="O249" s="9"/>
      <c r="P249" s="6"/>
    </row>
    <row r="250" ht="12.75" customHeight="1">
      <c r="A250" s="52"/>
      <c r="B250" s="1"/>
      <c r="C250" s="1"/>
      <c r="D250" s="50" t="s">
        <v>400</v>
      </c>
      <c r="E250" s="47" t="s">
        <v>235</v>
      </c>
      <c r="F250" s="50"/>
      <c r="G250" s="48">
        <v>1054.0</v>
      </c>
      <c r="H250" s="35">
        <f t="shared" si="1"/>
        <v>793.76</v>
      </c>
      <c r="I250" s="6"/>
      <c r="J250" s="6"/>
      <c r="K250" s="6"/>
      <c r="L250" s="7">
        <f>SUM(1*'Mercadería'!L251)</f>
        <v>793.76</v>
      </c>
      <c r="M250" s="8"/>
      <c r="N250" s="45" t="s">
        <v>17</v>
      </c>
      <c r="O250" s="9"/>
      <c r="P250" s="6"/>
    </row>
    <row r="251" ht="12.75" customHeight="1">
      <c r="A251" s="52"/>
      <c r="B251" s="1"/>
      <c r="C251" s="1"/>
      <c r="D251" s="14" t="s">
        <v>400</v>
      </c>
      <c r="E251" s="21" t="s">
        <v>401</v>
      </c>
      <c r="F251" s="14" t="s">
        <v>402</v>
      </c>
      <c r="G251" s="49">
        <v>1011.0</v>
      </c>
      <c r="H251" s="19">
        <f t="shared" si="1"/>
        <v>1172.49</v>
      </c>
      <c r="I251" s="6"/>
      <c r="J251" s="6"/>
      <c r="K251" s="6"/>
      <c r="L251" s="7">
        <f>SUM(1*'Mercadería'!L252)</f>
        <v>1172.49</v>
      </c>
      <c r="M251" s="8"/>
      <c r="N251" s="23" t="s">
        <v>17</v>
      </c>
      <c r="O251" s="9"/>
      <c r="P251" s="6"/>
    </row>
    <row r="252" ht="12.0" customHeight="1">
      <c r="A252" s="14"/>
      <c r="B252" s="1"/>
      <c r="C252" s="1"/>
      <c r="D252" s="27" t="s">
        <v>403</v>
      </c>
      <c r="E252" s="26" t="s">
        <v>399</v>
      </c>
      <c r="F252" s="27" t="s">
        <v>404</v>
      </c>
      <c r="G252" s="28">
        <v>6286.0</v>
      </c>
      <c r="H252" s="19">
        <f t="shared" si="1"/>
        <v>88.323</v>
      </c>
      <c r="I252" s="6"/>
      <c r="J252" s="6"/>
      <c r="K252" s="6"/>
      <c r="L252" s="7">
        <f>SUM(1*'Mercadería'!L253)</f>
        <v>88.323</v>
      </c>
      <c r="M252" s="8"/>
      <c r="N252" s="30" t="s">
        <v>61</v>
      </c>
      <c r="O252" s="9"/>
      <c r="P252" s="6"/>
    </row>
    <row r="253" ht="12.0" customHeight="1">
      <c r="A253" s="14"/>
      <c r="B253" s="1"/>
      <c r="C253" s="1"/>
      <c r="D253" s="41" t="s">
        <v>405</v>
      </c>
      <c r="E253" s="40" t="s">
        <v>235</v>
      </c>
      <c r="F253" s="41" t="s">
        <v>404</v>
      </c>
      <c r="G253" s="45">
        <v>6288.0</v>
      </c>
      <c r="H253" s="19">
        <f t="shared" si="1"/>
        <v>212.52</v>
      </c>
      <c r="I253" s="6"/>
      <c r="J253" s="6"/>
      <c r="K253" s="6"/>
      <c r="L253" s="7">
        <f>SUM(1*'Mercadería'!L254)</f>
        <v>212.52</v>
      </c>
      <c r="M253" s="8"/>
      <c r="N253" s="45" t="s">
        <v>61</v>
      </c>
      <c r="O253" s="9"/>
      <c r="P253" s="6"/>
    </row>
    <row r="254" ht="12.0" customHeight="1">
      <c r="A254" s="14"/>
      <c r="B254" s="15"/>
      <c r="C254" s="15"/>
      <c r="D254" s="16" t="s">
        <v>406</v>
      </c>
      <c r="E254" s="17" t="s">
        <v>407</v>
      </c>
      <c r="F254" s="27"/>
      <c r="G254" s="38">
        <v>4222.0</v>
      </c>
      <c r="H254" s="19">
        <f t="shared" si="1"/>
        <v>97.8</v>
      </c>
      <c r="I254" s="6"/>
      <c r="J254" s="6"/>
      <c r="K254" s="6"/>
      <c r="L254" s="7">
        <f>SUM(1*'Mercadería'!L255)</f>
        <v>97.8</v>
      </c>
      <c r="M254" s="8"/>
      <c r="N254" s="30"/>
      <c r="O254" s="9"/>
      <c r="P254" s="6"/>
    </row>
    <row r="255" ht="12.0" customHeight="1">
      <c r="A255" s="14"/>
      <c r="B255" s="15"/>
      <c r="C255" s="15"/>
      <c r="D255" s="16" t="s">
        <v>406</v>
      </c>
      <c r="E255" s="17" t="s">
        <v>408</v>
      </c>
      <c r="F255" s="9"/>
      <c r="G255" s="18">
        <v>2409.0</v>
      </c>
      <c r="H255" s="19">
        <f t="shared" si="1"/>
        <v>149.96</v>
      </c>
      <c r="I255" s="6"/>
      <c r="J255" s="6"/>
      <c r="K255" s="6"/>
      <c r="L255" s="7">
        <f>SUM(1*'Mercadería'!L256)</f>
        <v>149.96</v>
      </c>
      <c r="M255" s="8"/>
      <c r="N255" s="20" t="s">
        <v>61</v>
      </c>
      <c r="O255" s="9"/>
      <c r="P255" s="6"/>
    </row>
    <row r="256" ht="12.0" customHeight="1">
      <c r="A256" s="14"/>
      <c r="B256" s="15"/>
      <c r="C256" s="15"/>
      <c r="D256" s="16" t="s">
        <v>406</v>
      </c>
      <c r="E256" s="17" t="s">
        <v>409</v>
      </c>
      <c r="F256" s="9"/>
      <c r="G256" s="18">
        <v>2410.0</v>
      </c>
      <c r="H256" s="19">
        <f t="shared" si="1"/>
        <v>189.08</v>
      </c>
      <c r="I256" s="6"/>
      <c r="J256" s="6"/>
      <c r="K256" s="6"/>
      <c r="L256" s="7">
        <f>SUM(1*'Mercadería'!L257)</f>
        <v>189.08</v>
      </c>
      <c r="M256" s="8"/>
      <c r="N256" s="20"/>
      <c r="O256" s="9"/>
      <c r="P256" s="6"/>
    </row>
    <row r="257" ht="12.0" customHeight="1">
      <c r="A257" s="14"/>
      <c r="B257" s="15"/>
      <c r="C257" s="15"/>
      <c r="D257" s="15" t="s">
        <v>406</v>
      </c>
      <c r="E257" s="21" t="s">
        <v>410</v>
      </c>
      <c r="F257" s="14"/>
      <c r="G257" s="22">
        <v>2411.0</v>
      </c>
      <c r="H257" s="19">
        <f t="shared" si="1"/>
        <v>195.6</v>
      </c>
      <c r="I257" s="6"/>
      <c r="J257" s="6"/>
      <c r="K257" s="6"/>
      <c r="L257" s="7">
        <f>SUM(1*'Mercadería'!L258)</f>
        <v>195.6</v>
      </c>
      <c r="M257" s="8"/>
      <c r="N257" s="23" t="s">
        <v>61</v>
      </c>
      <c r="O257" s="9"/>
      <c r="P257" s="6"/>
    </row>
    <row r="258" ht="12.0" customHeight="1">
      <c r="A258" s="14"/>
      <c r="B258" s="15"/>
      <c r="C258" s="15"/>
      <c r="D258" s="15" t="s">
        <v>411</v>
      </c>
      <c r="E258" s="21"/>
      <c r="F258" s="14"/>
      <c r="G258" s="22">
        <v>2442.0</v>
      </c>
      <c r="H258" s="19">
        <f t="shared" si="1"/>
        <v>273.84</v>
      </c>
      <c r="I258" s="6"/>
      <c r="J258" s="6"/>
      <c r="K258" s="6"/>
      <c r="L258" s="7">
        <f>SUM(1*'Mercadería'!L259)</f>
        <v>273.84</v>
      </c>
      <c r="M258" s="8"/>
      <c r="N258" s="23" t="s">
        <v>61</v>
      </c>
      <c r="O258" s="9"/>
      <c r="P258" s="6"/>
    </row>
    <row r="259" ht="12.0" customHeight="1">
      <c r="A259" s="14"/>
      <c r="B259" s="15"/>
      <c r="C259" s="15"/>
      <c r="D259" s="16" t="s">
        <v>412</v>
      </c>
      <c r="E259" s="17"/>
      <c r="F259" s="9"/>
      <c r="G259" s="18">
        <v>2443.0</v>
      </c>
      <c r="H259" s="19">
        <f t="shared" si="1"/>
        <v>273.84</v>
      </c>
      <c r="I259" s="6"/>
      <c r="J259" s="6"/>
      <c r="K259" s="6"/>
      <c r="L259" s="7">
        <f>SUM(1*'Mercadería'!L260)</f>
        <v>273.84</v>
      </c>
      <c r="M259" s="8"/>
      <c r="N259" s="20" t="s">
        <v>61</v>
      </c>
      <c r="O259" s="9"/>
      <c r="P259" s="6"/>
    </row>
    <row r="260" ht="12.0" customHeight="1">
      <c r="A260" s="14"/>
      <c r="B260" s="15"/>
      <c r="C260" s="15"/>
      <c r="D260" s="50" t="s">
        <v>413</v>
      </c>
      <c r="E260" s="98"/>
      <c r="F260" s="50"/>
      <c r="G260" s="48">
        <v>2444.0</v>
      </c>
      <c r="H260" s="19">
        <f t="shared" si="1"/>
        <v>102.69</v>
      </c>
      <c r="I260" s="6"/>
      <c r="J260" s="6"/>
      <c r="K260" s="6"/>
      <c r="L260" s="7">
        <f>SUM(1*'Mercadería'!L261)</f>
        <v>102.69</v>
      </c>
      <c r="M260" s="8"/>
      <c r="N260" s="49" t="s">
        <v>61</v>
      </c>
      <c r="O260" s="9"/>
      <c r="P260" s="6"/>
    </row>
    <row r="261" ht="12.0" customHeight="1">
      <c r="A261" s="14"/>
      <c r="B261" s="15"/>
      <c r="C261" s="15"/>
      <c r="D261" s="84" t="s">
        <v>414</v>
      </c>
      <c r="E261" s="148" t="s">
        <v>388</v>
      </c>
      <c r="F261" s="149"/>
      <c r="G261" s="150">
        <v>4700.0</v>
      </c>
      <c r="H261" s="19">
        <f t="shared" si="1"/>
        <v>238.469</v>
      </c>
      <c r="I261" s="6"/>
      <c r="J261" s="6"/>
      <c r="K261" s="6"/>
      <c r="L261" s="7">
        <f>SUM(1*'Mercadería'!L262)</f>
        <v>238.469</v>
      </c>
      <c r="M261" s="8"/>
      <c r="N261" s="151" t="s">
        <v>17</v>
      </c>
      <c r="O261" s="9"/>
      <c r="P261" s="6"/>
    </row>
    <row r="262" ht="12.0" customHeight="1">
      <c r="A262" s="14"/>
      <c r="B262" s="15"/>
      <c r="C262" s="15"/>
      <c r="D262" s="152" t="s">
        <v>415</v>
      </c>
      <c r="E262" s="153" t="s">
        <v>388</v>
      </c>
      <c r="F262" s="154"/>
      <c r="G262" s="155">
        <v>4703.0</v>
      </c>
      <c r="H262" s="19">
        <f t="shared" si="1"/>
        <v>219.887</v>
      </c>
      <c r="I262" s="6"/>
      <c r="J262" s="6"/>
      <c r="K262" s="6"/>
      <c r="L262" s="7">
        <f>SUM(1*'Mercadería'!L263)</f>
        <v>219.887</v>
      </c>
      <c r="M262" s="8"/>
      <c r="N262" s="156" t="s">
        <v>17</v>
      </c>
      <c r="O262" s="9"/>
      <c r="P262" s="6"/>
    </row>
    <row r="263" ht="12.0" customHeight="1">
      <c r="A263" s="14"/>
      <c r="B263" s="15"/>
      <c r="C263" s="15"/>
      <c r="D263" s="15" t="s">
        <v>416</v>
      </c>
      <c r="E263" s="21" t="s">
        <v>417</v>
      </c>
      <c r="F263" s="14"/>
      <c r="G263" s="22">
        <v>2304.0</v>
      </c>
      <c r="H263" s="19">
        <f t="shared" si="1"/>
        <v>300.409</v>
      </c>
      <c r="I263" s="6"/>
      <c r="J263" s="6"/>
      <c r="K263" s="6"/>
      <c r="L263" s="7">
        <f>SUM(1*'Mercadería'!L264)</f>
        <v>300.409</v>
      </c>
      <c r="M263" s="8"/>
      <c r="N263" s="23" t="s">
        <v>61</v>
      </c>
      <c r="O263" s="9"/>
      <c r="P263" s="6"/>
    </row>
    <row r="264" ht="12.0" customHeight="1">
      <c r="A264" s="14"/>
      <c r="B264" s="15"/>
      <c r="C264" s="15"/>
      <c r="D264" s="16" t="s">
        <v>418</v>
      </c>
      <c r="E264" s="17" t="s">
        <v>419</v>
      </c>
      <c r="F264" s="9"/>
      <c r="G264" s="18">
        <v>2260.0</v>
      </c>
      <c r="H264" s="19">
        <f t="shared" si="1"/>
        <v>241.077</v>
      </c>
      <c r="I264" s="6"/>
      <c r="J264" s="6"/>
      <c r="K264" s="6"/>
      <c r="L264" s="7">
        <f>SUM(1*'Mercadería'!L265)</f>
        <v>241.077</v>
      </c>
      <c r="M264" s="8"/>
      <c r="N264" s="20" t="s">
        <v>61</v>
      </c>
      <c r="O264" s="9"/>
      <c r="P264" s="6"/>
    </row>
    <row r="265" ht="12.0" customHeight="1">
      <c r="A265" s="14"/>
      <c r="B265" s="15"/>
      <c r="C265" s="15"/>
      <c r="D265" s="15" t="s">
        <v>418</v>
      </c>
      <c r="E265" s="21" t="s">
        <v>420</v>
      </c>
      <c r="F265" s="14"/>
      <c r="G265" s="22">
        <v>2261.0</v>
      </c>
      <c r="H265" s="19">
        <f t="shared" si="1"/>
        <v>277.1</v>
      </c>
      <c r="I265" s="6"/>
      <c r="J265" s="6"/>
      <c r="K265" s="6"/>
      <c r="L265" s="7">
        <f>SUM(1*'Mercadería'!L266)</f>
        <v>277.1</v>
      </c>
      <c r="M265" s="8"/>
      <c r="N265" s="23" t="s">
        <v>61</v>
      </c>
      <c r="O265" s="9"/>
      <c r="P265" s="6"/>
    </row>
    <row r="266" ht="12.0" customHeight="1">
      <c r="A266" s="14"/>
      <c r="B266" s="15"/>
      <c r="C266" s="15"/>
      <c r="D266" s="16" t="s">
        <v>421</v>
      </c>
      <c r="E266" s="17" t="s">
        <v>309</v>
      </c>
      <c r="F266" s="9"/>
      <c r="G266" s="18">
        <v>2361.0</v>
      </c>
      <c r="H266" s="19">
        <f t="shared" si="1"/>
        <v>35.2466</v>
      </c>
      <c r="I266" s="6"/>
      <c r="J266" s="6"/>
      <c r="K266" s="6"/>
      <c r="L266" s="7">
        <f>SUM(1*'Mercadería'!L267)</f>
        <v>35.2466</v>
      </c>
      <c r="M266" s="8"/>
      <c r="N266" s="20" t="s">
        <v>61</v>
      </c>
      <c r="O266" s="9"/>
      <c r="P266" s="6"/>
    </row>
    <row r="267" ht="12.0" customHeight="1">
      <c r="A267" s="14"/>
      <c r="B267" s="15"/>
      <c r="C267" s="15"/>
      <c r="D267" s="15" t="s">
        <v>422</v>
      </c>
      <c r="E267" s="21" t="s">
        <v>423</v>
      </c>
      <c r="F267" s="14"/>
      <c r="G267" s="22">
        <v>2362.0</v>
      </c>
      <c r="H267" s="19">
        <f t="shared" si="1"/>
        <v>72.924</v>
      </c>
      <c r="I267" s="6"/>
      <c r="J267" s="6"/>
      <c r="K267" s="6"/>
      <c r="L267" s="7">
        <f>SUM(1*'Mercadería'!L268)</f>
        <v>72.924</v>
      </c>
      <c r="M267" s="8"/>
      <c r="N267" s="23" t="s">
        <v>61</v>
      </c>
      <c r="O267" s="9"/>
      <c r="P267" s="6"/>
    </row>
    <row r="268" ht="12.0" customHeight="1">
      <c r="A268" s="14"/>
      <c r="B268" s="15"/>
      <c r="C268" s="15"/>
      <c r="D268" s="16" t="s">
        <v>424</v>
      </c>
      <c r="E268" s="17" t="s">
        <v>425</v>
      </c>
      <c r="F268" s="9"/>
      <c r="G268" s="18">
        <v>4045.0</v>
      </c>
      <c r="H268" s="19">
        <f t="shared" si="1"/>
        <v>128.2424</v>
      </c>
      <c r="I268" s="6"/>
      <c r="J268" s="6"/>
      <c r="K268" s="6"/>
      <c r="L268" s="7">
        <f>SUM(1*'Mercadería'!L269)</f>
        <v>128.2424</v>
      </c>
      <c r="M268" s="8"/>
      <c r="N268" s="20" t="s">
        <v>17</v>
      </c>
      <c r="O268" s="9"/>
      <c r="P268" s="6"/>
    </row>
    <row r="269" ht="12.0" customHeight="1">
      <c r="A269" s="14"/>
      <c r="B269" s="15"/>
      <c r="C269" s="15"/>
      <c r="D269" s="15" t="s">
        <v>424</v>
      </c>
      <c r="E269" s="21" t="s">
        <v>408</v>
      </c>
      <c r="F269" s="14"/>
      <c r="G269" s="22">
        <v>2364.0</v>
      </c>
      <c r="H269" s="19">
        <f t="shared" si="1"/>
        <v>129.8</v>
      </c>
      <c r="I269" s="6"/>
      <c r="J269" s="6"/>
      <c r="K269" s="6"/>
      <c r="L269" s="7">
        <f>SUM(1*'Mercadería'!L270)</f>
        <v>129.8</v>
      </c>
      <c r="M269" s="8"/>
      <c r="N269" s="23" t="s">
        <v>61</v>
      </c>
      <c r="O269" s="9"/>
      <c r="P269" s="6"/>
    </row>
    <row r="270" ht="12.0" customHeight="1">
      <c r="A270" s="14"/>
      <c r="B270" s="15"/>
      <c r="C270" s="15"/>
      <c r="D270" s="16" t="s">
        <v>424</v>
      </c>
      <c r="E270" s="17" t="s">
        <v>426</v>
      </c>
      <c r="F270" s="9"/>
      <c r="G270" s="18">
        <v>4047.0</v>
      </c>
      <c r="H270" s="19">
        <f t="shared" si="1"/>
        <v>182.31</v>
      </c>
      <c r="I270" s="6"/>
      <c r="J270" s="6"/>
      <c r="K270" s="6"/>
      <c r="L270" s="7">
        <f>SUM(1*'Mercadería'!L271)</f>
        <v>182.31</v>
      </c>
      <c r="M270" s="8"/>
      <c r="N270" s="20" t="s">
        <v>17</v>
      </c>
      <c r="O270" s="9"/>
      <c r="P270" s="6"/>
    </row>
    <row r="271" ht="12.0" customHeight="1">
      <c r="A271" s="14"/>
      <c r="B271" s="15"/>
      <c r="C271" s="15"/>
      <c r="D271" s="15" t="s">
        <v>424</v>
      </c>
      <c r="E271" s="21" t="s">
        <v>427</v>
      </c>
      <c r="F271" s="14"/>
      <c r="G271" s="48">
        <v>4048.0</v>
      </c>
      <c r="H271" s="19">
        <f t="shared" si="1"/>
        <v>316.004</v>
      </c>
      <c r="I271" s="6"/>
      <c r="J271" s="6"/>
      <c r="K271" s="6"/>
      <c r="L271" s="7">
        <f>SUM(1*'Mercadería'!L272)</f>
        <v>316.004</v>
      </c>
      <c r="M271" s="8"/>
      <c r="N271" s="23" t="s">
        <v>17</v>
      </c>
      <c r="O271" s="9"/>
      <c r="P271" s="6"/>
    </row>
    <row r="272" ht="12.0" customHeight="1">
      <c r="A272" s="14"/>
      <c r="B272" s="15"/>
      <c r="C272" s="15"/>
      <c r="D272" s="16" t="s">
        <v>428</v>
      </c>
      <c r="E272" s="17" t="s">
        <v>233</v>
      </c>
      <c r="F272" s="9"/>
      <c r="G272" s="18">
        <v>4103.0</v>
      </c>
      <c r="H272" s="19">
        <f t="shared" si="1"/>
        <v>554.2</v>
      </c>
      <c r="I272" s="6"/>
      <c r="J272" s="6"/>
      <c r="K272" s="6"/>
      <c r="L272" s="7">
        <f>SUM(1*'Mercadería'!L273)</f>
        <v>554.2</v>
      </c>
      <c r="M272" s="8"/>
      <c r="N272" s="20" t="s">
        <v>17</v>
      </c>
      <c r="O272" s="9"/>
      <c r="P272" s="6"/>
    </row>
    <row r="273" ht="12.0" customHeight="1">
      <c r="A273" s="14"/>
      <c r="B273" s="15"/>
      <c r="C273" s="15"/>
      <c r="D273" s="46" t="s">
        <v>429</v>
      </c>
      <c r="E273" s="47" t="s">
        <v>430</v>
      </c>
      <c r="F273" s="50"/>
      <c r="G273" s="157">
        <v>2333.0</v>
      </c>
      <c r="H273" s="19">
        <f t="shared" si="1"/>
        <v>378.486</v>
      </c>
      <c r="I273" s="6"/>
      <c r="J273" s="6"/>
      <c r="K273" s="6"/>
      <c r="L273" s="7">
        <f>SUM(1*'Mercadería'!L274)</f>
        <v>378.486</v>
      </c>
      <c r="M273" s="8"/>
      <c r="N273" s="49" t="s">
        <v>61</v>
      </c>
      <c r="O273" s="9"/>
      <c r="P273" s="6"/>
    </row>
    <row r="274" ht="12.0" customHeight="1">
      <c r="A274" s="14"/>
      <c r="B274" s="15"/>
      <c r="C274" s="15"/>
      <c r="D274" s="16" t="s">
        <v>431</v>
      </c>
      <c r="E274" s="17" t="s">
        <v>432</v>
      </c>
      <c r="F274" s="9"/>
      <c r="G274" s="18">
        <v>2614.0</v>
      </c>
      <c r="H274" s="19">
        <f t="shared" si="1"/>
        <v>934.5</v>
      </c>
      <c r="I274" s="6"/>
      <c r="J274" s="6"/>
      <c r="K274" s="6"/>
      <c r="L274" s="7">
        <f>SUM(1*'Mercadería'!L275)</f>
        <v>934.5</v>
      </c>
      <c r="M274" s="8"/>
      <c r="N274" s="20" t="s">
        <v>61</v>
      </c>
      <c r="O274" s="9"/>
      <c r="P274" s="6"/>
    </row>
    <row r="275" ht="12.0" customHeight="1">
      <c r="A275" s="14"/>
      <c r="B275" s="15"/>
      <c r="C275" s="15"/>
      <c r="D275" s="15" t="s">
        <v>433</v>
      </c>
      <c r="E275" s="21" t="s">
        <v>434</v>
      </c>
      <c r="F275" s="14"/>
      <c r="G275" s="22">
        <v>2729.0</v>
      </c>
      <c r="H275" s="19">
        <f t="shared" si="1"/>
        <v>198.9</v>
      </c>
      <c r="I275" s="158" t="s">
        <v>112</v>
      </c>
      <c r="J275" s="6"/>
      <c r="K275" s="6"/>
      <c r="L275" s="7">
        <f>SUM(1*'Mercadería'!L276)</f>
        <v>198.9</v>
      </c>
      <c r="M275" s="8"/>
      <c r="N275" s="23" t="s">
        <v>61</v>
      </c>
      <c r="O275" s="9"/>
      <c r="P275" s="6"/>
    </row>
    <row r="276" ht="12.0" customHeight="1">
      <c r="A276" s="14"/>
      <c r="B276" s="15"/>
      <c r="C276" s="15"/>
      <c r="D276" s="15" t="s">
        <v>435</v>
      </c>
      <c r="E276" s="21" t="s">
        <v>436</v>
      </c>
      <c r="F276" s="14"/>
      <c r="G276" s="22"/>
      <c r="H276" s="19">
        <f t="shared" si="1"/>
        <v>228.735</v>
      </c>
      <c r="I276" s="158" t="s">
        <v>112</v>
      </c>
      <c r="J276" s="6"/>
      <c r="K276" s="6"/>
      <c r="L276" s="7">
        <f>SUM(1*'Mercadería'!L277)</f>
        <v>228.735</v>
      </c>
      <c r="M276" s="8"/>
      <c r="N276" s="23"/>
      <c r="O276" s="9"/>
      <c r="P276" s="6"/>
    </row>
    <row r="277" ht="12.0" customHeight="1">
      <c r="A277" s="14"/>
      <c r="B277" s="15"/>
      <c r="C277" s="15"/>
      <c r="D277" s="16" t="s">
        <v>437</v>
      </c>
      <c r="E277" s="17" t="s">
        <v>438</v>
      </c>
      <c r="F277" s="9"/>
      <c r="G277" s="18">
        <v>2731.0</v>
      </c>
      <c r="H277" s="19">
        <f t="shared" si="1"/>
        <v>264.537</v>
      </c>
      <c r="I277" s="6" t="s">
        <v>112</v>
      </c>
      <c r="J277" s="6"/>
      <c r="K277" s="6"/>
      <c r="L277" s="7">
        <f>SUM(1*'Mercadería'!L278)</f>
        <v>264.537</v>
      </c>
      <c r="M277" s="8"/>
      <c r="N277" s="20" t="s">
        <v>61</v>
      </c>
      <c r="O277" s="9"/>
      <c r="P277" s="6"/>
    </row>
    <row r="278" ht="12.0" customHeight="1">
      <c r="A278" s="14"/>
      <c r="B278" s="15"/>
      <c r="C278" s="15"/>
      <c r="D278" s="15" t="s">
        <v>439</v>
      </c>
      <c r="E278" s="21" t="s">
        <v>440</v>
      </c>
      <c r="F278" s="14"/>
      <c r="G278" s="22">
        <v>2732.0</v>
      </c>
      <c r="H278" s="19">
        <f t="shared" si="1"/>
        <v>348.075</v>
      </c>
      <c r="I278" s="158" t="s">
        <v>112</v>
      </c>
      <c r="J278" s="6"/>
      <c r="K278" s="6"/>
      <c r="L278" s="7">
        <f>SUM(1*'Mercadería'!L279)</f>
        <v>348.075</v>
      </c>
      <c r="M278" s="8"/>
      <c r="N278" s="23" t="s">
        <v>61</v>
      </c>
      <c r="O278" s="9"/>
      <c r="P278" s="6"/>
    </row>
    <row r="279" ht="12.0" customHeight="1">
      <c r="A279" s="14"/>
      <c r="B279" s="15"/>
      <c r="C279" s="15"/>
      <c r="D279" s="15" t="s">
        <v>441</v>
      </c>
      <c r="E279" s="21" t="s">
        <v>442</v>
      </c>
      <c r="F279" s="14"/>
      <c r="G279" s="22"/>
      <c r="H279" s="19">
        <f t="shared" si="1"/>
        <v>556.92</v>
      </c>
      <c r="I279" s="158" t="s">
        <v>112</v>
      </c>
      <c r="J279" s="6"/>
      <c r="K279" s="6"/>
      <c r="L279" s="7">
        <f>SUM(1*'Mercadería'!L280)</f>
        <v>556.92</v>
      </c>
      <c r="M279" s="8"/>
      <c r="N279" s="23"/>
      <c r="O279" s="9"/>
      <c r="P279" s="6"/>
    </row>
    <row r="280" ht="12.0" customHeight="1">
      <c r="A280" s="14"/>
      <c r="B280" s="15"/>
      <c r="C280" s="15"/>
      <c r="D280" s="16" t="s">
        <v>443</v>
      </c>
      <c r="E280" s="17" t="s">
        <v>444</v>
      </c>
      <c r="F280" s="9"/>
      <c r="G280" s="18">
        <v>2734.0</v>
      </c>
      <c r="H280" s="19">
        <f t="shared" si="1"/>
        <v>656.37</v>
      </c>
      <c r="I280" s="6" t="s">
        <v>112</v>
      </c>
      <c r="J280" s="6"/>
      <c r="K280" s="6"/>
      <c r="L280" s="7">
        <f>SUM(1*'Mercadería'!L281)</f>
        <v>656.37</v>
      </c>
      <c r="M280" s="8"/>
      <c r="N280" s="20" t="s">
        <v>61</v>
      </c>
      <c r="O280" s="9"/>
      <c r="P280" s="6"/>
    </row>
    <row r="281" ht="12.0" customHeight="1">
      <c r="A281" s="14"/>
      <c r="B281" s="15"/>
      <c r="C281" s="15"/>
      <c r="D281" s="15" t="s">
        <v>445</v>
      </c>
      <c r="E281" s="21" t="s">
        <v>446</v>
      </c>
      <c r="F281" s="14"/>
      <c r="G281" s="22">
        <v>2753.0</v>
      </c>
      <c r="H281" s="19">
        <f t="shared" si="1"/>
        <v>795.6</v>
      </c>
      <c r="I281" s="158" t="s">
        <v>112</v>
      </c>
      <c r="J281" s="6"/>
      <c r="K281" s="6"/>
      <c r="L281" s="7">
        <f>SUM(1*'Mercadería'!L282)</f>
        <v>795.6</v>
      </c>
      <c r="M281" s="8"/>
      <c r="N281" s="23" t="s">
        <v>61</v>
      </c>
      <c r="O281" s="9"/>
      <c r="P281" s="6"/>
    </row>
    <row r="282" ht="12.0" customHeight="1">
      <c r="A282" s="14"/>
      <c r="B282" s="15"/>
      <c r="C282" s="15"/>
      <c r="D282" s="16" t="s">
        <v>447</v>
      </c>
      <c r="E282" s="17" t="s">
        <v>448</v>
      </c>
      <c r="F282" s="9"/>
      <c r="G282" s="18">
        <v>2501.0</v>
      </c>
      <c r="H282" s="19">
        <f t="shared" si="1"/>
        <v>41.808</v>
      </c>
      <c r="I282" s="6" t="s">
        <v>112</v>
      </c>
      <c r="J282" s="6"/>
      <c r="K282" s="6"/>
      <c r="L282" s="7">
        <f>SUM(1*'Mercadería'!L283)</f>
        <v>41.808</v>
      </c>
      <c r="M282" s="8"/>
      <c r="N282" s="20" t="s">
        <v>61</v>
      </c>
      <c r="O282" s="9"/>
      <c r="P282" s="6"/>
    </row>
    <row r="283" ht="12.0" customHeight="1">
      <c r="A283" s="14"/>
      <c r="B283" s="15"/>
      <c r="C283" s="15"/>
      <c r="D283" s="16" t="s">
        <v>447</v>
      </c>
      <c r="E283" s="17" t="s">
        <v>449</v>
      </c>
      <c r="F283" s="9"/>
      <c r="G283" s="24">
        <v>2502.0</v>
      </c>
      <c r="H283" s="19">
        <f t="shared" si="1"/>
        <v>47.3824</v>
      </c>
      <c r="I283" s="6" t="s">
        <v>112</v>
      </c>
      <c r="J283" s="6"/>
      <c r="K283" s="6"/>
      <c r="L283" s="7">
        <f>SUM(1*'Mercadería'!L284)</f>
        <v>47.3824</v>
      </c>
      <c r="M283" s="8"/>
      <c r="N283" s="20" t="s">
        <v>61</v>
      </c>
      <c r="O283" s="9"/>
      <c r="P283" s="6"/>
    </row>
    <row r="284" ht="12.0" customHeight="1">
      <c r="A284" s="14"/>
      <c r="B284" s="15"/>
      <c r="C284" s="15"/>
      <c r="D284" s="15" t="s">
        <v>447</v>
      </c>
      <c r="E284" s="21" t="s">
        <v>450</v>
      </c>
      <c r="F284" s="14"/>
      <c r="G284" s="22">
        <v>2503.0</v>
      </c>
      <c r="H284" s="19">
        <f t="shared" si="1"/>
        <v>78.0416</v>
      </c>
      <c r="I284" s="158" t="s">
        <v>112</v>
      </c>
      <c r="J284" s="6"/>
      <c r="K284" s="6"/>
      <c r="L284" s="7">
        <f>SUM(1*'Mercadería'!L285)</f>
        <v>78.0416</v>
      </c>
      <c r="M284" s="8"/>
      <c r="N284" s="23" t="s">
        <v>61</v>
      </c>
      <c r="O284" s="9"/>
      <c r="P284" s="6"/>
    </row>
    <row r="285" ht="12.0" customHeight="1">
      <c r="A285" s="14"/>
      <c r="B285" s="15"/>
      <c r="C285" s="15"/>
      <c r="D285" s="16" t="s">
        <v>447</v>
      </c>
      <c r="E285" s="17" t="s">
        <v>451</v>
      </c>
      <c r="F285" s="9"/>
      <c r="G285" s="18">
        <v>2504.0</v>
      </c>
      <c r="H285" s="19">
        <f t="shared" si="1"/>
        <v>103.1264</v>
      </c>
      <c r="I285" s="6" t="s">
        <v>112</v>
      </c>
      <c r="J285" s="6"/>
      <c r="K285" s="6"/>
      <c r="L285" s="7">
        <f>SUM(1*'Mercadería'!L286)</f>
        <v>103.1264</v>
      </c>
      <c r="M285" s="8"/>
      <c r="N285" s="20" t="s">
        <v>61</v>
      </c>
      <c r="O285" s="9"/>
      <c r="P285" s="6"/>
    </row>
    <row r="286" ht="12.0" customHeight="1">
      <c r="A286" s="14"/>
      <c r="B286" s="15"/>
      <c r="C286" s="15"/>
      <c r="D286" s="16" t="s">
        <v>447</v>
      </c>
      <c r="E286" s="17" t="s">
        <v>452</v>
      </c>
      <c r="F286" s="9"/>
      <c r="G286" s="18"/>
      <c r="H286" s="19">
        <f t="shared" si="1"/>
        <v>101.84</v>
      </c>
      <c r="I286" s="6" t="s">
        <v>112</v>
      </c>
      <c r="J286" s="6"/>
      <c r="K286" s="6"/>
      <c r="L286" s="7">
        <f>SUM(1*'Mercadería'!L287)</f>
        <v>101.84</v>
      </c>
      <c r="M286" s="8"/>
      <c r="N286" s="20"/>
      <c r="O286" s="9"/>
      <c r="P286" s="6"/>
    </row>
    <row r="287" ht="12.0" customHeight="1">
      <c r="A287" s="14"/>
      <c r="B287" s="15"/>
      <c r="C287" s="15"/>
      <c r="D287" s="15" t="s">
        <v>453</v>
      </c>
      <c r="E287" s="21" t="s">
        <v>454</v>
      </c>
      <c r="F287" s="14"/>
      <c r="G287" s="22">
        <v>2506.0</v>
      </c>
      <c r="H287" s="19">
        <f t="shared" si="1"/>
        <v>162.81</v>
      </c>
      <c r="I287" s="158" t="s">
        <v>112</v>
      </c>
      <c r="J287" s="6"/>
      <c r="K287" s="6"/>
      <c r="L287" s="7">
        <f>SUM(1*'Mercadería'!L288)</f>
        <v>162.81</v>
      </c>
      <c r="M287" s="8"/>
      <c r="N287" s="23" t="s">
        <v>61</v>
      </c>
      <c r="O287" s="9"/>
      <c r="P287" s="6"/>
    </row>
    <row r="288" ht="12.0" customHeight="1">
      <c r="A288" s="14"/>
      <c r="B288" s="15"/>
      <c r="C288" s="15"/>
      <c r="D288" s="16" t="s">
        <v>455</v>
      </c>
      <c r="E288" s="17" t="s">
        <v>450</v>
      </c>
      <c r="F288" s="9"/>
      <c r="G288" s="18">
        <v>2512.0</v>
      </c>
      <c r="H288" s="19">
        <f t="shared" si="1"/>
        <v>61.3184</v>
      </c>
      <c r="I288" s="6" t="s">
        <v>112</v>
      </c>
      <c r="J288" s="6"/>
      <c r="K288" s="6"/>
      <c r="L288" s="7">
        <f>SUM(1*'Mercadería'!L289)</f>
        <v>61.3184</v>
      </c>
      <c r="M288" s="8"/>
      <c r="N288" s="20" t="s">
        <v>61</v>
      </c>
      <c r="O288" s="9"/>
      <c r="P288" s="6"/>
    </row>
    <row r="289" ht="12.0" customHeight="1">
      <c r="A289" s="14"/>
      <c r="B289" s="15"/>
      <c r="C289" s="15"/>
      <c r="D289" s="15" t="s">
        <v>455</v>
      </c>
      <c r="E289" s="21" t="s">
        <v>456</v>
      </c>
      <c r="F289" s="14"/>
      <c r="G289" s="22"/>
      <c r="H289" s="19">
        <f t="shared" si="1"/>
        <v>78.0416</v>
      </c>
      <c r="I289" s="158" t="s">
        <v>112</v>
      </c>
      <c r="J289" s="6"/>
      <c r="K289" s="6"/>
      <c r="L289" s="7">
        <f>SUM(1*'Mercadería'!L290)</f>
        <v>78.0416</v>
      </c>
      <c r="M289" s="8"/>
      <c r="N289" s="23" t="s">
        <v>61</v>
      </c>
      <c r="O289" s="9"/>
      <c r="P289" s="6"/>
    </row>
    <row r="290" ht="12.0" customHeight="1">
      <c r="A290" s="14"/>
      <c r="B290" s="15"/>
      <c r="C290" s="15"/>
      <c r="D290" s="16" t="s">
        <v>457</v>
      </c>
      <c r="E290" s="17" t="s">
        <v>235</v>
      </c>
      <c r="F290" s="9"/>
      <c r="G290" s="18">
        <v>2519.0</v>
      </c>
      <c r="H290" s="19">
        <f t="shared" si="1"/>
        <v>33.4464</v>
      </c>
      <c r="I290" s="6" t="s">
        <v>112</v>
      </c>
      <c r="J290" s="6"/>
      <c r="K290" s="6"/>
      <c r="L290" s="7">
        <f>SUM(1*'Mercadería'!L291)</f>
        <v>33.4464</v>
      </c>
      <c r="M290" s="8"/>
      <c r="N290" s="20" t="s">
        <v>61</v>
      </c>
      <c r="O290" s="9"/>
      <c r="P290" s="6"/>
    </row>
    <row r="291" ht="12.0" customHeight="1">
      <c r="A291" s="14"/>
      <c r="B291" s="15"/>
      <c r="C291" s="15"/>
      <c r="D291" s="15" t="s">
        <v>458</v>
      </c>
      <c r="E291" s="21" t="s">
        <v>459</v>
      </c>
      <c r="F291" s="14"/>
      <c r="G291" s="22"/>
      <c r="H291" s="19">
        <f t="shared" si="1"/>
        <v>41.808</v>
      </c>
      <c r="I291" s="158" t="s">
        <v>112</v>
      </c>
      <c r="J291" s="6"/>
      <c r="K291" s="6"/>
      <c r="L291" s="7">
        <f>SUM(1*'Mercadería'!L292)</f>
        <v>41.808</v>
      </c>
      <c r="M291" s="8"/>
      <c r="N291" s="23"/>
      <c r="O291" s="9"/>
      <c r="P291" s="6"/>
    </row>
    <row r="292" ht="12.0" customHeight="1">
      <c r="A292" s="14"/>
      <c r="B292" s="15"/>
      <c r="C292" s="15"/>
      <c r="D292" s="16" t="s">
        <v>460</v>
      </c>
      <c r="E292" s="17" t="s">
        <v>461</v>
      </c>
      <c r="F292" s="9"/>
      <c r="G292" s="18">
        <v>2522.0</v>
      </c>
      <c r="H292" s="19">
        <f t="shared" si="1"/>
        <v>94.7648</v>
      </c>
      <c r="I292" s="6" t="s">
        <v>112</v>
      </c>
      <c r="J292" s="6"/>
      <c r="K292" s="6"/>
      <c r="L292" s="7">
        <f>SUM(1*'Mercadería'!L293)</f>
        <v>94.7648</v>
      </c>
      <c r="M292" s="8"/>
      <c r="N292" s="20" t="s">
        <v>61</v>
      </c>
      <c r="O292" s="9"/>
      <c r="P292" s="6"/>
    </row>
    <row r="293" ht="12.0" customHeight="1">
      <c r="A293" s="14"/>
      <c r="B293" s="15"/>
      <c r="C293" s="15"/>
      <c r="D293" s="109" t="s">
        <v>460</v>
      </c>
      <c r="E293" s="159" t="s">
        <v>430</v>
      </c>
      <c r="F293" s="160"/>
      <c r="G293" s="161">
        <v>2523.0</v>
      </c>
      <c r="H293" s="19">
        <f t="shared" si="1"/>
        <v>139.36</v>
      </c>
      <c r="I293" s="158" t="s">
        <v>112</v>
      </c>
      <c r="J293" s="6"/>
      <c r="K293" s="6"/>
      <c r="L293" s="7">
        <f>SUM(1*'Mercadería'!L294)</f>
        <v>139.36</v>
      </c>
      <c r="M293" s="8"/>
      <c r="N293" s="161" t="s">
        <v>61</v>
      </c>
      <c r="O293" s="9"/>
      <c r="P293" s="6"/>
    </row>
    <row r="294" ht="12.0" customHeight="1">
      <c r="A294" s="14"/>
      <c r="B294" s="15"/>
      <c r="C294" s="15"/>
      <c r="D294" s="31" t="s">
        <v>462</v>
      </c>
      <c r="E294" s="17"/>
      <c r="F294" s="9"/>
      <c r="G294" s="24" t="s">
        <v>463</v>
      </c>
      <c r="H294" s="19">
        <f t="shared" si="1"/>
        <v>60.3</v>
      </c>
      <c r="I294" s="6"/>
      <c r="J294" s="6"/>
      <c r="K294" s="6"/>
      <c r="L294" s="7">
        <f>SUM(1*'Mercadería'!L295)</f>
        <v>60.3</v>
      </c>
      <c r="M294" s="8"/>
      <c r="N294" s="20"/>
      <c r="O294" s="9"/>
      <c r="P294" s="6"/>
    </row>
    <row r="295" ht="12.0" customHeight="1">
      <c r="A295" s="14"/>
      <c r="B295" s="15"/>
      <c r="C295" s="15"/>
      <c r="D295" s="46" t="s">
        <v>464</v>
      </c>
      <c r="E295" s="47" t="s">
        <v>465</v>
      </c>
      <c r="F295" s="50"/>
      <c r="G295" s="48"/>
      <c r="H295" s="19">
        <f t="shared" si="1"/>
        <v>67</v>
      </c>
      <c r="I295" s="6"/>
      <c r="J295" s="6"/>
      <c r="K295" s="6"/>
      <c r="L295" s="7">
        <f>SUM(1*'Mercadería'!L296)</f>
        <v>67</v>
      </c>
      <c r="M295" s="8"/>
      <c r="N295" s="49" t="s">
        <v>466</v>
      </c>
      <c r="O295" s="9"/>
      <c r="P295" s="6"/>
    </row>
    <row r="296" ht="12.0" customHeight="1">
      <c r="A296" s="14"/>
      <c r="B296" s="15"/>
      <c r="C296" s="15"/>
      <c r="D296" s="31" t="s">
        <v>464</v>
      </c>
      <c r="E296" s="17" t="s">
        <v>467</v>
      </c>
      <c r="F296" s="9"/>
      <c r="G296" s="18"/>
      <c r="H296" s="19">
        <f t="shared" si="1"/>
        <v>67</v>
      </c>
      <c r="I296" s="6"/>
      <c r="J296" s="6"/>
      <c r="K296" s="6"/>
      <c r="L296" s="7">
        <f>SUM(1*'Mercadería'!L297)</f>
        <v>67</v>
      </c>
      <c r="M296" s="8"/>
      <c r="N296" s="20" t="s">
        <v>466</v>
      </c>
      <c r="O296" s="9"/>
      <c r="P296" s="6"/>
    </row>
    <row r="297" ht="12.0" customHeight="1">
      <c r="A297" s="14"/>
      <c r="B297" s="15"/>
      <c r="C297" s="134"/>
      <c r="D297" s="39" t="s">
        <v>464</v>
      </c>
      <c r="E297" s="40" t="s">
        <v>468</v>
      </c>
      <c r="F297" s="41"/>
      <c r="G297" s="42"/>
      <c r="H297" s="19">
        <f t="shared" si="1"/>
        <v>9.09</v>
      </c>
      <c r="I297" s="6"/>
      <c r="J297" s="6"/>
      <c r="K297" s="6"/>
      <c r="L297" s="7">
        <f>SUM(1*'Mercadería'!L298)</f>
        <v>9.09</v>
      </c>
      <c r="M297" s="8"/>
      <c r="N297" s="45" t="s">
        <v>466</v>
      </c>
      <c r="O297" s="9"/>
      <c r="P297" s="6"/>
    </row>
    <row r="298" ht="12.0" customHeight="1">
      <c r="A298" s="14"/>
      <c r="B298" s="15"/>
      <c r="C298" s="134"/>
      <c r="D298" s="31" t="s">
        <v>469</v>
      </c>
      <c r="E298" s="32"/>
      <c r="F298" s="33"/>
      <c r="G298" s="59">
        <v>4990.0</v>
      </c>
      <c r="H298" s="35">
        <f t="shared" si="1"/>
        <v>200.376</v>
      </c>
      <c r="I298" s="36"/>
      <c r="J298" s="36"/>
      <c r="K298" s="36"/>
      <c r="L298" s="37">
        <f>SUM(1*'Mercadería'!L299)</f>
        <v>200.376</v>
      </c>
      <c r="M298" s="8"/>
      <c r="N298" s="38" t="s">
        <v>17</v>
      </c>
      <c r="O298" s="9"/>
      <c r="P298" s="6"/>
    </row>
    <row r="299" ht="12.0" customHeight="1">
      <c r="A299" s="14"/>
      <c r="B299" s="15"/>
      <c r="C299" s="15"/>
      <c r="D299" s="15" t="s">
        <v>470</v>
      </c>
      <c r="E299" s="21"/>
      <c r="F299" s="14"/>
      <c r="G299" s="49">
        <v>4989.0</v>
      </c>
      <c r="H299" s="19">
        <f t="shared" si="1"/>
        <v>91.476</v>
      </c>
      <c r="I299" s="6"/>
      <c r="J299" s="6"/>
      <c r="K299" s="6"/>
      <c r="L299" s="7">
        <f>SUM(1*'Mercadería'!L300)</f>
        <v>91.476</v>
      </c>
      <c r="M299" s="8"/>
      <c r="N299" s="23" t="s">
        <v>17</v>
      </c>
      <c r="O299" s="9"/>
      <c r="P299" s="6"/>
    </row>
    <row r="300" ht="12.0" customHeight="1">
      <c r="A300" s="14"/>
      <c r="B300" s="15"/>
      <c r="C300" s="15"/>
      <c r="D300" s="162" t="s">
        <v>471</v>
      </c>
      <c r="E300" s="163" t="s">
        <v>472</v>
      </c>
      <c r="F300" s="163"/>
      <c r="G300" s="61">
        <v>7161.0</v>
      </c>
      <c r="H300" s="19">
        <f t="shared" si="1"/>
        <v>16.5165</v>
      </c>
      <c r="I300" s="6"/>
      <c r="J300" s="6"/>
      <c r="K300" s="6"/>
      <c r="L300" s="7">
        <f>SUM(1*'Mercadería'!L301)</f>
        <v>16.5165</v>
      </c>
      <c r="M300" s="8"/>
      <c r="N300" s="61" t="s">
        <v>17</v>
      </c>
      <c r="O300" s="9"/>
      <c r="P300" s="6"/>
    </row>
    <row r="301" ht="12.0" customHeight="1">
      <c r="A301" s="14"/>
      <c r="B301" s="15"/>
      <c r="C301" s="15"/>
      <c r="D301" s="164" t="s">
        <v>473</v>
      </c>
      <c r="E301" s="157"/>
      <c r="F301" s="157"/>
      <c r="G301" s="157">
        <v>2783.0</v>
      </c>
      <c r="H301" s="19">
        <f t="shared" si="1"/>
        <v>61.2</v>
      </c>
      <c r="I301" s="6"/>
      <c r="J301" s="6"/>
      <c r="K301" s="6"/>
      <c r="L301" s="7">
        <f>SUM(1*'Mercadería'!L302)</f>
        <v>61.2</v>
      </c>
      <c r="M301" s="8"/>
      <c r="N301" s="165" t="s">
        <v>61</v>
      </c>
      <c r="O301" s="9"/>
      <c r="P301" s="6"/>
    </row>
    <row r="302" ht="12.0" customHeight="1">
      <c r="A302" s="14"/>
      <c r="B302" s="15"/>
      <c r="C302" s="15"/>
      <c r="D302" s="25" t="s">
        <v>474</v>
      </c>
      <c r="E302" s="26"/>
      <c r="F302" s="27"/>
      <c r="G302" s="28"/>
      <c r="H302" s="29">
        <f t="shared" si="1"/>
        <v>199.8</v>
      </c>
      <c r="I302" s="43"/>
      <c r="J302" s="43"/>
      <c r="K302" s="43"/>
      <c r="L302" s="44">
        <f>SUM(1*'Mercadería'!L303)</f>
        <v>199.8</v>
      </c>
      <c r="M302" s="8"/>
      <c r="N302" s="30" t="s">
        <v>293</v>
      </c>
      <c r="O302" s="9"/>
      <c r="P302" s="6"/>
    </row>
    <row r="303" ht="12.0" customHeight="1">
      <c r="A303" s="14"/>
      <c r="B303" s="16"/>
      <c r="C303" s="16"/>
      <c r="D303" s="15" t="s">
        <v>475</v>
      </c>
      <c r="E303" s="21" t="s">
        <v>476</v>
      </c>
      <c r="F303" s="14"/>
      <c r="G303" s="22">
        <v>1333.0</v>
      </c>
      <c r="H303" s="19">
        <f t="shared" si="1"/>
        <v>261.0333</v>
      </c>
      <c r="I303" s="6"/>
      <c r="J303" s="6"/>
      <c r="K303" s="6"/>
      <c r="L303" s="7">
        <f>SUM(1*'Mercadería'!L304)</f>
        <v>261.0333</v>
      </c>
      <c r="M303" s="8"/>
      <c r="N303" s="23" t="s">
        <v>17</v>
      </c>
      <c r="O303" s="9"/>
      <c r="P303" s="6"/>
    </row>
    <row r="304" ht="12.0" customHeight="1">
      <c r="A304" s="14"/>
      <c r="B304" s="16"/>
      <c r="C304" s="16"/>
      <c r="D304" s="9" t="s">
        <v>477</v>
      </c>
      <c r="E304" s="32" t="s">
        <v>478</v>
      </c>
      <c r="F304" s="27"/>
      <c r="G304" s="28"/>
      <c r="H304" s="35">
        <f t="shared" si="1"/>
        <v>290.037</v>
      </c>
      <c r="I304" s="43"/>
      <c r="J304" s="43"/>
      <c r="K304" s="36"/>
      <c r="L304" s="37">
        <f>SUM(1*'Mercadería'!L305)</f>
        <v>290.037</v>
      </c>
      <c r="M304" s="8"/>
      <c r="N304" s="61" t="s">
        <v>17</v>
      </c>
      <c r="O304" s="9"/>
      <c r="P304" s="6"/>
    </row>
    <row r="305" ht="12.0" customHeight="1">
      <c r="A305" s="14"/>
      <c r="B305" s="78"/>
      <c r="C305" s="78"/>
      <c r="D305" s="9" t="s">
        <v>479</v>
      </c>
      <c r="E305" s="32" t="s">
        <v>476</v>
      </c>
      <c r="F305" s="27"/>
      <c r="G305" s="28"/>
      <c r="H305" s="35">
        <f t="shared" si="1"/>
        <v>307.098</v>
      </c>
      <c r="I305" s="43"/>
      <c r="J305" s="43"/>
      <c r="K305" s="36"/>
      <c r="L305" s="37">
        <f>SUM(1*'Mercadería'!L306)</f>
        <v>307.098</v>
      </c>
      <c r="M305" s="8"/>
      <c r="N305" s="61"/>
      <c r="O305" s="9"/>
      <c r="P305" s="6"/>
    </row>
    <row r="306" ht="12.0" customHeight="1">
      <c r="A306" s="14"/>
      <c r="B306" s="78"/>
      <c r="C306" s="78"/>
      <c r="D306" s="41" t="s">
        <v>480</v>
      </c>
      <c r="E306" s="40" t="s">
        <v>410</v>
      </c>
      <c r="F306" s="41"/>
      <c r="G306" s="42"/>
      <c r="H306" s="29">
        <f t="shared" si="1"/>
        <v>70</v>
      </c>
      <c r="I306" s="43"/>
      <c r="J306" s="43"/>
      <c r="K306" s="43"/>
      <c r="L306" s="44">
        <f>SUM(1*'Mercadería'!L307)</f>
        <v>70</v>
      </c>
      <c r="M306" s="8"/>
      <c r="N306" s="45" t="s">
        <v>293</v>
      </c>
      <c r="O306" s="9"/>
      <c r="P306" s="6"/>
    </row>
    <row r="307" ht="12.0" customHeight="1">
      <c r="A307" s="14"/>
      <c r="B307" s="1"/>
      <c r="C307" s="1"/>
      <c r="D307" s="14" t="s">
        <v>481</v>
      </c>
      <c r="E307" s="21" t="s">
        <v>482</v>
      </c>
      <c r="F307" s="14"/>
      <c r="G307" s="166">
        <v>2770.0</v>
      </c>
      <c r="H307" s="19">
        <f t="shared" si="1"/>
        <v>69.696</v>
      </c>
      <c r="I307" s="6"/>
      <c r="J307" s="6"/>
      <c r="K307" s="6"/>
      <c r="L307" s="7">
        <f>SUM(1*'Mercadería'!L308)</f>
        <v>69.696</v>
      </c>
      <c r="M307" s="8"/>
      <c r="N307" s="23" t="s">
        <v>293</v>
      </c>
      <c r="O307" s="9"/>
      <c r="P307" s="6"/>
    </row>
    <row r="308" ht="12.0" customHeight="1">
      <c r="A308" s="14"/>
      <c r="B308" s="78"/>
      <c r="C308" s="78"/>
      <c r="D308" s="33" t="s">
        <v>483</v>
      </c>
      <c r="E308" s="17"/>
      <c r="F308" s="9"/>
      <c r="G308" s="18"/>
      <c r="H308" s="35">
        <f t="shared" si="1"/>
        <v>124.146</v>
      </c>
      <c r="I308" s="43"/>
      <c r="J308" s="43"/>
      <c r="K308" s="36"/>
      <c r="L308" s="37">
        <f>SUM(1*'Mercadería'!L309)</f>
        <v>124.146</v>
      </c>
      <c r="M308" s="8"/>
      <c r="N308" s="61" t="s">
        <v>17</v>
      </c>
      <c r="O308" s="9"/>
      <c r="P308" s="6"/>
    </row>
    <row r="309" ht="12.0" customHeight="1">
      <c r="A309" s="14"/>
      <c r="B309" s="15"/>
      <c r="C309" s="15"/>
      <c r="D309" s="33" t="s">
        <v>484</v>
      </c>
      <c r="E309" s="17"/>
      <c r="F309" s="9"/>
      <c r="G309" s="38">
        <v>2805.0</v>
      </c>
      <c r="H309" s="19">
        <f t="shared" si="1"/>
        <v>252.096</v>
      </c>
      <c r="I309" s="6"/>
      <c r="J309" s="6"/>
      <c r="K309" s="6"/>
      <c r="L309" s="7">
        <f>SUM(1*'Mercadería'!L310)</f>
        <v>252.096</v>
      </c>
      <c r="M309" s="8"/>
      <c r="N309" s="20" t="s">
        <v>61</v>
      </c>
      <c r="O309" s="9"/>
      <c r="P309" s="6"/>
    </row>
    <row r="310" ht="12.0" customHeight="1">
      <c r="A310" s="14"/>
      <c r="B310" s="78"/>
      <c r="C310" s="78"/>
      <c r="D310" s="50" t="s">
        <v>485</v>
      </c>
      <c r="E310" s="21"/>
      <c r="F310" s="14"/>
      <c r="G310" s="49">
        <v>2806.0</v>
      </c>
      <c r="H310" s="19">
        <f t="shared" si="1"/>
        <v>236.34</v>
      </c>
      <c r="I310" s="6"/>
      <c r="J310" s="6"/>
      <c r="K310" s="6"/>
      <c r="L310" s="7">
        <f>SUM(1*'Mercadería'!L311)</f>
        <v>236.34</v>
      </c>
      <c r="M310" s="8"/>
      <c r="N310" s="23" t="s">
        <v>61</v>
      </c>
      <c r="O310" s="9"/>
      <c r="P310" s="6"/>
    </row>
    <row r="311" ht="12.0" customHeight="1">
      <c r="A311" s="14"/>
      <c r="B311" s="1"/>
      <c r="C311" s="1"/>
      <c r="D311" s="33" t="s">
        <v>486</v>
      </c>
      <c r="E311" s="17"/>
      <c r="F311" s="9"/>
      <c r="G311" s="38">
        <v>2807.0</v>
      </c>
      <c r="H311" s="19">
        <f t="shared" si="1"/>
        <v>246.844</v>
      </c>
      <c r="I311" s="6"/>
      <c r="J311" s="6"/>
      <c r="K311" s="6"/>
      <c r="L311" s="7">
        <f>SUM(1*'Mercadería'!L312)</f>
        <v>246.844</v>
      </c>
      <c r="M311" s="8"/>
      <c r="N311" s="20" t="s">
        <v>61</v>
      </c>
      <c r="O311" s="9"/>
      <c r="P311" s="6"/>
    </row>
    <row r="312" ht="12.0" customHeight="1">
      <c r="A312" s="14"/>
      <c r="B312" s="78"/>
      <c r="C312" s="78"/>
      <c r="D312" s="50" t="s">
        <v>487</v>
      </c>
      <c r="E312" s="21"/>
      <c r="F312" s="14"/>
      <c r="G312" s="49">
        <v>2808.0</v>
      </c>
      <c r="H312" s="19">
        <f t="shared" si="1"/>
        <v>262.6</v>
      </c>
      <c r="I312" s="6"/>
      <c r="J312" s="6"/>
      <c r="K312" s="6"/>
      <c r="L312" s="7">
        <f>SUM(1*'Mercadería'!L313)</f>
        <v>262.6</v>
      </c>
      <c r="M312" s="8"/>
      <c r="N312" s="23" t="s">
        <v>61</v>
      </c>
      <c r="O312" s="9"/>
      <c r="P312" s="6"/>
    </row>
    <row r="313" ht="12.0" customHeight="1">
      <c r="A313" s="14"/>
      <c r="B313" s="15"/>
      <c r="C313" s="15"/>
      <c r="D313" s="116" t="s">
        <v>488</v>
      </c>
      <c r="E313" s="117"/>
      <c r="F313" s="116"/>
      <c r="G313" s="119">
        <v>2809.0</v>
      </c>
      <c r="H313" s="19">
        <f t="shared" si="1"/>
        <v>22.422</v>
      </c>
      <c r="I313" s="6"/>
      <c r="J313" s="6"/>
      <c r="K313" s="6"/>
      <c r="L313" s="7">
        <f>SUM(1*'Mercadería'!L314)</f>
        <v>22.422</v>
      </c>
      <c r="M313" s="8"/>
      <c r="N313" s="119" t="s">
        <v>61</v>
      </c>
      <c r="O313" s="9"/>
      <c r="P313" s="6"/>
    </row>
    <row r="314" ht="12.0" customHeight="1">
      <c r="A314" s="14"/>
      <c r="B314" s="15"/>
      <c r="C314" s="15"/>
      <c r="D314" s="50" t="s">
        <v>489</v>
      </c>
      <c r="E314" s="21"/>
      <c r="F314" s="14"/>
      <c r="G314" s="49">
        <v>2810.0</v>
      </c>
      <c r="H314" s="19">
        <f t="shared" si="1"/>
        <v>551.46</v>
      </c>
      <c r="I314" s="6"/>
      <c r="J314" s="6"/>
      <c r="K314" s="6"/>
      <c r="L314" s="7">
        <f>SUM(1*'Mercadería'!L315)</f>
        <v>551.46</v>
      </c>
      <c r="M314" s="8"/>
      <c r="N314" s="23" t="s">
        <v>61</v>
      </c>
      <c r="O314" s="9"/>
      <c r="P314" s="6"/>
    </row>
    <row r="315" ht="12.0" customHeight="1">
      <c r="A315" s="14"/>
      <c r="B315" s="15"/>
      <c r="C315" s="15"/>
      <c r="D315" s="33" t="s">
        <v>490</v>
      </c>
      <c r="E315" s="17"/>
      <c r="F315" s="9"/>
      <c r="G315" s="38">
        <v>2811.0</v>
      </c>
      <c r="H315" s="19">
        <f t="shared" si="1"/>
        <v>517.14</v>
      </c>
      <c r="I315" s="6"/>
      <c r="J315" s="6"/>
      <c r="K315" s="6"/>
      <c r="L315" s="7">
        <f>SUM(1*'Mercadería'!L316)</f>
        <v>517.14</v>
      </c>
      <c r="M315" s="8"/>
      <c r="N315" s="20" t="s">
        <v>61</v>
      </c>
      <c r="O315" s="9"/>
      <c r="P315" s="6"/>
    </row>
    <row r="316" ht="12.0" customHeight="1">
      <c r="A316" s="14"/>
      <c r="B316" s="15"/>
      <c r="C316" s="15"/>
      <c r="D316" s="121" t="s">
        <v>491</v>
      </c>
      <c r="E316" s="120"/>
      <c r="F316" s="121"/>
      <c r="G316" s="167">
        <v>2812.0</v>
      </c>
      <c r="H316" s="19">
        <f t="shared" si="1"/>
        <v>19.392</v>
      </c>
      <c r="I316" s="6"/>
      <c r="J316" s="6"/>
      <c r="K316" s="6"/>
      <c r="L316" s="7">
        <f>SUM(1*'Mercadería'!L317)</f>
        <v>19.392</v>
      </c>
      <c r="M316" s="8"/>
      <c r="N316" s="167" t="s">
        <v>61</v>
      </c>
      <c r="O316" s="9"/>
      <c r="P316" s="6"/>
    </row>
    <row r="317" ht="12.0" customHeight="1">
      <c r="A317" s="14"/>
      <c r="B317" s="15"/>
      <c r="C317" s="15"/>
      <c r="D317" s="116" t="s">
        <v>492</v>
      </c>
      <c r="E317" s="117"/>
      <c r="F317" s="116"/>
      <c r="G317" s="119">
        <v>2813.0</v>
      </c>
      <c r="H317" s="19">
        <f t="shared" si="1"/>
        <v>19.392</v>
      </c>
      <c r="I317" s="6"/>
      <c r="J317" s="6"/>
      <c r="K317" s="6"/>
      <c r="L317" s="7">
        <f>SUM(1*'Mercadería'!L318)</f>
        <v>19.392</v>
      </c>
      <c r="M317" s="8"/>
      <c r="N317" s="119" t="s">
        <v>61</v>
      </c>
      <c r="O317" s="9"/>
      <c r="P317" s="6"/>
    </row>
    <row r="318" ht="12.0" customHeight="1">
      <c r="A318" s="14"/>
      <c r="B318" s="15"/>
      <c r="C318" s="15"/>
      <c r="D318" s="50" t="s">
        <v>493</v>
      </c>
      <c r="E318" s="21"/>
      <c r="F318" s="14"/>
      <c r="G318" s="49">
        <v>2814.0</v>
      </c>
      <c r="H318" s="19">
        <f t="shared" si="1"/>
        <v>262.6</v>
      </c>
      <c r="I318" s="6"/>
      <c r="J318" s="6"/>
      <c r="K318" s="6"/>
      <c r="L318" s="7">
        <f>SUM(1*'Mercadería'!L319)</f>
        <v>262.6</v>
      </c>
      <c r="M318" s="8"/>
      <c r="N318" s="23" t="s">
        <v>61</v>
      </c>
      <c r="O318" s="9"/>
      <c r="P318" s="6"/>
    </row>
    <row r="319" ht="12.0" customHeight="1">
      <c r="A319" s="14"/>
      <c r="B319" s="15"/>
      <c r="C319" s="15"/>
      <c r="D319" s="33" t="s">
        <v>494</v>
      </c>
      <c r="E319" s="17"/>
      <c r="F319" s="9"/>
      <c r="G319" s="38">
        <v>2815.0</v>
      </c>
      <c r="H319" s="19">
        <f t="shared" si="1"/>
        <v>262.6</v>
      </c>
      <c r="I319" s="6"/>
      <c r="J319" s="6"/>
      <c r="K319" s="6"/>
      <c r="L319" s="7">
        <f>SUM(1*'Mercadería'!L320)</f>
        <v>262.6</v>
      </c>
      <c r="M319" s="8"/>
      <c r="N319" s="20" t="s">
        <v>61</v>
      </c>
      <c r="O319" s="9"/>
      <c r="P319" s="6"/>
    </row>
    <row r="320" ht="12.0" customHeight="1">
      <c r="A320" s="14"/>
      <c r="B320" s="15"/>
      <c r="C320" s="15"/>
      <c r="D320" s="50" t="s">
        <v>495</v>
      </c>
      <c r="E320" s="21"/>
      <c r="F320" s="14"/>
      <c r="G320" s="49">
        <v>2816.0</v>
      </c>
      <c r="H320" s="19">
        <f t="shared" si="1"/>
        <v>338.754</v>
      </c>
      <c r="I320" s="6"/>
      <c r="J320" s="6"/>
      <c r="K320" s="6"/>
      <c r="L320" s="7">
        <f>SUM(1*'Mercadería'!L321)</f>
        <v>338.754</v>
      </c>
      <c r="M320" s="8"/>
      <c r="N320" s="23" t="s">
        <v>61</v>
      </c>
      <c r="O320" s="9"/>
      <c r="P320" s="6"/>
    </row>
    <row r="321" ht="12.0" customHeight="1">
      <c r="A321" s="14"/>
      <c r="B321" s="15"/>
      <c r="C321" s="15"/>
      <c r="D321" s="33" t="s">
        <v>496</v>
      </c>
      <c r="E321" s="17"/>
      <c r="F321" s="9"/>
      <c r="G321" s="38">
        <v>2818.0</v>
      </c>
      <c r="H321" s="19">
        <f t="shared" si="1"/>
        <v>338.754</v>
      </c>
      <c r="I321" s="6"/>
      <c r="J321" s="6"/>
      <c r="K321" s="6"/>
      <c r="L321" s="7">
        <f>SUM(1*'Mercadería'!L322)</f>
        <v>338.754</v>
      </c>
      <c r="M321" s="8"/>
      <c r="N321" s="20" t="s">
        <v>61</v>
      </c>
      <c r="O321" s="9"/>
      <c r="P321" s="6"/>
    </row>
    <row r="322" ht="12.0" customHeight="1">
      <c r="A322" s="14"/>
      <c r="B322" s="15"/>
      <c r="C322" s="15"/>
      <c r="D322" s="50" t="s">
        <v>497</v>
      </c>
      <c r="E322" s="21"/>
      <c r="F322" s="14"/>
      <c r="G322" s="49">
        <v>2820.0</v>
      </c>
      <c r="H322" s="19">
        <f t="shared" si="1"/>
        <v>338.754</v>
      </c>
      <c r="I322" s="6"/>
      <c r="J322" s="6"/>
      <c r="K322" s="6"/>
      <c r="L322" s="7">
        <f>SUM(1*'Mercadería'!L323)</f>
        <v>338.754</v>
      </c>
      <c r="M322" s="8"/>
      <c r="N322" s="23" t="s">
        <v>61</v>
      </c>
      <c r="O322" s="9"/>
      <c r="P322" s="6"/>
    </row>
    <row r="323" ht="12.0" customHeight="1">
      <c r="A323" s="14"/>
      <c r="B323" s="15"/>
      <c r="C323" s="15"/>
      <c r="D323" s="33" t="s">
        <v>498</v>
      </c>
      <c r="E323" s="17"/>
      <c r="F323" s="9"/>
      <c r="G323" s="38">
        <v>2822.0</v>
      </c>
      <c r="H323" s="19">
        <f t="shared" si="1"/>
        <v>488.436</v>
      </c>
      <c r="I323" s="6"/>
      <c r="J323" s="6"/>
      <c r="K323" s="6"/>
      <c r="L323" s="7">
        <f>SUM(1*'Mercadería'!L324)</f>
        <v>488.436</v>
      </c>
      <c r="M323" s="8"/>
      <c r="N323" s="20" t="s">
        <v>61</v>
      </c>
      <c r="O323" s="9"/>
      <c r="P323" s="6"/>
    </row>
    <row r="324" ht="12.0" customHeight="1">
      <c r="A324" s="14"/>
      <c r="B324" s="15"/>
      <c r="C324" s="15"/>
      <c r="D324" s="50" t="s">
        <v>499</v>
      </c>
      <c r="E324" s="21"/>
      <c r="F324" s="14"/>
      <c r="G324" s="49">
        <v>2824.0</v>
      </c>
      <c r="H324" s="19">
        <f t="shared" si="1"/>
        <v>210.08</v>
      </c>
      <c r="I324" s="6"/>
      <c r="J324" s="6"/>
      <c r="K324" s="6"/>
      <c r="L324" s="7">
        <f>SUM(1*'Mercadería'!L325)</f>
        <v>210.08</v>
      </c>
      <c r="M324" s="8"/>
      <c r="N324" s="23" t="s">
        <v>61</v>
      </c>
      <c r="O324" s="9"/>
      <c r="P324" s="6"/>
    </row>
    <row r="325" ht="12.0" customHeight="1">
      <c r="A325" s="14"/>
      <c r="B325" s="15"/>
      <c r="C325" s="15"/>
      <c r="D325" s="33" t="s">
        <v>500</v>
      </c>
      <c r="E325" s="17"/>
      <c r="F325" s="9"/>
      <c r="G325" s="38">
        <v>2825.0</v>
      </c>
      <c r="H325" s="19">
        <f t="shared" si="1"/>
        <v>338.754</v>
      </c>
      <c r="I325" s="6"/>
      <c r="J325" s="6"/>
      <c r="K325" s="6"/>
      <c r="L325" s="7">
        <f>SUM(1*'Mercadería'!L326)</f>
        <v>338.754</v>
      </c>
      <c r="M325" s="8"/>
      <c r="N325" s="20" t="s">
        <v>61</v>
      </c>
      <c r="O325" s="9"/>
      <c r="P325" s="6"/>
    </row>
    <row r="326" ht="12.0" customHeight="1">
      <c r="A326" s="14"/>
      <c r="B326" s="15"/>
      <c r="C326" s="15"/>
      <c r="D326" s="50" t="s">
        <v>501</v>
      </c>
      <c r="E326" s="21"/>
      <c r="F326" s="14"/>
      <c r="G326" s="49">
        <v>2828.0</v>
      </c>
      <c r="H326" s="19">
        <f t="shared" si="1"/>
        <v>570.18</v>
      </c>
      <c r="I326" s="6"/>
      <c r="J326" s="6"/>
      <c r="K326" s="6"/>
      <c r="L326" s="7">
        <f>SUM(1*'Mercadería'!L327)</f>
        <v>570.18</v>
      </c>
      <c r="M326" s="8"/>
      <c r="N326" s="23" t="s">
        <v>61</v>
      </c>
      <c r="O326" s="9"/>
      <c r="P326" s="6"/>
    </row>
    <row r="327" ht="12.0" customHeight="1">
      <c r="A327" s="14"/>
      <c r="B327" s="15"/>
      <c r="C327" s="15"/>
      <c r="D327" s="33" t="s">
        <v>502</v>
      </c>
      <c r="E327" s="17"/>
      <c r="F327" s="9"/>
      <c r="G327" s="38">
        <v>2835.0</v>
      </c>
      <c r="H327" s="19">
        <f t="shared" si="1"/>
        <v>367.64</v>
      </c>
      <c r="I327" s="6"/>
      <c r="J327" s="6"/>
      <c r="K327" s="6"/>
      <c r="L327" s="7">
        <f>SUM(1*'Mercadería'!L328)</f>
        <v>367.64</v>
      </c>
      <c r="M327" s="8"/>
      <c r="N327" s="20" t="s">
        <v>61</v>
      </c>
      <c r="O327" s="9"/>
      <c r="P327" s="6"/>
    </row>
    <row r="328" ht="12.0" customHeight="1">
      <c r="A328" s="14"/>
      <c r="B328" s="15"/>
      <c r="C328" s="15"/>
      <c r="D328" s="50" t="s">
        <v>503</v>
      </c>
      <c r="E328" s="21"/>
      <c r="F328" s="14"/>
      <c r="G328" s="49">
        <v>2836.0</v>
      </c>
      <c r="H328" s="19">
        <f t="shared" si="1"/>
        <v>183.82</v>
      </c>
      <c r="I328" s="6"/>
      <c r="J328" s="6"/>
      <c r="K328" s="6"/>
      <c r="L328" s="7">
        <f>SUM(1*'Mercadería'!L329)</f>
        <v>183.82</v>
      </c>
      <c r="M328" s="8"/>
      <c r="N328" s="23" t="s">
        <v>61</v>
      </c>
      <c r="O328" s="9"/>
      <c r="P328" s="6"/>
    </row>
    <row r="329" ht="12.0" customHeight="1">
      <c r="A329" s="14"/>
      <c r="B329" s="15"/>
      <c r="C329" s="15"/>
      <c r="D329" s="33" t="s">
        <v>504</v>
      </c>
      <c r="E329" s="17"/>
      <c r="F329" s="9"/>
      <c r="G329" s="38">
        <v>2837.0</v>
      </c>
      <c r="H329" s="19">
        <f t="shared" si="1"/>
        <v>236.34</v>
      </c>
      <c r="I329" s="6"/>
      <c r="J329" s="6"/>
      <c r="K329" s="6"/>
      <c r="L329" s="7">
        <f>SUM(1*'Mercadería'!L330)</f>
        <v>236.34</v>
      </c>
      <c r="M329" s="8"/>
      <c r="N329" s="20" t="s">
        <v>61</v>
      </c>
      <c r="O329" s="9"/>
      <c r="P329" s="6"/>
    </row>
    <row r="330" ht="12.0" customHeight="1">
      <c r="A330" s="14"/>
      <c r="B330" s="15"/>
      <c r="C330" s="15"/>
      <c r="D330" s="50" t="s">
        <v>505</v>
      </c>
      <c r="E330" s="21"/>
      <c r="F330" s="14"/>
      <c r="G330" s="49">
        <v>2838.0</v>
      </c>
      <c r="H330" s="19">
        <f t="shared" si="1"/>
        <v>236.34</v>
      </c>
      <c r="I330" s="6"/>
      <c r="J330" s="6"/>
      <c r="K330" s="6"/>
      <c r="L330" s="7">
        <f>SUM(1*'Mercadería'!L331)</f>
        <v>236.34</v>
      </c>
      <c r="M330" s="8"/>
      <c r="N330" s="23" t="s">
        <v>61</v>
      </c>
      <c r="O330" s="9"/>
      <c r="P330" s="6"/>
    </row>
    <row r="331" ht="12.0" customHeight="1">
      <c r="A331" s="14"/>
      <c r="B331" s="15"/>
      <c r="C331" s="15"/>
      <c r="D331" s="33" t="s">
        <v>506</v>
      </c>
      <c r="E331" s="17"/>
      <c r="F331" s="9"/>
      <c r="G331" s="38">
        <v>2839.0</v>
      </c>
      <c r="H331" s="19">
        <f t="shared" si="1"/>
        <v>223.21</v>
      </c>
      <c r="I331" s="6"/>
      <c r="J331" s="6"/>
      <c r="K331" s="6"/>
      <c r="L331" s="7">
        <f>SUM(1*'Mercadería'!L332)</f>
        <v>223.21</v>
      </c>
      <c r="M331" s="8"/>
      <c r="N331" s="20" t="s">
        <v>61</v>
      </c>
      <c r="O331" s="9"/>
      <c r="P331" s="6"/>
    </row>
    <row r="332" ht="12.0" customHeight="1">
      <c r="A332" s="14"/>
      <c r="B332" s="15"/>
      <c r="C332" s="15"/>
      <c r="D332" s="50" t="s">
        <v>507</v>
      </c>
      <c r="E332" s="21"/>
      <c r="F332" s="14"/>
      <c r="G332" s="49">
        <v>2840.0</v>
      </c>
      <c r="H332" s="19">
        <f t="shared" si="1"/>
        <v>223.21</v>
      </c>
      <c r="I332" s="6"/>
      <c r="J332" s="6"/>
      <c r="K332" s="6"/>
      <c r="L332" s="7">
        <f>SUM(1*'Mercadería'!L333)</f>
        <v>223.21</v>
      </c>
      <c r="M332" s="8"/>
      <c r="N332" s="23" t="s">
        <v>61</v>
      </c>
      <c r="O332" s="9"/>
      <c r="P332" s="6"/>
    </row>
    <row r="333" ht="12.0" customHeight="1">
      <c r="A333" s="14"/>
      <c r="B333" s="15"/>
      <c r="C333" s="15"/>
      <c r="D333" s="36" t="s">
        <v>508</v>
      </c>
      <c r="E333" s="17"/>
      <c r="F333" s="9"/>
      <c r="G333" s="36">
        <v>2846.0</v>
      </c>
      <c r="H333" s="19">
        <f t="shared" si="1"/>
        <v>945.36</v>
      </c>
      <c r="I333" s="6"/>
      <c r="J333" s="6"/>
      <c r="K333" s="6"/>
      <c r="L333" s="7">
        <f>SUM(1*'Mercadería'!L334)</f>
        <v>945.36</v>
      </c>
      <c r="M333" s="8"/>
      <c r="N333" s="20" t="s">
        <v>61</v>
      </c>
      <c r="O333" s="9"/>
      <c r="P333" s="6"/>
    </row>
    <row r="334" ht="12.0" customHeight="1">
      <c r="A334" s="14"/>
      <c r="B334" s="15"/>
      <c r="C334" s="15"/>
      <c r="D334" s="168" t="s">
        <v>509</v>
      </c>
      <c r="E334" s="21"/>
      <c r="F334" s="14"/>
      <c r="G334" s="168">
        <v>2847.0</v>
      </c>
      <c r="H334" s="19">
        <f t="shared" si="1"/>
        <v>585.598</v>
      </c>
      <c r="I334" s="6"/>
      <c r="J334" s="6"/>
      <c r="K334" s="6"/>
      <c r="L334" s="7">
        <f>SUM(1*'Mercadería'!L335)</f>
        <v>585.598</v>
      </c>
      <c r="M334" s="8"/>
      <c r="N334" s="23" t="s">
        <v>61</v>
      </c>
      <c r="O334" s="9"/>
      <c r="P334" s="6"/>
    </row>
    <row r="335" ht="12.0" customHeight="1">
      <c r="A335" s="14"/>
      <c r="B335" s="15"/>
      <c r="C335" s="15"/>
      <c r="D335" s="116" t="s">
        <v>510</v>
      </c>
      <c r="E335" s="117"/>
      <c r="F335" s="116"/>
      <c r="G335" s="119">
        <v>2861.0</v>
      </c>
      <c r="H335" s="19">
        <f t="shared" si="1"/>
        <v>38.784</v>
      </c>
      <c r="I335" s="6"/>
      <c r="J335" s="6"/>
      <c r="K335" s="6"/>
      <c r="L335" s="7">
        <f>SUM(1*'Mercadería'!L336)</f>
        <v>38.784</v>
      </c>
      <c r="M335" s="8"/>
      <c r="N335" s="119" t="s">
        <v>61</v>
      </c>
      <c r="O335" s="9"/>
      <c r="P335" s="6"/>
    </row>
    <row r="336" ht="12.0" customHeight="1">
      <c r="A336" s="14"/>
      <c r="B336" s="15"/>
      <c r="C336" s="15"/>
      <c r="D336" s="50" t="s">
        <v>511</v>
      </c>
      <c r="E336" s="21"/>
      <c r="F336" s="14"/>
      <c r="G336" s="49">
        <v>2862.0</v>
      </c>
      <c r="H336" s="19">
        <f t="shared" si="1"/>
        <v>236.34</v>
      </c>
      <c r="I336" s="6"/>
      <c r="J336" s="6"/>
      <c r="K336" s="6"/>
      <c r="L336" s="7">
        <f>SUM(1*'Mercadería'!L337)</f>
        <v>236.34</v>
      </c>
      <c r="M336" s="8"/>
      <c r="N336" s="23" t="s">
        <v>61</v>
      </c>
      <c r="O336" s="9"/>
      <c r="P336" s="6"/>
    </row>
    <row r="337" ht="12.0" customHeight="1">
      <c r="A337" s="14"/>
      <c r="B337" s="15"/>
      <c r="C337" s="15"/>
      <c r="D337" s="33" t="s">
        <v>512</v>
      </c>
      <c r="E337" s="17"/>
      <c r="F337" s="9"/>
      <c r="G337" s="38">
        <v>2863.0</v>
      </c>
      <c r="H337" s="19">
        <f t="shared" si="1"/>
        <v>537.03</v>
      </c>
      <c r="I337" s="6"/>
      <c r="J337" s="6"/>
      <c r="K337" s="6"/>
      <c r="L337" s="7">
        <f>SUM(1*'Mercadería'!L338)</f>
        <v>537.03</v>
      </c>
      <c r="M337" s="8"/>
      <c r="N337" s="20" t="s">
        <v>61</v>
      </c>
      <c r="O337" s="9"/>
      <c r="P337" s="6"/>
    </row>
    <row r="338" ht="12.0" customHeight="1">
      <c r="A338" s="14"/>
      <c r="B338" s="15"/>
      <c r="C338" s="15"/>
      <c r="D338" s="50" t="s">
        <v>513</v>
      </c>
      <c r="E338" s="21"/>
      <c r="F338" s="14"/>
      <c r="G338" s="49">
        <v>2864.0</v>
      </c>
      <c r="H338" s="19">
        <f t="shared" si="1"/>
        <v>594.49</v>
      </c>
      <c r="I338" s="6"/>
      <c r="J338" s="6"/>
      <c r="K338" s="6"/>
      <c r="L338" s="7">
        <f>SUM(1*'Mercadería'!L339)</f>
        <v>594.49</v>
      </c>
      <c r="M338" s="8"/>
      <c r="N338" s="23" t="s">
        <v>61</v>
      </c>
      <c r="O338" s="9"/>
      <c r="P338" s="6"/>
    </row>
    <row r="339" ht="12.0" customHeight="1">
      <c r="A339" s="14"/>
      <c r="B339" s="15"/>
      <c r="C339" s="15"/>
      <c r="D339" s="116" t="s">
        <v>514</v>
      </c>
      <c r="E339" s="117"/>
      <c r="F339" s="116"/>
      <c r="G339" s="119">
        <v>2865.0</v>
      </c>
      <c r="H339" s="19">
        <f t="shared" si="1"/>
        <v>23.3108</v>
      </c>
      <c r="I339" s="6"/>
      <c r="J339" s="6"/>
      <c r="K339" s="6"/>
      <c r="L339" s="7">
        <f>SUM(1*'Mercadería'!L340)</f>
        <v>23.3108</v>
      </c>
      <c r="M339" s="8"/>
      <c r="N339" s="119" t="s">
        <v>61</v>
      </c>
      <c r="O339" s="9"/>
      <c r="P339" s="6"/>
    </row>
    <row r="340" ht="12.0" customHeight="1">
      <c r="A340" s="14"/>
      <c r="B340" s="15"/>
      <c r="C340" s="15"/>
      <c r="D340" s="50" t="s">
        <v>515</v>
      </c>
      <c r="E340" s="21"/>
      <c r="F340" s="14"/>
      <c r="G340" s="49">
        <v>2867.0</v>
      </c>
      <c r="H340" s="19">
        <f t="shared" si="1"/>
        <v>525.2</v>
      </c>
      <c r="I340" s="6"/>
      <c r="J340" s="6"/>
      <c r="K340" s="6"/>
      <c r="L340" s="7">
        <f>SUM(1*'Mercadería'!L341)</f>
        <v>525.2</v>
      </c>
      <c r="M340" s="8"/>
      <c r="N340" s="23" t="s">
        <v>61</v>
      </c>
      <c r="O340" s="9"/>
      <c r="P340" s="6"/>
    </row>
    <row r="341" ht="12.0" customHeight="1">
      <c r="A341" s="14"/>
      <c r="B341" s="15"/>
      <c r="C341" s="15"/>
      <c r="D341" s="116" t="s">
        <v>516</v>
      </c>
      <c r="E341" s="117"/>
      <c r="F341" s="116"/>
      <c r="G341" s="119">
        <v>2873.0</v>
      </c>
      <c r="H341" s="19">
        <f t="shared" si="1"/>
        <v>44.149</v>
      </c>
      <c r="I341" s="6"/>
      <c r="J341" s="6"/>
      <c r="K341" s="6"/>
      <c r="L341" s="7">
        <f>SUM(1*'Mercadería'!L342)</f>
        <v>44.149</v>
      </c>
      <c r="M341" s="8"/>
      <c r="N341" s="119" t="s">
        <v>61</v>
      </c>
      <c r="O341" s="9"/>
      <c r="P341" s="6"/>
    </row>
    <row r="342" ht="12.0" customHeight="1">
      <c r="A342" s="14"/>
      <c r="B342" s="79"/>
      <c r="C342" s="79"/>
      <c r="D342" s="15" t="s">
        <v>517</v>
      </c>
      <c r="E342" s="21"/>
      <c r="F342" s="14"/>
      <c r="G342" s="49"/>
      <c r="H342" s="19">
        <f t="shared" si="1"/>
        <v>719.2</v>
      </c>
      <c r="I342" s="6"/>
      <c r="J342" s="6"/>
      <c r="K342" s="6"/>
      <c r="L342" s="7">
        <f>SUM(1*'Mercadería'!L343)</f>
        <v>719.2</v>
      </c>
      <c r="M342" s="8"/>
      <c r="N342" s="23"/>
      <c r="O342" s="9"/>
      <c r="P342" s="6"/>
    </row>
    <row r="343" ht="12.0" customHeight="1">
      <c r="A343" s="14"/>
      <c r="B343" s="15"/>
      <c r="C343" s="169"/>
      <c r="D343" s="46" t="s">
        <v>518</v>
      </c>
      <c r="E343" s="47" t="s">
        <v>250</v>
      </c>
      <c r="F343" s="50"/>
      <c r="G343" s="48"/>
      <c r="H343" s="35">
        <f t="shared" si="1"/>
        <v>145.6</v>
      </c>
      <c r="I343" s="6"/>
      <c r="J343" s="6"/>
      <c r="K343" s="6"/>
      <c r="L343" s="7">
        <f>SUM(1*'Mercadería'!L344)</f>
        <v>145.6</v>
      </c>
      <c r="M343" s="8"/>
      <c r="N343" s="45"/>
      <c r="O343" s="9"/>
      <c r="P343" s="6"/>
    </row>
    <row r="344" ht="12.0" customHeight="1">
      <c r="A344" s="14"/>
      <c r="B344" s="15"/>
      <c r="C344" s="15"/>
      <c r="D344" s="25" t="s">
        <v>518</v>
      </c>
      <c r="E344" s="26" t="s">
        <v>519</v>
      </c>
      <c r="F344" s="27"/>
      <c r="G344" s="28"/>
      <c r="H344" s="29">
        <f t="shared" si="1"/>
        <v>50.96</v>
      </c>
      <c r="I344" s="6"/>
      <c r="J344" s="6"/>
      <c r="K344" s="6"/>
      <c r="L344" s="7">
        <f>SUM(1*'Mercadería'!L345)</f>
        <v>50.96</v>
      </c>
      <c r="M344" s="8"/>
      <c r="N344" s="20"/>
      <c r="O344" s="9"/>
      <c r="P344" s="6"/>
    </row>
    <row r="345" ht="12.0" customHeight="1">
      <c r="A345" s="14"/>
      <c r="B345" s="15" t="s">
        <v>5</v>
      </c>
      <c r="C345" s="15"/>
      <c r="D345" s="170" t="s">
        <v>520</v>
      </c>
      <c r="E345" s="171" t="s">
        <v>521</v>
      </c>
      <c r="F345" s="172"/>
      <c r="G345" s="173"/>
      <c r="H345" s="19">
        <f t="shared" si="1"/>
        <v>0</v>
      </c>
      <c r="I345" s="6"/>
      <c r="J345" s="6"/>
      <c r="K345" s="6"/>
      <c r="L345" s="7">
        <f>SUM(1*'Mercadería'!L346)</f>
        <v>0</v>
      </c>
      <c r="M345" s="8"/>
      <c r="N345" s="174"/>
      <c r="O345" s="9"/>
      <c r="P345" s="6"/>
    </row>
    <row r="346" ht="12.0" customHeight="1">
      <c r="A346" s="14"/>
      <c r="B346" s="128"/>
      <c r="C346" s="128"/>
      <c r="D346" s="16" t="s">
        <v>522</v>
      </c>
      <c r="E346" s="17" t="s">
        <v>523</v>
      </c>
      <c r="F346" s="9"/>
      <c r="G346" s="18">
        <v>4183.0</v>
      </c>
      <c r="H346" s="19">
        <f t="shared" si="1"/>
        <v>276.848</v>
      </c>
      <c r="I346" s="6"/>
      <c r="J346" s="6"/>
      <c r="K346" s="6"/>
      <c r="L346" s="7">
        <f>SUM(1*'Mercadería'!L347)</f>
        <v>276.848</v>
      </c>
      <c r="M346" s="8"/>
      <c r="N346" s="95" t="s">
        <v>17</v>
      </c>
      <c r="O346" s="9"/>
      <c r="P346" s="6"/>
    </row>
    <row r="347" ht="12.0" customHeight="1">
      <c r="A347" s="14"/>
      <c r="B347" s="128"/>
      <c r="C347" s="128"/>
      <c r="D347" s="15" t="s">
        <v>524</v>
      </c>
      <c r="E347" s="21" t="s">
        <v>525</v>
      </c>
      <c r="F347" s="14"/>
      <c r="G347" s="22">
        <v>5515.0</v>
      </c>
      <c r="H347" s="19">
        <f t="shared" si="1"/>
        <v>424</v>
      </c>
      <c r="I347" s="6"/>
      <c r="J347" s="6"/>
      <c r="K347" s="6"/>
      <c r="L347" s="7">
        <f>SUM(1*'Mercadería'!L348)</f>
        <v>424</v>
      </c>
      <c r="M347" s="8"/>
      <c r="N347" s="23" t="s">
        <v>61</v>
      </c>
      <c r="O347" s="9"/>
      <c r="P347" s="6"/>
    </row>
    <row r="348" ht="12.0" customHeight="1">
      <c r="A348" s="14"/>
      <c r="B348" s="128"/>
      <c r="C348" s="128"/>
      <c r="D348" s="15" t="s">
        <v>524</v>
      </c>
      <c r="E348" s="21" t="s">
        <v>526</v>
      </c>
      <c r="F348" s="14"/>
      <c r="G348" s="22"/>
      <c r="H348" s="19">
        <f t="shared" si="1"/>
        <v>416.24</v>
      </c>
      <c r="I348" s="6"/>
      <c r="J348" s="6"/>
      <c r="K348" s="6"/>
      <c r="L348" s="7">
        <f>SUM(1*'Mercadería'!L349)</f>
        <v>416.24</v>
      </c>
      <c r="M348" s="8"/>
      <c r="N348" s="23" t="s">
        <v>17</v>
      </c>
      <c r="O348" s="9"/>
      <c r="P348" s="6"/>
    </row>
    <row r="349" ht="12.0" customHeight="1">
      <c r="A349" s="52"/>
      <c r="B349" s="128"/>
      <c r="C349" s="128"/>
      <c r="D349" s="16" t="s">
        <v>527</v>
      </c>
      <c r="E349" s="17" t="s">
        <v>528</v>
      </c>
      <c r="F349" s="9"/>
      <c r="G349" s="18">
        <v>5516.0</v>
      </c>
      <c r="H349" s="19">
        <f t="shared" si="1"/>
        <v>915.75</v>
      </c>
      <c r="I349" s="6"/>
      <c r="J349" s="6"/>
      <c r="K349" s="6"/>
      <c r="L349" s="7">
        <f>SUM(1*'Mercadería'!L350)</f>
        <v>915.75</v>
      </c>
      <c r="M349" s="8"/>
      <c r="N349" s="20" t="s">
        <v>61</v>
      </c>
      <c r="O349" s="9"/>
      <c r="P349" s="6"/>
    </row>
    <row r="350" ht="12.0" customHeight="1">
      <c r="A350" s="52"/>
      <c r="B350" s="128"/>
      <c r="C350" s="128"/>
      <c r="D350" s="15" t="s">
        <v>529</v>
      </c>
      <c r="E350" s="21" t="s">
        <v>530</v>
      </c>
      <c r="F350" s="14"/>
      <c r="G350" s="22"/>
      <c r="H350" s="19">
        <f t="shared" si="1"/>
        <v>968</v>
      </c>
      <c r="I350" s="6"/>
      <c r="J350" s="6"/>
      <c r="K350" s="6"/>
      <c r="L350" s="7">
        <f>SUM(1*'Mercadería'!L351)</f>
        <v>968</v>
      </c>
      <c r="M350" s="8"/>
      <c r="N350" s="23"/>
      <c r="O350" s="9"/>
      <c r="P350" s="6"/>
    </row>
    <row r="351" ht="12.0" customHeight="1">
      <c r="A351" s="52"/>
      <c r="B351" s="128"/>
      <c r="C351" s="128"/>
      <c r="D351" s="15" t="s">
        <v>531</v>
      </c>
      <c r="E351" s="21" t="s">
        <v>530</v>
      </c>
      <c r="F351" s="14"/>
      <c r="G351" s="22"/>
      <c r="H351" s="19">
        <f t="shared" si="1"/>
        <v>1369.6</v>
      </c>
      <c r="I351" s="6"/>
      <c r="J351" s="6"/>
      <c r="K351" s="6"/>
      <c r="L351" s="7">
        <f>SUM(1*'Mercadería'!L352)</f>
        <v>1369.6</v>
      </c>
      <c r="M351" s="8"/>
      <c r="N351" s="23"/>
      <c r="O351" s="9"/>
      <c r="P351" s="6"/>
    </row>
    <row r="352" ht="12.0" customHeight="1">
      <c r="A352" s="52"/>
      <c r="B352" s="128"/>
      <c r="C352" s="128"/>
      <c r="D352" s="15" t="s">
        <v>532</v>
      </c>
      <c r="E352" s="21" t="s">
        <v>533</v>
      </c>
      <c r="F352" s="14"/>
      <c r="G352" s="22">
        <v>2220.0</v>
      </c>
      <c r="H352" s="19">
        <f t="shared" si="1"/>
        <v>1473.296</v>
      </c>
      <c r="I352" s="6"/>
      <c r="J352" s="6"/>
      <c r="K352" s="6"/>
      <c r="L352" s="7">
        <f>SUM(1*'Mercadería'!L353)</f>
        <v>1473.296</v>
      </c>
      <c r="M352" s="8"/>
      <c r="N352" s="23"/>
      <c r="O352" s="9"/>
      <c r="P352" s="6"/>
    </row>
    <row r="353" ht="12.0" customHeight="1">
      <c r="A353" s="52"/>
      <c r="B353" s="128"/>
      <c r="C353" s="128"/>
      <c r="D353" s="55" t="s">
        <v>534</v>
      </c>
      <c r="E353" s="57" t="s">
        <v>528</v>
      </c>
      <c r="F353" s="33"/>
      <c r="G353" s="34"/>
      <c r="H353" s="19">
        <f t="shared" si="1"/>
        <v>1899.216</v>
      </c>
      <c r="I353" s="6"/>
      <c r="J353" s="6"/>
      <c r="K353" s="6"/>
      <c r="L353" s="7">
        <f>SUM(1*'Mercadería'!L354)</f>
        <v>1899.216</v>
      </c>
      <c r="M353" s="8"/>
      <c r="N353" s="38"/>
      <c r="O353" s="9"/>
      <c r="P353" s="6"/>
    </row>
    <row r="354" ht="12.0" customHeight="1">
      <c r="A354" s="14"/>
      <c r="B354" s="128"/>
      <c r="C354" s="128"/>
      <c r="D354" s="175" t="s">
        <v>535</v>
      </c>
      <c r="E354" s="176" t="s">
        <v>528</v>
      </c>
      <c r="F354" s="41"/>
      <c r="G354" s="81">
        <v>2227.0</v>
      </c>
      <c r="H354" s="29">
        <f t="shared" si="1"/>
        <v>212.4</v>
      </c>
      <c r="I354" s="43"/>
      <c r="J354" s="43"/>
      <c r="K354" s="43"/>
      <c r="L354" s="44">
        <f>SUM(1*'Mercadería'!L355)</f>
        <v>212.4</v>
      </c>
      <c r="M354" s="8"/>
      <c r="N354" s="45" t="s">
        <v>154</v>
      </c>
      <c r="O354" s="9"/>
      <c r="P354" s="6"/>
    </row>
    <row r="355" ht="12.0" customHeight="1">
      <c r="A355" s="52"/>
      <c r="B355" s="128"/>
      <c r="C355" s="128"/>
      <c r="D355" s="55" t="s">
        <v>536</v>
      </c>
      <c r="E355" s="177" t="s">
        <v>528</v>
      </c>
      <c r="F355" s="33"/>
      <c r="G355" s="178"/>
      <c r="H355" s="35">
        <f t="shared" si="1"/>
        <v>1864</v>
      </c>
      <c r="I355" s="36"/>
      <c r="J355" s="36"/>
      <c r="K355" s="36"/>
      <c r="L355" s="37">
        <f>SUM(1*'Mercadería'!L356)</f>
        <v>1864</v>
      </c>
      <c r="M355" s="8"/>
      <c r="N355" s="141"/>
      <c r="O355" s="9"/>
      <c r="P355" s="6"/>
    </row>
    <row r="356" ht="12.0" customHeight="1">
      <c r="A356" s="14"/>
      <c r="B356" s="128"/>
      <c r="C356" s="128"/>
      <c r="D356" s="54" t="s">
        <v>537</v>
      </c>
      <c r="E356" s="56" t="s">
        <v>525</v>
      </c>
      <c r="F356" s="41"/>
      <c r="G356" s="179">
        <v>4187.0</v>
      </c>
      <c r="H356" s="35">
        <f t="shared" si="1"/>
        <v>946.22</v>
      </c>
      <c r="I356" s="36"/>
      <c r="J356" s="36"/>
      <c r="K356" s="36"/>
      <c r="L356" s="37">
        <f>SUM(1*'Mercadería'!L357)</f>
        <v>946.22</v>
      </c>
      <c r="M356" s="8"/>
      <c r="N356" s="49"/>
      <c r="O356" s="9"/>
      <c r="P356" s="6"/>
    </row>
    <row r="357" ht="12.0" customHeight="1">
      <c r="A357" s="14"/>
      <c r="B357" s="128"/>
      <c r="C357" s="128"/>
      <c r="D357" s="16" t="s">
        <v>538</v>
      </c>
      <c r="E357" s="9" t="s">
        <v>539</v>
      </c>
      <c r="F357" s="9"/>
      <c r="G357" s="20"/>
      <c r="H357" s="19">
        <f t="shared" si="1"/>
        <v>221.4</v>
      </c>
      <c r="I357" s="6"/>
      <c r="J357" s="6"/>
      <c r="K357" s="6"/>
      <c r="L357" s="7">
        <f>SUM(1*'Mercadería'!L358)</f>
        <v>221.4</v>
      </c>
      <c r="M357" s="8"/>
      <c r="N357" s="20" t="s">
        <v>540</v>
      </c>
      <c r="O357" s="9"/>
      <c r="P357" s="6"/>
    </row>
    <row r="358" ht="12.0" customHeight="1">
      <c r="A358" s="14"/>
      <c r="B358" s="128"/>
      <c r="C358" s="128"/>
      <c r="D358" s="15" t="s">
        <v>538</v>
      </c>
      <c r="E358" s="14" t="s">
        <v>541</v>
      </c>
      <c r="F358" s="14"/>
      <c r="G358" s="23"/>
      <c r="H358" s="19">
        <f t="shared" si="1"/>
        <v>216.48</v>
      </c>
      <c r="I358" s="6"/>
      <c r="J358" s="6"/>
      <c r="K358" s="6"/>
      <c r="L358" s="7">
        <f>SUM(1*'Mercadería'!L359)</f>
        <v>216.48</v>
      </c>
      <c r="M358" s="8"/>
      <c r="N358" s="23"/>
      <c r="O358" s="9"/>
      <c r="P358" s="6"/>
    </row>
    <row r="359" ht="12.0" customHeight="1">
      <c r="A359" s="14"/>
      <c r="B359" s="128"/>
      <c r="C359" s="128"/>
      <c r="D359" s="15" t="s">
        <v>538</v>
      </c>
      <c r="E359" s="14" t="s">
        <v>542</v>
      </c>
      <c r="F359" s="14"/>
      <c r="G359" s="23"/>
      <c r="H359" s="19">
        <f t="shared" si="1"/>
        <v>285.36</v>
      </c>
      <c r="I359" s="6"/>
      <c r="J359" s="6"/>
      <c r="K359" s="6"/>
      <c r="L359" s="7">
        <f>SUM(1*'Mercadería'!L360)</f>
        <v>285.36</v>
      </c>
      <c r="M359" s="8"/>
      <c r="N359" s="23" t="s">
        <v>540</v>
      </c>
      <c r="O359" s="9"/>
      <c r="P359" s="6"/>
    </row>
    <row r="360" ht="12.0" customHeight="1">
      <c r="A360" s="52"/>
      <c r="B360" s="15"/>
      <c r="C360" s="15"/>
      <c r="D360" s="90" t="s">
        <v>543</v>
      </c>
      <c r="E360" s="91"/>
      <c r="F360" s="9"/>
      <c r="G360" s="33">
        <v>6502.0</v>
      </c>
      <c r="H360" s="19">
        <f t="shared" si="1"/>
        <v>1679.0565</v>
      </c>
      <c r="I360" s="6"/>
      <c r="J360" s="6"/>
      <c r="K360" s="6"/>
      <c r="L360" s="7">
        <f>SUM(1*'Mercadería'!L361)</f>
        <v>1679.0565</v>
      </c>
      <c r="M360" s="8"/>
      <c r="N360" s="95" t="s">
        <v>17</v>
      </c>
      <c r="O360" s="9"/>
      <c r="P360" s="6"/>
    </row>
    <row r="361" ht="12.0" customHeight="1">
      <c r="A361" s="14"/>
      <c r="B361" s="79"/>
      <c r="C361" s="79"/>
      <c r="D361" s="15" t="s">
        <v>544</v>
      </c>
      <c r="E361" s="47" t="s">
        <v>545</v>
      </c>
      <c r="F361" s="50"/>
      <c r="G361" s="48">
        <v>4516.0</v>
      </c>
      <c r="H361" s="19">
        <f t="shared" si="1"/>
        <v>5.368407</v>
      </c>
      <c r="I361" s="180" t="s">
        <v>112</v>
      </c>
      <c r="J361" s="181">
        <f>SUM(1*'Mercadería'!S362)</f>
        <v>313.157075</v>
      </c>
      <c r="K361" s="182" t="s">
        <v>546</v>
      </c>
      <c r="L361" s="7">
        <f>SUM(1*'Mercadería'!L362)</f>
        <v>5.368407</v>
      </c>
      <c r="M361" s="8"/>
      <c r="N361" s="23" t="s">
        <v>17</v>
      </c>
      <c r="O361" s="9"/>
      <c r="P361" s="6"/>
    </row>
    <row r="362" ht="12.0" customHeight="1">
      <c r="A362" s="14"/>
      <c r="B362" s="79"/>
      <c r="C362" s="79"/>
      <c r="D362" s="16" t="s">
        <v>544</v>
      </c>
      <c r="E362" s="32" t="s">
        <v>547</v>
      </c>
      <c r="F362" s="33"/>
      <c r="G362" s="34">
        <v>4518.0</v>
      </c>
      <c r="H362" s="19">
        <f t="shared" si="1"/>
        <v>13.070904</v>
      </c>
      <c r="I362" s="180" t="s">
        <v>112</v>
      </c>
      <c r="J362" s="181">
        <f>SUM(1*'Mercadería'!S363)</f>
        <v>762.4694</v>
      </c>
      <c r="K362" s="182" t="s">
        <v>546</v>
      </c>
      <c r="L362" s="7">
        <f>SUM(1*'Mercadería'!L363)</f>
        <v>13.070904</v>
      </c>
      <c r="M362" s="8"/>
      <c r="N362" s="20" t="s">
        <v>17</v>
      </c>
      <c r="O362" s="9"/>
      <c r="P362" s="6"/>
    </row>
    <row r="363" ht="12.0" customHeight="1">
      <c r="A363" s="14"/>
      <c r="B363" s="79"/>
      <c r="C363" s="79"/>
      <c r="D363" s="15" t="s">
        <v>544</v>
      </c>
      <c r="E363" s="21" t="s">
        <v>548</v>
      </c>
      <c r="F363" s="14"/>
      <c r="G363" s="48">
        <v>4520.0</v>
      </c>
      <c r="H363" s="19">
        <f t="shared" si="1"/>
        <v>11.94431656</v>
      </c>
      <c r="I363" s="180" t="s">
        <v>112</v>
      </c>
      <c r="J363" s="181">
        <f>SUM(1*'Mercadería'!S364)</f>
        <v>1034.7799</v>
      </c>
      <c r="K363" s="182" t="s">
        <v>546</v>
      </c>
      <c r="L363" s="7">
        <f>SUM(1*'Mercadería'!L364)</f>
        <v>11.94431656</v>
      </c>
      <c r="M363" s="8"/>
      <c r="N363" s="23" t="s">
        <v>17</v>
      </c>
      <c r="O363" s="9"/>
      <c r="P363" s="6"/>
    </row>
    <row r="364" ht="12.0" customHeight="1">
      <c r="A364" s="14"/>
      <c r="B364" s="79"/>
      <c r="C364" s="79"/>
      <c r="D364" s="16" t="s">
        <v>544</v>
      </c>
      <c r="E364" s="17" t="s">
        <v>549</v>
      </c>
      <c r="F364" s="9"/>
      <c r="G364" s="34">
        <v>4522.0</v>
      </c>
      <c r="H364" s="19">
        <f t="shared" si="1"/>
        <v>15.716206</v>
      </c>
      <c r="I364" s="180" t="s">
        <v>112</v>
      </c>
      <c r="J364" s="181">
        <f>SUM(1*'Mercadería'!S365)</f>
        <v>1283.7495</v>
      </c>
      <c r="K364" s="182" t="s">
        <v>546</v>
      </c>
      <c r="L364" s="7">
        <f>SUM(1*'Mercadería'!L365)</f>
        <v>15.716206</v>
      </c>
      <c r="M364" s="8"/>
      <c r="N364" s="20" t="s">
        <v>17</v>
      </c>
      <c r="O364" s="9"/>
      <c r="P364" s="6"/>
    </row>
    <row r="365" ht="12.0" customHeight="1">
      <c r="A365" s="14"/>
      <c r="B365" s="79"/>
      <c r="C365" s="79"/>
      <c r="D365" s="15" t="s">
        <v>544</v>
      </c>
      <c r="E365" s="21" t="s">
        <v>550</v>
      </c>
      <c r="F365" s="14"/>
      <c r="G365" s="48">
        <v>4528.0</v>
      </c>
      <c r="H365" s="19">
        <f t="shared" si="1"/>
        <v>15.716206</v>
      </c>
      <c r="I365" s="180" t="s">
        <v>112</v>
      </c>
      <c r="J365" s="181">
        <f>SUM(1*'Mercadería'!S366)</f>
        <v>1283.7495</v>
      </c>
      <c r="K365" s="183" t="s">
        <v>546</v>
      </c>
      <c r="L365" s="7">
        <f>SUM(1*'Mercadería'!L366)</f>
        <v>15.716206</v>
      </c>
      <c r="M365" s="8"/>
      <c r="N365" s="23" t="s">
        <v>17</v>
      </c>
      <c r="O365" s="9"/>
      <c r="P365" s="6"/>
    </row>
    <row r="366" ht="12.0" customHeight="1">
      <c r="A366" s="14"/>
      <c r="B366" s="79"/>
      <c r="C366" s="79"/>
      <c r="D366" s="16" t="s">
        <v>544</v>
      </c>
      <c r="E366" s="17" t="s">
        <v>551</v>
      </c>
      <c r="F366" s="9"/>
      <c r="G366" s="34" t="s">
        <v>552</v>
      </c>
      <c r="H366" s="19">
        <f t="shared" si="1"/>
        <v>22.718476</v>
      </c>
      <c r="I366" s="180" t="s">
        <v>112</v>
      </c>
      <c r="J366" s="181">
        <f>SUM(1*'Mercadería'!S367)</f>
        <v>712</v>
      </c>
      <c r="K366" s="184" t="s">
        <v>546</v>
      </c>
      <c r="L366" s="7">
        <f>SUM(1*'Mercadería'!L367)</f>
        <v>22.718476</v>
      </c>
      <c r="M366" s="8"/>
      <c r="N366" s="20" t="s">
        <v>119</v>
      </c>
      <c r="O366" s="9"/>
      <c r="P366" s="6"/>
    </row>
    <row r="367" ht="12.0" customHeight="1">
      <c r="A367" s="14"/>
      <c r="B367" s="16"/>
      <c r="C367" s="16"/>
      <c r="D367" s="15" t="s">
        <v>553</v>
      </c>
      <c r="E367" s="21" t="s">
        <v>548</v>
      </c>
      <c r="F367" s="14"/>
      <c r="G367" s="22"/>
      <c r="H367" s="19">
        <f t="shared" si="1"/>
        <v>15.716206</v>
      </c>
      <c r="I367" s="180" t="s">
        <v>112</v>
      </c>
      <c r="J367" s="181">
        <f>SUM(1*'Mercadería'!S368)</f>
        <v>1283.7495</v>
      </c>
      <c r="K367" s="182" t="s">
        <v>546</v>
      </c>
      <c r="L367" s="7">
        <f>SUM(1*'Mercadería'!L368)</f>
        <v>15.716206</v>
      </c>
      <c r="M367" s="8"/>
      <c r="N367" s="23" t="s">
        <v>17</v>
      </c>
      <c r="O367" s="9"/>
      <c r="P367" s="6"/>
    </row>
    <row r="368" ht="12.0" customHeight="1">
      <c r="A368" s="14"/>
      <c r="B368" s="15"/>
      <c r="C368" s="15"/>
      <c r="D368" s="16" t="s">
        <v>554</v>
      </c>
      <c r="E368" s="17" t="s">
        <v>555</v>
      </c>
      <c r="F368" s="9"/>
      <c r="G368" s="18">
        <v>772.0</v>
      </c>
      <c r="H368" s="19">
        <f t="shared" si="1"/>
        <v>544</v>
      </c>
      <c r="I368" s="6"/>
      <c r="J368" s="6"/>
      <c r="K368" s="6"/>
      <c r="L368" s="7">
        <f>SUM(1*'Mercadería'!L369)</f>
        <v>544</v>
      </c>
      <c r="M368" s="8"/>
      <c r="N368" s="20" t="s">
        <v>61</v>
      </c>
      <c r="O368" s="9"/>
      <c r="P368" s="6"/>
    </row>
    <row r="369" ht="12.0" customHeight="1">
      <c r="A369" s="14"/>
      <c r="B369" s="15"/>
      <c r="C369" s="15"/>
      <c r="D369" s="46" t="s">
        <v>556</v>
      </c>
      <c r="E369" s="47" t="s">
        <v>557</v>
      </c>
      <c r="F369" s="50"/>
      <c r="G369" s="48">
        <v>774.0</v>
      </c>
      <c r="H369" s="35">
        <f t="shared" si="1"/>
        <v>714</v>
      </c>
      <c r="I369" s="36"/>
      <c r="J369" s="36"/>
      <c r="K369" s="36"/>
      <c r="L369" s="37">
        <f>SUM(1*'Mercadería'!L370)</f>
        <v>714</v>
      </c>
      <c r="M369" s="8"/>
      <c r="N369" s="23" t="s">
        <v>61</v>
      </c>
      <c r="O369" s="9"/>
      <c r="P369" s="6"/>
    </row>
    <row r="370" ht="12.0" customHeight="1">
      <c r="A370" s="14"/>
      <c r="B370" s="15"/>
      <c r="C370" s="15"/>
      <c r="D370" s="16" t="s">
        <v>554</v>
      </c>
      <c r="E370" s="17" t="s">
        <v>558</v>
      </c>
      <c r="F370" s="9"/>
      <c r="G370" s="18">
        <v>775.0</v>
      </c>
      <c r="H370" s="19">
        <f t="shared" si="1"/>
        <v>816</v>
      </c>
      <c r="I370" s="6"/>
      <c r="J370" s="6"/>
      <c r="K370" s="6"/>
      <c r="L370" s="7">
        <f>SUM(1*'Mercadería'!L371)</f>
        <v>816</v>
      </c>
      <c r="M370" s="8"/>
      <c r="N370" s="20" t="s">
        <v>61</v>
      </c>
      <c r="O370" s="9"/>
      <c r="P370" s="6"/>
    </row>
    <row r="371" ht="12.0" customHeight="1">
      <c r="A371" s="14"/>
      <c r="B371" s="10" t="s">
        <v>5</v>
      </c>
      <c r="C371" s="10"/>
      <c r="D371" s="185" t="s">
        <v>559</v>
      </c>
      <c r="E371" s="11" t="s">
        <v>560</v>
      </c>
      <c r="F371" s="12"/>
      <c r="G371" s="186"/>
      <c r="H371" s="19">
        <f t="shared" si="1"/>
        <v>0</v>
      </c>
      <c r="I371" s="6"/>
      <c r="J371" s="6"/>
      <c r="K371" s="6"/>
      <c r="L371" s="7">
        <f>SUM(1*'Mercadería'!L372)</f>
        <v>0</v>
      </c>
      <c r="M371" s="8"/>
      <c r="N371" s="65"/>
      <c r="O371" s="9"/>
      <c r="P371" s="6"/>
    </row>
    <row r="372" ht="12.0" customHeight="1">
      <c r="A372" s="14"/>
      <c r="B372" s="15"/>
      <c r="C372" s="15"/>
      <c r="D372" s="187" t="s">
        <v>561</v>
      </c>
      <c r="E372" s="188" t="s">
        <v>562</v>
      </c>
      <c r="F372" s="172"/>
      <c r="G372" s="173"/>
      <c r="H372" s="19">
        <f t="shared" si="1"/>
        <v>0</v>
      </c>
      <c r="I372" s="6"/>
      <c r="J372" s="6"/>
      <c r="K372" s="6"/>
      <c r="L372" s="7">
        <f>SUM(1*'Mercadería'!L373)</f>
        <v>0</v>
      </c>
      <c r="M372" s="8"/>
      <c r="N372" s="174"/>
      <c r="O372" s="9"/>
      <c r="P372" s="6"/>
    </row>
    <row r="373" ht="12.0" customHeight="1">
      <c r="A373" s="14"/>
      <c r="B373" s="15"/>
      <c r="C373" s="189"/>
      <c r="D373" s="46" t="s">
        <v>563</v>
      </c>
      <c r="E373" s="21" t="s">
        <v>308</v>
      </c>
      <c r="F373" s="14" t="s">
        <v>564</v>
      </c>
      <c r="G373" s="190" t="s">
        <v>565</v>
      </c>
      <c r="H373" s="19">
        <f t="shared" si="1"/>
        <v>664.80183</v>
      </c>
      <c r="I373" s="6"/>
      <c r="J373" s="6"/>
      <c r="K373" s="6"/>
      <c r="L373" s="7">
        <f>SUM(1*'Mercadería'!L374)</f>
        <v>664.80183</v>
      </c>
      <c r="M373" s="8"/>
      <c r="N373" s="23" t="s">
        <v>119</v>
      </c>
      <c r="O373" s="9"/>
      <c r="P373" s="6"/>
    </row>
    <row r="374" ht="12.0" customHeight="1">
      <c r="A374" s="14"/>
      <c r="B374" s="15"/>
      <c r="C374" s="78"/>
      <c r="D374" s="46" t="s">
        <v>566</v>
      </c>
      <c r="E374" s="47" t="s">
        <v>308</v>
      </c>
      <c r="F374" s="14" t="s">
        <v>567</v>
      </c>
      <c r="G374" s="51" t="s">
        <v>568</v>
      </c>
      <c r="H374" s="19">
        <f t="shared" si="1"/>
        <v>1328.25</v>
      </c>
      <c r="I374" s="6"/>
      <c r="J374" s="6"/>
      <c r="K374" s="6"/>
      <c r="L374" s="7">
        <f>SUM(1*'Mercadería'!L375)</f>
        <v>1328.25</v>
      </c>
      <c r="M374" s="8"/>
      <c r="N374" s="23"/>
      <c r="O374" s="9"/>
      <c r="P374" s="6"/>
    </row>
    <row r="375" ht="12.0" customHeight="1">
      <c r="A375" s="52"/>
      <c r="B375" s="71"/>
      <c r="C375" s="1"/>
      <c r="D375" s="31" t="s">
        <v>569</v>
      </c>
      <c r="E375" s="191" t="s">
        <v>308</v>
      </c>
      <c r="F375" s="33"/>
      <c r="G375" s="24">
        <v>4331.0</v>
      </c>
      <c r="H375" s="35">
        <f t="shared" si="1"/>
        <v>3350.127</v>
      </c>
      <c r="I375" s="36"/>
      <c r="J375" s="36"/>
      <c r="K375" s="36"/>
      <c r="L375" s="37">
        <f>SUM(1*'Mercadería'!L376)</f>
        <v>3350.127</v>
      </c>
      <c r="M375" s="8"/>
      <c r="N375" s="20" t="s">
        <v>17</v>
      </c>
      <c r="O375" s="9"/>
      <c r="P375" s="6"/>
    </row>
    <row r="376" ht="12.0" customHeight="1">
      <c r="A376" s="52"/>
      <c r="B376" s="15"/>
      <c r="C376" s="192"/>
      <c r="D376" s="46" t="s">
        <v>570</v>
      </c>
      <c r="E376" s="47" t="s">
        <v>308</v>
      </c>
      <c r="F376" s="14" t="s">
        <v>571</v>
      </c>
      <c r="G376" s="22" t="s">
        <v>572</v>
      </c>
      <c r="H376" s="19">
        <f t="shared" si="1"/>
        <v>1964.67579</v>
      </c>
      <c r="I376" s="6"/>
      <c r="J376" s="6"/>
      <c r="K376" s="6"/>
      <c r="L376" s="7">
        <f>SUM(1*'Mercadería'!L377)</f>
        <v>1964.67579</v>
      </c>
      <c r="M376" s="8"/>
      <c r="N376" s="23" t="s">
        <v>119</v>
      </c>
      <c r="O376" s="9"/>
      <c r="P376" s="6"/>
    </row>
    <row r="377" ht="12.0" customHeight="1">
      <c r="A377" s="14"/>
      <c r="B377" s="1"/>
      <c r="C377" s="193"/>
      <c r="D377" s="31" t="s">
        <v>573</v>
      </c>
      <c r="E377" s="32" t="s">
        <v>308</v>
      </c>
      <c r="F377" s="9" t="s">
        <v>574</v>
      </c>
      <c r="G377" s="194" t="s">
        <v>575</v>
      </c>
      <c r="H377" s="19">
        <f t="shared" si="1"/>
        <v>2064.15</v>
      </c>
      <c r="I377" s="6"/>
      <c r="J377" s="6"/>
      <c r="K377" s="6"/>
      <c r="L377" s="7">
        <f>SUM(1*'Mercadería'!L378)</f>
        <v>2064.15</v>
      </c>
      <c r="M377" s="8"/>
      <c r="N377" s="20" t="s">
        <v>576</v>
      </c>
      <c r="O377" s="9"/>
      <c r="P377" s="6"/>
    </row>
    <row r="378" ht="12.0" customHeight="1">
      <c r="A378" s="14"/>
      <c r="B378" s="15"/>
      <c r="C378" s="189"/>
      <c r="D378" s="195" t="s">
        <v>577</v>
      </c>
      <c r="E378" s="132" t="s">
        <v>309</v>
      </c>
      <c r="F378" s="14" t="s">
        <v>564</v>
      </c>
      <c r="G378" s="22">
        <v>4352.0</v>
      </c>
      <c r="H378" s="19">
        <f t="shared" si="1"/>
        <v>890.681</v>
      </c>
      <c r="I378" s="6"/>
      <c r="J378" s="6"/>
      <c r="K378" s="6"/>
      <c r="L378" s="7">
        <f>SUM(1*'Mercadería'!L379)</f>
        <v>890.681</v>
      </c>
      <c r="M378" s="8"/>
      <c r="N378" s="23" t="s">
        <v>17</v>
      </c>
      <c r="O378" s="9"/>
      <c r="P378" s="6"/>
    </row>
    <row r="379" ht="12.0" customHeight="1">
      <c r="A379" s="52"/>
      <c r="B379" s="15"/>
      <c r="C379" s="196"/>
      <c r="D379" s="197" t="s">
        <v>578</v>
      </c>
      <c r="E379" s="131" t="s">
        <v>309</v>
      </c>
      <c r="F379" s="9"/>
      <c r="G379" s="24" t="s">
        <v>579</v>
      </c>
      <c r="H379" s="19">
        <f t="shared" si="1"/>
        <v>1666.5</v>
      </c>
      <c r="I379" s="6"/>
      <c r="J379" s="6"/>
      <c r="K379" s="6"/>
      <c r="L379" s="7">
        <f>SUM(1*'Mercadería'!L380)</f>
        <v>1666.5</v>
      </c>
      <c r="M379" s="8"/>
      <c r="N379" s="20"/>
      <c r="O379" s="9"/>
      <c r="P379" s="6"/>
    </row>
    <row r="380" ht="12.0" customHeight="1">
      <c r="A380" s="52"/>
      <c r="B380" s="15"/>
      <c r="C380" s="71"/>
      <c r="D380" s="39" t="s">
        <v>580</v>
      </c>
      <c r="E380" s="40" t="s">
        <v>309</v>
      </c>
      <c r="F380" s="41" t="s">
        <v>571</v>
      </c>
      <c r="G380" s="42" t="s">
        <v>581</v>
      </c>
      <c r="H380" s="29">
        <f t="shared" si="1"/>
        <v>2932.64433</v>
      </c>
      <c r="I380" s="43"/>
      <c r="J380" s="43"/>
      <c r="K380" s="43"/>
      <c r="L380" s="44">
        <f>SUM(1*'Mercadería'!L381)</f>
        <v>2932.64433</v>
      </c>
      <c r="M380" s="8"/>
      <c r="N380" s="45" t="s">
        <v>119</v>
      </c>
      <c r="O380" s="9"/>
      <c r="P380" s="6"/>
    </row>
    <row r="381" ht="12.0" customHeight="1">
      <c r="A381" s="52"/>
      <c r="B381" s="15"/>
      <c r="C381" s="15"/>
      <c r="D381" s="198" t="s">
        <v>582</v>
      </c>
      <c r="E381" s="199" t="s">
        <v>423</v>
      </c>
      <c r="F381" s="9" t="s">
        <v>564</v>
      </c>
      <c r="G381" s="18" t="s">
        <v>583</v>
      </c>
      <c r="H381" s="19">
        <f t="shared" si="1"/>
        <v>1422.90918</v>
      </c>
      <c r="I381" s="6"/>
      <c r="J381" s="6"/>
      <c r="K381" s="6"/>
      <c r="L381" s="7">
        <f>SUM(1*'Mercadería'!L382)</f>
        <v>1422.90918</v>
      </c>
      <c r="M381" s="8"/>
      <c r="N381" s="20" t="s">
        <v>119</v>
      </c>
      <c r="O381" s="9"/>
      <c r="P381" s="6"/>
    </row>
    <row r="382" ht="12.0" customHeight="1">
      <c r="A382" s="52"/>
      <c r="B382" s="15"/>
      <c r="C382" s="15"/>
      <c r="D382" s="200" t="s">
        <v>584</v>
      </c>
      <c r="E382" s="201" t="s">
        <v>423</v>
      </c>
      <c r="F382" s="14"/>
      <c r="G382" s="60" t="s">
        <v>585</v>
      </c>
      <c r="H382" s="19">
        <f t="shared" si="1"/>
        <v>2886.98256</v>
      </c>
      <c r="I382" s="6"/>
      <c r="J382" s="6"/>
      <c r="K382" s="6"/>
      <c r="L382" s="7">
        <f>SUM(1*'Mercadería'!L383)</f>
        <v>2886.98256</v>
      </c>
      <c r="M382" s="8"/>
      <c r="N382" s="23" t="s">
        <v>119</v>
      </c>
      <c r="O382" s="9"/>
      <c r="P382" s="6"/>
    </row>
    <row r="383" ht="12.0" customHeight="1">
      <c r="A383" s="52"/>
      <c r="B383" s="15"/>
      <c r="C383" s="15"/>
      <c r="D383" s="27" t="s">
        <v>586</v>
      </c>
      <c r="E383" s="26" t="s">
        <v>423</v>
      </c>
      <c r="F383" s="27" t="s">
        <v>574</v>
      </c>
      <c r="G383" s="30" t="s">
        <v>587</v>
      </c>
      <c r="H383" s="29">
        <f t="shared" si="1"/>
        <v>332.486</v>
      </c>
      <c r="I383" s="43"/>
      <c r="J383" s="43"/>
      <c r="K383" s="43"/>
      <c r="L383" s="44">
        <f>SUM(1*'Mercadería'!L384)</f>
        <v>332.486</v>
      </c>
      <c r="M383" s="8"/>
      <c r="N383" s="30" t="s">
        <v>576</v>
      </c>
      <c r="O383" s="9"/>
      <c r="P383" s="6"/>
    </row>
    <row r="384" ht="12.0" customHeight="1">
      <c r="A384" s="52"/>
      <c r="B384" s="67"/>
      <c r="C384" s="82"/>
      <c r="D384" s="33" t="s">
        <v>588</v>
      </c>
      <c r="E384" s="32" t="s">
        <v>589</v>
      </c>
      <c r="F384" s="27"/>
      <c r="G384" s="33" t="s">
        <v>590</v>
      </c>
      <c r="H384" s="35">
        <f t="shared" si="1"/>
        <v>697</v>
      </c>
      <c r="I384" s="36"/>
      <c r="J384" s="36"/>
      <c r="K384" s="36"/>
      <c r="L384" s="37">
        <f>SUM(1*'Mercadería'!L385)</f>
        <v>697</v>
      </c>
      <c r="M384" s="8"/>
      <c r="N384" s="38"/>
      <c r="O384" s="9"/>
      <c r="P384" s="6"/>
    </row>
    <row r="385" ht="12.0" customHeight="1">
      <c r="A385" s="52"/>
      <c r="B385" s="67"/>
      <c r="C385" s="82"/>
      <c r="D385" s="33" t="s">
        <v>591</v>
      </c>
      <c r="E385" s="32" t="s">
        <v>592</v>
      </c>
      <c r="F385" s="27"/>
      <c r="G385" s="33" t="s">
        <v>593</v>
      </c>
      <c r="H385" s="35">
        <f t="shared" si="1"/>
        <v>1150.05</v>
      </c>
      <c r="I385" s="36"/>
      <c r="J385" s="36"/>
      <c r="K385" s="36"/>
      <c r="L385" s="37">
        <f>SUM(1*'Mercadería'!L386)</f>
        <v>1150.05</v>
      </c>
      <c r="M385" s="8"/>
      <c r="N385" s="38"/>
      <c r="O385" s="9"/>
      <c r="P385" s="6"/>
    </row>
    <row r="386" ht="12.0" customHeight="1">
      <c r="A386" s="52"/>
      <c r="B386" s="67"/>
      <c r="C386" s="82"/>
      <c r="D386" s="33" t="s">
        <v>594</v>
      </c>
      <c r="E386" s="32" t="s">
        <v>595</v>
      </c>
      <c r="F386" s="27"/>
      <c r="G386" s="33" t="s">
        <v>596</v>
      </c>
      <c r="H386" s="35">
        <f t="shared" si="1"/>
        <v>1777.35</v>
      </c>
      <c r="I386" s="36"/>
      <c r="J386" s="36"/>
      <c r="K386" s="36"/>
      <c r="L386" s="37">
        <f>SUM(1*'Mercadería'!L387)</f>
        <v>1777.35</v>
      </c>
      <c r="M386" s="8"/>
      <c r="N386" s="38"/>
      <c r="O386" s="9"/>
      <c r="P386" s="6"/>
    </row>
    <row r="387" ht="12.0" customHeight="1">
      <c r="A387" s="52"/>
      <c r="B387" s="82"/>
      <c r="C387" s="82"/>
      <c r="D387" s="50" t="s">
        <v>597</v>
      </c>
      <c r="E387" s="202" t="s">
        <v>74</v>
      </c>
      <c r="F387" s="14"/>
      <c r="G387" s="60" t="s">
        <v>598</v>
      </c>
      <c r="H387" s="19">
        <f t="shared" si="1"/>
        <v>2790.018</v>
      </c>
      <c r="I387" s="6"/>
      <c r="J387" s="6"/>
      <c r="K387" s="6"/>
      <c r="L387" s="7">
        <f>SUM(1*'Mercadería'!L388)</f>
        <v>2790.018</v>
      </c>
      <c r="M387" s="8"/>
      <c r="N387" s="23" t="s">
        <v>119</v>
      </c>
      <c r="O387" s="9"/>
      <c r="P387" s="6"/>
    </row>
    <row r="388" ht="12.0" customHeight="1">
      <c r="A388" s="52"/>
      <c r="B388" s="82"/>
      <c r="C388" s="82"/>
      <c r="D388" s="33" t="s">
        <v>599</v>
      </c>
      <c r="E388" s="191" t="s">
        <v>482</v>
      </c>
      <c r="F388" s="9"/>
      <c r="G388" s="59" t="s">
        <v>600</v>
      </c>
      <c r="H388" s="19">
        <f t="shared" si="1"/>
        <v>2873.48985</v>
      </c>
      <c r="I388" s="6"/>
      <c r="J388" s="6"/>
      <c r="K388" s="6"/>
      <c r="L388" s="7">
        <f>SUM(1*'Mercadería'!L389)</f>
        <v>2873.48985</v>
      </c>
      <c r="M388" s="8"/>
      <c r="N388" s="20" t="s">
        <v>119</v>
      </c>
      <c r="O388" s="9"/>
      <c r="P388" s="6"/>
    </row>
    <row r="389" ht="12.0" customHeight="1">
      <c r="A389" s="52"/>
      <c r="B389" s="78"/>
      <c r="C389" s="82"/>
      <c r="D389" s="27" t="s">
        <v>601</v>
      </c>
      <c r="E389" s="203" t="s">
        <v>482</v>
      </c>
      <c r="F389" s="27"/>
      <c r="G389" s="28" t="s">
        <v>602</v>
      </c>
      <c r="H389" s="29">
        <f t="shared" si="1"/>
        <v>1827.2</v>
      </c>
      <c r="I389" s="43"/>
      <c r="J389" s="43"/>
      <c r="K389" s="43"/>
      <c r="L389" s="44">
        <f>SUM(1*'Mercadería'!L390)</f>
        <v>1827.2</v>
      </c>
      <c r="M389" s="204"/>
      <c r="N389" s="20"/>
      <c r="O389" s="9"/>
      <c r="P389" s="6"/>
    </row>
    <row r="390" ht="12.0" customHeight="1">
      <c r="A390" s="52"/>
      <c r="B390" s="82"/>
      <c r="C390" s="82"/>
      <c r="D390" s="33" t="s">
        <v>603</v>
      </c>
      <c r="E390" s="191" t="s">
        <v>482</v>
      </c>
      <c r="F390" s="27"/>
      <c r="G390" s="59" t="s">
        <v>604</v>
      </c>
      <c r="H390" s="19">
        <f t="shared" si="1"/>
        <v>3440</v>
      </c>
      <c r="I390" s="6"/>
      <c r="J390" s="6"/>
      <c r="K390" s="6"/>
      <c r="L390" s="7">
        <f>SUM(1*'Mercadería'!L391)</f>
        <v>3440</v>
      </c>
      <c r="M390" s="204"/>
      <c r="N390" s="20"/>
      <c r="O390" s="9"/>
      <c r="P390" s="6"/>
    </row>
    <row r="391" ht="12.0" customHeight="1">
      <c r="A391" s="52"/>
      <c r="B391" s="78"/>
      <c r="C391" s="78"/>
      <c r="D391" s="50" t="s">
        <v>605</v>
      </c>
      <c r="E391" s="202"/>
      <c r="F391" s="14"/>
      <c r="G391" s="48">
        <v>1046.0</v>
      </c>
      <c r="H391" s="19">
        <f t="shared" si="1"/>
        <v>821.91186</v>
      </c>
      <c r="I391" s="6"/>
      <c r="J391" s="6"/>
      <c r="K391" s="6"/>
      <c r="L391" s="7">
        <f>SUM(1*'Mercadería'!L392)</f>
        <v>821.91186</v>
      </c>
      <c r="M391" s="8"/>
      <c r="N391" s="23" t="s">
        <v>119</v>
      </c>
      <c r="O391" s="9"/>
      <c r="P391" s="6"/>
    </row>
    <row r="392" ht="12.0" customHeight="1">
      <c r="A392" s="52"/>
      <c r="B392" s="15"/>
      <c r="C392" s="15"/>
      <c r="D392" s="33" t="s">
        <v>606</v>
      </c>
      <c r="E392" s="17" t="s">
        <v>309</v>
      </c>
      <c r="F392" s="9" t="s">
        <v>607</v>
      </c>
      <c r="G392" s="34" t="s">
        <v>608</v>
      </c>
      <c r="H392" s="19">
        <f t="shared" si="1"/>
        <v>1342.821942</v>
      </c>
      <c r="I392" s="6"/>
      <c r="J392" s="6"/>
      <c r="K392" s="6"/>
      <c r="L392" s="7">
        <f>SUM(1*'Mercadería'!L393)</f>
        <v>1342.821942</v>
      </c>
      <c r="M392" s="8"/>
      <c r="N392" s="20" t="s">
        <v>119</v>
      </c>
      <c r="O392" s="9"/>
      <c r="P392" s="6"/>
    </row>
    <row r="393" ht="12.0" customHeight="1">
      <c r="A393" s="52"/>
      <c r="B393" s="15"/>
      <c r="C393" s="15"/>
      <c r="D393" s="50" t="s">
        <v>606</v>
      </c>
      <c r="E393" s="50" t="s">
        <v>423</v>
      </c>
      <c r="F393" s="50" t="s">
        <v>607</v>
      </c>
      <c r="G393" s="48" t="s">
        <v>609</v>
      </c>
      <c r="H393" s="19">
        <f t="shared" si="1"/>
        <v>1523.0754</v>
      </c>
      <c r="I393" s="6"/>
      <c r="J393" s="6"/>
      <c r="K393" s="6"/>
      <c r="L393" s="7">
        <f>SUM(1*'Mercadería'!L394)</f>
        <v>1523.0754</v>
      </c>
      <c r="M393" s="8"/>
      <c r="N393" s="49" t="s">
        <v>119</v>
      </c>
      <c r="O393" s="9"/>
      <c r="P393" s="6"/>
    </row>
    <row r="394" ht="12.0" customHeight="1">
      <c r="A394" s="52"/>
      <c r="B394" s="15"/>
      <c r="C394" s="15"/>
      <c r="D394" s="33" t="s">
        <v>610</v>
      </c>
      <c r="E394" s="17" t="s">
        <v>309</v>
      </c>
      <c r="F394" s="33"/>
      <c r="G394" s="136" t="s">
        <v>611</v>
      </c>
      <c r="H394" s="19">
        <f t="shared" si="1"/>
        <v>196.025445</v>
      </c>
      <c r="I394" s="6"/>
      <c r="J394" s="6"/>
      <c r="K394" s="6"/>
      <c r="L394" s="7">
        <f>SUM(1*'Mercadería'!L395)</f>
        <v>196.025445</v>
      </c>
      <c r="M394" s="8"/>
      <c r="N394" s="38" t="s">
        <v>119</v>
      </c>
      <c r="O394" s="9"/>
      <c r="P394" s="6"/>
    </row>
    <row r="395" ht="12.0" customHeight="1">
      <c r="A395" s="52"/>
      <c r="B395" s="15"/>
      <c r="C395" s="15"/>
      <c r="D395" s="50" t="s">
        <v>612</v>
      </c>
      <c r="E395" s="50" t="s">
        <v>423</v>
      </c>
      <c r="F395" s="50"/>
      <c r="G395" s="51" t="s">
        <v>613</v>
      </c>
      <c r="H395" s="19">
        <f t="shared" si="1"/>
        <v>346.92273</v>
      </c>
      <c r="I395" s="6"/>
      <c r="J395" s="6"/>
      <c r="K395" s="6"/>
      <c r="L395" s="7">
        <f>SUM(1*'Mercadería'!L396)</f>
        <v>346.92273</v>
      </c>
      <c r="M395" s="8"/>
      <c r="N395" s="49" t="s">
        <v>119</v>
      </c>
      <c r="O395" s="9"/>
      <c r="P395" s="6"/>
    </row>
    <row r="396" ht="12.0" customHeight="1">
      <c r="A396" s="14"/>
      <c r="B396" s="15"/>
      <c r="C396" s="15"/>
      <c r="D396" s="33" t="s">
        <v>614</v>
      </c>
      <c r="E396" s="33"/>
      <c r="F396" s="33"/>
      <c r="G396" s="18" t="s">
        <v>615</v>
      </c>
      <c r="H396" s="19">
        <f t="shared" si="1"/>
        <v>561</v>
      </c>
      <c r="I396" s="6"/>
      <c r="J396" s="6"/>
      <c r="K396" s="6"/>
      <c r="L396" s="7">
        <f>SUM(1*'Mercadería'!L397)</f>
        <v>561</v>
      </c>
      <c r="M396" s="8"/>
      <c r="N396" s="38" t="s">
        <v>119</v>
      </c>
      <c r="O396" s="9"/>
      <c r="P396" s="6"/>
    </row>
    <row r="397" ht="12.0" customHeight="1">
      <c r="A397" s="14"/>
      <c r="B397" s="71"/>
      <c r="C397" s="31"/>
      <c r="D397" s="39" t="s">
        <v>616</v>
      </c>
      <c r="E397" s="47" t="s">
        <v>308</v>
      </c>
      <c r="F397" s="50"/>
      <c r="G397" s="205" t="s">
        <v>617</v>
      </c>
      <c r="H397" s="35">
        <f t="shared" si="1"/>
        <v>209</v>
      </c>
      <c r="I397" s="36"/>
      <c r="J397" s="36"/>
      <c r="K397" s="36"/>
      <c r="L397" s="37">
        <f>SUM(1*'Mercadería'!L398)</f>
        <v>209</v>
      </c>
      <c r="M397" s="8"/>
      <c r="N397" s="49"/>
      <c r="O397" s="9"/>
      <c r="P397" s="6"/>
    </row>
    <row r="398" ht="12.0" customHeight="1">
      <c r="A398" s="14"/>
      <c r="B398" s="16"/>
      <c r="C398" s="66"/>
      <c r="D398" s="31" t="s">
        <v>618</v>
      </c>
      <c r="E398" s="32" t="s">
        <v>308</v>
      </c>
      <c r="F398" s="33" t="s">
        <v>564</v>
      </c>
      <c r="G398" s="59" t="s">
        <v>619</v>
      </c>
      <c r="H398" s="35">
        <f t="shared" si="1"/>
        <v>549</v>
      </c>
      <c r="I398" s="36"/>
      <c r="J398" s="36"/>
      <c r="K398" s="36"/>
      <c r="L398" s="37">
        <f>SUM(1*'Mercadería'!L399)</f>
        <v>549</v>
      </c>
      <c r="M398" s="8"/>
      <c r="N398" s="38"/>
      <c r="O398" s="9"/>
      <c r="P398" s="6"/>
    </row>
    <row r="399" ht="12.0" customHeight="1">
      <c r="A399" s="14"/>
      <c r="B399" s="78"/>
      <c r="C399" s="79"/>
      <c r="D399" s="31" t="s">
        <v>620</v>
      </c>
      <c r="E399" s="32" t="s">
        <v>308</v>
      </c>
      <c r="F399" s="33"/>
      <c r="G399" s="194" t="s">
        <v>621</v>
      </c>
      <c r="H399" s="35">
        <f t="shared" si="1"/>
        <v>1385.5</v>
      </c>
      <c r="I399" s="36"/>
      <c r="J399" s="36"/>
      <c r="K399" s="36"/>
      <c r="L399" s="37">
        <f>SUM(1*'Mercadería'!L400)</f>
        <v>1385.5</v>
      </c>
      <c r="M399" s="140"/>
      <c r="N399" s="38"/>
      <c r="O399" s="9"/>
      <c r="P399" s="6"/>
    </row>
    <row r="400" ht="12.0" customHeight="1">
      <c r="A400" s="14"/>
      <c r="B400" s="78"/>
      <c r="C400" s="206"/>
      <c r="D400" s="50" t="s">
        <v>622</v>
      </c>
      <c r="E400" s="47" t="s">
        <v>308</v>
      </c>
      <c r="F400" s="50" t="s">
        <v>571</v>
      </c>
      <c r="G400" s="60" t="s">
        <v>623</v>
      </c>
      <c r="H400" s="35">
        <f t="shared" si="1"/>
        <v>1645.8057</v>
      </c>
      <c r="I400" s="36"/>
      <c r="J400" s="36"/>
      <c r="K400" s="36"/>
      <c r="L400" s="37">
        <f>SUM(1*'Mercadería'!L401)</f>
        <v>1645.8057</v>
      </c>
      <c r="M400" s="8"/>
      <c r="N400" s="49" t="s">
        <v>119</v>
      </c>
      <c r="O400" s="9"/>
      <c r="P400" s="6"/>
    </row>
    <row r="401" ht="12.0" customHeight="1">
      <c r="A401" s="14"/>
      <c r="B401" s="78"/>
      <c r="C401" s="71"/>
      <c r="D401" s="31" t="s">
        <v>620</v>
      </c>
      <c r="E401" s="32" t="s">
        <v>308</v>
      </c>
      <c r="F401" s="33" t="s">
        <v>624</v>
      </c>
      <c r="G401" s="34" t="s">
        <v>625</v>
      </c>
      <c r="H401" s="35">
        <f t="shared" si="1"/>
        <v>2884.123935</v>
      </c>
      <c r="I401" s="6"/>
      <c r="J401" s="6"/>
      <c r="K401" s="6"/>
      <c r="L401" s="7">
        <f>SUM(1*'Mercadería'!L402)</f>
        <v>2884.123935</v>
      </c>
      <c r="M401" s="8"/>
      <c r="N401" s="38" t="s">
        <v>119</v>
      </c>
      <c r="O401" s="9"/>
      <c r="P401" s="6"/>
    </row>
    <row r="402" ht="12.0" customHeight="1">
      <c r="A402" s="14"/>
      <c r="B402" s="78"/>
      <c r="C402" s="193"/>
      <c r="D402" s="31" t="s">
        <v>626</v>
      </c>
      <c r="E402" s="32" t="s">
        <v>308</v>
      </c>
      <c r="F402" s="33" t="s">
        <v>574</v>
      </c>
      <c r="G402" s="194" t="s">
        <v>627</v>
      </c>
      <c r="H402" s="35">
        <f t="shared" si="1"/>
        <v>2682.5</v>
      </c>
      <c r="I402" s="6"/>
      <c r="J402" s="6"/>
      <c r="K402" s="6"/>
      <c r="L402" s="7">
        <f>SUM(1*'Mercadería'!L403)</f>
        <v>2682.5</v>
      </c>
      <c r="M402" s="8"/>
      <c r="N402" s="38"/>
      <c r="O402" s="9"/>
      <c r="P402" s="6"/>
    </row>
    <row r="403" ht="12.0" customHeight="1">
      <c r="A403" s="52"/>
      <c r="B403" s="67"/>
      <c r="C403" s="67"/>
      <c r="D403" s="46" t="s">
        <v>628</v>
      </c>
      <c r="E403" s="21" t="s">
        <v>308</v>
      </c>
      <c r="F403" s="14"/>
      <c r="G403" s="49">
        <v>3657.0</v>
      </c>
      <c r="H403" s="19">
        <f t="shared" si="1"/>
        <v>2280.125</v>
      </c>
      <c r="I403" s="6"/>
      <c r="J403" s="6"/>
      <c r="K403" s="6"/>
      <c r="L403" s="7">
        <f>SUM(1*'Mercadería'!L404)</f>
        <v>2280.125</v>
      </c>
      <c r="M403" s="8"/>
      <c r="N403" s="23" t="s">
        <v>17</v>
      </c>
      <c r="O403" s="9"/>
      <c r="P403" s="6"/>
    </row>
    <row r="404" ht="12.0" customHeight="1">
      <c r="A404" s="52"/>
      <c r="B404" s="67"/>
      <c r="C404" s="67"/>
      <c r="D404" s="25" t="s">
        <v>629</v>
      </c>
      <c r="E404" s="26" t="s">
        <v>308</v>
      </c>
      <c r="F404" s="27"/>
      <c r="G404" s="30"/>
      <c r="H404" s="29">
        <f t="shared" si="1"/>
        <v>365.75</v>
      </c>
      <c r="I404" s="43"/>
      <c r="J404" s="43"/>
      <c r="K404" s="43"/>
      <c r="L404" s="44">
        <f>SUM(1*'Mercadería'!L405)</f>
        <v>365.75</v>
      </c>
      <c r="M404" s="8"/>
      <c r="N404" s="30" t="s">
        <v>293</v>
      </c>
      <c r="O404" s="9"/>
      <c r="P404" s="6"/>
    </row>
    <row r="405" ht="12.0" customHeight="1">
      <c r="A405" s="52"/>
      <c r="B405" s="16"/>
      <c r="C405" s="16"/>
      <c r="D405" s="46" t="s">
        <v>630</v>
      </c>
      <c r="E405" s="202" t="s">
        <v>308</v>
      </c>
      <c r="F405" s="50" t="s">
        <v>564</v>
      </c>
      <c r="G405" s="51" t="s">
        <v>631</v>
      </c>
      <c r="H405" s="35">
        <f t="shared" si="1"/>
        <v>1188.3</v>
      </c>
      <c r="I405" s="36"/>
      <c r="J405" s="36"/>
      <c r="K405" s="36"/>
      <c r="L405" s="37">
        <f>SUM(1*'Mercadería'!L406)</f>
        <v>1188.3</v>
      </c>
      <c r="M405" s="8"/>
      <c r="N405" s="49"/>
      <c r="O405" s="9"/>
      <c r="P405" s="6"/>
    </row>
    <row r="406" ht="12.0" customHeight="1">
      <c r="A406" s="52"/>
      <c r="B406" s="78"/>
      <c r="C406" s="78"/>
      <c r="D406" s="46" t="s">
        <v>632</v>
      </c>
      <c r="E406" s="202" t="s">
        <v>308</v>
      </c>
      <c r="F406" s="50" t="s">
        <v>633</v>
      </c>
      <c r="G406" s="48"/>
      <c r="H406" s="35">
        <f t="shared" si="1"/>
        <v>2907</v>
      </c>
      <c r="I406" s="36"/>
      <c r="J406" s="36"/>
      <c r="K406" s="36"/>
      <c r="L406" s="37">
        <f>SUM(1*'Mercadería'!L407)</f>
        <v>2907</v>
      </c>
      <c r="M406" s="8"/>
      <c r="N406" s="49"/>
      <c r="O406" s="9"/>
      <c r="P406" s="6"/>
    </row>
    <row r="407" ht="12.0" customHeight="1">
      <c r="A407" s="52"/>
      <c r="B407" s="78"/>
      <c r="C407" s="193"/>
      <c r="D407" s="31" t="s">
        <v>634</v>
      </c>
      <c r="E407" s="191" t="s">
        <v>308</v>
      </c>
      <c r="F407" s="33" t="s">
        <v>574</v>
      </c>
      <c r="G407" s="59" t="s">
        <v>635</v>
      </c>
      <c r="H407" s="35">
        <f t="shared" si="1"/>
        <v>5487.9</v>
      </c>
      <c r="I407" s="36"/>
      <c r="J407" s="36"/>
      <c r="K407" s="36"/>
      <c r="L407" s="37">
        <f>SUM(1*'Mercadería'!L408)</f>
        <v>5487.9</v>
      </c>
      <c r="M407" s="8"/>
      <c r="N407" s="38" t="s">
        <v>119</v>
      </c>
      <c r="O407" s="9"/>
      <c r="P407" s="6"/>
    </row>
    <row r="408" ht="12.0" customHeight="1">
      <c r="A408" s="52"/>
      <c r="B408" s="189"/>
      <c r="C408" s="192"/>
      <c r="D408" s="195" t="s">
        <v>636</v>
      </c>
      <c r="E408" s="132" t="s">
        <v>309</v>
      </c>
      <c r="F408" s="14" t="s">
        <v>571</v>
      </c>
      <c r="G408" s="51" t="s">
        <v>637</v>
      </c>
      <c r="H408" s="19">
        <f t="shared" si="1"/>
        <v>2355.5</v>
      </c>
      <c r="I408" s="6"/>
      <c r="J408" s="6"/>
      <c r="K408" s="6"/>
      <c r="L408" s="7">
        <f>SUM(1*'Mercadería'!L409)</f>
        <v>2355.5</v>
      </c>
      <c r="M408" s="8"/>
      <c r="N408" s="23" t="s">
        <v>576</v>
      </c>
      <c r="O408" s="9"/>
      <c r="P408" s="6"/>
    </row>
    <row r="409" ht="12.0" customHeight="1">
      <c r="A409" s="52"/>
      <c r="B409" s="16"/>
      <c r="C409" s="79"/>
      <c r="D409" s="197" t="s">
        <v>638</v>
      </c>
      <c r="E409" s="131" t="s">
        <v>309</v>
      </c>
      <c r="F409" s="9"/>
      <c r="G409" s="207" t="s">
        <v>639</v>
      </c>
      <c r="H409" s="19">
        <f t="shared" si="1"/>
        <v>2718.92</v>
      </c>
      <c r="I409" s="6"/>
      <c r="J409" s="6"/>
      <c r="K409" s="6"/>
      <c r="L409" s="7">
        <f>SUM(1*'Mercadería'!L410)</f>
        <v>2718.92</v>
      </c>
      <c r="M409" s="8"/>
      <c r="N409" s="20" t="s">
        <v>119</v>
      </c>
      <c r="O409" s="9"/>
      <c r="P409" s="6"/>
    </row>
    <row r="410" ht="12.0" customHeight="1">
      <c r="A410" s="52"/>
      <c r="B410" s="15"/>
      <c r="C410" s="15"/>
      <c r="D410" s="31" t="s">
        <v>640</v>
      </c>
      <c r="E410" s="208"/>
      <c r="F410" s="9" t="s">
        <v>624</v>
      </c>
      <c r="G410" s="34" t="s">
        <v>641</v>
      </c>
      <c r="H410" s="19">
        <f t="shared" si="1"/>
        <v>7174.15776</v>
      </c>
      <c r="I410" s="6"/>
      <c r="J410" s="6"/>
      <c r="K410" s="6"/>
      <c r="L410" s="7">
        <f>SUM(1*'Mercadería'!L411)</f>
        <v>7174.15776</v>
      </c>
      <c r="M410" s="8"/>
      <c r="N410" s="20" t="s">
        <v>119</v>
      </c>
      <c r="O410" s="9"/>
      <c r="P410" s="6"/>
    </row>
    <row r="411" ht="12.0" customHeight="1">
      <c r="A411" s="52"/>
      <c r="B411" s="15"/>
      <c r="C411" s="15"/>
      <c r="D411" s="46" t="s">
        <v>642</v>
      </c>
      <c r="E411" s="202"/>
      <c r="F411" s="50"/>
      <c r="G411" s="48" t="s">
        <v>643</v>
      </c>
      <c r="H411" s="35">
        <f t="shared" si="1"/>
        <v>17217.76518</v>
      </c>
      <c r="I411" s="36"/>
      <c r="J411" s="36"/>
      <c r="K411" s="36"/>
      <c r="L411" s="37">
        <f>SUM(1*'Mercadería'!L412)</f>
        <v>17217.76518</v>
      </c>
      <c r="M411" s="8"/>
      <c r="N411" s="49" t="s">
        <v>119</v>
      </c>
      <c r="O411" s="9"/>
      <c r="P411" s="6"/>
    </row>
    <row r="412" ht="12.0" customHeight="1">
      <c r="A412" s="52"/>
      <c r="B412" s="15"/>
      <c r="C412" s="15"/>
      <c r="D412" s="46" t="s">
        <v>644</v>
      </c>
      <c r="E412" s="202"/>
      <c r="F412" s="50"/>
      <c r="G412" s="179" t="s">
        <v>645</v>
      </c>
      <c r="H412" s="35">
        <f t="shared" si="1"/>
        <v>15242.1885</v>
      </c>
      <c r="I412" s="36"/>
      <c r="J412" s="36"/>
      <c r="K412" s="36"/>
      <c r="L412" s="37">
        <f>SUM(1*'Mercadería'!L413)</f>
        <v>15242.1885</v>
      </c>
      <c r="M412" s="8"/>
      <c r="N412" s="49" t="s">
        <v>119</v>
      </c>
      <c r="O412" s="9"/>
      <c r="P412" s="6"/>
    </row>
    <row r="413" ht="12.0" customHeight="1">
      <c r="A413" s="52"/>
      <c r="B413" s="15"/>
      <c r="C413" s="15"/>
      <c r="D413" s="46" t="s">
        <v>646</v>
      </c>
      <c r="E413" s="202"/>
      <c r="F413" s="50"/>
      <c r="G413" s="209" t="s">
        <v>647</v>
      </c>
      <c r="H413" s="35">
        <f t="shared" si="1"/>
        <v>784.3</v>
      </c>
      <c r="I413" s="36"/>
      <c r="J413" s="36"/>
      <c r="K413" s="36"/>
      <c r="L413" s="37">
        <f>SUM(1*'Mercadería'!L414)</f>
        <v>784.3</v>
      </c>
      <c r="M413" s="8"/>
      <c r="N413" s="49"/>
      <c r="O413" s="9"/>
      <c r="P413" s="6"/>
    </row>
    <row r="414" ht="12.0" customHeight="1">
      <c r="A414" s="52"/>
      <c r="B414" s="15"/>
      <c r="C414" s="15"/>
      <c r="D414" s="25" t="s">
        <v>648</v>
      </c>
      <c r="E414" s="203"/>
      <c r="F414" s="27" t="s">
        <v>624</v>
      </c>
      <c r="G414" s="28" t="s">
        <v>649</v>
      </c>
      <c r="H414" s="29">
        <f t="shared" si="1"/>
        <v>1416.940371</v>
      </c>
      <c r="I414" s="43"/>
      <c r="J414" s="43"/>
      <c r="K414" s="43"/>
      <c r="L414" s="44">
        <f>SUM(1*'Mercadería'!L415)</f>
        <v>1416.940371</v>
      </c>
      <c r="M414" s="204"/>
      <c r="N414" s="30" t="s">
        <v>119</v>
      </c>
      <c r="O414" s="9"/>
      <c r="P414" s="6"/>
    </row>
    <row r="415" ht="12.0" customHeight="1">
      <c r="A415" s="52"/>
      <c r="B415" s="15"/>
      <c r="C415" s="15"/>
      <c r="D415" s="31" t="s">
        <v>650</v>
      </c>
      <c r="E415" s="191"/>
      <c r="F415" s="33"/>
      <c r="G415" s="34" t="s">
        <v>651</v>
      </c>
      <c r="H415" s="19">
        <f t="shared" si="1"/>
        <v>969.57</v>
      </c>
      <c r="I415" s="6"/>
      <c r="J415" s="6"/>
      <c r="K415" s="6"/>
      <c r="L415" s="7">
        <f>SUM(1*'Mercadería'!L416)</f>
        <v>969.57</v>
      </c>
      <c r="M415" s="8"/>
      <c r="N415" s="38"/>
      <c r="O415" s="9"/>
      <c r="P415" s="6"/>
    </row>
    <row r="416" ht="12.0" customHeight="1">
      <c r="A416" s="52"/>
      <c r="B416" s="15"/>
      <c r="C416" s="15"/>
      <c r="D416" s="15" t="s">
        <v>652</v>
      </c>
      <c r="E416" s="202"/>
      <c r="F416" s="50" t="s">
        <v>624</v>
      </c>
      <c r="G416" s="48" t="s">
        <v>653</v>
      </c>
      <c r="H416" s="19">
        <f t="shared" si="1"/>
        <v>2541.20328</v>
      </c>
      <c r="I416" s="6"/>
      <c r="J416" s="6"/>
      <c r="K416" s="6"/>
      <c r="L416" s="7">
        <f>SUM(1*'Mercadería'!L417)</f>
        <v>2541.20328</v>
      </c>
      <c r="M416" s="8"/>
      <c r="N416" s="23" t="s">
        <v>119</v>
      </c>
      <c r="O416" s="9"/>
      <c r="P416" s="6"/>
    </row>
    <row r="417" ht="12.0" customHeight="1">
      <c r="A417" s="52"/>
      <c r="B417" s="15"/>
      <c r="C417" s="15"/>
      <c r="D417" s="16" t="s">
        <v>654</v>
      </c>
      <c r="E417" s="191"/>
      <c r="F417" s="33" t="s">
        <v>655</v>
      </c>
      <c r="G417" s="59" t="s">
        <v>656</v>
      </c>
      <c r="H417" s="19">
        <f t="shared" si="1"/>
        <v>3746.971305</v>
      </c>
      <c r="I417" s="6"/>
      <c r="J417" s="6"/>
      <c r="K417" s="6"/>
      <c r="L417" s="7">
        <f>SUM(1*'Mercadería'!L418)</f>
        <v>3746.971305</v>
      </c>
      <c r="M417" s="8"/>
      <c r="N417" s="20" t="s">
        <v>119</v>
      </c>
      <c r="O417" s="9"/>
      <c r="P417" s="6"/>
    </row>
    <row r="418" ht="12.0" customHeight="1">
      <c r="A418" s="52"/>
      <c r="B418" s="15"/>
      <c r="C418" s="15"/>
      <c r="D418" s="16" t="s">
        <v>657</v>
      </c>
      <c r="E418" s="191" t="s">
        <v>658</v>
      </c>
      <c r="F418" s="33"/>
      <c r="G418" s="59" t="s">
        <v>659</v>
      </c>
      <c r="H418" s="19">
        <f t="shared" si="1"/>
        <v>2095.5</v>
      </c>
      <c r="I418" s="6"/>
      <c r="J418" s="6"/>
      <c r="K418" s="6"/>
      <c r="L418" s="7">
        <f>SUM(1*'Mercadería'!L419)</f>
        <v>2095.5</v>
      </c>
      <c r="M418" s="8"/>
      <c r="N418" s="20"/>
      <c r="O418" s="9"/>
      <c r="P418" s="6"/>
    </row>
    <row r="419" ht="12.0" customHeight="1">
      <c r="A419" s="52"/>
      <c r="B419" s="15"/>
      <c r="C419" s="15"/>
      <c r="D419" s="31" t="s">
        <v>660</v>
      </c>
      <c r="E419" s="191"/>
      <c r="F419" s="33"/>
      <c r="G419" s="9">
        <v>3982.0</v>
      </c>
      <c r="H419" s="19">
        <f t="shared" si="1"/>
        <v>720</v>
      </c>
      <c r="I419" s="6"/>
      <c r="J419" s="6"/>
      <c r="K419" s="6"/>
      <c r="L419" s="7">
        <f>SUM(1*'Mercadería'!L420)</f>
        <v>720</v>
      </c>
      <c r="M419" s="8"/>
      <c r="N419" s="20" t="s">
        <v>61</v>
      </c>
      <c r="O419" s="9"/>
      <c r="P419" s="6"/>
    </row>
    <row r="420" ht="12.0" customHeight="1">
      <c r="A420" s="52"/>
      <c r="B420" s="15"/>
      <c r="C420" s="15"/>
      <c r="D420" s="31" t="s">
        <v>661</v>
      </c>
      <c r="E420" s="191"/>
      <c r="F420" s="33"/>
      <c r="G420" s="24">
        <v>3983.0</v>
      </c>
      <c r="H420" s="19">
        <f t="shared" si="1"/>
        <v>720</v>
      </c>
      <c r="I420" s="6"/>
      <c r="J420" s="6"/>
      <c r="K420" s="6"/>
      <c r="L420" s="7">
        <f>SUM(1*'Mercadería'!L421)</f>
        <v>720</v>
      </c>
      <c r="M420" s="8"/>
      <c r="N420" s="20" t="s">
        <v>61</v>
      </c>
      <c r="O420" s="9"/>
      <c r="P420" s="6"/>
    </row>
    <row r="421" ht="12.0" customHeight="1">
      <c r="A421" s="14"/>
      <c r="B421" s="15"/>
      <c r="C421" s="15"/>
      <c r="D421" s="15" t="s">
        <v>662</v>
      </c>
      <c r="E421" s="202"/>
      <c r="F421" s="50"/>
      <c r="G421" s="210" t="s">
        <v>663</v>
      </c>
      <c r="H421" s="19">
        <f t="shared" si="1"/>
        <v>704.97504</v>
      </c>
      <c r="I421" s="6"/>
      <c r="J421" s="6"/>
      <c r="K421" s="6"/>
      <c r="L421" s="7">
        <f>SUM(1*'Mercadería'!L422)</f>
        <v>704.97504</v>
      </c>
      <c r="M421" s="8"/>
      <c r="N421" s="23" t="s">
        <v>119</v>
      </c>
      <c r="O421" s="9"/>
      <c r="P421" s="6"/>
    </row>
    <row r="422" ht="12.0" customHeight="1">
      <c r="A422" s="14"/>
      <c r="B422" s="15"/>
      <c r="C422" s="15"/>
      <c r="D422" s="15" t="s">
        <v>664</v>
      </c>
      <c r="E422" s="21" t="s">
        <v>665</v>
      </c>
      <c r="F422" s="14"/>
      <c r="G422" s="22" t="s">
        <v>666</v>
      </c>
      <c r="H422" s="19">
        <f t="shared" si="1"/>
        <v>769.77054</v>
      </c>
      <c r="I422" s="6"/>
      <c r="J422" s="6"/>
      <c r="K422" s="6"/>
      <c r="L422" s="7">
        <f>SUM(1*'Mercadería'!L423)</f>
        <v>769.77054</v>
      </c>
      <c r="M422" s="8"/>
      <c r="N422" s="23" t="s">
        <v>119</v>
      </c>
      <c r="O422" s="9"/>
      <c r="P422" s="6"/>
    </row>
    <row r="423" ht="12.0" customHeight="1">
      <c r="A423" s="14"/>
      <c r="B423" s="15"/>
      <c r="C423" s="15"/>
      <c r="D423" s="16" t="s">
        <v>664</v>
      </c>
      <c r="E423" s="17" t="s">
        <v>667</v>
      </c>
      <c r="F423" s="9"/>
      <c r="G423" s="18" t="s">
        <v>668</v>
      </c>
      <c r="H423" s="19">
        <f t="shared" si="1"/>
        <v>1264.732997</v>
      </c>
      <c r="I423" s="6"/>
      <c r="J423" s="6"/>
      <c r="K423" s="6"/>
      <c r="L423" s="7">
        <f>SUM(1*'Mercadería'!L424)</f>
        <v>1264.732997</v>
      </c>
      <c r="M423" s="8"/>
      <c r="N423" s="20" t="s">
        <v>119</v>
      </c>
      <c r="O423" s="9"/>
      <c r="P423" s="6"/>
    </row>
    <row r="424" ht="12.0" customHeight="1">
      <c r="A424" s="14"/>
      <c r="B424" s="15"/>
      <c r="C424" s="15"/>
      <c r="D424" s="15" t="s">
        <v>664</v>
      </c>
      <c r="E424" s="21" t="s">
        <v>669</v>
      </c>
      <c r="F424" s="14"/>
      <c r="G424" s="22" t="s">
        <v>670</v>
      </c>
      <c r="H424" s="19">
        <f t="shared" si="1"/>
        <v>1708.890599</v>
      </c>
      <c r="I424" s="6"/>
      <c r="J424" s="6"/>
      <c r="K424" s="6"/>
      <c r="L424" s="7">
        <f>SUM(1*'Mercadería'!L425)</f>
        <v>1708.890599</v>
      </c>
      <c r="M424" s="8"/>
      <c r="N424" s="23" t="s">
        <v>119</v>
      </c>
      <c r="O424" s="9"/>
      <c r="P424" s="6"/>
    </row>
    <row r="425" ht="12.0" customHeight="1">
      <c r="A425" s="14"/>
      <c r="B425" s="16"/>
      <c r="C425" s="16"/>
      <c r="D425" s="46" t="s">
        <v>671</v>
      </c>
      <c r="E425" s="47" t="s">
        <v>308</v>
      </c>
      <c r="F425" s="14"/>
      <c r="G425" s="48"/>
      <c r="H425" s="19">
        <f t="shared" si="1"/>
        <v>89.54</v>
      </c>
      <c r="I425" s="6"/>
      <c r="J425" s="6"/>
      <c r="K425" s="6"/>
      <c r="L425" s="7">
        <f>SUM(1*'Mercadería'!L426)</f>
        <v>89.54</v>
      </c>
      <c r="M425" s="8"/>
      <c r="N425" s="23" t="s">
        <v>17</v>
      </c>
      <c r="O425" s="9"/>
      <c r="P425" s="6"/>
    </row>
    <row r="426" ht="12.0" customHeight="1">
      <c r="A426" s="14"/>
      <c r="B426" s="15"/>
      <c r="C426" s="15"/>
      <c r="D426" s="31" t="s">
        <v>672</v>
      </c>
      <c r="E426" s="191" t="s">
        <v>308</v>
      </c>
      <c r="F426" s="9" t="s">
        <v>571</v>
      </c>
      <c r="G426" s="34" t="s">
        <v>673</v>
      </c>
      <c r="H426" s="19">
        <f t="shared" si="1"/>
        <v>485.2862784</v>
      </c>
      <c r="I426" s="6"/>
      <c r="J426" s="6"/>
      <c r="K426" s="6"/>
      <c r="L426" s="7">
        <f>SUM(1*'Mercadería'!L427)</f>
        <v>485.2862784</v>
      </c>
      <c r="M426" s="8"/>
      <c r="N426" s="20" t="s">
        <v>119</v>
      </c>
      <c r="O426" s="9"/>
      <c r="P426" s="6"/>
    </row>
    <row r="427" ht="12.0" customHeight="1">
      <c r="A427" s="14"/>
      <c r="B427" s="16"/>
      <c r="C427" s="16"/>
      <c r="D427" s="195" t="s">
        <v>674</v>
      </c>
      <c r="E427" s="211" t="s">
        <v>309</v>
      </c>
      <c r="F427" s="14"/>
      <c r="G427" s="60" t="s">
        <v>675</v>
      </c>
      <c r="H427" s="19">
        <f t="shared" si="1"/>
        <v>146</v>
      </c>
      <c r="I427" s="6"/>
      <c r="J427" s="6"/>
      <c r="K427" s="6"/>
      <c r="L427" s="7">
        <f>SUM(1*'Mercadería'!L428)</f>
        <v>146</v>
      </c>
      <c r="M427" s="8"/>
      <c r="N427" s="23" t="s">
        <v>576</v>
      </c>
      <c r="O427" s="9"/>
      <c r="P427" s="6"/>
    </row>
    <row r="428" ht="12.0" customHeight="1">
      <c r="A428" s="14"/>
      <c r="B428" s="16"/>
      <c r="C428" s="16"/>
      <c r="D428" s="31" t="s">
        <v>676</v>
      </c>
      <c r="E428" s="191" t="s">
        <v>308</v>
      </c>
      <c r="F428" s="9"/>
      <c r="G428" s="34" t="s">
        <v>677</v>
      </c>
      <c r="H428" s="19">
        <f t="shared" si="1"/>
        <v>30.278556</v>
      </c>
      <c r="I428" s="6"/>
      <c r="J428" s="6"/>
      <c r="K428" s="6"/>
      <c r="L428" s="7">
        <f>SUM(1*'Mercadería'!L429)</f>
        <v>30.278556</v>
      </c>
      <c r="M428" s="8"/>
      <c r="N428" s="20" t="s">
        <v>119</v>
      </c>
      <c r="O428" s="9"/>
      <c r="P428" s="6"/>
    </row>
    <row r="429" ht="12.0" customHeight="1">
      <c r="A429" s="14"/>
      <c r="B429" s="212"/>
      <c r="C429" s="16"/>
      <c r="D429" s="46" t="s">
        <v>676</v>
      </c>
      <c r="E429" s="47" t="s">
        <v>309</v>
      </c>
      <c r="F429" s="14"/>
      <c r="G429" s="48" t="s">
        <v>678</v>
      </c>
      <c r="H429" s="19">
        <f t="shared" si="1"/>
        <v>35.67564</v>
      </c>
      <c r="I429" s="6"/>
      <c r="J429" s="6"/>
      <c r="K429" s="6"/>
      <c r="L429" s="7">
        <f>SUM(1*'Mercadería'!L430)</f>
        <v>35.67564</v>
      </c>
      <c r="M429" s="8"/>
      <c r="N429" s="23" t="s">
        <v>119</v>
      </c>
      <c r="O429" s="9"/>
      <c r="P429" s="6"/>
    </row>
    <row r="430" ht="12.0" customHeight="1">
      <c r="A430" s="14"/>
      <c r="B430" s="15"/>
      <c r="C430" s="15"/>
      <c r="D430" s="31" t="s">
        <v>679</v>
      </c>
      <c r="E430" s="32" t="s">
        <v>308</v>
      </c>
      <c r="F430" s="9"/>
      <c r="G430" s="34" t="s">
        <v>680</v>
      </c>
      <c r="H430" s="19">
        <f t="shared" si="1"/>
        <v>18.52023096</v>
      </c>
      <c r="I430" s="6"/>
      <c r="J430" s="6"/>
      <c r="K430" s="6"/>
      <c r="L430" s="7">
        <f>SUM(1*'Mercadería'!L431)</f>
        <v>18.52023096</v>
      </c>
      <c r="M430" s="8"/>
      <c r="N430" s="20" t="s">
        <v>119</v>
      </c>
      <c r="O430" s="9"/>
      <c r="P430" s="6"/>
    </row>
    <row r="431" ht="12.0" customHeight="1">
      <c r="A431" s="14"/>
      <c r="B431" s="79"/>
      <c r="C431" s="79"/>
      <c r="D431" s="31" t="s">
        <v>681</v>
      </c>
      <c r="E431" s="32" t="s">
        <v>308</v>
      </c>
      <c r="F431" s="9"/>
      <c r="G431" s="59" t="s">
        <v>682</v>
      </c>
      <c r="H431" s="19">
        <f t="shared" si="1"/>
        <v>18.52023096</v>
      </c>
      <c r="I431" s="6"/>
      <c r="J431" s="6"/>
      <c r="K431" s="6"/>
      <c r="L431" s="7">
        <f>SUM(1*'Mercadería'!L432)</f>
        <v>18.52023096</v>
      </c>
      <c r="M431" s="8"/>
      <c r="N431" s="20" t="s">
        <v>576</v>
      </c>
      <c r="O431" s="9"/>
      <c r="P431" s="6"/>
    </row>
    <row r="432" ht="12.0" customHeight="1">
      <c r="A432" s="14"/>
      <c r="B432" s="79"/>
      <c r="C432" s="79"/>
      <c r="D432" s="46" t="s">
        <v>683</v>
      </c>
      <c r="E432" s="47" t="s">
        <v>308</v>
      </c>
      <c r="F432" s="14"/>
      <c r="G432" s="48" t="s">
        <v>684</v>
      </c>
      <c r="H432" s="19">
        <f t="shared" si="1"/>
        <v>27.549522</v>
      </c>
      <c r="I432" s="6"/>
      <c r="J432" s="6"/>
      <c r="K432" s="6"/>
      <c r="L432" s="7">
        <f>SUM(1*'Mercadería'!L433)</f>
        <v>27.549522</v>
      </c>
      <c r="M432" s="8"/>
      <c r="N432" s="23" t="s">
        <v>119</v>
      </c>
      <c r="O432" s="9"/>
      <c r="P432" s="6"/>
    </row>
    <row r="433" ht="12.0" customHeight="1">
      <c r="A433" s="14"/>
      <c r="B433" s="79"/>
      <c r="C433" s="79"/>
      <c r="D433" s="31" t="s">
        <v>683</v>
      </c>
      <c r="E433" s="32" t="s">
        <v>309</v>
      </c>
      <c r="F433" s="9"/>
      <c r="G433" s="34" t="s">
        <v>685</v>
      </c>
      <c r="H433" s="19">
        <f t="shared" si="1"/>
        <v>50.631966</v>
      </c>
      <c r="I433" s="6"/>
      <c r="J433" s="6"/>
      <c r="K433" s="6"/>
      <c r="L433" s="7">
        <f>SUM(1*'Mercadería'!L434)</f>
        <v>50.631966</v>
      </c>
      <c r="M433" s="8"/>
      <c r="N433" s="20" t="s">
        <v>119</v>
      </c>
      <c r="O433" s="9"/>
      <c r="P433" s="6"/>
    </row>
    <row r="434" ht="12.0" customHeight="1">
      <c r="A434" s="14"/>
      <c r="B434" s="16"/>
      <c r="C434" s="16"/>
      <c r="D434" s="50" t="s">
        <v>686</v>
      </c>
      <c r="E434" s="47" t="s">
        <v>308</v>
      </c>
      <c r="F434" s="14"/>
      <c r="G434" s="22" t="s">
        <v>687</v>
      </c>
      <c r="H434" s="19">
        <f t="shared" si="1"/>
        <v>124.895232</v>
      </c>
      <c r="I434" s="6"/>
      <c r="J434" s="6"/>
      <c r="K434" s="6"/>
      <c r="L434" s="7">
        <f>SUM(1*'Mercadería'!L435)</f>
        <v>124.895232</v>
      </c>
      <c r="M434" s="8"/>
      <c r="N434" s="23" t="s">
        <v>119</v>
      </c>
      <c r="O434" s="9"/>
      <c r="P434" s="6"/>
    </row>
    <row r="435" ht="12.0" customHeight="1">
      <c r="A435" s="14"/>
      <c r="B435" s="16"/>
      <c r="C435" s="16"/>
      <c r="D435" s="50" t="s">
        <v>688</v>
      </c>
      <c r="E435" s="132" t="s">
        <v>309</v>
      </c>
      <c r="F435" s="14"/>
      <c r="G435" s="22" t="s">
        <v>689</v>
      </c>
      <c r="H435" s="19">
        <f t="shared" si="1"/>
        <v>153.9846</v>
      </c>
      <c r="I435" s="6"/>
      <c r="J435" s="6"/>
      <c r="K435" s="6"/>
      <c r="L435" s="7">
        <f>SUM(1*'Mercadería'!L436)</f>
        <v>153.9846</v>
      </c>
      <c r="M435" s="8"/>
      <c r="N435" s="23" t="s">
        <v>119</v>
      </c>
      <c r="O435" s="9"/>
      <c r="P435" s="6"/>
    </row>
    <row r="436" ht="12.0" customHeight="1">
      <c r="A436" s="14"/>
      <c r="B436" s="16"/>
      <c r="C436" s="16"/>
      <c r="D436" s="33" t="s">
        <v>690</v>
      </c>
      <c r="E436" s="32"/>
      <c r="F436" s="9" t="s">
        <v>691</v>
      </c>
      <c r="G436" s="18">
        <v>4134.0</v>
      </c>
      <c r="H436" s="19">
        <f t="shared" si="1"/>
        <v>111.32</v>
      </c>
      <c r="I436" s="6"/>
      <c r="J436" s="6"/>
      <c r="K436" s="6"/>
      <c r="L436" s="7">
        <f>SUM(1*'Mercadería'!L437)</f>
        <v>111.32</v>
      </c>
      <c r="M436" s="8"/>
      <c r="N436" s="20" t="s">
        <v>17</v>
      </c>
      <c r="O436" s="9"/>
      <c r="P436" s="6"/>
    </row>
    <row r="437" ht="12.0" customHeight="1">
      <c r="A437" s="14"/>
      <c r="B437" s="16"/>
      <c r="C437" s="16"/>
      <c r="D437" s="50" t="s">
        <v>692</v>
      </c>
      <c r="E437" s="47" t="s">
        <v>308</v>
      </c>
      <c r="F437" s="14"/>
      <c r="G437" s="213" t="s">
        <v>693</v>
      </c>
      <c r="H437" s="19">
        <f t="shared" si="1"/>
        <v>43.4511</v>
      </c>
      <c r="I437" s="6"/>
      <c r="J437" s="6"/>
      <c r="K437" s="6"/>
      <c r="L437" s="7">
        <f>SUM(1*'Mercadería'!L438)</f>
        <v>43.4511</v>
      </c>
      <c r="M437" s="8"/>
      <c r="N437" s="23" t="s">
        <v>119</v>
      </c>
      <c r="O437" s="9"/>
      <c r="P437" s="6"/>
    </row>
    <row r="438" ht="12.0" customHeight="1">
      <c r="A438" s="14"/>
      <c r="B438" s="16"/>
      <c r="C438" s="16"/>
      <c r="D438" s="33" t="s">
        <v>694</v>
      </c>
      <c r="E438" s="191" t="s">
        <v>309</v>
      </c>
      <c r="F438" s="9"/>
      <c r="G438" s="214" t="s">
        <v>695</v>
      </c>
      <c r="H438" s="19">
        <f t="shared" si="1"/>
        <v>43.4511</v>
      </c>
      <c r="I438" s="6"/>
      <c r="J438" s="6"/>
      <c r="K438" s="6"/>
      <c r="L438" s="7">
        <f>SUM(1*'Mercadería'!L439)</f>
        <v>43.4511</v>
      </c>
      <c r="M438" s="8"/>
      <c r="N438" s="20" t="s">
        <v>119</v>
      </c>
      <c r="O438" s="9"/>
      <c r="P438" s="6"/>
    </row>
    <row r="439" ht="12.0" customHeight="1">
      <c r="A439" s="14"/>
      <c r="B439" s="16"/>
      <c r="C439" s="16"/>
      <c r="D439" s="50" t="s">
        <v>696</v>
      </c>
      <c r="E439" s="47" t="s">
        <v>308</v>
      </c>
      <c r="F439" s="14"/>
      <c r="G439" s="213" t="s">
        <v>697</v>
      </c>
      <c r="H439" s="19">
        <f t="shared" si="1"/>
        <v>61.7463</v>
      </c>
      <c r="I439" s="6"/>
      <c r="J439" s="6"/>
      <c r="K439" s="6"/>
      <c r="L439" s="7">
        <f>SUM(1*'Mercadería'!L440)</f>
        <v>61.7463</v>
      </c>
      <c r="M439" s="8"/>
      <c r="N439" s="23" t="s">
        <v>119</v>
      </c>
      <c r="O439" s="9"/>
      <c r="P439" s="6"/>
    </row>
    <row r="440" ht="12.0" customHeight="1">
      <c r="A440" s="14"/>
      <c r="B440" s="215"/>
      <c r="C440" s="215"/>
      <c r="D440" s="33" t="s">
        <v>698</v>
      </c>
      <c r="E440" s="32" t="s">
        <v>308</v>
      </c>
      <c r="F440" s="9"/>
      <c r="G440" s="214" t="s">
        <v>699</v>
      </c>
      <c r="H440" s="19">
        <f t="shared" si="1"/>
        <v>41.347152</v>
      </c>
      <c r="I440" s="6"/>
      <c r="J440" s="6"/>
      <c r="K440" s="6"/>
      <c r="L440" s="7">
        <f>SUM(1*'Mercadería'!L441)</f>
        <v>41.347152</v>
      </c>
      <c r="M440" s="8"/>
      <c r="N440" s="20" t="s">
        <v>119</v>
      </c>
      <c r="O440" s="9"/>
      <c r="P440" s="6"/>
    </row>
    <row r="441" ht="12.0" customHeight="1">
      <c r="A441" s="14"/>
      <c r="B441" s="71"/>
      <c r="C441" s="71"/>
      <c r="D441" s="33" t="s">
        <v>700</v>
      </c>
      <c r="E441" s="32" t="s">
        <v>308</v>
      </c>
      <c r="F441" s="9"/>
      <c r="G441" s="216" t="s">
        <v>701</v>
      </c>
      <c r="H441" s="19">
        <f t="shared" si="1"/>
        <v>16</v>
      </c>
      <c r="I441" s="6"/>
      <c r="J441" s="6"/>
      <c r="K441" s="6"/>
      <c r="L441" s="7">
        <f>SUM(1*'Mercadería'!L442)</f>
        <v>16</v>
      </c>
      <c r="M441" s="8"/>
      <c r="N441" s="20" t="s">
        <v>119</v>
      </c>
      <c r="O441" s="9"/>
      <c r="P441" s="6"/>
    </row>
    <row r="442" ht="12.0" customHeight="1">
      <c r="A442" s="14"/>
      <c r="B442" s="79"/>
      <c r="C442" s="79"/>
      <c r="D442" s="50" t="s">
        <v>702</v>
      </c>
      <c r="E442" s="47">
        <v>50.0</v>
      </c>
      <c r="F442" s="14"/>
      <c r="G442" s="213" t="s">
        <v>703</v>
      </c>
      <c r="H442" s="19">
        <f t="shared" si="1"/>
        <v>128.0664</v>
      </c>
      <c r="I442" s="6"/>
      <c r="J442" s="6"/>
      <c r="K442" s="6"/>
      <c r="L442" s="7">
        <f>SUM(1*'Mercadería'!L443)</f>
        <v>128.0664</v>
      </c>
      <c r="M442" s="8"/>
      <c r="N442" s="23" t="s">
        <v>119</v>
      </c>
      <c r="O442" s="9"/>
      <c r="P442" s="6"/>
    </row>
    <row r="443" ht="12.0" customHeight="1">
      <c r="A443" s="14"/>
      <c r="B443" s="79"/>
      <c r="C443" s="79"/>
      <c r="D443" s="33" t="s">
        <v>704</v>
      </c>
      <c r="E443" s="32" t="s">
        <v>339</v>
      </c>
      <c r="F443" s="9"/>
      <c r="G443" s="217" t="s">
        <v>705</v>
      </c>
      <c r="H443" s="19">
        <f t="shared" si="1"/>
        <v>178.14951</v>
      </c>
      <c r="I443" s="6"/>
      <c r="J443" s="6"/>
      <c r="K443" s="6"/>
      <c r="L443" s="7">
        <f>SUM(1*'Mercadería'!L444)</f>
        <v>178.14951</v>
      </c>
      <c r="M443" s="8"/>
      <c r="N443" s="20" t="s">
        <v>119</v>
      </c>
      <c r="O443" s="9"/>
      <c r="P443" s="6"/>
    </row>
    <row r="444" ht="12.0" customHeight="1">
      <c r="A444" s="14"/>
      <c r="B444" s="79"/>
      <c r="C444" s="79"/>
      <c r="D444" s="50" t="s">
        <v>704</v>
      </c>
      <c r="E444" s="47" t="s">
        <v>235</v>
      </c>
      <c r="F444" s="14"/>
      <c r="G444" s="218" t="s">
        <v>706</v>
      </c>
      <c r="H444" s="19">
        <f t="shared" si="1"/>
        <v>187.5258</v>
      </c>
      <c r="I444" s="6"/>
      <c r="J444" s="6"/>
      <c r="K444" s="6"/>
      <c r="L444" s="7">
        <f>SUM(1*'Mercadería'!L445)</f>
        <v>187.5258</v>
      </c>
      <c r="M444" s="8"/>
      <c r="N444" s="23" t="s">
        <v>119</v>
      </c>
      <c r="O444" s="9"/>
      <c r="P444" s="6"/>
    </row>
    <row r="445" ht="12.0" customHeight="1">
      <c r="A445" s="14"/>
      <c r="B445" s="79"/>
      <c r="C445" s="79"/>
      <c r="D445" s="33" t="s">
        <v>707</v>
      </c>
      <c r="E445" s="32" t="s">
        <v>308</v>
      </c>
      <c r="F445" s="9"/>
      <c r="G445" s="217" t="s">
        <v>708</v>
      </c>
      <c r="H445" s="19">
        <f t="shared" si="1"/>
        <v>112.51548</v>
      </c>
      <c r="I445" s="6"/>
      <c r="J445" s="6"/>
      <c r="K445" s="6"/>
      <c r="L445" s="7">
        <f>SUM(1*'Mercadería'!L446)</f>
        <v>112.51548</v>
      </c>
      <c r="M445" s="8"/>
      <c r="N445" s="20"/>
      <c r="O445" s="9"/>
      <c r="P445" s="6"/>
    </row>
    <row r="446" ht="12.0" customHeight="1">
      <c r="A446" s="14"/>
      <c r="B446" s="79"/>
      <c r="C446" s="79"/>
      <c r="D446" s="50" t="s">
        <v>707</v>
      </c>
      <c r="E446" s="47" t="s">
        <v>309</v>
      </c>
      <c r="F446" s="14"/>
      <c r="G446" s="218" t="s">
        <v>709</v>
      </c>
      <c r="H446" s="19">
        <f t="shared" si="1"/>
        <v>112.51548</v>
      </c>
      <c r="I446" s="6"/>
      <c r="J446" s="6"/>
      <c r="K446" s="6"/>
      <c r="L446" s="7">
        <f>SUM(1*'Mercadería'!L447)</f>
        <v>112.51548</v>
      </c>
      <c r="M446" s="8"/>
      <c r="N446" s="23"/>
      <c r="O446" s="9"/>
      <c r="P446" s="6"/>
    </row>
    <row r="447" ht="12.0" customHeight="1">
      <c r="A447" s="14"/>
      <c r="B447" s="79"/>
      <c r="C447" s="79"/>
      <c r="D447" s="33" t="s">
        <v>707</v>
      </c>
      <c r="E447" s="32" t="s">
        <v>423</v>
      </c>
      <c r="F447" s="9"/>
      <c r="G447" s="217" t="s">
        <v>710</v>
      </c>
      <c r="H447" s="19">
        <f t="shared" si="1"/>
        <v>150.02064</v>
      </c>
      <c r="I447" s="6"/>
      <c r="J447" s="6"/>
      <c r="K447" s="6"/>
      <c r="L447" s="7">
        <f>SUM(1*'Mercadería'!L448)</f>
        <v>150.02064</v>
      </c>
      <c r="M447" s="8"/>
      <c r="N447" s="20"/>
      <c r="O447" s="9"/>
      <c r="P447" s="6"/>
    </row>
    <row r="448" ht="12.0" customHeight="1">
      <c r="A448" s="14"/>
      <c r="B448" s="79"/>
      <c r="C448" s="79"/>
      <c r="D448" s="50" t="s">
        <v>707</v>
      </c>
      <c r="E448" s="47" t="s">
        <v>407</v>
      </c>
      <c r="F448" s="14"/>
      <c r="G448" s="218" t="s">
        <v>711</v>
      </c>
      <c r="H448" s="19">
        <f t="shared" si="1"/>
        <v>187.5258</v>
      </c>
      <c r="I448" s="6"/>
      <c r="J448" s="6"/>
      <c r="K448" s="6"/>
      <c r="L448" s="7">
        <f>SUM(1*'Mercadería'!L449)</f>
        <v>187.5258</v>
      </c>
      <c r="M448" s="8"/>
      <c r="N448" s="23"/>
      <c r="O448" s="9"/>
      <c r="P448" s="6"/>
    </row>
    <row r="449" ht="12.0" customHeight="1">
      <c r="A449" s="14"/>
      <c r="B449" s="79"/>
      <c r="C449" s="79"/>
      <c r="D449" s="50" t="s">
        <v>707</v>
      </c>
      <c r="E449" s="47" t="s">
        <v>408</v>
      </c>
      <c r="F449" s="14"/>
      <c r="G449" s="218" t="s">
        <v>712</v>
      </c>
      <c r="H449" s="19">
        <f t="shared" si="1"/>
        <v>187.5258</v>
      </c>
      <c r="I449" s="6"/>
      <c r="J449" s="6"/>
      <c r="K449" s="6"/>
      <c r="L449" s="7">
        <f>SUM(1*'Mercadería'!L450)</f>
        <v>187.5258</v>
      </c>
      <c r="M449" s="8"/>
      <c r="N449" s="23"/>
      <c r="O449" s="9"/>
      <c r="P449" s="6"/>
    </row>
    <row r="450" ht="12.0" customHeight="1">
      <c r="A450" s="14"/>
      <c r="B450" s="79"/>
      <c r="C450" s="79"/>
      <c r="D450" s="33" t="s">
        <v>713</v>
      </c>
      <c r="E450" s="33"/>
      <c r="F450" s="33"/>
      <c r="G450" s="38">
        <v>6811.0</v>
      </c>
      <c r="H450" s="19">
        <f t="shared" si="1"/>
        <v>19.44</v>
      </c>
      <c r="I450" s="219" t="s">
        <v>112</v>
      </c>
      <c r="J450" s="6"/>
      <c r="K450" s="6"/>
      <c r="L450" s="7">
        <f>SUM(1*'Mercadería'!L451)</f>
        <v>19.44</v>
      </c>
      <c r="M450" s="8"/>
      <c r="N450" s="38" t="s">
        <v>61</v>
      </c>
      <c r="O450" s="9"/>
      <c r="P450" s="6"/>
    </row>
    <row r="451" ht="12.0" customHeight="1">
      <c r="A451" s="14"/>
      <c r="B451" s="79"/>
      <c r="C451" s="79"/>
      <c r="D451" s="50" t="s">
        <v>714</v>
      </c>
      <c r="E451" s="50"/>
      <c r="F451" s="50"/>
      <c r="G451" s="49">
        <v>6812.0</v>
      </c>
      <c r="H451" s="19">
        <f t="shared" si="1"/>
        <v>19.44</v>
      </c>
      <c r="I451" s="220" t="s">
        <v>112</v>
      </c>
      <c r="J451" s="6"/>
      <c r="K451" s="6"/>
      <c r="L451" s="7">
        <f>SUM(1*'Mercadería'!L452)</f>
        <v>19.44</v>
      </c>
      <c r="M451" s="8"/>
      <c r="N451" s="49" t="s">
        <v>61</v>
      </c>
      <c r="O451" s="9"/>
      <c r="P451" s="6"/>
    </row>
    <row r="452" ht="12.0" customHeight="1">
      <c r="A452" s="14"/>
      <c r="B452" s="79"/>
      <c r="C452" s="79"/>
      <c r="D452" s="33" t="s">
        <v>715</v>
      </c>
      <c r="E452" s="33"/>
      <c r="F452" s="33"/>
      <c r="G452" s="38">
        <v>6813.0</v>
      </c>
      <c r="H452" s="19">
        <f t="shared" si="1"/>
        <v>19.44</v>
      </c>
      <c r="I452" s="219" t="s">
        <v>112</v>
      </c>
      <c r="J452" s="6"/>
      <c r="K452" s="6"/>
      <c r="L452" s="7">
        <f>SUM(1*'Mercadería'!L453)</f>
        <v>19.44</v>
      </c>
      <c r="M452" s="8"/>
      <c r="N452" s="38" t="s">
        <v>61</v>
      </c>
      <c r="O452" s="9"/>
      <c r="P452" s="6"/>
    </row>
    <row r="453" ht="12.0" customHeight="1">
      <c r="A453" s="14"/>
      <c r="B453" s="79"/>
      <c r="C453" s="79"/>
      <c r="D453" s="50" t="s">
        <v>716</v>
      </c>
      <c r="E453" s="50"/>
      <c r="F453" s="50"/>
      <c r="G453" s="49">
        <v>6814.0</v>
      </c>
      <c r="H453" s="19">
        <f t="shared" si="1"/>
        <v>19.44</v>
      </c>
      <c r="I453" s="220" t="s">
        <v>112</v>
      </c>
      <c r="J453" s="6"/>
      <c r="K453" s="6"/>
      <c r="L453" s="7">
        <f>SUM(1*'Mercadería'!L454)</f>
        <v>19.44</v>
      </c>
      <c r="M453" s="8"/>
      <c r="N453" s="49" t="s">
        <v>61</v>
      </c>
      <c r="O453" s="9"/>
      <c r="P453" s="6"/>
    </row>
    <row r="454" ht="12.0" customHeight="1">
      <c r="A454" s="14"/>
      <c r="B454" s="79"/>
      <c r="C454" s="79"/>
      <c r="D454" s="50" t="s">
        <v>717</v>
      </c>
      <c r="E454" s="50" t="s">
        <v>718</v>
      </c>
      <c r="F454" s="50" t="s">
        <v>576</v>
      </c>
      <c r="G454" s="50" t="s">
        <v>719</v>
      </c>
      <c r="H454" s="19">
        <f t="shared" si="1"/>
        <v>53.8488</v>
      </c>
      <c r="I454" s="220" t="s">
        <v>112</v>
      </c>
      <c r="J454" s="6"/>
      <c r="K454" s="6"/>
      <c r="L454" s="7">
        <f>SUM(1*'Mercadería'!L455)</f>
        <v>53.8488</v>
      </c>
      <c r="M454" s="8"/>
      <c r="N454" s="49"/>
      <c r="O454" s="9"/>
      <c r="P454" s="6"/>
    </row>
    <row r="455" ht="12.0" customHeight="1">
      <c r="A455" s="14"/>
      <c r="B455" s="79"/>
      <c r="C455" s="79"/>
      <c r="D455" s="50" t="s">
        <v>717</v>
      </c>
      <c r="E455" s="50" t="s">
        <v>720</v>
      </c>
      <c r="F455" s="50" t="s">
        <v>576</v>
      </c>
      <c r="G455" s="50" t="s">
        <v>721</v>
      </c>
      <c r="H455" s="19">
        <f t="shared" si="1"/>
        <v>66.8736</v>
      </c>
      <c r="I455" s="220" t="s">
        <v>112</v>
      </c>
      <c r="J455" s="6"/>
      <c r="K455" s="6"/>
      <c r="L455" s="7">
        <f>SUM(1*'Mercadería'!L456)</f>
        <v>66.8736</v>
      </c>
      <c r="M455" s="8"/>
      <c r="N455" s="49"/>
      <c r="O455" s="9"/>
      <c r="P455" s="6"/>
    </row>
    <row r="456" ht="12.0" customHeight="1">
      <c r="A456" s="14"/>
      <c r="B456" s="79"/>
      <c r="C456" s="79"/>
      <c r="D456" s="50" t="s">
        <v>717</v>
      </c>
      <c r="E456" s="50" t="s">
        <v>722</v>
      </c>
      <c r="F456" s="50" t="s">
        <v>576</v>
      </c>
      <c r="G456" s="50" t="s">
        <v>723</v>
      </c>
      <c r="H456" s="19">
        <f t="shared" si="1"/>
        <v>100.5048</v>
      </c>
      <c r="I456" s="220" t="s">
        <v>112</v>
      </c>
      <c r="J456" s="6"/>
      <c r="K456" s="6"/>
      <c r="L456" s="7">
        <f>SUM(1*'Mercadería'!L457)</f>
        <v>100.5048</v>
      </c>
      <c r="M456" s="8"/>
      <c r="N456" s="49"/>
      <c r="O456" s="9"/>
      <c r="P456" s="6"/>
    </row>
    <row r="457" ht="12.0" customHeight="1">
      <c r="A457" s="14"/>
      <c r="B457" s="15"/>
      <c r="C457" s="15"/>
      <c r="D457" s="25" t="s">
        <v>724</v>
      </c>
      <c r="E457" s="26" t="s">
        <v>725</v>
      </c>
      <c r="F457" s="27"/>
      <c r="G457" s="103">
        <v>1890.0</v>
      </c>
      <c r="H457" s="29">
        <f t="shared" si="1"/>
        <v>120.32966</v>
      </c>
      <c r="I457" s="25"/>
      <c r="J457" s="43"/>
      <c r="K457" s="43"/>
      <c r="L457" s="44">
        <f>SUM(1*'Mercadería'!L458)</f>
        <v>120.32966</v>
      </c>
      <c r="M457" s="204"/>
      <c r="N457" s="30" t="s">
        <v>17</v>
      </c>
      <c r="O457" s="9"/>
      <c r="P457" s="6"/>
    </row>
    <row r="458" ht="12.0" customHeight="1">
      <c r="A458" s="14"/>
      <c r="B458" s="15"/>
      <c r="C458" s="15"/>
      <c r="D458" s="31" t="s">
        <v>724</v>
      </c>
      <c r="E458" s="32" t="s">
        <v>726</v>
      </c>
      <c r="F458" s="33"/>
      <c r="G458" s="34">
        <v>1892.0</v>
      </c>
      <c r="H458" s="19">
        <f t="shared" si="1"/>
        <v>164.56</v>
      </c>
      <c r="I458" s="16"/>
      <c r="J458" s="6"/>
      <c r="K458" s="6"/>
      <c r="L458" s="7">
        <f>SUM(1*'Mercadería'!L459)</f>
        <v>164.56</v>
      </c>
      <c r="M458" s="8"/>
      <c r="N458" s="38" t="s">
        <v>17</v>
      </c>
      <c r="O458" s="9"/>
      <c r="P458" s="6"/>
    </row>
    <row r="459" ht="12.0" customHeight="1">
      <c r="A459" s="14"/>
      <c r="B459" s="15"/>
      <c r="C459" s="15"/>
      <c r="D459" s="25" t="s">
        <v>727</v>
      </c>
      <c r="E459" s="221" t="s">
        <v>725</v>
      </c>
      <c r="F459" s="222"/>
      <c r="G459" s="223">
        <v>645.0</v>
      </c>
      <c r="H459" s="19">
        <f t="shared" si="1"/>
        <v>11.124</v>
      </c>
      <c r="I459" s="129" t="s">
        <v>728</v>
      </c>
      <c r="J459" s="6"/>
      <c r="K459" s="6"/>
      <c r="L459" s="7">
        <f>SUM(1*'Mercadería'!L460)</f>
        <v>11.124</v>
      </c>
      <c r="M459" s="8"/>
      <c r="N459" s="43" t="s">
        <v>61</v>
      </c>
      <c r="O459" s="9"/>
      <c r="P459" s="6"/>
    </row>
    <row r="460" ht="12.0" customHeight="1">
      <c r="A460" s="14"/>
      <c r="B460" s="79"/>
      <c r="C460" s="79"/>
      <c r="D460" s="15" t="s">
        <v>729</v>
      </c>
      <c r="E460" s="21"/>
      <c r="F460" s="14"/>
      <c r="G460" s="22" t="s">
        <v>730</v>
      </c>
      <c r="H460" s="19">
        <f t="shared" si="1"/>
        <v>273.6</v>
      </c>
      <c r="I460" s="6"/>
      <c r="J460" s="6"/>
      <c r="K460" s="6"/>
      <c r="L460" s="7">
        <f>SUM(1*'Mercadería'!L461)</f>
        <v>273.6</v>
      </c>
      <c r="M460" s="8"/>
      <c r="N460" s="23" t="s">
        <v>119</v>
      </c>
      <c r="O460" s="9"/>
      <c r="P460" s="6"/>
    </row>
    <row r="461" ht="12.0" customHeight="1">
      <c r="A461" s="14"/>
      <c r="B461" s="16"/>
      <c r="C461" s="224"/>
      <c r="D461" s="31" t="s">
        <v>731</v>
      </c>
      <c r="E461" s="32" t="s">
        <v>732</v>
      </c>
      <c r="F461" s="33"/>
      <c r="G461" s="59" t="s">
        <v>733</v>
      </c>
      <c r="H461" s="35">
        <f t="shared" si="1"/>
        <v>1568</v>
      </c>
      <c r="I461" s="36"/>
      <c r="J461" s="36"/>
      <c r="K461" s="36"/>
      <c r="L461" s="37">
        <f>SUM(1*'Mercadería'!L462)</f>
        <v>1568</v>
      </c>
      <c r="M461" s="8"/>
      <c r="N461" s="38"/>
      <c r="O461" s="9"/>
      <c r="P461" s="6"/>
    </row>
    <row r="462" ht="12.0" customHeight="1">
      <c r="A462" s="14"/>
      <c r="B462" s="225"/>
      <c r="C462" s="71"/>
      <c r="D462" s="46" t="s">
        <v>734</v>
      </c>
      <c r="E462" s="47" t="s">
        <v>732</v>
      </c>
      <c r="F462" s="50"/>
      <c r="G462" s="60" t="s">
        <v>735</v>
      </c>
      <c r="H462" s="35">
        <f t="shared" si="1"/>
        <v>1952</v>
      </c>
      <c r="I462" s="36"/>
      <c r="J462" s="226">
        <f>SUM(H462/15)</f>
        <v>130.1333333</v>
      </c>
      <c r="K462" s="227" t="s">
        <v>728</v>
      </c>
      <c r="L462" s="37">
        <f>SUM(1*'Mercadería'!L463)</f>
        <v>1952</v>
      </c>
      <c r="M462" s="8"/>
      <c r="N462" s="49" t="s">
        <v>119</v>
      </c>
      <c r="O462" s="9"/>
      <c r="P462" s="6"/>
    </row>
    <row r="463" ht="12.0" customHeight="1">
      <c r="A463" s="14"/>
      <c r="B463" s="82"/>
      <c r="C463" s="82"/>
      <c r="D463" s="16" t="s">
        <v>736</v>
      </c>
      <c r="E463" s="17" t="s">
        <v>732</v>
      </c>
      <c r="F463" s="9" t="s">
        <v>737</v>
      </c>
      <c r="G463" s="59"/>
      <c r="H463" s="35">
        <f t="shared" si="1"/>
        <v>5474.04</v>
      </c>
      <c r="I463" s="36"/>
      <c r="J463" s="36"/>
      <c r="K463" s="36"/>
      <c r="L463" s="37">
        <f>SUM(1*'Mercadería'!L464)</f>
        <v>5474.04</v>
      </c>
      <c r="M463" s="8"/>
      <c r="N463" s="49"/>
      <c r="O463" s="9"/>
      <c r="P463" s="6"/>
    </row>
    <row r="464" ht="12.0" customHeight="1">
      <c r="A464" s="52"/>
      <c r="B464" s="82"/>
      <c r="C464" s="228"/>
      <c r="D464" s="16" t="s">
        <v>736</v>
      </c>
      <c r="E464" s="32" t="s">
        <v>738</v>
      </c>
      <c r="F464" s="33" t="s">
        <v>739</v>
      </c>
      <c r="G464" s="59" t="s">
        <v>740</v>
      </c>
      <c r="H464" s="35">
        <f t="shared" si="1"/>
        <v>5988.5</v>
      </c>
      <c r="I464" s="36"/>
      <c r="J464" s="36"/>
      <c r="K464" s="36"/>
      <c r="L464" s="37">
        <f>SUM(1*'Mercadería'!L465)</f>
        <v>5988.5</v>
      </c>
      <c r="M464" s="140"/>
      <c r="N464" s="38"/>
      <c r="O464" s="9"/>
      <c r="P464" s="6"/>
    </row>
    <row r="465" ht="12.0" customHeight="1">
      <c r="A465" s="14"/>
      <c r="B465" s="82"/>
      <c r="C465" s="82"/>
      <c r="D465" s="46" t="s">
        <v>741</v>
      </c>
      <c r="E465" s="47" t="s">
        <v>732</v>
      </c>
      <c r="F465" s="50"/>
      <c r="G465" s="60" t="s">
        <v>742</v>
      </c>
      <c r="H465" s="35">
        <f t="shared" si="1"/>
        <v>2264.07</v>
      </c>
      <c r="I465" s="36"/>
      <c r="J465" s="36"/>
      <c r="K465" s="36"/>
      <c r="L465" s="37">
        <f>SUM(1*'Mercadería'!L466)</f>
        <v>2264.07</v>
      </c>
      <c r="M465" s="8"/>
      <c r="N465" s="49" t="s">
        <v>119</v>
      </c>
      <c r="O465" s="9"/>
      <c r="P465" s="6"/>
    </row>
    <row r="466" ht="12.0" customHeight="1">
      <c r="A466" s="14"/>
      <c r="B466" s="15"/>
      <c r="C466" s="15"/>
      <c r="D466" s="197" t="s">
        <v>743</v>
      </c>
      <c r="E466" s="229" t="s">
        <v>744</v>
      </c>
      <c r="F466" s="33"/>
      <c r="G466" s="34"/>
      <c r="H466" s="35">
        <f t="shared" si="1"/>
        <v>5100</v>
      </c>
      <c r="I466" s="43"/>
      <c r="J466" s="43"/>
      <c r="K466" s="43"/>
      <c r="L466" s="37">
        <f>SUM(1*'Mercadería'!L467)</f>
        <v>5100</v>
      </c>
      <c r="M466" s="8"/>
      <c r="N466" s="38" t="s">
        <v>576</v>
      </c>
      <c r="O466" s="9"/>
      <c r="P466" s="6"/>
    </row>
    <row r="467" ht="12.0" customHeight="1">
      <c r="A467" s="52"/>
      <c r="B467" s="212"/>
      <c r="C467" s="212"/>
      <c r="D467" s="31" t="s">
        <v>745</v>
      </c>
      <c r="E467" s="17" t="s">
        <v>308</v>
      </c>
      <c r="F467" s="9"/>
      <c r="G467" s="34" t="s">
        <v>746</v>
      </c>
      <c r="H467" s="19">
        <f t="shared" si="1"/>
        <v>1439.2224</v>
      </c>
      <c r="I467" s="6"/>
      <c r="J467" s="226">
        <f>SUM(H467/5.5)</f>
        <v>261.6768</v>
      </c>
      <c r="K467" s="230" t="s">
        <v>728</v>
      </c>
      <c r="L467" s="7">
        <f>SUM(1*'Mercadería'!L468)</f>
        <v>1439.2224</v>
      </c>
      <c r="M467" s="8"/>
      <c r="N467" s="20" t="s">
        <v>119</v>
      </c>
      <c r="O467" s="9"/>
      <c r="P467" s="6"/>
    </row>
    <row r="468" ht="3.75" customHeight="1">
      <c r="A468" s="14"/>
      <c r="B468" s="15"/>
      <c r="C468" s="15"/>
      <c r="D468" s="31"/>
      <c r="E468" s="17"/>
      <c r="F468" s="9"/>
      <c r="G468" s="61"/>
      <c r="H468" s="19"/>
      <c r="I468" s="6"/>
      <c r="J468" s="6"/>
      <c r="K468" s="6"/>
      <c r="L468" s="7"/>
      <c r="M468" s="8"/>
      <c r="N468" s="61"/>
      <c r="O468" s="9"/>
      <c r="P468" s="6"/>
    </row>
    <row r="469" ht="12.0" customHeight="1">
      <c r="A469" s="52"/>
      <c r="B469" s="212"/>
      <c r="C469" s="212"/>
      <c r="D469" s="15" t="s">
        <v>747</v>
      </c>
      <c r="E469" s="21" t="s">
        <v>308</v>
      </c>
      <c r="F469" s="14"/>
      <c r="G469" s="22" t="s">
        <v>748</v>
      </c>
      <c r="H469" s="19">
        <f>SUM(L469+M469)</f>
        <v>1600.83</v>
      </c>
      <c r="I469" s="6"/>
      <c r="J469" s="226">
        <f>SUM(H469/5.5)</f>
        <v>291.06</v>
      </c>
      <c r="K469" s="230" t="s">
        <v>728</v>
      </c>
      <c r="L469" s="7">
        <f>SUM(1*'Mercadería'!L470)</f>
        <v>1600.83</v>
      </c>
      <c r="M469" s="8"/>
      <c r="N469" s="23" t="s">
        <v>119</v>
      </c>
      <c r="O469" s="9"/>
      <c r="P469" s="6"/>
    </row>
    <row r="470" ht="3.75" customHeight="1">
      <c r="A470" s="14"/>
      <c r="B470" s="15"/>
      <c r="C470" s="15"/>
      <c r="D470" s="15"/>
      <c r="E470" s="21"/>
      <c r="F470" s="14"/>
      <c r="G470" s="150"/>
      <c r="H470" s="19"/>
      <c r="I470" s="6"/>
      <c r="J470" s="6"/>
      <c r="K470" s="6"/>
      <c r="L470" s="7"/>
      <c r="M470" s="8"/>
      <c r="N470" s="151"/>
      <c r="O470" s="9"/>
      <c r="P470" s="6"/>
    </row>
    <row r="471" ht="12.0" customHeight="1">
      <c r="A471" s="52"/>
      <c r="B471" s="212"/>
      <c r="C471" s="212"/>
      <c r="D471" s="31" t="s">
        <v>749</v>
      </c>
      <c r="E471" s="17" t="s">
        <v>308</v>
      </c>
      <c r="F471" s="9" t="s">
        <v>750</v>
      </c>
      <c r="G471" s="155" t="s">
        <v>751</v>
      </c>
      <c r="H471" s="19">
        <f>SUM(L471+M471)</f>
        <v>2847.1905</v>
      </c>
      <c r="I471" s="6"/>
      <c r="J471" s="226">
        <f>SUM(H471/5.5)</f>
        <v>517.671</v>
      </c>
      <c r="K471" s="230" t="s">
        <v>728</v>
      </c>
      <c r="L471" s="7">
        <f>SUM(1*'Mercadería'!L472)</f>
        <v>2847.1905</v>
      </c>
      <c r="M471" s="8"/>
      <c r="N471" s="61" t="s">
        <v>119</v>
      </c>
      <c r="O471" s="9"/>
      <c r="P471" s="6"/>
    </row>
    <row r="472" ht="3.75" customHeight="1">
      <c r="A472" s="14"/>
      <c r="B472" s="15"/>
      <c r="C472" s="15"/>
      <c r="D472" s="15"/>
      <c r="E472" s="21"/>
      <c r="F472" s="14"/>
      <c r="G472" s="150"/>
      <c r="H472" s="19"/>
      <c r="I472" s="6"/>
      <c r="J472" s="6"/>
      <c r="K472" s="6"/>
      <c r="L472" s="7"/>
      <c r="M472" s="8"/>
      <c r="N472" s="151"/>
      <c r="O472" s="9"/>
      <c r="P472" s="6"/>
    </row>
    <row r="473" ht="12.0" customHeight="1">
      <c r="A473" s="52"/>
      <c r="B473" s="212"/>
      <c r="C473" s="212"/>
      <c r="D473" s="197" t="s">
        <v>752</v>
      </c>
      <c r="E473" s="229" t="s">
        <v>309</v>
      </c>
      <c r="F473" s="9"/>
      <c r="G473" s="207" t="s">
        <v>753</v>
      </c>
      <c r="H473" s="19">
        <f>SUM(L473+M473)</f>
        <v>1827.2331</v>
      </c>
      <c r="I473" s="6"/>
      <c r="J473" s="226">
        <f>SUM(H473/5.5)</f>
        <v>332.2242</v>
      </c>
      <c r="K473" s="230" t="s">
        <v>728</v>
      </c>
      <c r="L473" s="7">
        <f>SUM(1*'Mercadería'!L474)</f>
        <v>1827.2331</v>
      </c>
      <c r="M473" s="8"/>
      <c r="N473" s="61" t="s">
        <v>119</v>
      </c>
      <c r="O473" s="9"/>
      <c r="P473" s="6"/>
    </row>
    <row r="474" ht="3.75" customHeight="1">
      <c r="A474" s="14"/>
      <c r="B474" s="15"/>
      <c r="C474" s="15"/>
      <c r="D474" s="197"/>
      <c r="E474" s="229"/>
      <c r="F474" s="9"/>
      <c r="G474" s="61"/>
      <c r="H474" s="19"/>
      <c r="I474" s="6"/>
      <c r="J474" s="6"/>
      <c r="K474" s="6"/>
      <c r="L474" s="7">
        <f>SUM(1*'Mercadería'!L475)</f>
        <v>0</v>
      </c>
      <c r="M474" s="8"/>
      <c r="N474" s="61"/>
      <c r="O474" s="9"/>
      <c r="P474" s="6"/>
    </row>
    <row r="475" ht="12.0" customHeight="1">
      <c r="A475" s="52"/>
      <c r="B475" s="212"/>
      <c r="C475" s="212"/>
      <c r="D475" s="195" t="s">
        <v>754</v>
      </c>
      <c r="E475" s="211" t="s">
        <v>309</v>
      </c>
      <c r="F475" s="14"/>
      <c r="G475" s="22" t="s">
        <v>755</v>
      </c>
      <c r="H475" s="19">
        <f>SUM(L475+M475)</f>
        <v>3155.922</v>
      </c>
      <c r="I475" s="6"/>
      <c r="J475" s="226">
        <f>SUM(H475/5.5)</f>
        <v>573.804</v>
      </c>
      <c r="K475" s="230" t="s">
        <v>728</v>
      </c>
      <c r="L475" s="7">
        <f>SUM(1*'Mercadería'!L476)</f>
        <v>3155.922</v>
      </c>
      <c r="M475" s="8"/>
      <c r="N475" s="23" t="s">
        <v>119</v>
      </c>
      <c r="O475" s="9"/>
      <c r="P475" s="6"/>
    </row>
    <row r="476" ht="3.75" customHeight="1">
      <c r="A476" s="52"/>
      <c r="B476" s="212"/>
      <c r="C476" s="212"/>
      <c r="D476" s="195"/>
      <c r="E476" s="211"/>
      <c r="F476" s="14"/>
      <c r="G476" s="22"/>
      <c r="H476" s="19"/>
      <c r="I476" s="6"/>
      <c r="J476" s="6"/>
      <c r="K476" s="6"/>
      <c r="L476" s="7"/>
      <c r="M476" s="8"/>
      <c r="N476" s="23"/>
      <c r="O476" s="9"/>
      <c r="P476" s="6"/>
    </row>
    <row r="477" ht="12.0" customHeight="1">
      <c r="A477" s="52"/>
      <c r="B477" s="212"/>
      <c r="C477" s="212"/>
      <c r="D477" s="197" t="s">
        <v>749</v>
      </c>
      <c r="E477" s="229" t="s">
        <v>309</v>
      </c>
      <c r="F477" s="9" t="s">
        <v>750</v>
      </c>
      <c r="G477" s="59" t="s">
        <v>756</v>
      </c>
      <c r="H477" s="19">
        <f>SUM(L477+M477)</f>
        <v>4071.82545</v>
      </c>
      <c r="I477" s="6"/>
      <c r="J477" s="226">
        <f>SUM(H477/5.5)</f>
        <v>740.3319</v>
      </c>
      <c r="K477" s="230" t="s">
        <v>728</v>
      </c>
      <c r="L477" s="7">
        <f>SUM(1*'Mercadería'!L478)</f>
        <v>4071.82545</v>
      </c>
      <c r="M477" s="8"/>
      <c r="N477" s="61" t="s">
        <v>119</v>
      </c>
      <c r="O477" s="9"/>
      <c r="P477" s="6"/>
    </row>
    <row r="478" ht="3.0" customHeight="1">
      <c r="A478" s="52"/>
      <c r="B478" s="212"/>
      <c r="C478" s="212"/>
      <c r="D478" s="195"/>
      <c r="E478" s="211"/>
      <c r="F478" s="14"/>
      <c r="G478" s="22"/>
      <c r="H478" s="19"/>
      <c r="I478" s="6"/>
      <c r="J478" s="6"/>
      <c r="K478" s="6"/>
      <c r="L478" s="7"/>
      <c r="M478" s="8"/>
      <c r="N478" s="23"/>
      <c r="O478" s="9"/>
      <c r="P478" s="6"/>
    </row>
    <row r="479" ht="12.0" customHeight="1">
      <c r="A479" s="52"/>
      <c r="B479" s="212"/>
      <c r="C479" s="212"/>
      <c r="D479" s="231" t="s">
        <v>757</v>
      </c>
      <c r="E479" s="232" t="s">
        <v>423</v>
      </c>
      <c r="F479" s="14"/>
      <c r="G479" s="51" t="s">
        <v>758</v>
      </c>
      <c r="H479" s="19">
        <f t="shared" ref="H479:H579" si="2">SUM(L479+M479)</f>
        <v>3028.8</v>
      </c>
      <c r="I479" s="6"/>
      <c r="J479" s="6"/>
      <c r="K479" s="6"/>
      <c r="L479" s="7">
        <f>SUM(1*'Mercadería'!L480)</f>
        <v>3028.8</v>
      </c>
      <c r="M479" s="8"/>
      <c r="N479" s="23" t="s">
        <v>119</v>
      </c>
      <c r="O479" s="9"/>
      <c r="P479" s="6"/>
    </row>
    <row r="480" ht="12.0" customHeight="1">
      <c r="A480" s="52"/>
      <c r="B480" s="82"/>
      <c r="C480" s="82"/>
      <c r="D480" s="46" t="s">
        <v>759</v>
      </c>
      <c r="E480" s="202" t="s">
        <v>74</v>
      </c>
      <c r="F480" s="14" t="s">
        <v>760</v>
      </c>
      <c r="G480" s="48">
        <v>460030.0</v>
      </c>
      <c r="H480" s="19">
        <f t="shared" si="2"/>
        <v>1132.0155</v>
      </c>
      <c r="I480" s="233"/>
      <c r="J480" s="6"/>
      <c r="K480" s="6"/>
      <c r="L480" s="7">
        <f>SUM(1*'Mercadería'!L481)</f>
        <v>1132.0155</v>
      </c>
      <c r="M480" s="8"/>
      <c r="N480" s="23" t="s">
        <v>119</v>
      </c>
      <c r="O480" s="9"/>
      <c r="P480" s="6"/>
    </row>
    <row r="481" ht="12.0" customHeight="1">
      <c r="A481" s="52"/>
      <c r="B481" s="82"/>
      <c r="C481" s="82"/>
      <c r="D481" s="31" t="s">
        <v>761</v>
      </c>
      <c r="E481" s="191" t="s">
        <v>482</v>
      </c>
      <c r="F481" s="9" t="s">
        <v>760</v>
      </c>
      <c r="G481" s="34">
        <v>460040.0</v>
      </c>
      <c r="H481" s="19">
        <f t="shared" si="2"/>
        <v>1684.91169</v>
      </c>
      <c r="I481" s="234"/>
      <c r="J481" s="6"/>
      <c r="K481" s="6"/>
      <c r="L481" s="7">
        <f>SUM(1*'Mercadería'!L482)</f>
        <v>1684.91169</v>
      </c>
      <c r="M481" s="8"/>
      <c r="N481" s="20" t="s">
        <v>119</v>
      </c>
      <c r="O481" s="9"/>
      <c r="P481" s="6"/>
    </row>
    <row r="482" ht="12.0" customHeight="1">
      <c r="A482" s="52"/>
      <c r="B482" s="82"/>
      <c r="C482" s="82"/>
      <c r="D482" s="31" t="s">
        <v>762</v>
      </c>
      <c r="E482" s="191" t="s">
        <v>482</v>
      </c>
      <c r="F482" s="9" t="s">
        <v>763</v>
      </c>
      <c r="G482" s="207"/>
      <c r="H482" s="19">
        <f t="shared" si="2"/>
        <v>2340.5</v>
      </c>
      <c r="I482" s="233" t="s">
        <v>764</v>
      </c>
      <c r="J482" s="6"/>
      <c r="K482" s="6"/>
      <c r="L482" s="7">
        <f>SUM(1*'Mercadería'!L483)</f>
        <v>2340.5</v>
      </c>
      <c r="M482" s="8"/>
      <c r="N482" s="20" t="s">
        <v>576</v>
      </c>
      <c r="O482" s="9"/>
      <c r="P482" s="6"/>
    </row>
    <row r="483" ht="12.0" customHeight="1">
      <c r="A483" s="52"/>
      <c r="B483" s="82"/>
      <c r="C483" s="82"/>
      <c r="D483" s="235" t="s">
        <v>765</v>
      </c>
      <c r="E483" s="236" t="s">
        <v>394</v>
      </c>
      <c r="F483" s="158" t="s">
        <v>760</v>
      </c>
      <c r="G483" s="237">
        <v>460050.0</v>
      </c>
      <c r="H483" s="19">
        <f t="shared" si="2"/>
        <v>2798.593875</v>
      </c>
      <c r="I483" s="233" t="s">
        <v>764</v>
      </c>
      <c r="J483" s="6"/>
      <c r="K483" s="6"/>
      <c r="L483" s="7">
        <f>SUM(1*'Mercadería'!L484)</f>
        <v>2798.593875</v>
      </c>
      <c r="M483" s="8"/>
      <c r="N483" s="23" t="s">
        <v>119</v>
      </c>
      <c r="O483" s="9"/>
      <c r="P483" s="6"/>
    </row>
    <row r="484" ht="12.0" customHeight="1">
      <c r="A484" s="52"/>
      <c r="B484" s="238"/>
      <c r="C484" s="238"/>
      <c r="D484" s="239" t="s">
        <v>766</v>
      </c>
      <c r="E484" s="203"/>
      <c r="F484" s="27"/>
      <c r="G484" s="240" t="s">
        <v>767</v>
      </c>
      <c r="H484" s="29">
        <f t="shared" si="2"/>
        <v>799.57647</v>
      </c>
      <c r="I484" s="43"/>
      <c r="J484" s="43"/>
      <c r="K484" s="43"/>
      <c r="L484" s="44">
        <f>SUM(1*'Mercadería'!L485)</f>
        <v>799.57647</v>
      </c>
      <c r="M484" s="8"/>
      <c r="N484" s="30" t="s">
        <v>119</v>
      </c>
      <c r="O484" s="9"/>
      <c r="P484" s="6"/>
    </row>
    <row r="485" ht="12.0" customHeight="1">
      <c r="A485" s="14"/>
      <c r="B485" s="79"/>
      <c r="C485" s="79"/>
      <c r="D485" s="162" t="s">
        <v>768</v>
      </c>
      <c r="E485" s="70" t="s">
        <v>769</v>
      </c>
      <c r="F485" s="33"/>
      <c r="G485" s="207" t="s">
        <v>770</v>
      </c>
      <c r="H485" s="19">
        <f t="shared" si="2"/>
        <v>86.82597</v>
      </c>
      <c r="I485" s="129" t="s">
        <v>728</v>
      </c>
      <c r="J485" s="6"/>
      <c r="K485" s="6"/>
      <c r="L485" s="7">
        <f>SUM(1*'Mercadería'!L486)</f>
        <v>86.82597</v>
      </c>
      <c r="M485" s="8"/>
      <c r="N485" s="38" t="s">
        <v>119</v>
      </c>
      <c r="O485" s="9"/>
      <c r="P485" s="6"/>
    </row>
    <row r="486" ht="12.0" customHeight="1">
      <c r="A486" s="14"/>
      <c r="B486" s="79"/>
      <c r="C486" s="79"/>
      <c r="D486" s="162" t="s">
        <v>768</v>
      </c>
      <c r="E486" s="70" t="s">
        <v>771</v>
      </c>
      <c r="F486" s="33"/>
      <c r="G486" s="207"/>
      <c r="H486" s="19">
        <f t="shared" si="2"/>
        <v>88.4</v>
      </c>
      <c r="I486" s="129" t="s">
        <v>728</v>
      </c>
      <c r="J486" s="6"/>
      <c r="K486" s="6"/>
      <c r="L486" s="7">
        <f>SUM(1*'Mercadería'!L487)</f>
        <v>88.4</v>
      </c>
      <c r="M486" s="8"/>
      <c r="N486" s="38"/>
      <c r="O486" s="9"/>
      <c r="P486" s="6"/>
    </row>
    <row r="487" ht="12.0" customHeight="1">
      <c r="A487" s="14"/>
      <c r="B487" s="79"/>
      <c r="C487" s="79"/>
      <c r="D487" s="195" t="s">
        <v>772</v>
      </c>
      <c r="E487" s="47" t="s">
        <v>773</v>
      </c>
      <c r="F487" s="50"/>
      <c r="G487" s="48" t="s">
        <v>774</v>
      </c>
      <c r="H487" s="35">
        <f t="shared" si="2"/>
        <v>124.064325</v>
      </c>
      <c r="I487" s="106" t="s">
        <v>728</v>
      </c>
      <c r="J487" s="36"/>
      <c r="K487" s="36"/>
      <c r="L487" s="37">
        <f>SUM(1*'Mercadería'!L488)</f>
        <v>124.064325</v>
      </c>
      <c r="M487" s="8"/>
      <c r="N487" s="49" t="s">
        <v>119</v>
      </c>
      <c r="O487" s="9"/>
      <c r="P487" s="6"/>
    </row>
    <row r="488" ht="12.0" customHeight="1">
      <c r="A488" s="14"/>
      <c r="B488" s="79"/>
      <c r="C488" s="79"/>
      <c r="D488" s="39" t="s">
        <v>775</v>
      </c>
      <c r="E488" s="40" t="s">
        <v>776</v>
      </c>
      <c r="F488" s="41"/>
      <c r="G488" s="42" t="s">
        <v>777</v>
      </c>
      <c r="H488" s="29">
        <f t="shared" si="2"/>
        <v>133.4025</v>
      </c>
      <c r="I488" s="101" t="s">
        <v>728</v>
      </c>
      <c r="J488" s="43"/>
      <c r="K488" s="43"/>
      <c r="L488" s="44">
        <f>SUM(1*'Mercadería'!L489)</f>
        <v>133.4025</v>
      </c>
      <c r="M488" s="8"/>
      <c r="N488" s="45" t="s">
        <v>119</v>
      </c>
      <c r="O488" s="9"/>
      <c r="P488" s="6"/>
    </row>
    <row r="489" ht="12.0" customHeight="1">
      <c r="A489" s="14"/>
      <c r="B489" s="79"/>
      <c r="C489" s="79"/>
      <c r="D489" s="241" t="s">
        <v>778</v>
      </c>
      <c r="E489" s="242" t="s">
        <v>779</v>
      </c>
      <c r="F489" s="9"/>
      <c r="G489" s="18" t="s">
        <v>780</v>
      </c>
      <c r="H489" s="19">
        <f t="shared" si="2"/>
        <v>188.66925</v>
      </c>
      <c r="I489" s="129" t="s">
        <v>728</v>
      </c>
      <c r="J489" s="6"/>
      <c r="K489" s="6"/>
      <c r="L489" s="7">
        <f>SUM(1*'Mercadería'!L490)</f>
        <v>188.66925</v>
      </c>
      <c r="M489" s="8"/>
      <c r="N489" s="20" t="s">
        <v>119</v>
      </c>
      <c r="O489" s="9"/>
      <c r="P489" s="6"/>
    </row>
    <row r="490" ht="12.0" customHeight="1">
      <c r="A490" s="14"/>
      <c r="B490" s="212"/>
      <c r="C490" s="212"/>
      <c r="D490" s="170" t="s">
        <v>781</v>
      </c>
      <c r="E490" s="188" t="s">
        <v>782</v>
      </c>
      <c r="F490" s="172"/>
      <c r="G490" s="173"/>
      <c r="H490" s="19">
        <f t="shared" si="2"/>
        <v>0</v>
      </c>
      <c r="I490" s="6"/>
      <c r="J490" s="6"/>
      <c r="K490" s="6"/>
      <c r="L490" s="7">
        <f>SUM(1*'Mercadería'!L491)</f>
        <v>0</v>
      </c>
      <c r="M490" s="8"/>
      <c r="N490" s="174"/>
      <c r="O490" s="9"/>
      <c r="P490" s="6"/>
    </row>
    <row r="491" ht="12.0" customHeight="1">
      <c r="A491" s="14"/>
      <c r="B491" s="212"/>
      <c r="C491" s="212"/>
      <c r="D491" s="46" t="s">
        <v>783</v>
      </c>
      <c r="E491" s="243" t="s">
        <v>308</v>
      </c>
      <c r="F491" s="14" t="s">
        <v>784</v>
      </c>
      <c r="G491" s="48">
        <v>351.0</v>
      </c>
      <c r="H491" s="19">
        <f t="shared" si="2"/>
        <v>52.272</v>
      </c>
      <c r="I491" s="6"/>
      <c r="J491" s="6"/>
      <c r="K491" s="6"/>
      <c r="L491" s="7">
        <f>SUM(1*'Mercadería'!L492)</f>
        <v>52.272</v>
      </c>
      <c r="M491" s="8"/>
      <c r="N491" s="23" t="s">
        <v>17</v>
      </c>
      <c r="O491" s="9"/>
      <c r="P491" s="6"/>
    </row>
    <row r="492" ht="12.0" customHeight="1">
      <c r="A492" s="14"/>
      <c r="B492" s="212"/>
      <c r="C492" s="212"/>
      <c r="D492" s="106" t="s">
        <v>785</v>
      </c>
      <c r="E492" s="244" t="s">
        <v>308</v>
      </c>
      <c r="F492" s="9"/>
      <c r="G492" s="34" t="s">
        <v>786</v>
      </c>
      <c r="H492" s="19">
        <f t="shared" si="2"/>
        <v>92.69568</v>
      </c>
      <c r="I492" s="6"/>
      <c r="J492" s="6"/>
      <c r="K492" s="6"/>
      <c r="L492" s="7">
        <f>SUM(1*'Mercadería'!L493)</f>
        <v>92.69568</v>
      </c>
      <c r="M492" s="8"/>
      <c r="N492" s="20" t="s">
        <v>119</v>
      </c>
      <c r="O492" s="9"/>
      <c r="P492" s="6"/>
    </row>
    <row r="493" ht="12.0" customHeight="1">
      <c r="A493" s="14"/>
      <c r="B493" s="212"/>
      <c r="C493" s="212"/>
      <c r="D493" s="245" t="s">
        <v>787</v>
      </c>
      <c r="E493" s="243" t="s">
        <v>308</v>
      </c>
      <c r="F493" s="14"/>
      <c r="G493" s="246" t="s">
        <v>788</v>
      </c>
      <c r="H493" s="19">
        <f t="shared" si="2"/>
        <v>130.3533</v>
      </c>
      <c r="I493" s="6"/>
      <c r="J493" s="6"/>
      <c r="K493" s="6"/>
      <c r="L493" s="7">
        <f>SUM(1*'Mercadería'!L494)</f>
        <v>130.3533</v>
      </c>
      <c r="M493" s="8"/>
      <c r="N493" s="23" t="s">
        <v>119</v>
      </c>
      <c r="O493" s="9"/>
      <c r="P493" s="6"/>
    </row>
    <row r="494" ht="12.0" customHeight="1">
      <c r="A494" s="14"/>
      <c r="B494" s="212"/>
      <c r="C494" s="212"/>
      <c r="D494" s="106" t="s">
        <v>789</v>
      </c>
      <c r="E494" s="244" t="s">
        <v>308</v>
      </c>
      <c r="F494" s="9" t="s">
        <v>784</v>
      </c>
      <c r="G494" s="247">
        <v>381.0</v>
      </c>
      <c r="H494" s="19">
        <f t="shared" si="2"/>
        <v>93.654</v>
      </c>
      <c r="I494" s="6"/>
      <c r="J494" s="6"/>
      <c r="K494" s="6"/>
      <c r="L494" s="7">
        <f>SUM(1*'Mercadería'!L495)</f>
        <v>93.654</v>
      </c>
      <c r="M494" s="8"/>
      <c r="N494" s="20" t="s">
        <v>17</v>
      </c>
      <c r="O494" s="9"/>
      <c r="P494" s="6"/>
    </row>
    <row r="495" ht="12.0" customHeight="1">
      <c r="A495" s="14"/>
      <c r="B495" s="212"/>
      <c r="C495" s="212"/>
      <c r="D495" s="245" t="s">
        <v>790</v>
      </c>
      <c r="E495" s="243" t="s">
        <v>308</v>
      </c>
      <c r="F495" s="14"/>
      <c r="G495" s="48">
        <v>451.0</v>
      </c>
      <c r="H495" s="19">
        <f t="shared" si="2"/>
        <v>36.3</v>
      </c>
      <c r="I495" s="6"/>
      <c r="J495" s="6"/>
      <c r="K495" s="6"/>
      <c r="L495" s="7">
        <f>SUM(1*'Mercadería'!L496)</f>
        <v>36.3</v>
      </c>
      <c r="M495" s="8"/>
      <c r="N495" s="23" t="s">
        <v>17</v>
      </c>
      <c r="O495" s="9"/>
      <c r="P495" s="6"/>
    </row>
    <row r="496" ht="12.0" customHeight="1">
      <c r="A496" s="14"/>
      <c r="B496" s="212"/>
      <c r="C496" s="212"/>
      <c r="D496" s="106" t="s">
        <v>791</v>
      </c>
      <c r="E496" s="244" t="s">
        <v>308</v>
      </c>
      <c r="F496" s="9"/>
      <c r="G496" s="18" t="s">
        <v>792</v>
      </c>
      <c r="H496" s="19">
        <f t="shared" si="2"/>
        <v>47.5</v>
      </c>
      <c r="I496" s="6"/>
      <c r="J496" s="6"/>
      <c r="K496" s="6"/>
      <c r="L496" s="7">
        <f>SUM(1*'Mercadería'!L497)</f>
        <v>47.5</v>
      </c>
      <c r="M496" s="8"/>
      <c r="N496" s="20" t="s">
        <v>119</v>
      </c>
      <c r="O496" s="9"/>
      <c r="P496" s="6"/>
    </row>
    <row r="497" ht="12.0" customHeight="1">
      <c r="A497" s="14"/>
      <c r="B497" s="212"/>
      <c r="C497" s="212"/>
      <c r="D497" s="245" t="s">
        <v>793</v>
      </c>
      <c r="E497" s="243" t="s">
        <v>308</v>
      </c>
      <c r="F497" s="14"/>
      <c r="G497" s="48">
        <v>441.0</v>
      </c>
      <c r="H497" s="19">
        <f t="shared" si="2"/>
        <v>36.3</v>
      </c>
      <c r="I497" s="6"/>
      <c r="J497" s="6"/>
      <c r="K497" s="6"/>
      <c r="L497" s="7">
        <f>SUM(1*'Mercadería'!L498)</f>
        <v>36.3</v>
      </c>
      <c r="M497" s="8"/>
      <c r="N497" s="23" t="s">
        <v>17</v>
      </c>
      <c r="O497" s="9"/>
      <c r="P497" s="6"/>
    </row>
    <row r="498" ht="12.0" customHeight="1">
      <c r="A498" s="14"/>
      <c r="B498" s="212"/>
      <c r="C498" s="212"/>
      <c r="D498" s="106" t="s">
        <v>794</v>
      </c>
      <c r="E498" s="244" t="s">
        <v>308</v>
      </c>
      <c r="F498" s="9"/>
      <c r="G498" s="59" t="s">
        <v>795</v>
      </c>
      <c r="H498" s="19">
        <f t="shared" si="2"/>
        <v>63.72828</v>
      </c>
      <c r="I498" s="6"/>
      <c r="J498" s="6"/>
      <c r="K498" s="6"/>
      <c r="L498" s="7">
        <f>SUM(1*'Mercadería'!L499)</f>
        <v>63.72828</v>
      </c>
      <c r="M498" s="8"/>
      <c r="N498" s="20" t="s">
        <v>119</v>
      </c>
      <c r="O498" s="9"/>
      <c r="P498" s="6"/>
    </row>
    <row r="499" ht="12.0" customHeight="1">
      <c r="A499" s="14"/>
      <c r="B499" s="212"/>
      <c r="C499" s="212"/>
      <c r="D499" s="245" t="s">
        <v>796</v>
      </c>
      <c r="E499" s="243" t="s">
        <v>308</v>
      </c>
      <c r="F499" s="14"/>
      <c r="G499" s="48" t="s">
        <v>797</v>
      </c>
      <c r="H499" s="19">
        <f t="shared" si="2"/>
        <v>86.44482</v>
      </c>
      <c r="I499" s="6"/>
      <c r="J499" s="6"/>
      <c r="K499" s="6"/>
      <c r="L499" s="7">
        <f>SUM(1*'Mercadería'!L500)</f>
        <v>86.44482</v>
      </c>
      <c r="M499" s="8"/>
      <c r="N499" s="23" t="s">
        <v>119</v>
      </c>
      <c r="O499" s="9"/>
      <c r="P499" s="6"/>
    </row>
    <row r="500" ht="12.0" customHeight="1">
      <c r="A500" s="14"/>
      <c r="B500" s="212"/>
      <c r="C500" s="212"/>
      <c r="D500" s="106" t="s">
        <v>798</v>
      </c>
      <c r="E500" s="244" t="s">
        <v>799</v>
      </c>
      <c r="F500" s="9" t="s">
        <v>763</v>
      </c>
      <c r="G500" s="34" t="s">
        <v>800</v>
      </c>
      <c r="H500" s="19">
        <f t="shared" si="2"/>
        <v>107.17938</v>
      </c>
      <c r="I500" s="6"/>
      <c r="J500" s="6"/>
      <c r="K500" s="6"/>
      <c r="L500" s="7">
        <f>SUM(1*'Mercadería'!L501)</f>
        <v>107.17938</v>
      </c>
      <c r="M500" s="8"/>
      <c r="N500" s="20" t="s">
        <v>119</v>
      </c>
      <c r="O500" s="9"/>
      <c r="P500" s="6"/>
    </row>
    <row r="501" ht="12.0" customHeight="1">
      <c r="A501" s="14"/>
      <c r="B501" s="212"/>
      <c r="C501" s="212"/>
      <c r="D501" s="248" t="s">
        <v>801</v>
      </c>
      <c r="E501" s="249" t="s">
        <v>308</v>
      </c>
      <c r="F501" s="157"/>
      <c r="G501" s="60" t="s">
        <v>802</v>
      </c>
      <c r="H501" s="35">
        <f t="shared" si="2"/>
        <v>268.25337</v>
      </c>
      <c r="I501" s="36"/>
      <c r="J501" s="36"/>
      <c r="K501" s="36"/>
      <c r="L501" s="37">
        <f>SUM(1*'Mercadería'!L502)</f>
        <v>268.25337</v>
      </c>
      <c r="M501" s="8"/>
      <c r="N501" s="250" t="s">
        <v>119</v>
      </c>
      <c r="O501" s="9"/>
      <c r="P501" s="6"/>
    </row>
    <row r="502" ht="12.0" customHeight="1">
      <c r="A502" s="14"/>
      <c r="B502" s="212"/>
      <c r="C502" s="212"/>
      <c r="D502" s="102" t="s">
        <v>803</v>
      </c>
      <c r="E502" s="251" t="s">
        <v>308</v>
      </c>
      <c r="F502" s="27" t="s">
        <v>804</v>
      </c>
      <c r="G502" s="28">
        <v>491.0</v>
      </c>
      <c r="H502" s="29">
        <f t="shared" si="2"/>
        <v>60.984</v>
      </c>
      <c r="I502" s="43"/>
      <c r="J502" s="43"/>
      <c r="K502" s="43"/>
      <c r="L502" s="44">
        <f>SUM(1*'Mercadería'!L503)</f>
        <v>60.984</v>
      </c>
      <c r="M502" s="8"/>
      <c r="N502" s="30" t="s">
        <v>17</v>
      </c>
      <c r="O502" s="9"/>
      <c r="P502" s="6"/>
    </row>
    <row r="503" ht="12.0" customHeight="1">
      <c r="A503" s="14"/>
      <c r="B503" s="212"/>
      <c r="C503" s="212"/>
      <c r="D503" s="245" t="s">
        <v>805</v>
      </c>
      <c r="E503" s="157" t="s">
        <v>308</v>
      </c>
      <c r="F503" s="157"/>
      <c r="G503" s="165">
        <v>501.0</v>
      </c>
      <c r="H503" s="19">
        <f t="shared" si="2"/>
        <v>522.72</v>
      </c>
      <c r="I503" s="6"/>
      <c r="J503" s="6"/>
      <c r="K503" s="6"/>
      <c r="L503" s="7">
        <f>SUM(1*'Mercadería'!L504)</f>
        <v>522.72</v>
      </c>
      <c r="M503" s="8"/>
      <c r="N503" s="165" t="s">
        <v>17</v>
      </c>
      <c r="O503" s="9"/>
      <c r="P503" s="6"/>
    </row>
    <row r="504" ht="12.0" customHeight="1">
      <c r="A504" s="14"/>
      <c r="B504" s="212"/>
      <c r="C504" s="212"/>
      <c r="D504" s="106" t="s">
        <v>806</v>
      </c>
      <c r="E504" s="252" t="s">
        <v>308</v>
      </c>
      <c r="F504" s="32"/>
      <c r="G504" s="34">
        <v>691.0</v>
      </c>
      <c r="H504" s="19">
        <f t="shared" si="2"/>
        <v>76.23</v>
      </c>
      <c r="I504" s="6"/>
      <c r="J504" s="6"/>
      <c r="K504" s="6"/>
      <c r="L504" s="7">
        <f>SUM(1*'Mercadería'!L505)</f>
        <v>76.23</v>
      </c>
      <c r="M504" s="8"/>
      <c r="N504" s="253" t="s">
        <v>17</v>
      </c>
      <c r="O504" s="9"/>
      <c r="P504" s="6"/>
    </row>
    <row r="505" ht="12.0" customHeight="1">
      <c r="A505" s="14"/>
      <c r="B505" s="212"/>
      <c r="C505" s="212"/>
      <c r="D505" s="245" t="s">
        <v>807</v>
      </c>
      <c r="E505" s="243" t="s">
        <v>308</v>
      </c>
      <c r="F505" s="14" t="s">
        <v>804</v>
      </c>
      <c r="G505" s="190">
        <v>701.0</v>
      </c>
      <c r="H505" s="19">
        <f t="shared" si="2"/>
        <v>83.853</v>
      </c>
      <c r="I505" s="6"/>
      <c r="J505" s="6"/>
      <c r="K505" s="6"/>
      <c r="L505" s="7">
        <f>SUM(1*'Mercadería'!L506)</f>
        <v>83.853</v>
      </c>
      <c r="M505" s="8"/>
      <c r="N505" s="23" t="s">
        <v>17</v>
      </c>
      <c r="O505" s="9"/>
      <c r="P505" s="6"/>
    </row>
    <row r="506" ht="12.0" customHeight="1">
      <c r="A506" s="14"/>
      <c r="B506" s="212"/>
      <c r="C506" s="212"/>
      <c r="D506" s="106" t="s">
        <v>808</v>
      </c>
      <c r="E506" s="244" t="s">
        <v>308</v>
      </c>
      <c r="F506" s="9" t="s">
        <v>804</v>
      </c>
      <c r="G506" s="247">
        <v>711.0</v>
      </c>
      <c r="H506" s="19">
        <f t="shared" si="2"/>
        <v>147.741</v>
      </c>
      <c r="I506" s="6"/>
      <c r="J506" s="6"/>
      <c r="K506" s="6"/>
      <c r="L506" s="7">
        <f>SUM(1*'Mercadería'!L507)</f>
        <v>147.741</v>
      </c>
      <c r="M506" s="8"/>
      <c r="N506" s="20" t="s">
        <v>17</v>
      </c>
      <c r="O506" s="9"/>
      <c r="P506" s="6"/>
    </row>
    <row r="507" ht="12.0" customHeight="1">
      <c r="A507" s="14"/>
      <c r="B507" s="212"/>
      <c r="C507" s="212"/>
      <c r="D507" s="245" t="s">
        <v>809</v>
      </c>
      <c r="E507" s="243" t="s">
        <v>308</v>
      </c>
      <c r="F507" s="14" t="s">
        <v>804</v>
      </c>
      <c r="G507" s="190">
        <v>721.0</v>
      </c>
      <c r="H507" s="19">
        <f t="shared" si="2"/>
        <v>167.706</v>
      </c>
      <c r="I507" s="6"/>
      <c r="J507" s="6"/>
      <c r="K507" s="6"/>
      <c r="L507" s="7">
        <f>SUM(1*'Mercadería'!L508)</f>
        <v>167.706</v>
      </c>
      <c r="M507" s="8"/>
      <c r="N507" s="23" t="s">
        <v>17</v>
      </c>
      <c r="O507" s="9"/>
      <c r="P507" s="6"/>
    </row>
    <row r="508" ht="12.0" customHeight="1">
      <c r="A508" s="14"/>
      <c r="B508" s="212"/>
      <c r="C508" s="212"/>
      <c r="D508" s="106" t="s">
        <v>810</v>
      </c>
      <c r="E508" s="244" t="s">
        <v>308</v>
      </c>
      <c r="F508" s="9" t="s">
        <v>804</v>
      </c>
      <c r="G508" s="254">
        <v>731.0</v>
      </c>
      <c r="H508" s="19">
        <f t="shared" si="2"/>
        <v>182.952</v>
      </c>
      <c r="I508" s="6"/>
      <c r="J508" s="6"/>
      <c r="K508" s="6"/>
      <c r="L508" s="7">
        <f>SUM(1*'Mercadería'!L509)</f>
        <v>182.952</v>
      </c>
      <c r="M508" s="8"/>
      <c r="N508" s="20" t="s">
        <v>17</v>
      </c>
      <c r="O508" s="9"/>
      <c r="P508" s="6"/>
    </row>
    <row r="509" ht="12.0" customHeight="1">
      <c r="A509" s="14"/>
      <c r="B509" s="212"/>
      <c r="C509" s="212"/>
      <c r="D509" s="245" t="s">
        <v>811</v>
      </c>
      <c r="E509" s="243" t="s">
        <v>308</v>
      </c>
      <c r="F509" s="14"/>
      <c r="G509" s="48" t="s">
        <v>812</v>
      </c>
      <c r="H509" s="19">
        <f t="shared" si="2"/>
        <v>215.53125</v>
      </c>
      <c r="I509" s="6"/>
      <c r="J509" s="6"/>
      <c r="K509" s="6"/>
      <c r="L509" s="7">
        <f>SUM(1*'Mercadería'!L510)</f>
        <v>215.53125</v>
      </c>
      <c r="M509" s="8"/>
      <c r="N509" s="255" t="s">
        <v>119</v>
      </c>
      <c r="O509" s="9"/>
      <c r="P509" s="6"/>
    </row>
    <row r="510" ht="12.0" customHeight="1">
      <c r="A510" s="14"/>
      <c r="B510" s="212"/>
      <c r="C510" s="212"/>
      <c r="D510" s="129" t="s">
        <v>813</v>
      </c>
      <c r="E510" s="244" t="s">
        <v>308</v>
      </c>
      <c r="F510" s="9"/>
      <c r="G510" s="18" t="s">
        <v>814</v>
      </c>
      <c r="H510" s="19">
        <f t="shared" si="2"/>
        <v>485.73756</v>
      </c>
      <c r="I510" s="6"/>
      <c r="J510" s="6"/>
      <c r="K510" s="6"/>
      <c r="L510" s="7">
        <f>SUM(1*'Mercadería'!L511)</f>
        <v>485.73756</v>
      </c>
      <c r="M510" s="8"/>
      <c r="N510" s="20" t="s">
        <v>17</v>
      </c>
      <c r="O510" s="9"/>
      <c r="P510" s="6"/>
    </row>
    <row r="511" ht="12.0" customHeight="1">
      <c r="A511" s="14"/>
      <c r="B511" s="212"/>
      <c r="C511" s="212"/>
      <c r="D511" s="245" t="s">
        <v>815</v>
      </c>
      <c r="E511" s="243" t="s">
        <v>799</v>
      </c>
      <c r="F511" s="14"/>
      <c r="G511" s="48"/>
      <c r="H511" s="19">
        <f t="shared" si="2"/>
        <v>63.72828</v>
      </c>
      <c r="I511" s="6"/>
      <c r="J511" s="6"/>
      <c r="K511" s="6"/>
      <c r="L511" s="7">
        <f>SUM(1*'Mercadería'!L512)</f>
        <v>63.72828</v>
      </c>
      <c r="M511" s="8"/>
      <c r="N511" s="23" t="s">
        <v>119</v>
      </c>
      <c r="O511" s="9"/>
      <c r="P511" s="6"/>
    </row>
    <row r="512" ht="12.0" customHeight="1">
      <c r="A512" s="14"/>
      <c r="B512" s="212"/>
      <c r="C512" s="212"/>
      <c r="D512" s="106" t="s">
        <v>816</v>
      </c>
      <c r="E512" s="244" t="s">
        <v>308</v>
      </c>
      <c r="F512" s="9"/>
      <c r="G512" s="34" t="s">
        <v>817</v>
      </c>
      <c r="H512" s="19">
        <f t="shared" si="2"/>
        <v>304.1577</v>
      </c>
      <c r="I512" s="6"/>
      <c r="J512" s="6"/>
      <c r="K512" s="6"/>
      <c r="L512" s="7">
        <f>SUM(1*'Mercadería'!L513)</f>
        <v>304.1577</v>
      </c>
      <c r="M512" s="8"/>
      <c r="N512" s="20" t="s">
        <v>119</v>
      </c>
      <c r="O512" s="9"/>
      <c r="P512" s="6"/>
    </row>
    <row r="513" ht="12.0" customHeight="1">
      <c r="A513" s="14"/>
      <c r="B513" s="212"/>
      <c r="C513" s="212"/>
      <c r="D513" s="256" t="s">
        <v>818</v>
      </c>
      <c r="E513" s="21" t="s">
        <v>308</v>
      </c>
      <c r="F513" s="14"/>
      <c r="G513" s="22" t="s">
        <v>819</v>
      </c>
      <c r="H513" s="19">
        <f t="shared" si="2"/>
        <v>77.7546</v>
      </c>
      <c r="I513" s="6"/>
      <c r="J513" s="6"/>
      <c r="K513" s="6"/>
      <c r="L513" s="7">
        <f>SUM(1*'Mercadería'!L514)</f>
        <v>77.7546</v>
      </c>
      <c r="M513" s="8"/>
      <c r="N513" s="23" t="s">
        <v>119</v>
      </c>
      <c r="O513" s="9"/>
      <c r="P513" s="6"/>
    </row>
    <row r="514" ht="12.0" customHeight="1">
      <c r="A514" s="14"/>
      <c r="B514" s="212"/>
      <c r="C514" s="212"/>
      <c r="D514" s="256" t="s">
        <v>820</v>
      </c>
      <c r="E514" s="21" t="s">
        <v>308</v>
      </c>
      <c r="F514" s="14"/>
      <c r="G514" s="22" t="s">
        <v>821</v>
      </c>
      <c r="H514" s="19">
        <f t="shared" si="2"/>
        <v>117</v>
      </c>
      <c r="I514" s="6"/>
      <c r="J514" s="6"/>
      <c r="K514" s="6"/>
      <c r="L514" s="7">
        <f>SUM(1*'Mercadería'!L515)</f>
        <v>117</v>
      </c>
      <c r="M514" s="8"/>
      <c r="N514" s="23"/>
      <c r="O514" s="9"/>
      <c r="P514" s="6"/>
    </row>
    <row r="515" ht="12.0" customHeight="1">
      <c r="A515" s="14"/>
      <c r="B515" s="212"/>
      <c r="C515" s="212"/>
      <c r="D515" s="257" t="s">
        <v>822</v>
      </c>
      <c r="E515" s="258" t="s">
        <v>823</v>
      </c>
      <c r="F515" s="9" t="s">
        <v>804</v>
      </c>
      <c r="G515" s="34">
        <v>412.0</v>
      </c>
      <c r="H515" s="19">
        <f t="shared" si="2"/>
        <v>73.86687</v>
      </c>
      <c r="I515" s="6"/>
      <c r="J515" s="6"/>
      <c r="K515" s="6"/>
      <c r="L515" s="7">
        <f>SUM(1*'Mercadería'!L516)</f>
        <v>73.86687</v>
      </c>
      <c r="M515" s="8"/>
      <c r="N515" s="20" t="s">
        <v>17</v>
      </c>
      <c r="O515" s="9"/>
      <c r="P515" s="6"/>
    </row>
    <row r="516" ht="12.0" customHeight="1">
      <c r="A516" s="14"/>
      <c r="B516" s="212"/>
      <c r="C516" s="212"/>
      <c r="D516" s="257" t="s">
        <v>824</v>
      </c>
      <c r="E516" s="258" t="s">
        <v>823</v>
      </c>
      <c r="F516" s="9" t="s">
        <v>763</v>
      </c>
      <c r="G516" s="34"/>
      <c r="H516" s="19">
        <f t="shared" si="2"/>
        <v>176</v>
      </c>
      <c r="I516" s="6"/>
      <c r="J516" s="6"/>
      <c r="K516" s="6"/>
      <c r="L516" s="7">
        <f>SUM(1*'Mercadería'!L517)</f>
        <v>176</v>
      </c>
      <c r="M516" s="8"/>
      <c r="N516" s="20" t="s">
        <v>576</v>
      </c>
      <c r="O516" s="9"/>
      <c r="P516" s="6"/>
    </row>
    <row r="517" ht="12.0" customHeight="1">
      <c r="A517" s="14"/>
      <c r="B517" s="212"/>
      <c r="C517" s="212"/>
      <c r="D517" s="259" t="s">
        <v>825</v>
      </c>
      <c r="E517" s="260" t="s">
        <v>826</v>
      </c>
      <c r="F517" s="14" t="s">
        <v>804</v>
      </c>
      <c r="G517" s="22">
        <v>422.0</v>
      </c>
      <c r="H517" s="19">
        <f t="shared" si="2"/>
        <v>64.7955</v>
      </c>
      <c r="I517" s="6"/>
      <c r="J517" s="6"/>
      <c r="K517" s="6"/>
      <c r="L517" s="7">
        <f>SUM(1*'Mercadería'!L518)</f>
        <v>64.7955</v>
      </c>
      <c r="M517" s="8"/>
      <c r="N517" s="23" t="s">
        <v>17</v>
      </c>
      <c r="O517" s="9"/>
      <c r="P517" s="6"/>
    </row>
    <row r="518" ht="12.0" customHeight="1">
      <c r="A518" s="14"/>
      <c r="B518" s="212"/>
      <c r="C518" s="212"/>
      <c r="D518" s="257" t="s">
        <v>825</v>
      </c>
      <c r="E518" s="258" t="s">
        <v>827</v>
      </c>
      <c r="F518" s="9" t="s">
        <v>804</v>
      </c>
      <c r="G518" s="18">
        <v>423.0</v>
      </c>
      <c r="H518" s="19">
        <f t="shared" si="2"/>
        <v>83.49</v>
      </c>
      <c r="I518" s="6"/>
      <c r="J518" s="6"/>
      <c r="K518" s="6"/>
      <c r="L518" s="7">
        <f>SUM(1*'Mercadería'!L519)</f>
        <v>83.49</v>
      </c>
      <c r="M518" s="8"/>
      <c r="N518" s="20" t="s">
        <v>17</v>
      </c>
      <c r="O518" s="9"/>
      <c r="P518" s="6"/>
    </row>
    <row r="519" ht="12.0" customHeight="1">
      <c r="A519" s="14"/>
      <c r="B519" s="212"/>
      <c r="C519" s="212"/>
      <c r="D519" s="259" t="s">
        <v>828</v>
      </c>
      <c r="E519" s="260" t="s">
        <v>826</v>
      </c>
      <c r="F519" s="14" t="s">
        <v>804</v>
      </c>
      <c r="G519" s="22">
        <v>444.0</v>
      </c>
      <c r="H519" s="19">
        <f t="shared" si="2"/>
        <v>61.71</v>
      </c>
      <c r="I519" s="6"/>
      <c r="J519" s="6"/>
      <c r="K519" s="6"/>
      <c r="L519" s="7">
        <f>SUM(1*'Mercadería'!L520)</f>
        <v>61.71</v>
      </c>
      <c r="M519" s="8"/>
      <c r="N519" s="23" t="s">
        <v>17</v>
      </c>
      <c r="O519" s="9"/>
      <c r="P519" s="6"/>
    </row>
    <row r="520" ht="12.0" customHeight="1">
      <c r="A520" s="14"/>
      <c r="B520" s="212"/>
      <c r="C520" s="212"/>
      <c r="D520" s="261" t="s">
        <v>829</v>
      </c>
      <c r="E520" s="262" t="s">
        <v>309</v>
      </c>
      <c r="F520" s="9" t="s">
        <v>804</v>
      </c>
      <c r="G520" s="18">
        <v>442.0</v>
      </c>
      <c r="H520" s="19">
        <f t="shared" si="2"/>
        <v>47.64375</v>
      </c>
      <c r="I520" s="6"/>
      <c r="J520" s="6"/>
      <c r="K520" s="6"/>
      <c r="L520" s="7">
        <f>SUM(1*'Mercadería'!L521)</f>
        <v>47.64375</v>
      </c>
      <c r="M520" s="8"/>
      <c r="N520" s="20" t="s">
        <v>17</v>
      </c>
      <c r="O520" s="9"/>
      <c r="P520" s="6"/>
    </row>
    <row r="521" ht="12.0" customHeight="1">
      <c r="A521" s="14"/>
      <c r="B521" s="212"/>
      <c r="C521" s="212"/>
      <c r="D521" s="259" t="s">
        <v>830</v>
      </c>
      <c r="E521" s="260" t="s">
        <v>309</v>
      </c>
      <c r="F521" s="14" t="s">
        <v>804</v>
      </c>
      <c r="G521" s="48">
        <v>352.0</v>
      </c>
      <c r="H521" s="19">
        <f t="shared" si="2"/>
        <v>76.23</v>
      </c>
      <c r="I521" s="6"/>
      <c r="J521" s="6"/>
      <c r="K521" s="6"/>
      <c r="L521" s="7">
        <f>SUM(1*'Mercadería'!L522)</f>
        <v>76.23</v>
      </c>
      <c r="M521" s="8"/>
      <c r="N521" s="23" t="s">
        <v>17</v>
      </c>
      <c r="O521" s="9"/>
      <c r="P521" s="6"/>
    </row>
    <row r="522" ht="12.0" customHeight="1">
      <c r="A522" s="14"/>
      <c r="B522" s="212"/>
      <c r="C522" s="212"/>
      <c r="D522" s="257" t="s">
        <v>831</v>
      </c>
      <c r="E522" s="258" t="s">
        <v>309</v>
      </c>
      <c r="F522" s="9" t="s">
        <v>804</v>
      </c>
      <c r="G522" s="61">
        <v>372.0</v>
      </c>
      <c r="H522" s="19">
        <f t="shared" si="2"/>
        <v>76.23</v>
      </c>
      <c r="I522" s="6"/>
      <c r="J522" s="6"/>
      <c r="K522" s="6"/>
      <c r="L522" s="7">
        <f>SUM(1*'Mercadería'!L523)</f>
        <v>76.23</v>
      </c>
      <c r="M522" s="8"/>
      <c r="N522" s="20" t="s">
        <v>17</v>
      </c>
      <c r="O522" s="9"/>
      <c r="P522" s="6"/>
    </row>
    <row r="523" ht="12.0" customHeight="1">
      <c r="A523" s="14"/>
      <c r="B523" s="212"/>
      <c r="C523" s="212"/>
      <c r="D523" s="259" t="s">
        <v>832</v>
      </c>
      <c r="E523" s="260" t="s">
        <v>833</v>
      </c>
      <c r="F523" s="14"/>
      <c r="G523" s="48" t="s">
        <v>834</v>
      </c>
      <c r="H523" s="19">
        <f t="shared" si="2"/>
        <v>158.10102</v>
      </c>
      <c r="I523" s="6"/>
      <c r="J523" s="6"/>
      <c r="K523" s="6"/>
      <c r="L523" s="7">
        <f>SUM(1*'Mercadería'!L524)</f>
        <v>158.10102</v>
      </c>
      <c r="M523" s="8"/>
      <c r="N523" s="23" t="s">
        <v>119</v>
      </c>
      <c r="O523" s="9"/>
      <c r="P523" s="6"/>
    </row>
    <row r="524" ht="12.0" customHeight="1">
      <c r="A524" s="14"/>
      <c r="B524" s="212"/>
      <c r="C524" s="212"/>
      <c r="D524" s="257" t="s">
        <v>835</v>
      </c>
      <c r="E524" s="258" t="s">
        <v>309</v>
      </c>
      <c r="F524" s="9" t="s">
        <v>804</v>
      </c>
      <c r="G524" s="34">
        <v>382.0</v>
      </c>
      <c r="H524" s="19">
        <f t="shared" si="2"/>
        <v>145.5025</v>
      </c>
      <c r="I524" s="6"/>
      <c r="J524" s="6"/>
      <c r="K524" s="6"/>
      <c r="L524" s="7">
        <f>SUM(1*'Mercadería'!L525)</f>
        <v>145.5025</v>
      </c>
      <c r="M524" s="8"/>
      <c r="N524" s="20" t="s">
        <v>17</v>
      </c>
      <c r="O524" s="9"/>
      <c r="P524" s="6"/>
    </row>
    <row r="525" ht="12.0" customHeight="1">
      <c r="A525" s="14"/>
      <c r="B525" s="212"/>
      <c r="C525" s="212"/>
      <c r="D525" s="259" t="s">
        <v>836</v>
      </c>
      <c r="E525" s="260" t="s">
        <v>309</v>
      </c>
      <c r="F525" s="14"/>
      <c r="G525" s="22" t="s">
        <v>837</v>
      </c>
      <c r="H525" s="19">
        <f t="shared" si="2"/>
        <v>192.0996</v>
      </c>
      <c r="I525" s="6"/>
      <c r="J525" s="6"/>
      <c r="K525" s="6"/>
      <c r="L525" s="7">
        <f>SUM(1*'Mercadería'!L526)</f>
        <v>192.0996</v>
      </c>
      <c r="M525" s="8"/>
      <c r="N525" s="23" t="s">
        <v>119</v>
      </c>
      <c r="O525" s="9"/>
      <c r="P525" s="6"/>
    </row>
    <row r="526" ht="12.0" customHeight="1">
      <c r="A526" s="14"/>
      <c r="B526" s="212"/>
      <c r="C526" s="212"/>
      <c r="D526" s="257" t="s">
        <v>838</v>
      </c>
      <c r="E526" s="258" t="s">
        <v>309</v>
      </c>
      <c r="F526" s="9"/>
      <c r="G526" s="263" t="s">
        <v>839</v>
      </c>
      <c r="H526" s="19">
        <f t="shared" si="2"/>
        <v>77.7546</v>
      </c>
      <c r="I526" s="6"/>
      <c r="J526" s="6"/>
      <c r="K526" s="6"/>
      <c r="L526" s="7">
        <f>SUM(1*'Mercadería'!L527)</f>
        <v>77.7546</v>
      </c>
      <c r="M526" s="8"/>
      <c r="N526" s="20" t="s">
        <v>119</v>
      </c>
      <c r="O526" s="9"/>
      <c r="P526" s="6"/>
    </row>
    <row r="527" ht="12.0" customHeight="1">
      <c r="A527" s="14"/>
      <c r="B527" s="212"/>
      <c r="C527" s="212"/>
      <c r="D527" s="259" t="s">
        <v>840</v>
      </c>
      <c r="E527" s="260" t="s">
        <v>309</v>
      </c>
      <c r="F527" s="14"/>
      <c r="G527" s="48">
        <v>452.0</v>
      </c>
      <c r="H527" s="19">
        <f t="shared" si="2"/>
        <v>58.806</v>
      </c>
      <c r="I527" s="6"/>
      <c r="J527" s="6"/>
      <c r="K527" s="6"/>
      <c r="L527" s="7">
        <f>SUM(1*'Mercadería'!L528)</f>
        <v>58.806</v>
      </c>
      <c r="M527" s="8"/>
      <c r="N527" s="23" t="s">
        <v>17</v>
      </c>
      <c r="O527" s="9"/>
      <c r="P527" s="6"/>
    </row>
    <row r="528" ht="12.0" customHeight="1">
      <c r="A528" s="14"/>
      <c r="B528" s="212"/>
      <c r="C528" s="212"/>
      <c r="D528" s="261" t="s">
        <v>841</v>
      </c>
      <c r="E528" s="258" t="s">
        <v>309</v>
      </c>
      <c r="F528" s="9"/>
      <c r="G528" s="18">
        <v>462.0</v>
      </c>
      <c r="H528" s="19">
        <f t="shared" si="2"/>
        <v>60.16725</v>
      </c>
      <c r="I528" s="6"/>
      <c r="J528" s="6"/>
      <c r="K528" s="6"/>
      <c r="L528" s="7">
        <f>SUM(1*'Mercadería'!L529)</f>
        <v>60.16725</v>
      </c>
      <c r="M528" s="8"/>
      <c r="N528" s="20" t="s">
        <v>17</v>
      </c>
      <c r="O528" s="9"/>
      <c r="P528" s="6"/>
    </row>
    <row r="529" ht="12.0" customHeight="1">
      <c r="A529" s="14"/>
      <c r="B529" s="212"/>
      <c r="C529" s="212"/>
      <c r="D529" s="102" t="s">
        <v>842</v>
      </c>
      <c r="E529" s="251" t="s">
        <v>309</v>
      </c>
      <c r="F529" s="27" t="s">
        <v>804</v>
      </c>
      <c r="G529" s="28">
        <v>492.0</v>
      </c>
      <c r="H529" s="29">
        <f t="shared" si="2"/>
        <v>60.5</v>
      </c>
      <c r="I529" s="43"/>
      <c r="J529" s="43"/>
      <c r="K529" s="43"/>
      <c r="L529" s="44">
        <f>SUM(1*'Mercadería'!L530)</f>
        <v>60.5</v>
      </c>
      <c r="M529" s="8"/>
      <c r="N529" s="30" t="s">
        <v>17</v>
      </c>
      <c r="O529" s="9"/>
      <c r="P529" s="6"/>
    </row>
    <row r="530" ht="12.0" customHeight="1">
      <c r="A530" s="14"/>
      <c r="B530" s="212"/>
      <c r="C530" s="212"/>
      <c r="D530" s="264" t="s">
        <v>842</v>
      </c>
      <c r="E530" s="260"/>
      <c r="F530" s="14"/>
      <c r="G530" s="51" t="s">
        <v>843</v>
      </c>
      <c r="H530" s="19">
        <f t="shared" si="2"/>
        <v>377.10981</v>
      </c>
      <c r="I530" s="6"/>
      <c r="J530" s="6"/>
      <c r="K530" s="6"/>
      <c r="L530" s="7">
        <f>SUM(1*'Mercadería'!L531)</f>
        <v>377.10981</v>
      </c>
      <c r="M530" s="8"/>
      <c r="N530" s="23" t="s">
        <v>119</v>
      </c>
      <c r="O530" s="9"/>
      <c r="P530" s="6"/>
    </row>
    <row r="531" ht="12.0" customHeight="1">
      <c r="A531" s="14"/>
      <c r="B531" s="212"/>
      <c r="C531" s="212"/>
      <c r="D531" s="261" t="s">
        <v>844</v>
      </c>
      <c r="E531" s="258" t="s">
        <v>309</v>
      </c>
      <c r="F531" s="9"/>
      <c r="G531" s="18">
        <v>502.0</v>
      </c>
      <c r="H531" s="19">
        <f t="shared" si="2"/>
        <v>544.5</v>
      </c>
      <c r="I531" s="6"/>
      <c r="J531" s="6"/>
      <c r="K531" s="6"/>
      <c r="L531" s="7">
        <f>SUM(1*'Mercadería'!L532)</f>
        <v>544.5</v>
      </c>
      <c r="M531" s="8"/>
      <c r="N531" s="20" t="s">
        <v>17</v>
      </c>
      <c r="O531" s="9"/>
      <c r="P531" s="6"/>
    </row>
    <row r="532" ht="12.0" customHeight="1">
      <c r="A532" s="14"/>
      <c r="B532" s="212"/>
      <c r="C532" s="212"/>
      <c r="D532" s="264" t="s">
        <v>845</v>
      </c>
      <c r="E532" s="265" t="s">
        <v>309</v>
      </c>
      <c r="F532" s="14"/>
      <c r="G532" s="22" t="s">
        <v>846</v>
      </c>
      <c r="H532" s="19">
        <f t="shared" si="2"/>
        <v>588.305025</v>
      </c>
      <c r="I532" s="6"/>
      <c r="J532" s="6"/>
      <c r="K532" s="6"/>
      <c r="L532" s="7">
        <f>SUM(1*'Mercadería'!L533)</f>
        <v>588.305025</v>
      </c>
      <c r="M532" s="8"/>
      <c r="N532" s="23" t="s">
        <v>17</v>
      </c>
      <c r="O532" s="9"/>
      <c r="P532" s="6"/>
    </row>
    <row r="533" ht="12.0" customHeight="1">
      <c r="A533" s="14"/>
      <c r="B533" s="212"/>
      <c r="C533" s="212"/>
      <c r="D533" s="261" t="s">
        <v>847</v>
      </c>
      <c r="E533" s="262" t="s">
        <v>309</v>
      </c>
      <c r="F533" s="9" t="s">
        <v>763</v>
      </c>
      <c r="G533" s="18" t="s">
        <v>848</v>
      </c>
      <c r="H533" s="19">
        <f t="shared" si="2"/>
        <v>78.707475</v>
      </c>
      <c r="I533" s="6"/>
      <c r="J533" s="6"/>
      <c r="K533" s="6"/>
      <c r="L533" s="7">
        <f>SUM(1*'Mercadería'!L534)</f>
        <v>78.707475</v>
      </c>
      <c r="M533" s="8"/>
      <c r="N533" s="20" t="s">
        <v>119</v>
      </c>
      <c r="O533" s="9"/>
      <c r="P533" s="6"/>
    </row>
    <row r="534" ht="12.0" customHeight="1">
      <c r="A534" s="14"/>
      <c r="B534" s="212"/>
      <c r="C534" s="212"/>
      <c r="D534" s="264" t="s">
        <v>849</v>
      </c>
      <c r="E534" s="265" t="s">
        <v>309</v>
      </c>
      <c r="F534" s="14" t="s">
        <v>763</v>
      </c>
      <c r="G534" s="22" t="s">
        <v>850</v>
      </c>
      <c r="H534" s="19">
        <f t="shared" si="2"/>
        <v>124.064325</v>
      </c>
      <c r="I534" s="6"/>
      <c r="J534" s="6"/>
      <c r="K534" s="6"/>
      <c r="L534" s="7">
        <f>SUM(1*'Mercadería'!L535)</f>
        <v>124.064325</v>
      </c>
      <c r="M534" s="8"/>
      <c r="N534" s="23" t="s">
        <v>119</v>
      </c>
      <c r="O534" s="9"/>
      <c r="P534" s="6"/>
    </row>
    <row r="535" ht="12.0" customHeight="1">
      <c r="A535" s="14"/>
      <c r="B535" s="212"/>
      <c r="C535" s="212"/>
      <c r="D535" s="261" t="s">
        <v>851</v>
      </c>
      <c r="E535" s="262" t="s">
        <v>309</v>
      </c>
      <c r="F535" s="9"/>
      <c r="G535" s="24" t="s">
        <v>852</v>
      </c>
      <c r="H535" s="19">
        <f t="shared" si="2"/>
        <v>113.392125</v>
      </c>
      <c r="I535" s="6"/>
      <c r="J535" s="6"/>
      <c r="K535" s="6"/>
      <c r="L535" s="7">
        <f>SUM(1*'Mercadería'!L536)</f>
        <v>113.392125</v>
      </c>
      <c r="M535" s="8"/>
      <c r="N535" s="20" t="s">
        <v>119</v>
      </c>
      <c r="O535" s="9"/>
      <c r="P535" s="6"/>
    </row>
    <row r="536" ht="12.0" customHeight="1">
      <c r="A536" s="14"/>
      <c r="B536" s="212"/>
      <c r="C536" s="212"/>
      <c r="D536" s="259" t="s">
        <v>853</v>
      </c>
      <c r="E536" s="265" t="s">
        <v>309</v>
      </c>
      <c r="F536" s="14"/>
      <c r="G536" s="48" t="s">
        <v>854</v>
      </c>
      <c r="H536" s="19">
        <f t="shared" si="2"/>
        <v>185.429475</v>
      </c>
      <c r="I536" s="6"/>
      <c r="J536" s="6"/>
      <c r="K536" s="6"/>
      <c r="L536" s="7">
        <f>SUM(1*'Mercadería'!L537)</f>
        <v>185.429475</v>
      </c>
      <c r="M536" s="8"/>
      <c r="N536" s="255" t="s">
        <v>119</v>
      </c>
      <c r="O536" s="9"/>
      <c r="P536" s="6"/>
    </row>
    <row r="537" ht="12.0" customHeight="1">
      <c r="A537" s="14"/>
      <c r="B537" s="212"/>
      <c r="C537" s="212"/>
      <c r="D537" s="261" t="s">
        <v>816</v>
      </c>
      <c r="E537" s="262" t="s">
        <v>309</v>
      </c>
      <c r="F537" s="9"/>
      <c r="G537" s="34" t="s">
        <v>855</v>
      </c>
      <c r="H537" s="19">
        <f t="shared" si="2"/>
        <v>546.95025</v>
      </c>
      <c r="I537" s="6"/>
      <c r="J537" s="6"/>
      <c r="K537" s="6"/>
      <c r="L537" s="7">
        <f>SUM(1*'Mercadería'!L538)</f>
        <v>546.95025</v>
      </c>
      <c r="M537" s="8"/>
      <c r="N537" s="20" t="s">
        <v>119</v>
      </c>
      <c r="O537" s="9"/>
      <c r="P537" s="6"/>
    </row>
    <row r="538" ht="12.0" customHeight="1">
      <c r="A538" s="14"/>
      <c r="B538" s="212"/>
      <c r="C538" s="212"/>
      <c r="D538" s="259" t="s">
        <v>856</v>
      </c>
      <c r="E538" s="265" t="s">
        <v>309</v>
      </c>
      <c r="F538" s="14"/>
      <c r="G538" s="60" t="s">
        <v>857</v>
      </c>
      <c r="H538" s="19">
        <f t="shared" si="2"/>
        <v>56.48643</v>
      </c>
      <c r="I538" s="6"/>
      <c r="J538" s="6"/>
      <c r="K538" s="6"/>
      <c r="L538" s="7">
        <f>SUM(1*'Mercadería'!L539)</f>
        <v>56.48643</v>
      </c>
      <c r="M538" s="8"/>
      <c r="N538" s="255" t="s">
        <v>119</v>
      </c>
      <c r="O538" s="9"/>
      <c r="P538" s="6"/>
    </row>
    <row r="539" ht="12.0" customHeight="1">
      <c r="A539" s="14"/>
      <c r="B539" s="212"/>
      <c r="C539" s="212"/>
      <c r="D539" s="241" t="s">
        <v>858</v>
      </c>
      <c r="E539" s="266" t="s">
        <v>423</v>
      </c>
      <c r="F539" s="33" t="s">
        <v>784</v>
      </c>
      <c r="G539" s="18">
        <v>433.0</v>
      </c>
      <c r="H539" s="19">
        <f t="shared" si="2"/>
        <v>89.661</v>
      </c>
      <c r="I539" s="6"/>
      <c r="J539" s="6"/>
      <c r="K539" s="6"/>
      <c r="L539" s="7">
        <f>SUM(1*'Mercadería'!L540)</f>
        <v>89.661</v>
      </c>
      <c r="M539" s="8"/>
      <c r="N539" s="38" t="s">
        <v>17</v>
      </c>
      <c r="O539" s="9"/>
      <c r="P539" s="6"/>
    </row>
    <row r="540" ht="12.0" customHeight="1">
      <c r="A540" s="14"/>
      <c r="B540" s="212"/>
      <c r="C540" s="212"/>
      <c r="D540" s="267" t="s">
        <v>859</v>
      </c>
      <c r="E540" s="268" t="s">
        <v>423</v>
      </c>
      <c r="F540" s="160" t="s">
        <v>784</v>
      </c>
      <c r="G540" s="112">
        <v>353.0</v>
      </c>
      <c r="H540" s="19">
        <f t="shared" si="2"/>
        <v>160.93</v>
      </c>
      <c r="I540" s="6"/>
      <c r="J540" s="6"/>
      <c r="K540" s="6"/>
      <c r="L540" s="7">
        <f>SUM(1*'Mercadería'!L541)</f>
        <v>160.93</v>
      </c>
      <c r="M540" s="8"/>
      <c r="N540" s="161" t="s">
        <v>17</v>
      </c>
      <c r="O540" s="9"/>
      <c r="P540" s="6"/>
    </row>
    <row r="541" ht="12.0" customHeight="1">
      <c r="A541" s="14"/>
      <c r="B541" s="212"/>
      <c r="C541" s="212"/>
      <c r="D541" s="241" t="s">
        <v>860</v>
      </c>
      <c r="E541" s="266" t="s">
        <v>423</v>
      </c>
      <c r="F541" s="33"/>
      <c r="G541" s="18" t="s">
        <v>861</v>
      </c>
      <c r="H541" s="19">
        <f t="shared" si="2"/>
        <v>285.48135</v>
      </c>
      <c r="I541" s="6"/>
      <c r="J541" s="6"/>
      <c r="K541" s="6"/>
      <c r="L541" s="7">
        <f>SUM(1*'Mercadería'!L542)</f>
        <v>285.48135</v>
      </c>
      <c r="M541" s="8"/>
      <c r="N541" s="20" t="s">
        <v>119</v>
      </c>
      <c r="O541" s="9"/>
      <c r="P541" s="6"/>
    </row>
    <row r="542" ht="12.0" customHeight="1">
      <c r="A542" s="14"/>
      <c r="B542" s="212"/>
      <c r="C542" s="212"/>
      <c r="D542" s="269" t="s">
        <v>836</v>
      </c>
      <c r="E542" s="266" t="s">
        <v>862</v>
      </c>
      <c r="F542" s="33"/>
      <c r="G542" s="18"/>
      <c r="H542" s="19">
        <f t="shared" si="2"/>
        <v>395.25255</v>
      </c>
      <c r="I542" s="6"/>
      <c r="J542" s="6"/>
      <c r="K542" s="6"/>
      <c r="L542" s="7">
        <f>SUM(1*'Mercadería'!L543)</f>
        <v>395.25255</v>
      </c>
      <c r="M542" s="8"/>
      <c r="N542" s="20" t="s">
        <v>119</v>
      </c>
      <c r="O542" s="9"/>
      <c r="P542" s="6"/>
    </row>
    <row r="543" ht="12.0" customHeight="1">
      <c r="A543" s="14"/>
      <c r="B543" s="212"/>
      <c r="C543" s="212"/>
      <c r="D543" s="270" t="s">
        <v>863</v>
      </c>
      <c r="E543" s="271" t="s">
        <v>423</v>
      </c>
      <c r="F543" s="14"/>
      <c r="G543" s="48" t="s">
        <v>864</v>
      </c>
      <c r="H543" s="19">
        <f t="shared" si="2"/>
        <v>625.92453</v>
      </c>
      <c r="I543" s="6"/>
      <c r="J543" s="6"/>
      <c r="K543" s="6"/>
      <c r="L543" s="7">
        <f>SUM(1*'Mercadería'!L544)</f>
        <v>625.92453</v>
      </c>
      <c r="M543" s="8"/>
      <c r="N543" s="272" t="s">
        <v>119</v>
      </c>
      <c r="O543" s="9"/>
      <c r="P543" s="6"/>
    </row>
    <row r="544" ht="12.0" customHeight="1">
      <c r="A544" s="14"/>
      <c r="B544" s="212"/>
      <c r="C544" s="212"/>
      <c r="D544" s="273" t="s">
        <v>865</v>
      </c>
      <c r="E544" s="274" t="s">
        <v>423</v>
      </c>
      <c r="F544" s="163"/>
      <c r="G544" s="155">
        <v>443.0</v>
      </c>
      <c r="H544" s="19">
        <f t="shared" si="2"/>
        <v>61.347</v>
      </c>
      <c r="I544" s="6"/>
      <c r="J544" s="6"/>
      <c r="K544" s="6"/>
      <c r="L544" s="7">
        <f>SUM(1*'Mercadería'!L545)</f>
        <v>61.347</v>
      </c>
      <c r="M544" s="8"/>
      <c r="N544" s="156" t="s">
        <v>17</v>
      </c>
      <c r="O544" s="9"/>
      <c r="P544" s="6"/>
    </row>
    <row r="545" ht="12.0" customHeight="1">
      <c r="A545" s="14"/>
      <c r="B545" s="212"/>
      <c r="C545" s="212"/>
      <c r="D545" s="270" t="s">
        <v>866</v>
      </c>
      <c r="E545" s="275" t="s">
        <v>423</v>
      </c>
      <c r="F545" s="157"/>
      <c r="G545" s="150" t="s">
        <v>867</v>
      </c>
      <c r="H545" s="19">
        <f t="shared" si="2"/>
        <v>186.61104</v>
      </c>
      <c r="I545" s="6"/>
      <c r="J545" s="6"/>
      <c r="K545" s="6"/>
      <c r="L545" s="7">
        <f>SUM(1*'Mercadería'!L546)</f>
        <v>186.61104</v>
      </c>
      <c r="M545" s="8"/>
      <c r="N545" s="151" t="s">
        <v>119</v>
      </c>
      <c r="O545" s="9"/>
      <c r="P545" s="6"/>
    </row>
    <row r="546" ht="12.0" customHeight="1">
      <c r="A546" s="14"/>
      <c r="B546" s="212"/>
      <c r="C546" s="212"/>
      <c r="D546" s="273" t="s">
        <v>868</v>
      </c>
      <c r="E546" s="274" t="s">
        <v>423</v>
      </c>
      <c r="F546" s="163"/>
      <c r="G546" s="276" t="s">
        <v>869</v>
      </c>
      <c r="H546" s="19">
        <f t="shared" si="2"/>
        <v>67.0824</v>
      </c>
      <c r="I546" s="6"/>
      <c r="J546" s="6"/>
      <c r="K546" s="6"/>
      <c r="L546" s="7">
        <f>SUM(1*'Mercadería'!L547)</f>
        <v>67.0824</v>
      </c>
      <c r="M546" s="8"/>
      <c r="N546" s="156" t="s">
        <v>119</v>
      </c>
      <c r="O546" s="9"/>
      <c r="P546" s="6"/>
    </row>
    <row r="547" ht="12.0" customHeight="1">
      <c r="A547" s="14"/>
      <c r="B547" s="212"/>
      <c r="C547" s="212"/>
      <c r="D547" s="270" t="s">
        <v>870</v>
      </c>
      <c r="E547" s="275" t="s">
        <v>423</v>
      </c>
      <c r="F547" s="157"/>
      <c r="G547" s="150">
        <v>463.0</v>
      </c>
      <c r="H547" s="19">
        <f t="shared" si="2"/>
        <v>70.18</v>
      </c>
      <c r="I547" s="6"/>
      <c r="J547" s="6"/>
      <c r="K547" s="6"/>
      <c r="L547" s="7">
        <f>SUM(1*'Mercadería'!L548)</f>
        <v>70.18</v>
      </c>
      <c r="M547" s="8"/>
      <c r="N547" s="151" t="s">
        <v>17</v>
      </c>
      <c r="O547" s="9"/>
      <c r="P547" s="6"/>
    </row>
    <row r="548" ht="12.0" customHeight="1">
      <c r="A548" s="14"/>
      <c r="B548" s="212"/>
      <c r="C548" s="212"/>
      <c r="D548" s="241" t="s">
        <v>871</v>
      </c>
      <c r="E548" s="266" t="s">
        <v>872</v>
      </c>
      <c r="F548" s="9" t="s">
        <v>763</v>
      </c>
      <c r="G548" s="18" t="s">
        <v>873</v>
      </c>
      <c r="H548" s="19">
        <f t="shared" si="2"/>
        <v>222.156</v>
      </c>
      <c r="I548" s="6"/>
      <c r="J548" s="6"/>
      <c r="K548" s="6"/>
      <c r="L548" s="7">
        <f>SUM(1*'Mercadería'!L549)</f>
        <v>222.156</v>
      </c>
      <c r="M548" s="8"/>
      <c r="N548" s="20" t="s">
        <v>119</v>
      </c>
      <c r="O548" s="9"/>
      <c r="P548" s="6"/>
    </row>
    <row r="549" ht="12.0" customHeight="1">
      <c r="A549" s="14"/>
      <c r="B549" s="212"/>
      <c r="C549" s="212"/>
      <c r="D549" s="231" t="s">
        <v>825</v>
      </c>
      <c r="E549" s="271" t="s">
        <v>872</v>
      </c>
      <c r="F549" s="50"/>
      <c r="G549" s="22" t="s">
        <v>874</v>
      </c>
      <c r="H549" s="19">
        <f t="shared" si="2"/>
        <v>92.2383</v>
      </c>
      <c r="I549" s="6"/>
      <c r="J549" s="6"/>
      <c r="K549" s="6"/>
      <c r="L549" s="7">
        <f>SUM(1*'Mercadería'!L550)</f>
        <v>92.2383</v>
      </c>
      <c r="M549" s="8"/>
      <c r="N549" s="49" t="s">
        <v>119</v>
      </c>
      <c r="O549" s="9"/>
      <c r="P549" s="6"/>
    </row>
    <row r="550" ht="12.0" customHeight="1">
      <c r="A550" s="14"/>
      <c r="B550" s="212"/>
      <c r="C550" s="212"/>
      <c r="D550" s="241" t="s">
        <v>825</v>
      </c>
      <c r="E550" s="266" t="s">
        <v>875</v>
      </c>
      <c r="F550" s="33" t="s">
        <v>763</v>
      </c>
      <c r="G550" s="18" t="s">
        <v>876</v>
      </c>
      <c r="H550" s="19">
        <f t="shared" si="2"/>
        <v>132.48774</v>
      </c>
      <c r="I550" s="6"/>
      <c r="J550" s="6"/>
      <c r="K550" s="6"/>
      <c r="L550" s="7">
        <f>SUM(1*'Mercadería'!L551)</f>
        <v>132.48774</v>
      </c>
      <c r="M550" s="8"/>
      <c r="N550" s="38" t="s">
        <v>119</v>
      </c>
      <c r="O550" s="9"/>
      <c r="P550" s="6"/>
    </row>
    <row r="551" ht="12.0" customHeight="1">
      <c r="A551" s="14"/>
      <c r="B551" s="212"/>
      <c r="C551" s="212"/>
      <c r="D551" s="231" t="s">
        <v>825</v>
      </c>
      <c r="E551" s="271" t="s">
        <v>877</v>
      </c>
      <c r="F551" s="157"/>
      <c r="G551" s="51" t="s">
        <v>878</v>
      </c>
      <c r="H551" s="19">
        <f t="shared" si="2"/>
        <v>142.5501</v>
      </c>
      <c r="I551" s="6"/>
      <c r="J551" s="6"/>
      <c r="K551" s="6"/>
      <c r="L551" s="7">
        <f>SUM(1*'Mercadería'!L553)</f>
        <v>142.5501</v>
      </c>
      <c r="M551" s="8"/>
      <c r="N551" s="49" t="s">
        <v>119</v>
      </c>
      <c r="O551" s="9"/>
      <c r="P551" s="6"/>
    </row>
    <row r="552" ht="12.0" customHeight="1">
      <c r="A552" s="14"/>
      <c r="B552" s="212"/>
      <c r="C552" s="212"/>
      <c r="D552" s="231" t="s">
        <v>825</v>
      </c>
      <c r="E552" s="271" t="s">
        <v>879</v>
      </c>
      <c r="F552" s="157"/>
      <c r="G552" s="60" t="s">
        <v>880</v>
      </c>
      <c r="H552" s="19">
        <f t="shared" si="2"/>
        <v>216.41697</v>
      </c>
      <c r="I552" s="6"/>
      <c r="J552" s="6"/>
      <c r="K552" s="6"/>
      <c r="L552" s="7">
        <f>SUM(1*'Mercadería'!L554)</f>
        <v>216.41697</v>
      </c>
      <c r="M552" s="8"/>
      <c r="N552" s="49" t="s">
        <v>119</v>
      </c>
      <c r="O552" s="9"/>
      <c r="P552" s="6"/>
    </row>
    <row r="553" ht="12.0" customHeight="1">
      <c r="A553" s="14"/>
      <c r="B553" s="212"/>
      <c r="C553" s="212"/>
      <c r="D553" s="277" t="s">
        <v>844</v>
      </c>
      <c r="E553" s="278" t="s">
        <v>423</v>
      </c>
      <c r="F553" s="154"/>
      <c r="G553" s="155" t="s">
        <v>881</v>
      </c>
      <c r="H553" s="19">
        <f t="shared" si="2"/>
        <v>672.57729</v>
      </c>
      <c r="I553" s="6"/>
      <c r="J553" s="6"/>
      <c r="K553" s="6"/>
      <c r="L553" s="7">
        <f>SUM(1*'Mercadería'!L555)</f>
        <v>672.57729</v>
      </c>
      <c r="M553" s="8"/>
      <c r="N553" s="156" t="s">
        <v>119</v>
      </c>
      <c r="O553" s="9"/>
      <c r="P553" s="6"/>
    </row>
    <row r="554" ht="12.0" customHeight="1">
      <c r="A554" s="52"/>
      <c r="B554" s="212"/>
      <c r="C554" s="212"/>
      <c r="D554" s="279" t="s">
        <v>882</v>
      </c>
      <c r="E554" s="280"/>
      <c r="F554" s="87"/>
      <c r="G554" s="42" t="s">
        <v>883</v>
      </c>
      <c r="H554" s="29">
        <f t="shared" si="2"/>
        <v>377.94834</v>
      </c>
      <c r="I554" s="43"/>
      <c r="J554" s="43"/>
      <c r="K554" s="43"/>
      <c r="L554" s="44">
        <f>SUM(1*'Mercadería'!L556)</f>
        <v>377.94834</v>
      </c>
      <c r="M554" s="8"/>
      <c r="N554" s="88" t="s">
        <v>119</v>
      </c>
      <c r="O554" s="9"/>
      <c r="P554" s="6"/>
    </row>
    <row r="555" ht="12.0" customHeight="1">
      <c r="A555" s="52"/>
      <c r="B555" s="212"/>
      <c r="C555" s="212"/>
      <c r="D555" s="281" t="s">
        <v>820</v>
      </c>
      <c r="E555" s="275" t="s">
        <v>423</v>
      </c>
      <c r="F555" s="149"/>
      <c r="G555" s="51" t="s">
        <v>884</v>
      </c>
      <c r="H555" s="19">
        <f t="shared" si="2"/>
        <v>170.2</v>
      </c>
      <c r="I555" s="6"/>
      <c r="J555" s="6"/>
      <c r="K555" s="6"/>
      <c r="L555" s="7">
        <f>SUM(1*'Mercadería'!L557)</f>
        <v>170.2</v>
      </c>
      <c r="M555" s="8"/>
      <c r="N555" s="151"/>
      <c r="O555" s="9"/>
      <c r="P555" s="6"/>
    </row>
    <row r="556" ht="12.0" customHeight="1">
      <c r="A556" s="14"/>
      <c r="B556" s="212"/>
      <c r="C556" s="212"/>
      <c r="D556" s="101" t="s">
        <v>885</v>
      </c>
      <c r="E556" s="251" t="s">
        <v>886</v>
      </c>
      <c r="F556" s="27"/>
      <c r="G556" s="28"/>
      <c r="H556" s="29">
        <f t="shared" si="2"/>
        <v>9</v>
      </c>
      <c r="I556" s="43"/>
      <c r="J556" s="43"/>
      <c r="K556" s="43"/>
      <c r="L556" s="44">
        <f>SUM(1*'Mercadería'!L558)</f>
        <v>9</v>
      </c>
      <c r="M556" s="204"/>
      <c r="N556" s="30" t="s">
        <v>119</v>
      </c>
      <c r="O556" s="9"/>
      <c r="P556" s="6"/>
    </row>
    <row r="557" ht="12.0" customHeight="1">
      <c r="A557" s="14"/>
      <c r="B557" s="212"/>
      <c r="C557" s="212"/>
      <c r="D557" s="231" t="s">
        <v>844</v>
      </c>
      <c r="E557" s="232" t="s">
        <v>887</v>
      </c>
      <c r="F557" s="14"/>
      <c r="G557" s="51" t="s">
        <v>888</v>
      </c>
      <c r="H557" s="19">
        <f t="shared" si="2"/>
        <v>678.3</v>
      </c>
      <c r="I557" s="6"/>
      <c r="J557" s="6"/>
      <c r="K557" s="6"/>
      <c r="L557" s="7">
        <f>SUM(1*'Mercadería'!L559)</f>
        <v>678.3</v>
      </c>
      <c r="M557" s="8"/>
      <c r="N557" s="23"/>
      <c r="O557" s="9"/>
      <c r="P557" s="6"/>
    </row>
    <row r="558" ht="12.0" customHeight="1">
      <c r="A558" s="14"/>
      <c r="B558" s="212"/>
      <c r="C558" s="212"/>
      <c r="D558" s="241" t="s">
        <v>844</v>
      </c>
      <c r="E558" s="242" t="s">
        <v>889</v>
      </c>
      <c r="F558" s="9"/>
      <c r="G558" s="24" t="s">
        <v>890</v>
      </c>
      <c r="H558" s="19">
        <f t="shared" si="2"/>
        <v>935</v>
      </c>
      <c r="I558" s="6"/>
      <c r="J558" s="6"/>
      <c r="K558" s="6"/>
      <c r="L558" s="7">
        <f>SUM(1*'Mercadería'!L560)</f>
        <v>935</v>
      </c>
      <c r="M558" s="8"/>
      <c r="N558" s="20"/>
      <c r="O558" s="9"/>
      <c r="P558" s="6"/>
    </row>
    <row r="559" ht="12.0" customHeight="1">
      <c r="A559" s="52"/>
      <c r="B559" s="212"/>
      <c r="C559" s="212"/>
      <c r="D559" s="231" t="s">
        <v>844</v>
      </c>
      <c r="E559" s="232" t="s">
        <v>408</v>
      </c>
      <c r="F559" s="14"/>
      <c r="G559" s="22">
        <v>504.0</v>
      </c>
      <c r="H559" s="19">
        <f t="shared" si="2"/>
        <v>392.04</v>
      </c>
      <c r="I559" s="6"/>
      <c r="J559" s="6"/>
      <c r="K559" s="6"/>
      <c r="L559" s="7">
        <f>SUM(1*'Mercadería'!L561)</f>
        <v>392.04</v>
      </c>
      <c r="M559" s="8"/>
      <c r="N559" s="23" t="s">
        <v>17</v>
      </c>
      <c r="O559" s="9"/>
      <c r="P559" s="6"/>
    </row>
    <row r="560" ht="12.0" customHeight="1">
      <c r="A560" s="52"/>
      <c r="B560" s="212"/>
      <c r="C560" s="212"/>
      <c r="D560" s="241" t="s">
        <v>891</v>
      </c>
      <c r="E560" s="242" t="s">
        <v>886</v>
      </c>
      <c r="F560" s="9"/>
      <c r="G560" s="24" t="s">
        <v>892</v>
      </c>
      <c r="H560" s="19">
        <f t="shared" si="2"/>
        <v>190</v>
      </c>
      <c r="I560" s="6"/>
      <c r="J560" s="6"/>
      <c r="K560" s="6"/>
      <c r="L560" s="7">
        <f>SUM(1*'Mercadería'!L562)</f>
        <v>190</v>
      </c>
      <c r="M560" s="8"/>
      <c r="N560" s="20"/>
      <c r="O560" s="9"/>
      <c r="P560" s="6"/>
    </row>
    <row r="561" ht="12.0" customHeight="1">
      <c r="A561" s="52"/>
      <c r="B561" s="212"/>
      <c r="C561" s="212"/>
      <c r="D561" s="273" t="s">
        <v>865</v>
      </c>
      <c r="E561" s="242" t="s">
        <v>886</v>
      </c>
      <c r="F561" s="9"/>
      <c r="G561" s="24" t="s">
        <v>893</v>
      </c>
      <c r="H561" s="19">
        <f t="shared" si="2"/>
        <v>114</v>
      </c>
      <c r="I561" s="6"/>
      <c r="J561" s="6"/>
      <c r="K561" s="6"/>
      <c r="L561" s="7">
        <f>SUM(1*'Mercadería'!L563)</f>
        <v>114</v>
      </c>
      <c r="M561" s="8"/>
      <c r="N561" s="20"/>
      <c r="O561" s="9"/>
      <c r="P561" s="6"/>
    </row>
    <row r="562" ht="12.0" customHeight="1">
      <c r="A562" s="52"/>
      <c r="B562" s="212"/>
      <c r="C562" s="212"/>
      <c r="D562" s="273" t="s">
        <v>865</v>
      </c>
      <c r="E562" s="242" t="s">
        <v>894</v>
      </c>
      <c r="F562" s="9"/>
      <c r="G562" s="24" t="s">
        <v>895</v>
      </c>
      <c r="H562" s="19">
        <f t="shared" si="2"/>
        <v>470.75</v>
      </c>
      <c r="I562" s="6"/>
      <c r="J562" s="6"/>
      <c r="K562" s="6"/>
      <c r="L562" s="7">
        <f>SUM(1*'Mercadería'!L564)</f>
        <v>470.75</v>
      </c>
      <c r="M562" s="8"/>
      <c r="N562" s="20"/>
      <c r="O562" s="9"/>
      <c r="P562" s="6"/>
    </row>
    <row r="563" ht="12.0" customHeight="1">
      <c r="A563" s="52"/>
      <c r="B563" s="212"/>
      <c r="C563" s="212"/>
      <c r="D563" s="273" t="s">
        <v>896</v>
      </c>
      <c r="E563" s="242" t="s">
        <v>894</v>
      </c>
      <c r="F563" s="9"/>
      <c r="G563" s="24" t="s">
        <v>897</v>
      </c>
      <c r="H563" s="19">
        <f t="shared" si="2"/>
        <v>470.75</v>
      </c>
      <c r="I563" s="6"/>
      <c r="J563" s="6"/>
      <c r="K563" s="6"/>
      <c r="L563" s="7">
        <f>SUM(1*'Mercadería'!L565)</f>
        <v>470.75</v>
      </c>
      <c r="M563" s="8"/>
      <c r="N563" s="20"/>
      <c r="O563" s="9"/>
      <c r="P563" s="6"/>
    </row>
    <row r="564" ht="12.0" customHeight="1">
      <c r="A564" s="14"/>
      <c r="B564" s="282"/>
      <c r="C564" s="282"/>
      <c r="D564" s="31" t="s">
        <v>898</v>
      </c>
      <c r="E564" s="17" t="s">
        <v>899</v>
      </c>
      <c r="F564" s="9"/>
      <c r="G564" s="59">
        <v>220269.0</v>
      </c>
      <c r="H564" s="19">
        <f t="shared" si="2"/>
        <v>159.16824</v>
      </c>
      <c r="I564" s="6"/>
      <c r="J564" s="6"/>
      <c r="K564" s="6"/>
      <c r="L564" s="7">
        <f>SUM(1*'Mercadería'!L566)</f>
        <v>159.16824</v>
      </c>
      <c r="M564" s="8"/>
      <c r="N564" s="20" t="s">
        <v>119</v>
      </c>
      <c r="O564" s="9"/>
      <c r="P564" s="6"/>
    </row>
    <row r="565" ht="12.0" customHeight="1">
      <c r="A565" s="14"/>
      <c r="B565" s="15"/>
      <c r="C565" s="15"/>
      <c r="D565" s="170" t="s">
        <v>900</v>
      </c>
      <c r="E565" s="283"/>
      <c r="F565" s="172"/>
      <c r="G565" s="173"/>
      <c r="H565" s="19">
        <f t="shared" si="2"/>
        <v>0</v>
      </c>
      <c r="I565" s="6"/>
      <c r="J565" s="6"/>
      <c r="K565" s="6"/>
      <c r="L565" s="7">
        <f>SUM(1*'Mercadería'!L567)</f>
        <v>0</v>
      </c>
      <c r="M565" s="8"/>
      <c r="N565" s="174"/>
      <c r="O565" s="9"/>
      <c r="P565" s="6"/>
    </row>
    <row r="566" ht="12.0" customHeight="1">
      <c r="A566" s="14"/>
      <c r="B566" s="82"/>
      <c r="C566" s="82"/>
      <c r="D566" s="284" t="s">
        <v>901</v>
      </c>
      <c r="E566" s="285" t="s">
        <v>74</v>
      </c>
      <c r="F566" s="286" t="s">
        <v>760</v>
      </c>
      <c r="G566" s="287">
        <v>460041.0</v>
      </c>
      <c r="H566" s="19">
        <f t="shared" si="2"/>
        <v>75.16278</v>
      </c>
      <c r="I566" s="6"/>
      <c r="J566" s="6"/>
      <c r="K566" s="6"/>
      <c r="L566" s="7">
        <f>SUM(1*'Mercadería'!L568)</f>
        <v>75.16278</v>
      </c>
      <c r="M566" s="8"/>
      <c r="N566" s="288" t="s">
        <v>119</v>
      </c>
      <c r="O566" s="9"/>
      <c r="P566" s="6"/>
    </row>
    <row r="567" ht="12.0" customHeight="1">
      <c r="A567" s="14"/>
      <c r="B567" s="82"/>
      <c r="C567" s="82"/>
      <c r="D567" s="33" t="s">
        <v>902</v>
      </c>
      <c r="E567" s="191" t="s">
        <v>74</v>
      </c>
      <c r="F567" s="33" t="s">
        <v>760</v>
      </c>
      <c r="G567" s="34">
        <v>460021.0</v>
      </c>
      <c r="H567" s="19">
        <f t="shared" si="2"/>
        <v>60.90777</v>
      </c>
      <c r="I567" s="6"/>
      <c r="J567" s="6"/>
      <c r="K567" s="6"/>
      <c r="L567" s="7">
        <f>SUM(1*'Mercadería'!L569)</f>
        <v>60.90777</v>
      </c>
      <c r="M567" s="8"/>
      <c r="N567" s="38" t="s">
        <v>119</v>
      </c>
      <c r="O567" s="9"/>
      <c r="P567" s="6"/>
    </row>
    <row r="568" ht="12.0" customHeight="1">
      <c r="A568" s="14"/>
      <c r="B568" s="82"/>
      <c r="C568" s="82"/>
      <c r="D568" s="286" t="s">
        <v>903</v>
      </c>
      <c r="E568" s="289" t="s">
        <v>74</v>
      </c>
      <c r="F568" s="284" t="s">
        <v>760</v>
      </c>
      <c r="G568" s="287">
        <v>460031.0</v>
      </c>
      <c r="H568" s="19">
        <f t="shared" si="2"/>
        <v>95.89734</v>
      </c>
      <c r="I568" s="6"/>
      <c r="J568" s="6"/>
      <c r="K568" s="6"/>
      <c r="L568" s="7">
        <f>SUM(1*'Mercadería'!L570)</f>
        <v>95.89734</v>
      </c>
      <c r="M568" s="8"/>
      <c r="N568" s="288" t="s">
        <v>119</v>
      </c>
      <c r="O568" s="9"/>
      <c r="P568" s="6"/>
    </row>
    <row r="569" ht="12.0" customHeight="1">
      <c r="A569" s="14"/>
      <c r="B569" s="82"/>
      <c r="C569" s="82"/>
      <c r="D569" s="33" t="s">
        <v>904</v>
      </c>
      <c r="E569" s="32" t="s">
        <v>74</v>
      </c>
      <c r="F569" s="33" t="s">
        <v>760</v>
      </c>
      <c r="G569" s="34">
        <v>460161.0</v>
      </c>
      <c r="H569" s="19">
        <f t="shared" si="2"/>
        <v>526.90176</v>
      </c>
      <c r="I569" s="6"/>
      <c r="J569" s="6"/>
      <c r="K569" s="6"/>
      <c r="L569" s="7">
        <f>SUM(1*'Mercadería'!L571)</f>
        <v>526.90176</v>
      </c>
      <c r="M569" s="8"/>
      <c r="N569" s="38" t="s">
        <v>119</v>
      </c>
      <c r="O569" s="9"/>
      <c r="P569" s="6"/>
    </row>
    <row r="570" ht="12.0" customHeight="1">
      <c r="A570" s="14"/>
      <c r="B570" s="82"/>
      <c r="C570" s="82"/>
      <c r="D570" s="286" t="s">
        <v>905</v>
      </c>
      <c r="E570" s="289" t="s">
        <v>906</v>
      </c>
      <c r="F570" s="286"/>
      <c r="G570" s="290">
        <v>460146.0</v>
      </c>
      <c r="H570" s="19">
        <f t="shared" si="2"/>
        <v>585.4464</v>
      </c>
      <c r="I570" s="6"/>
      <c r="J570" s="6"/>
      <c r="K570" s="6"/>
      <c r="L570" s="7">
        <f>SUM(1*'Mercadería'!L572)</f>
        <v>585.4464</v>
      </c>
      <c r="M570" s="8"/>
      <c r="N570" s="38" t="s">
        <v>119</v>
      </c>
      <c r="O570" s="9"/>
      <c r="P570" s="6"/>
    </row>
    <row r="571" ht="12.0" customHeight="1">
      <c r="A571" s="14"/>
      <c r="B571" s="82"/>
      <c r="C571" s="82"/>
      <c r="D571" s="33" t="s">
        <v>907</v>
      </c>
      <c r="E571" s="32" t="s">
        <v>906</v>
      </c>
      <c r="F571" s="33"/>
      <c r="G571" s="291" t="s">
        <v>908</v>
      </c>
      <c r="H571" s="19">
        <f t="shared" si="2"/>
        <v>508.60656</v>
      </c>
      <c r="I571" s="6"/>
      <c r="J571" s="6"/>
      <c r="K571" s="6"/>
      <c r="L571" s="7">
        <f>SUM(1*'Mercadería'!L573)</f>
        <v>508.60656</v>
      </c>
      <c r="M571" s="8"/>
      <c r="N571" s="38" t="s">
        <v>119</v>
      </c>
      <c r="O571" s="9"/>
      <c r="P571" s="6"/>
    </row>
    <row r="572" ht="12.0" customHeight="1">
      <c r="A572" s="14"/>
      <c r="B572" s="82"/>
      <c r="C572" s="82"/>
      <c r="D572" s="286" t="s">
        <v>909</v>
      </c>
      <c r="E572" s="289" t="s">
        <v>910</v>
      </c>
      <c r="F572" s="286"/>
      <c r="G572" s="292"/>
      <c r="H572" s="19">
        <f t="shared" si="2"/>
        <v>440</v>
      </c>
      <c r="I572" s="6"/>
      <c r="J572" s="6"/>
      <c r="K572" s="6"/>
      <c r="L572" s="7">
        <f>SUM(1*'Mercadería'!L574)</f>
        <v>440</v>
      </c>
      <c r="M572" s="8"/>
      <c r="N572" s="288"/>
      <c r="O572" s="9"/>
      <c r="P572" s="6"/>
    </row>
    <row r="573" ht="12.0" customHeight="1">
      <c r="A573" s="14"/>
      <c r="B573" s="82"/>
      <c r="C573" s="82"/>
      <c r="D573" s="286" t="s">
        <v>909</v>
      </c>
      <c r="E573" s="289" t="s">
        <v>906</v>
      </c>
      <c r="F573" s="286" t="s">
        <v>760</v>
      </c>
      <c r="G573" s="287">
        <v>460101.0</v>
      </c>
      <c r="H573" s="19">
        <f t="shared" si="2"/>
        <v>440</v>
      </c>
      <c r="I573" s="6"/>
      <c r="J573" s="6"/>
      <c r="K573" s="6"/>
      <c r="L573" s="7">
        <f>SUM(1*'Mercadería'!L575)</f>
        <v>440</v>
      </c>
      <c r="M573" s="8"/>
      <c r="N573" s="288" t="s">
        <v>119</v>
      </c>
      <c r="O573" s="9"/>
      <c r="P573" s="6"/>
    </row>
    <row r="574" ht="12.0" customHeight="1">
      <c r="A574" s="14"/>
      <c r="B574" s="82"/>
      <c r="C574" s="82"/>
      <c r="D574" s="33" t="s">
        <v>909</v>
      </c>
      <c r="E574" s="32" t="s">
        <v>911</v>
      </c>
      <c r="F574" s="33" t="s">
        <v>760</v>
      </c>
      <c r="G574" s="34">
        <v>460102.0</v>
      </c>
      <c r="H574" s="19">
        <f t="shared" si="2"/>
        <v>440</v>
      </c>
      <c r="I574" s="6"/>
      <c r="J574" s="6"/>
      <c r="K574" s="6"/>
      <c r="L574" s="7">
        <f>SUM(1*'Mercadería'!L576)</f>
        <v>440</v>
      </c>
      <c r="M574" s="8"/>
      <c r="N574" s="38" t="s">
        <v>119</v>
      </c>
      <c r="O574" s="9"/>
      <c r="P574" s="6"/>
    </row>
    <row r="575" ht="12.0" customHeight="1">
      <c r="A575" s="14"/>
      <c r="B575" s="82"/>
      <c r="C575" s="82"/>
      <c r="D575" s="286" t="s">
        <v>912</v>
      </c>
      <c r="E575" s="293" t="s">
        <v>906</v>
      </c>
      <c r="F575" s="294"/>
      <c r="G575" s="286">
        <v>460106.0</v>
      </c>
      <c r="H575" s="19">
        <f t="shared" si="2"/>
        <v>563.2</v>
      </c>
      <c r="I575" s="6"/>
      <c r="J575" s="6"/>
      <c r="K575" s="6"/>
      <c r="L575" s="7">
        <f>SUM(1*'Mercadería'!L577)</f>
        <v>563.2</v>
      </c>
      <c r="M575" s="8"/>
      <c r="N575" s="288" t="s">
        <v>119</v>
      </c>
      <c r="O575" s="9"/>
      <c r="P575" s="6"/>
    </row>
    <row r="576" ht="12.0" customHeight="1">
      <c r="A576" s="14"/>
      <c r="B576" s="82"/>
      <c r="C576" s="82"/>
      <c r="D576" s="294" t="s">
        <v>913</v>
      </c>
      <c r="E576" s="293" t="s">
        <v>906</v>
      </c>
      <c r="F576" s="294"/>
      <c r="G576" s="295" t="s">
        <v>914</v>
      </c>
      <c r="H576" s="19">
        <f t="shared" si="2"/>
        <v>582.4</v>
      </c>
      <c r="I576" s="6"/>
      <c r="J576" s="6"/>
      <c r="K576" s="6"/>
      <c r="L576" s="7">
        <f>SUM(1*'Mercadería'!L578)</f>
        <v>582.4</v>
      </c>
      <c r="M576" s="8"/>
      <c r="N576" s="288"/>
      <c r="O576" s="9"/>
      <c r="P576" s="6"/>
    </row>
    <row r="577" ht="12.0" customHeight="1">
      <c r="A577" s="14"/>
      <c r="B577" s="82"/>
      <c r="C577" s="82"/>
      <c r="D577" s="163" t="s">
        <v>915</v>
      </c>
      <c r="E577" s="70" t="s">
        <v>74</v>
      </c>
      <c r="F577" s="163"/>
      <c r="G577" s="18">
        <v>630120.0</v>
      </c>
      <c r="H577" s="19">
        <f t="shared" si="2"/>
        <v>60.90777</v>
      </c>
      <c r="I577" s="6"/>
      <c r="J577" s="6"/>
      <c r="K577" s="6"/>
      <c r="L577" s="7">
        <f>SUM(1*'Mercadería'!L579)</f>
        <v>60.90777</v>
      </c>
      <c r="M577" s="8"/>
      <c r="N577" s="38" t="s">
        <v>119</v>
      </c>
      <c r="O577" s="9"/>
      <c r="P577" s="6"/>
    </row>
    <row r="578" ht="12.0" customHeight="1">
      <c r="A578" s="14"/>
      <c r="B578" s="82"/>
      <c r="C578" s="82"/>
      <c r="D578" s="163" t="s">
        <v>916</v>
      </c>
      <c r="E578" s="70" t="s">
        <v>74</v>
      </c>
      <c r="F578" s="163" t="s">
        <v>624</v>
      </c>
      <c r="G578" s="24" t="s">
        <v>917</v>
      </c>
      <c r="H578" s="19">
        <f t="shared" si="2"/>
        <v>151.8</v>
      </c>
      <c r="I578" s="6"/>
      <c r="J578" s="6"/>
      <c r="K578" s="6"/>
      <c r="L578" s="7">
        <f>SUM(1*'Mercadería'!L580)</f>
        <v>151.8</v>
      </c>
      <c r="M578" s="8"/>
      <c r="N578" s="38" t="s">
        <v>576</v>
      </c>
      <c r="O578" s="9"/>
      <c r="P578" s="6"/>
    </row>
    <row r="579" ht="12.0" customHeight="1">
      <c r="A579" s="14"/>
      <c r="B579" s="82"/>
      <c r="C579" s="82"/>
      <c r="D579" s="296" t="s">
        <v>918</v>
      </c>
      <c r="E579" s="296" t="s">
        <v>919</v>
      </c>
      <c r="F579" s="286" t="s">
        <v>760</v>
      </c>
      <c r="G579" s="288">
        <v>460042.0</v>
      </c>
      <c r="H579" s="19">
        <f t="shared" si="2"/>
        <v>117.08928</v>
      </c>
      <c r="I579" s="6"/>
      <c r="J579" s="6"/>
      <c r="K579" s="6"/>
      <c r="L579" s="7">
        <f>SUM(1*'Mercadería'!L581)</f>
        <v>117.08928</v>
      </c>
      <c r="M579" s="8"/>
      <c r="N579" s="288" t="s">
        <v>119</v>
      </c>
      <c r="O579" s="9"/>
      <c r="P579" s="6"/>
    </row>
    <row r="580" ht="12.0" customHeight="1">
      <c r="A580" s="14"/>
      <c r="B580" s="82"/>
      <c r="C580" s="82"/>
      <c r="D580" s="297" t="s">
        <v>920</v>
      </c>
      <c r="E580" s="297" t="s">
        <v>921</v>
      </c>
      <c r="F580" s="33"/>
      <c r="G580" s="59" t="s">
        <v>922</v>
      </c>
      <c r="H580" s="19">
        <v>0.0</v>
      </c>
      <c r="I580" s="6"/>
      <c r="J580" s="6"/>
      <c r="K580" s="6"/>
      <c r="L580" s="7">
        <f>SUM(1*'Mercadería'!L582)</f>
        <v>176.8</v>
      </c>
      <c r="M580" s="8"/>
      <c r="N580" s="38"/>
      <c r="O580" s="9"/>
      <c r="P580" s="6"/>
    </row>
    <row r="581" ht="12.0" customHeight="1">
      <c r="A581" s="14"/>
      <c r="B581" s="82"/>
      <c r="C581" s="82"/>
      <c r="D581" s="296" t="s">
        <v>923</v>
      </c>
      <c r="E581" s="296" t="s">
        <v>924</v>
      </c>
      <c r="F581" s="286"/>
      <c r="G581" s="295" t="s">
        <v>925</v>
      </c>
      <c r="H581" s="19">
        <f t="shared" ref="H581:H582" si="3">SUM(L581+M581)</f>
        <v>93.5</v>
      </c>
      <c r="I581" s="6"/>
      <c r="J581" s="6"/>
      <c r="K581" s="6"/>
      <c r="L581" s="7">
        <f>SUM(1*'Mercadería'!L583)</f>
        <v>93.5</v>
      </c>
      <c r="M581" s="8"/>
      <c r="N581" s="288"/>
      <c r="O581" s="9"/>
      <c r="P581" s="6"/>
    </row>
    <row r="582" ht="12.0" customHeight="1">
      <c r="A582" s="14"/>
      <c r="B582" s="82"/>
      <c r="C582" s="82"/>
      <c r="D582" s="297" t="s">
        <v>902</v>
      </c>
      <c r="E582" s="297" t="s">
        <v>482</v>
      </c>
      <c r="F582" s="33" t="s">
        <v>760</v>
      </c>
      <c r="G582" s="38">
        <v>460022.0</v>
      </c>
      <c r="H582" s="19">
        <f t="shared" si="3"/>
        <v>94.60143</v>
      </c>
      <c r="I582" s="6"/>
      <c r="J582" s="6"/>
      <c r="K582" s="6"/>
      <c r="L582" s="7">
        <f>SUM(1*'Mercadería'!L584)</f>
        <v>94.60143</v>
      </c>
      <c r="M582" s="8"/>
      <c r="N582" s="38" t="s">
        <v>119</v>
      </c>
      <c r="O582" s="9"/>
      <c r="P582" s="6"/>
    </row>
  </sheetData>
  <conditionalFormatting sqref="E111:E113 E260">
    <cfRule type="expression" dxfId="0" priority="1">
      <formula>#REF!=0</formula>
    </cfRule>
  </conditionalFormatting>
  <conditionalFormatting sqref="E111:E113 E260">
    <cfRule type="cellIs" dxfId="1" priority="2" operator="notEqual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0.71"/>
    <col customWidth="1" min="2" max="2" width="0.57"/>
    <col customWidth="1" min="3" max="3" width="0.71"/>
    <col customWidth="1" min="4" max="4" width="21.57"/>
    <col customWidth="1" min="5" max="5" width="7.29"/>
    <col customWidth="1" min="6" max="6" width="4.0"/>
    <col customWidth="1" min="7" max="7" width="6.57"/>
    <col customWidth="1" min="8" max="8" width="5.14"/>
    <col customWidth="1" min="9" max="9" width="5.0"/>
    <col customWidth="1" min="10" max="10" width="7.0"/>
    <col customWidth="1" min="11" max="11" width="5.71"/>
    <col customWidth="1" min="12" max="12" width="6.86"/>
    <col customWidth="1" min="13" max="13" width="7.0"/>
    <col customWidth="1" min="14" max="14" width="4.71"/>
    <col customWidth="1" min="15" max="15" width="6.0"/>
    <col customWidth="1" min="16" max="16" width="5.43"/>
    <col customWidth="1" min="17" max="17" width="4.71"/>
    <col customWidth="1" min="18" max="18" width="8.14"/>
    <col customWidth="1" min="19" max="19" width="4.86"/>
    <col customWidth="1" min="20" max="20" width="6.43"/>
    <col customWidth="1" min="21" max="21" width="5.86"/>
    <col customWidth="1" min="22" max="22" width="10.14"/>
    <col customWidth="1" min="23" max="23" width="11.57"/>
  </cols>
  <sheetData>
    <row r="1" ht="12.0" customHeight="1">
      <c r="A1" s="1"/>
      <c r="B1" s="1"/>
      <c r="C1" s="1"/>
      <c r="D1" s="1" t="s">
        <v>0</v>
      </c>
      <c r="E1" s="2" t="s">
        <v>1</v>
      </c>
      <c r="F1" s="3" t="s">
        <v>926</v>
      </c>
      <c r="G1" s="3" t="s">
        <v>2</v>
      </c>
      <c r="H1" s="298" t="s">
        <v>927</v>
      </c>
      <c r="I1" s="3" t="s">
        <v>928</v>
      </c>
      <c r="J1" s="299" t="s">
        <v>3</v>
      </c>
      <c r="K1" s="300" t="s">
        <v>929</v>
      </c>
      <c r="L1" s="301" t="s">
        <v>4</v>
      </c>
      <c r="M1" s="3"/>
      <c r="N1" s="3"/>
      <c r="O1" s="3"/>
      <c r="P1" s="3"/>
      <c r="Q1" s="3"/>
      <c r="R1" s="3"/>
      <c r="S1" s="6"/>
      <c r="T1" s="6"/>
      <c r="U1" s="6"/>
      <c r="V1" s="6"/>
      <c r="W1" s="6"/>
    </row>
    <row r="2" ht="12.0" customHeight="1">
      <c r="A2" s="10" t="s">
        <v>5</v>
      </c>
      <c r="B2" s="10" t="s">
        <v>5</v>
      </c>
      <c r="C2" s="10"/>
      <c r="D2" s="10" t="s">
        <v>6</v>
      </c>
      <c r="E2" s="11" t="s">
        <v>7</v>
      </c>
      <c r="F2" s="12"/>
      <c r="G2" s="12"/>
      <c r="H2" s="302"/>
      <c r="I2" s="12"/>
      <c r="J2" s="303"/>
      <c r="K2" s="304"/>
      <c r="L2" s="301"/>
      <c r="M2" s="12"/>
      <c r="N2" s="12"/>
      <c r="O2" s="12"/>
      <c r="P2" s="12"/>
      <c r="Q2" s="12"/>
      <c r="R2" s="12"/>
      <c r="S2" s="6"/>
      <c r="T2" s="6"/>
      <c r="U2" s="6"/>
      <c r="V2" s="6"/>
      <c r="W2" s="6"/>
    </row>
    <row r="3" ht="12.0" customHeight="1">
      <c r="A3" s="14"/>
      <c r="B3" s="15"/>
      <c r="C3" s="15"/>
      <c r="D3" s="16" t="s">
        <v>8</v>
      </c>
      <c r="E3" s="17" t="s">
        <v>9</v>
      </c>
      <c r="F3" s="9">
        <v>8.0</v>
      </c>
      <c r="G3" s="9" t="s">
        <v>10</v>
      </c>
      <c r="H3" s="305">
        <f>SUM(1.22*H12)</f>
        <v>267.18</v>
      </c>
      <c r="I3" s="9" t="s">
        <v>11</v>
      </c>
      <c r="J3" s="24">
        <v>6304.0</v>
      </c>
      <c r="K3" s="306">
        <f t="shared" ref="K3:K51" si="1">H3*F3</f>
        <v>2137.44</v>
      </c>
      <c r="L3" s="301">
        <f t="shared" ref="L3:L12" si="2">H3*1.8</f>
        <v>480.924</v>
      </c>
      <c r="M3" s="9"/>
      <c r="N3" s="9"/>
      <c r="O3" s="9"/>
      <c r="P3" s="9"/>
      <c r="Q3" s="9"/>
      <c r="R3" s="9"/>
      <c r="S3" s="6"/>
      <c r="T3" s="6"/>
      <c r="U3" s="6"/>
      <c r="V3" s="6"/>
      <c r="W3" s="6"/>
    </row>
    <row r="4" ht="12.0" customHeight="1">
      <c r="A4" s="14"/>
      <c r="B4" s="15"/>
      <c r="C4" s="15"/>
      <c r="D4" s="15" t="s">
        <v>8</v>
      </c>
      <c r="E4" s="21" t="s">
        <v>12</v>
      </c>
      <c r="F4" s="14">
        <v>10.0</v>
      </c>
      <c r="G4" s="14" t="s">
        <v>10</v>
      </c>
      <c r="H4" s="307">
        <f>SUM(1.2*H12)</f>
        <v>262.8</v>
      </c>
      <c r="I4" s="14" t="s">
        <v>11</v>
      </c>
      <c r="J4" s="51">
        <v>6305.0</v>
      </c>
      <c r="K4" s="308">
        <f t="shared" si="1"/>
        <v>2628</v>
      </c>
      <c r="L4" s="301">
        <f t="shared" si="2"/>
        <v>473.04</v>
      </c>
      <c r="M4" s="14"/>
      <c r="N4" s="14"/>
      <c r="O4" s="14"/>
      <c r="P4" s="309"/>
      <c r="Q4" s="14"/>
      <c r="R4" s="14"/>
      <c r="S4" s="6"/>
      <c r="T4" s="6"/>
      <c r="U4" s="6"/>
      <c r="V4" s="6"/>
      <c r="W4" s="6"/>
    </row>
    <row r="5" ht="12.0" customHeight="1">
      <c r="A5" s="14"/>
      <c r="B5" s="15"/>
      <c r="C5" s="15"/>
      <c r="D5" s="16" t="s">
        <v>8</v>
      </c>
      <c r="E5" s="17" t="s">
        <v>13</v>
      </c>
      <c r="F5" s="9">
        <v>9.0</v>
      </c>
      <c r="G5" s="9" t="s">
        <v>10</v>
      </c>
      <c r="H5" s="305">
        <f>SUM(1.18*H12)</f>
        <v>258.42</v>
      </c>
      <c r="I5" s="9" t="s">
        <v>11</v>
      </c>
      <c r="J5" s="24">
        <v>6306.0</v>
      </c>
      <c r="K5" s="306">
        <f t="shared" si="1"/>
        <v>2325.78</v>
      </c>
      <c r="L5" s="301">
        <f t="shared" si="2"/>
        <v>465.156</v>
      </c>
      <c r="M5" s="9"/>
      <c r="N5" s="9"/>
      <c r="O5" s="9"/>
      <c r="P5" s="9"/>
      <c r="Q5" s="9"/>
      <c r="R5" s="9"/>
      <c r="S5" s="6"/>
      <c r="T5" s="6"/>
      <c r="U5" s="6"/>
      <c r="V5" s="6"/>
      <c r="W5" s="6"/>
    </row>
    <row r="6" ht="12.0" customHeight="1">
      <c r="A6" s="14"/>
      <c r="B6" s="15"/>
      <c r="C6" s="15"/>
      <c r="D6" s="15" t="s">
        <v>8</v>
      </c>
      <c r="E6" s="21" t="s">
        <v>14</v>
      </c>
      <c r="F6" s="14">
        <v>9.0</v>
      </c>
      <c r="G6" s="14" t="s">
        <v>10</v>
      </c>
      <c r="H6" s="307">
        <f>SUM(1.08*H12)</f>
        <v>236.52</v>
      </c>
      <c r="I6" s="14" t="s">
        <v>11</v>
      </c>
      <c r="J6" s="51">
        <v>6307.0</v>
      </c>
      <c r="K6" s="308">
        <f t="shared" si="1"/>
        <v>2128.68</v>
      </c>
      <c r="L6" s="301">
        <f t="shared" si="2"/>
        <v>425.736</v>
      </c>
      <c r="M6" s="14"/>
      <c r="N6" s="14"/>
      <c r="O6" s="14"/>
      <c r="P6" s="14"/>
      <c r="Q6" s="14"/>
      <c r="R6" s="14"/>
      <c r="S6" s="6"/>
      <c r="T6" s="6"/>
      <c r="U6" s="6"/>
      <c r="V6" s="6"/>
      <c r="W6" s="6"/>
    </row>
    <row r="7" ht="12.0" customHeight="1">
      <c r="A7" s="14"/>
      <c r="B7" s="15"/>
      <c r="C7" s="15"/>
      <c r="D7" s="16" t="s">
        <v>8</v>
      </c>
      <c r="E7" s="17" t="s">
        <v>15</v>
      </c>
      <c r="F7" s="33">
        <v>10.0</v>
      </c>
      <c r="G7" s="9" t="s">
        <v>16</v>
      </c>
      <c r="H7" s="305">
        <f>SUM(0.87*H12)</f>
        <v>190.53</v>
      </c>
      <c r="I7" s="9" t="s">
        <v>17</v>
      </c>
      <c r="J7" s="24">
        <v>8906.0</v>
      </c>
      <c r="K7" s="306">
        <f t="shared" si="1"/>
        <v>1905.3</v>
      </c>
      <c r="L7" s="301">
        <f t="shared" si="2"/>
        <v>342.954</v>
      </c>
      <c r="M7" s="310"/>
      <c r="N7" s="311"/>
      <c r="O7" s="310"/>
      <c r="P7" s="9"/>
      <c r="Q7" s="9"/>
      <c r="R7" s="9"/>
      <c r="S7" s="6"/>
      <c r="T7" s="6"/>
      <c r="U7" s="6"/>
      <c r="V7" s="6"/>
      <c r="W7" s="6"/>
    </row>
    <row r="8" ht="12.0" customHeight="1">
      <c r="A8" s="14"/>
      <c r="B8" s="15"/>
      <c r="C8" s="15"/>
      <c r="D8" s="15" t="s">
        <v>18</v>
      </c>
      <c r="E8" s="21" t="s">
        <v>19</v>
      </c>
      <c r="F8" s="50">
        <v>10.0</v>
      </c>
      <c r="G8" s="14" t="s">
        <v>16</v>
      </c>
      <c r="H8" s="307">
        <f>SUM(0.87*H12)</f>
        <v>190.53</v>
      </c>
      <c r="I8" s="14" t="s">
        <v>17</v>
      </c>
      <c r="J8" s="51">
        <v>8907.0</v>
      </c>
      <c r="K8" s="308">
        <f t="shared" si="1"/>
        <v>1905.3</v>
      </c>
      <c r="L8" s="301">
        <f t="shared" si="2"/>
        <v>342.954</v>
      </c>
      <c r="M8" s="312"/>
      <c r="N8" s="313"/>
      <c r="O8" s="312"/>
      <c r="P8" s="14"/>
      <c r="Q8" s="14"/>
      <c r="R8" s="14"/>
      <c r="S8" s="6"/>
      <c r="T8" s="6"/>
      <c r="U8" s="6"/>
      <c r="V8" s="6"/>
      <c r="W8" s="6"/>
    </row>
    <row r="9" ht="12.0" customHeight="1">
      <c r="A9" s="14"/>
      <c r="B9" s="15"/>
      <c r="C9" s="15"/>
      <c r="D9" s="16" t="s">
        <v>8</v>
      </c>
      <c r="E9" s="17" t="s">
        <v>21</v>
      </c>
      <c r="F9" s="33">
        <v>10.0</v>
      </c>
      <c r="G9" s="9" t="s">
        <v>10</v>
      </c>
      <c r="H9" s="305">
        <f>SUM(1.14*H12)</f>
        <v>249.66</v>
      </c>
      <c r="I9" s="9" t="s">
        <v>11</v>
      </c>
      <c r="J9" s="24">
        <v>8908.0</v>
      </c>
      <c r="K9" s="306">
        <f t="shared" si="1"/>
        <v>2496.6</v>
      </c>
      <c r="L9" s="301">
        <f t="shared" si="2"/>
        <v>449.388</v>
      </c>
      <c r="M9" s="310"/>
      <c r="N9" s="311"/>
      <c r="O9" s="310"/>
      <c r="P9" s="9"/>
      <c r="Q9" s="9"/>
      <c r="R9" s="9"/>
      <c r="S9" s="6"/>
      <c r="T9" s="6"/>
      <c r="U9" s="6"/>
      <c r="V9" s="6"/>
      <c r="W9" s="6"/>
    </row>
    <row r="10" ht="12.0" customHeight="1">
      <c r="A10" s="14"/>
      <c r="B10" s="15"/>
      <c r="C10" s="15"/>
      <c r="D10" s="15" t="s">
        <v>22</v>
      </c>
      <c r="E10" s="21" t="s">
        <v>23</v>
      </c>
      <c r="F10" s="14">
        <v>11.0</v>
      </c>
      <c r="G10" s="14" t="s">
        <v>16</v>
      </c>
      <c r="H10" s="307">
        <f>SUM(0.94*H12)</f>
        <v>205.86</v>
      </c>
      <c r="I10" s="14" t="s">
        <v>17</v>
      </c>
      <c r="J10" s="51">
        <v>8910.0</v>
      </c>
      <c r="K10" s="308">
        <f t="shared" si="1"/>
        <v>2264.46</v>
      </c>
      <c r="L10" s="301">
        <f t="shared" si="2"/>
        <v>370.548</v>
      </c>
      <c r="M10" s="312"/>
      <c r="N10" s="313"/>
      <c r="O10" s="312"/>
      <c r="P10" s="314"/>
      <c r="Q10" s="14"/>
      <c r="R10" s="14"/>
      <c r="S10" s="6"/>
      <c r="T10" s="6"/>
      <c r="U10" s="6"/>
      <c r="V10" s="6"/>
      <c r="W10" s="6"/>
    </row>
    <row r="11" ht="12.0" customHeight="1">
      <c r="A11" s="14"/>
      <c r="B11" s="15"/>
      <c r="C11" s="15"/>
      <c r="D11" s="25" t="s">
        <v>8</v>
      </c>
      <c r="E11" s="26" t="s">
        <v>24</v>
      </c>
      <c r="F11" s="27">
        <v>0.0</v>
      </c>
      <c r="G11" s="27" t="s">
        <v>10</v>
      </c>
      <c r="H11" s="315">
        <v>22.8</v>
      </c>
      <c r="I11" s="27" t="s">
        <v>11</v>
      </c>
      <c r="J11" s="103">
        <v>6313.0</v>
      </c>
      <c r="K11" s="316">
        <f t="shared" si="1"/>
        <v>0</v>
      </c>
      <c r="L11" s="317">
        <f t="shared" si="2"/>
        <v>41.04</v>
      </c>
      <c r="M11" s="9"/>
      <c r="N11" s="9"/>
      <c r="O11" s="9"/>
      <c r="P11" s="9"/>
      <c r="Q11" s="9"/>
      <c r="R11" s="9"/>
      <c r="S11" s="6"/>
      <c r="T11" s="6"/>
      <c r="U11" s="6"/>
      <c r="V11" s="6"/>
      <c r="W11" s="6"/>
    </row>
    <row r="12" ht="12.0" customHeight="1">
      <c r="A12" s="14"/>
      <c r="B12" s="15"/>
      <c r="C12" s="15"/>
      <c r="D12" s="15" t="s">
        <v>18</v>
      </c>
      <c r="E12" s="21" t="s">
        <v>24</v>
      </c>
      <c r="F12" s="50">
        <v>10.0</v>
      </c>
      <c r="G12" s="14" t="s">
        <v>20</v>
      </c>
      <c r="H12" s="318">
        <v>219.0</v>
      </c>
      <c r="I12" s="14" t="s">
        <v>11</v>
      </c>
      <c r="J12" s="51">
        <v>5151.0</v>
      </c>
      <c r="K12" s="308">
        <f t="shared" si="1"/>
        <v>2190</v>
      </c>
      <c r="L12" s="301">
        <f t="shared" si="2"/>
        <v>394.2</v>
      </c>
      <c r="M12" s="14"/>
      <c r="N12" s="14"/>
      <c r="O12" s="14"/>
      <c r="P12" s="14"/>
      <c r="Q12" s="14"/>
      <c r="R12" s="14"/>
      <c r="S12" s="6"/>
      <c r="T12" s="6"/>
      <c r="U12" s="6"/>
      <c r="V12" s="6"/>
      <c r="W12" s="6"/>
    </row>
    <row r="13" ht="12.0" customHeight="1">
      <c r="A13" s="14"/>
      <c r="B13" s="15"/>
      <c r="C13" s="15"/>
      <c r="D13" s="16" t="s">
        <v>8</v>
      </c>
      <c r="E13" s="17" t="s">
        <v>25</v>
      </c>
      <c r="F13" s="9">
        <v>10.0</v>
      </c>
      <c r="G13" s="9" t="s">
        <v>10</v>
      </c>
      <c r="H13" s="305">
        <f>SUM(1.45*H12)</f>
        <v>317.55</v>
      </c>
      <c r="I13" s="9" t="s">
        <v>11</v>
      </c>
      <c r="J13" s="24">
        <v>6314.0</v>
      </c>
      <c r="K13" s="306">
        <f t="shared" si="1"/>
        <v>3175.5</v>
      </c>
      <c r="L13" s="301">
        <f>H13*1.7</f>
        <v>539.835</v>
      </c>
      <c r="M13" s="9"/>
      <c r="N13" s="9"/>
      <c r="O13" s="9"/>
      <c r="P13" s="9"/>
      <c r="Q13" s="9"/>
      <c r="R13" s="9"/>
      <c r="S13" s="6"/>
      <c r="T13" s="6"/>
      <c r="U13" s="6"/>
      <c r="V13" s="6"/>
      <c r="W13" s="6"/>
    </row>
    <row r="14" ht="12.0" customHeight="1">
      <c r="A14" s="14"/>
      <c r="B14" s="15"/>
      <c r="C14" s="15"/>
      <c r="D14" s="39" t="s">
        <v>22</v>
      </c>
      <c r="E14" s="40" t="s">
        <v>25</v>
      </c>
      <c r="F14" s="41">
        <v>0.0</v>
      </c>
      <c r="G14" s="41" t="s">
        <v>16</v>
      </c>
      <c r="H14" s="319">
        <f>SUM(1.22*H12)</f>
        <v>267.18</v>
      </c>
      <c r="I14" s="41" t="s">
        <v>17</v>
      </c>
      <c r="J14" s="81">
        <v>8912.0</v>
      </c>
      <c r="K14" s="320">
        <f t="shared" si="1"/>
        <v>0</v>
      </c>
      <c r="L14" s="317">
        <f>H14*1.8</f>
        <v>480.924</v>
      </c>
      <c r="M14" s="312"/>
      <c r="N14" s="313"/>
      <c r="O14" s="312"/>
      <c r="P14" s="314"/>
      <c r="Q14" s="14"/>
      <c r="R14" s="14"/>
      <c r="S14" s="6"/>
      <c r="T14" s="6"/>
      <c r="U14" s="6"/>
      <c r="V14" s="6"/>
      <c r="W14" s="6"/>
    </row>
    <row r="15" ht="12.0" customHeight="1">
      <c r="A15" s="14"/>
      <c r="B15" s="15"/>
      <c r="C15" s="15"/>
      <c r="D15" s="16" t="s">
        <v>8</v>
      </c>
      <c r="E15" s="17" t="s">
        <v>26</v>
      </c>
      <c r="F15" s="33">
        <v>10.0</v>
      </c>
      <c r="G15" s="9" t="s">
        <v>10</v>
      </c>
      <c r="H15" s="305">
        <f>SUM(1.65*H12)</f>
        <v>361.35</v>
      </c>
      <c r="I15" s="9" t="s">
        <v>11</v>
      </c>
      <c r="J15" s="24">
        <v>5153.0</v>
      </c>
      <c r="K15" s="306">
        <f t="shared" si="1"/>
        <v>3613.5</v>
      </c>
      <c r="L15" s="301">
        <f>H15*1.7</f>
        <v>614.295</v>
      </c>
      <c r="M15" s="9"/>
      <c r="N15" s="9"/>
      <c r="O15" s="9"/>
      <c r="P15" s="9"/>
      <c r="Q15" s="9"/>
      <c r="R15" s="9"/>
      <c r="S15" s="321" t="s">
        <v>930</v>
      </c>
      <c r="T15" s="6"/>
      <c r="U15" s="6"/>
      <c r="V15" s="6"/>
      <c r="W15" s="6"/>
    </row>
    <row r="16" ht="12.0" customHeight="1">
      <c r="A16" s="14"/>
      <c r="B16" s="15"/>
      <c r="C16" s="15"/>
      <c r="D16" s="39" t="s">
        <v>8</v>
      </c>
      <c r="E16" s="40" t="s">
        <v>27</v>
      </c>
      <c r="F16" s="41">
        <v>0.0</v>
      </c>
      <c r="G16" s="41" t="s">
        <v>10</v>
      </c>
      <c r="H16" s="319">
        <v>25.0</v>
      </c>
      <c r="I16" s="41" t="s">
        <v>11</v>
      </c>
      <c r="J16" s="81">
        <v>6316.0</v>
      </c>
      <c r="K16" s="320">
        <f t="shared" si="1"/>
        <v>0</v>
      </c>
      <c r="L16" s="317">
        <f>H16*1.8</f>
        <v>45</v>
      </c>
      <c r="M16" s="14"/>
      <c r="N16" s="14"/>
      <c r="O16" s="14"/>
      <c r="P16" s="14"/>
      <c r="Q16" s="14"/>
      <c r="R16" s="14"/>
      <c r="S16" s="6"/>
      <c r="T16" s="6"/>
      <c r="U16" s="6"/>
      <c r="V16" s="6"/>
      <c r="W16" s="6"/>
    </row>
    <row r="17" ht="12.0" customHeight="1">
      <c r="A17" s="14"/>
      <c r="B17" s="15"/>
      <c r="C17" s="15"/>
      <c r="D17" s="16" t="s">
        <v>8</v>
      </c>
      <c r="E17" s="17" t="s">
        <v>27</v>
      </c>
      <c r="F17" s="9">
        <v>10.0</v>
      </c>
      <c r="G17" s="9" t="s">
        <v>20</v>
      </c>
      <c r="H17" s="305">
        <f>SUM(1.7*H12)</f>
        <v>372.3</v>
      </c>
      <c r="I17" s="9" t="s">
        <v>17</v>
      </c>
      <c r="J17" s="24"/>
      <c r="K17" s="306">
        <f t="shared" si="1"/>
        <v>3723</v>
      </c>
      <c r="L17" s="301">
        <f t="shared" ref="L17:L44" si="3">H17*1.7</f>
        <v>632.91</v>
      </c>
      <c r="M17" s="310"/>
      <c r="N17" s="311"/>
      <c r="O17" s="310"/>
      <c r="P17" s="9"/>
      <c r="Q17" s="9"/>
      <c r="R17" s="9"/>
      <c r="S17" s="321" t="s">
        <v>931</v>
      </c>
      <c r="T17" s="6"/>
      <c r="U17" s="6"/>
      <c r="V17" s="6"/>
      <c r="W17" s="6"/>
    </row>
    <row r="18" ht="12.0" customHeight="1">
      <c r="A18" s="14"/>
      <c r="B18" s="15"/>
      <c r="C18" s="15"/>
      <c r="D18" s="46" t="s">
        <v>22</v>
      </c>
      <c r="E18" s="47" t="s">
        <v>28</v>
      </c>
      <c r="F18" s="50">
        <v>10.0</v>
      </c>
      <c r="G18" s="14" t="s">
        <v>20</v>
      </c>
      <c r="H18" s="307">
        <f>SUM(1.3*H12)</f>
        <v>284.7</v>
      </c>
      <c r="I18" s="50" t="s">
        <v>11</v>
      </c>
      <c r="J18" s="60">
        <v>5155.0</v>
      </c>
      <c r="K18" s="322">
        <f t="shared" si="1"/>
        <v>2847</v>
      </c>
      <c r="L18" s="301">
        <f t="shared" si="3"/>
        <v>483.99</v>
      </c>
      <c r="M18" s="312"/>
      <c r="N18" s="313"/>
      <c r="O18" s="312"/>
      <c r="P18" s="314"/>
      <c r="Q18" s="14"/>
      <c r="R18" s="14"/>
      <c r="S18" s="6"/>
      <c r="T18" s="6"/>
      <c r="U18" s="6"/>
      <c r="V18" s="6"/>
      <c r="W18" s="6"/>
    </row>
    <row r="19" ht="12.0" customHeight="1">
      <c r="A19" s="14"/>
      <c r="B19" s="15"/>
      <c r="C19" s="15"/>
      <c r="D19" s="31" t="s">
        <v>8</v>
      </c>
      <c r="E19" s="32" t="s">
        <v>29</v>
      </c>
      <c r="F19" s="33">
        <v>10.0</v>
      </c>
      <c r="G19" s="33" t="s">
        <v>10</v>
      </c>
      <c r="H19" s="305">
        <f>SUM(1.93*H12)</f>
        <v>422.67</v>
      </c>
      <c r="I19" s="33" t="s">
        <v>11</v>
      </c>
      <c r="J19" s="59">
        <v>6318.0</v>
      </c>
      <c r="K19" s="323">
        <f t="shared" si="1"/>
        <v>4226.7</v>
      </c>
      <c r="L19" s="301">
        <f t="shared" si="3"/>
        <v>718.539</v>
      </c>
      <c r="M19" s="9"/>
      <c r="N19" s="9"/>
      <c r="O19" s="9"/>
      <c r="P19" s="9"/>
      <c r="Q19" s="9"/>
      <c r="R19" s="9"/>
      <c r="S19" s="6"/>
      <c r="T19" s="6"/>
      <c r="U19" s="6"/>
      <c r="V19" s="6"/>
      <c r="W19" s="6"/>
    </row>
    <row r="20" ht="12.0" customHeight="1">
      <c r="A20" s="14"/>
      <c r="B20" s="15"/>
      <c r="C20" s="15"/>
      <c r="D20" s="15" t="s">
        <v>8</v>
      </c>
      <c r="E20" s="21" t="s">
        <v>30</v>
      </c>
      <c r="F20" s="14">
        <v>10.0</v>
      </c>
      <c r="G20" s="50" t="s">
        <v>16</v>
      </c>
      <c r="H20" s="307">
        <f>SUM(1.93*H12)</f>
        <v>422.67</v>
      </c>
      <c r="I20" s="50" t="s">
        <v>17</v>
      </c>
      <c r="J20" s="60">
        <v>8917.0</v>
      </c>
      <c r="K20" s="322">
        <f t="shared" si="1"/>
        <v>4226.7</v>
      </c>
      <c r="L20" s="301">
        <f t="shared" si="3"/>
        <v>718.539</v>
      </c>
      <c r="M20" s="312"/>
      <c r="N20" s="313"/>
      <c r="O20" s="312"/>
      <c r="P20" s="314"/>
      <c r="Q20" s="14"/>
      <c r="R20" s="14"/>
      <c r="S20" s="6"/>
      <c r="T20" s="6"/>
      <c r="U20" s="6"/>
      <c r="V20" s="6"/>
      <c r="W20" s="6"/>
    </row>
    <row r="21" ht="12.0" customHeight="1">
      <c r="A21" s="14"/>
      <c r="B21" s="15"/>
      <c r="C21" s="15"/>
      <c r="D21" s="25" t="s">
        <v>8</v>
      </c>
      <c r="E21" s="26" t="s">
        <v>31</v>
      </c>
      <c r="F21" s="27">
        <v>0.0</v>
      </c>
      <c r="G21" s="27" t="s">
        <v>10</v>
      </c>
      <c r="H21" s="315">
        <v>41.2</v>
      </c>
      <c r="I21" s="27" t="s">
        <v>11</v>
      </c>
      <c r="J21" s="103">
        <v>6320.0</v>
      </c>
      <c r="K21" s="316">
        <f t="shared" si="1"/>
        <v>0</v>
      </c>
      <c r="L21" s="301">
        <f t="shared" si="3"/>
        <v>70.04</v>
      </c>
      <c r="M21" s="9"/>
      <c r="N21" s="9"/>
      <c r="O21" s="9"/>
      <c r="P21" s="9"/>
      <c r="Q21" s="9"/>
      <c r="R21" s="9"/>
      <c r="S21" s="6"/>
      <c r="T21" s="6"/>
      <c r="U21" s="6"/>
      <c r="V21" s="6"/>
      <c r="W21" s="6"/>
    </row>
    <row r="22" ht="12.0" customHeight="1">
      <c r="A22" s="14"/>
      <c r="B22" s="15"/>
      <c r="C22" s="15"/>
      <c r="D22" s="15" t="s">
        <v>8</v>
      </c>
      <c r="E22" s="21" t="s">
        <v>31</v>
      </c>
      <c r="F22" s="14">
        <v>12.0</v>
      </c>
      <c r="G22" s="14" t="s">
        <v>16</v>
      </c>
      <c r="H22" s="307">
        <f>SUM(1.6*H12)</f>
        <v>350.4</v>
      </c>
      <c r="I22" s="14" t="s">
        <v>17</v>
      </c>
      <c r="J22" s="51">
        <v>8918.0</v>
      </c>
      <c r="K22" s="308">
        <f t="shared" si="1"/>
        <v>4204.8</v>
      </c>
      <c r="L22" s="301">
        <f t="shared" si="3"/>
        <v>595.68</v>
      </c>
      <c r="M22" s="312"/>
      <c r="N22" s="313"/>
      <c r="O22" s="312"/>
      <c r="P22" s="314"/>
      <c r="Q22" s="14"/>
      <c r="R22" s="14"/>
      <c r="S22" s="6"/>
      <c r="T22" s="6"/>
      <c r="U22" s="6"/>
      <c r="V22" s="6"/>
      <c r="W22" s="6"/>
    </row>
    <row r="23" ht="12.0" customHeight="1">
      <c r="A23" s="14"/>
      <c r="B23" s="15"/>
      <c r="C23" s="15"/>
      <c r="D23" s="16" t="s">
        <v>8</v>
      </c>
      <c r="E23" s="17" t="s">
        <v>32</v>
      </c>
      <c r="F23" s="33">
        <v>12.0</v>
      </c>
      <c r="G23" s="9" t="s">
        <v>16</v>
      </c>
      <c r="H23" s="305">
        <f>SUM(1.69*H12)</f>
        <v>370.11</v>
      </c>
      <c r="I23" s="9" t="s">
        <v>17</v>
      </c>
      <c r="J23" s="24">
        <v>8919.0</v>
      </c>
      <c r="K23" s="306">
        <f t="shared" si="1"/>
        <v>4441.32</v>
      </c>
      <c r="L23" s="301">
        <f t="shared" si="3"/>
        <v>629.187</v>
      </c>
      <c r="M23" s="310"/>
      <c r="N23" s="311"/>
      <c r="O23" s="310"/>
      <c r="P23" s="9"/>
      <c r="Q23" s="9"/>
      <c r="R23" s="9"/>
      <c r="S23" s="6"/>
      <c r="T23" s="6"/>
      <c r="U23" s="6"/>
      <c r="V23" s="6"/>
      <c r="W23" s="6"/>
    </row>
    <row r="24" ht="12.0" customHeight="1">
      <c r="A24" s="14"/>
      <c r="B24" s="15"/>
      <c r="C24" s="15"/>
      <c r="D24" s="15" t="s">
        <v>8</v>
      </c>
      <c r="E24" s="21" t="s">
        <v>33</v>
      </c>
      <c r="F24" s="14">
        <v>8.0</v>
      </c>
      <c r="G24" s="14" t="s">
        <v>16</v>
      </c>
      <c r="H24" s="307">
        <f>SUM(1.83*H12)</f>
        <v>400.77</v>
      </c>
      <c r="I24" s="14" t="s">
        <v>17</v>
      </c>
      <c r="J24" s="51">
        <v>8920.0</v>
      </c>
      <c r="K24" s="308">
        <f t="shared" si="1"/>
        <v>3206.16</v>
      </c>
      <c r="L24" s="301">
        <f t="shared" si="3"/>
        <v>681.309</v>
      </c>
      <c r="M24" s="312"/>
      <c r="N24" s="313"/>
      <c r="O24" s="312"/>
      <c r="P24" s="14"/>
      <c r="Q24" s="14"/>
      <c r="R24" s="14"/>
      <c r="S24" s="6"/>
      <c r="T24" s="6"/>
      <c r="U24" s="6"/>
      <c r="V24" s="6"/>
      <c r="W24" s="6"/>
    </row>
    <row r="25" ht="12.0" customHeight="1">
      <c r="A25" s="14"/>
      <c r="B25" s="15"/>
      <c r="C25" s="15"/>
      <c r="D25" s="16" t="s">
        <v>8</v>
      </c>
      <c r="E25" s="17" t="s">
        <v>34</v>
      </c>
      <c r="F25" s="9">
        <v>7.0</v>
      </c>
      <c r="G25" s="9" t="s">
        <v>10</v>
      </c>
      <c r="H25" s="305">
        <f>SUM(2.5*H12)</f>
        <v>547.5</v>
      </c>
      <c r="I25" s="9" t="s">
        <v>11</v>
      </c>
      <c r="J25" s="24">
        <v>6323.0</v>
      </c>
      <c r="K25" s="306">
        <f t="shared" si="1"/>
        <v>3832.5</v>
      </c>
      <c r="L25" s="301">
        <f t="shared" si="3"/>
        <v>930.75</v>
      </c>
      <c r="M25" s="9"/>
      <c r="N25" s="9"/>
      <c r="O25" s="9"/>
      <c r="P25" s="9"/>
      <c r="Q25" s="9"/>
      <c r="R25" s="9"/>
      <c r="S25" s="6"/>
      <c r="T25" s="6"/>
      <c r="U25" s="6"/>
      <c r="V25" s="6"/>
      <c r="W25" s="6"/>
    </row>
    <row r="26" ht="12.0" customHeight="1">
      <c r="A26" s="14"/>
      <c r="B26" s="15"/>
      <c r="C26" s="15"/>
      <c r="D26" s="15" t="s">
        <v>8</v>
      </c>
      <c r="E26" s="21" t="s">
        <v>35</v>
      </c>
      <c r="F26" s="14">
        <v>10.0</v>
      </c>
      <c r="G26" s="14" t="s">
        <v>16</v>
      </c>
      <c r="H26" s="307">
        <f>SUM(1.94*H12)</f>
        <v>424.86</v>
      </c>
      <c r="I26" s="14" t="s">
        <v>17</v>
      </c>
      <c r="J26" s="51">
        <v>8922.0</v>
      </c>
      <c r="K26" s="308">
        <f t="shared" si="1"/>
        <v>4248.6</v>
      </c>
      <c r="L26" s="301">
        <f t="shared" si="3"/>
        <v>722.262</v>
      </c>
      <c r="M26" s="312"/>
      <c r="N26" s="313"/>
      <c r="O26" s="312"/>
      <c r="P26" s="14"/>
      <c r="Q26" s="14"/>
      <c r="R26" s="14"/>
      <c r="S26" s="6"/>
      <c r="T26" s="6"/>
      <c r="U26" s="6"/>
      <c r="V26" s="6"/>
      <c r="W26" s="6"/>
    </row>
    <row r="27" ht="12.0" customHeight="1">
      <c r="A27" s="14"/>
      <c r="B27" s="15"/>
      <c r="C27" s="15"/>
      <c r="D27" s="16" t="s">
        <v>8</v>
      </c>
      <c r="E27" s="17" t="s">
        <v>36</v>
      </c>
      <c r="F27" s="9">
        <v>4.0</v>
      </c>
      <c r="G27" s="9" t="s">
        <v>16</v>
      </c>
      <c r="H27" s="305">
        <f>SUM(2*H12)</f>
        <v>438</v>
      </c>
      <c r="I27" s="9" t="s">
        <v>17</v>
      </c>
      <c r="J27" s="24">
        <v>8923.0</v>
      </c>
      <c r="K27" s="306">
        <f t="shared" si="1"/>
        <v>1752</v>
      </c>
      <c r="L27" s="301">
        <f t="shared" si="3"/>
        <v>744.6</v>
      </c>
      <c r="M27" s="310"/>
      <c r="N27" s="311"/>
      <c r="O27" s="310"/>
      <c r="P27" s="9"/>
      <c r="Q27" s="9"/>
      <c r="R27" s="9"/>
      <c r="S27" s="6"/>
      <c r="T27" s="6"/>
      <c r="U27" s="6"/>
      <c r="V27" s="6"/>
      <c r="W27" s="6"/>
    </row>
    <row r="28" ht="12.0" customHeight="1">
      <c r="A28" s="52"/>
      <c r="B28" s="15"/>
      <c r="C28" s="15"/>
      <c r="D28" s="15" t="s">
        <v>8</v>
      </c>
      <c r="E28" s="21" t="s">
        <v>37</v>
      </c>
      <c r="F28" s="14">
        <v>2.0</v>
      </c>
      <c r="G28" s="14" t="s">
        <v>16</v>
      </c>
      <c r="H28" s="307">
        <f>SUM(2.14*H12)</f>
        <v>468.66</v>
      </c>
      <c r="I28" s="14" t="s">
        <v>17</v>
      </c>
      <c r="J28" s="51">
        <v>8924.0</v>
      </c>
      <c r="K28" s="308">
        <f t="shared" si="1"/>
        <v>937.32</v>
      </c>
      <c r="L28" s="301">
        <f t="shared" si="3"/>
        <v>796.722</v>
      </c>
      <c r="M28" s="312"/>
      <c r="N28" s="313"/>
      <c r="O28" s="312"/>
      <c r="P28" s="14"/>
      <c r="Q28" s="14"/>
      <c r="R28" s="14"/>
      <c r="S28" s="6"/>
      <c r="T28" s="6"/>
      <c r="U28" s="6"/>
      <c r="V28" s="6"/>
      <c r="W28" s="6"/>
    </row>
    <row r="29" ht="12.0" customHeight="1">
      <c r="A29" s="52"/>
      <c r="B29" s="15"/>
      <c r="C29" s="15"/>
      <c r="D29" s="16" t="s">
        <v>8</v>
      </c>
      <c r="E29" s="17" t="s">
        <v>38</v>
      </c>
      <c r="F29" s="9">
        <v>7.0</v>
      </c>
      <c r="G29" s="9" t="s">
        <v>10</v>
      </c>
      <c r="H29" s="305">
        <f>SUM(2.84*H12)</f>
        <v>621.96</v>
      </c>
      <c r="I29" s="9" t="s">
        <v>11</v>
      </c>
      <c r="J29" s="24">
        <v>6327.0</v>
      </c>
      <c r="K29" s="306">
        <f t="shared" si="1"/>
        <v>4353.72</v>
      </c>
      <c r="L29" s="301">
        <f t="shared" si="3"/>
        <v>1057.332</v>
      </c>
      <c r="M29" s="9"/>
      <c r="N29" s="9"/>
      <c r="O29" s="9"/>
      <c r="P29" s="9"/>
      <c r="Q29" s="9"/>
      <c r="R29" s="9"/>
      <c r="S29" s="6"/>
      <c r="T29" s="6"/>
      <c r="U29" s="6"/>
      <c r="V29" s="6"/>
      <c r="W29" s="6"/>
    </row>
    <row r="30" ht="12.0" customHeight="1">
      <c r="A30" s="14"/>
      <c r="B30" s="15"/>
      <c r="C30" s="15"/>
      <c r="D30" s="15" t="s">
        <v>18</v>
      </c>
      <c r="E30" s="21" t="s">
        <v>39</v>
      </c>
      <c r="F30" s="50">
        <v>6.0</v>
      </c>
      <c r="G30" s="14" t="s">
        <v>20</v>
      </c>
      <c r="H30" s="307">
        <f>SUM(2.8*H12)</f>
        <v>613.2</v>
      </c>
      <c r="I30" s="14" t="s">
        <v>11</v>
      </c>
      <c r="J30" s="51">
        <v>5166.0</v>
      </c>
      <c r="K30" s="308">
        <f t="shared" si="1"/>
        <v>3679.2</v>
      </c>
      <c r="L30" s="301">
        <f t="shared" si="3"/>
        <v>1042.44</v>
      </c>
      <c r="M30" s="312"/>
      <c r="N30" s="313"/>
      <c r="O30" s="312"/>
      <c r="P30" s="14"/>
      <c r="Q30" s="14"/>
      <c r="R30" s="14"/>
      <c r="S30" s="6"/>
      <c r="T30" s="6"/>
      <c r="U30" s="6"/>
      <c r="V30" s="6"/>
      <c r="W30" s="6"/>
    </row>
    <row r="31" ht="12.0" customHeight="1">
      <c r="A31" s="52"/>
      <c r="B31" s="15"/>
      <c r="C31" s="15"/>
      <c r="D31" s="16" t="s">
        <v>8</v>
      </c>
      <c r="E31" s="17" t="s">
        <v>40</v>
      </c>
      <c r="F31" s="33">
        <v>0.0</v>
      </c>
      <c r="G31" s="9" t="s">
        <v>10</v>
      </c>
      <c r="H31" s="305">
        <f>SUM(2.88*H12)</f>
        <v>630.72</v>
      </c>
      <c r="I31" s="9" t="s">
        <v>11</v>
      </c>
      <c r="J31" s="24">
        <v>6329.0</v>
      </c>
      <c r="K31" s="306">
        <f t="shared" si="1"/>
        <v>0</v>
      </c>
      <c r="L31" s="301">
        <f t="shared" si="3"/>
        <v>1072.224</v>
      </c>
      <c r="M31" s="9"/>
      <c r="N31" s="9"/>
      <c r="O31" s="9"/>
      <c r="P31" s="9"/>
      <c r="Q31" s="9"/>
      <c r="R31" s="9"/>
      <c r="S31" s="6"/>
      <c r="T31" s="6"/>
      <c r="U31" s="6"/>
      <c r="V31" s="6"/>
      <c r="W31" s="6"/>
    </row>
    <row r="32" ht="12.0" customHeight="1">
      <c r="A32" s="52"/>
      <c r="B32" s="15"/>
      <c r="C32" s="15"/>
      <c r="D32" s="15" t="s">
        <v>8</v>
      </c>
      <c r="E32" s="21" t="s">
        <v>41</v>
      </c>
      <c r="F32" s="14">
        <v>11.0</v>
      </c>
      <c r="G32" s="14" t="s">
        <v>10</v>
      </c>
      <c r="H32" s="307">
        <f>SUM(3.8*H12)</f>
        <v>832.2</v>
      </c>
      <c r="I32" s="14" t="s">
        <v>11</v>
      </c>
      <c r="J32" s="51">
        <v>6330.0</v>
      </c>
      <c r="K32" s="308">
        <f t="shared" si="1"/>
        <v>9154.2</v>
      </c>
      <c r="L32" s="301">
        <f t="shared" si="3"/>
        <v>1414.74</v>
      </c>
      <c r="M32" s="14"/>
      <c r="N32" s="14"/>
      <c r="O32" s="14"/>
      <c r="P32" s="14"/>
      <c r="Q32" s="14"/>
      <c r="R32" s="14"/>
      <c r="S32" s="6"/>
      <c r="T32" s="6"/>
      <c r="U32" s="6"/>
      <c r="V32" s="6"/>
      <c r="W32" s="6"/>
    </row>
    <row r="33" ht="12.0" customHeight="1">
      <c r="A33" s="52"/>
      <c r="B33" s="15"/>
      <c r="C33" s="15"/>
      <c r="D33" s="16" t="s">
        <v>8</v>
      </c>
      <c r="E33" s="17" t="s">
        <v>42</v>
      </c>
      <c r="F33" s="9">
        <v>7.0</v>
      </c>
      <c r="G33" s="9" t="s">
        <v>10</v>
      </c>
      <c r="H33" s="305">
        <f>SUM(4.2*H12)</f>
        <v>919.8</v>
      </c>
      <c r="I33" s="9" t="s">
        <v>11</v>
      </c>
      <c r="J33" s="24">
        <v>6331.0</v>
      </c>
      <c r="K33" s="306">
        <f t="shared" si="1"/>
        <v>6438.6</v>
      </c>
      <c r="L33" s="301">
        <f t="shared" si="3"/>
        <v>1563.66</v>
      </c>
      <c r="M33" s="9"/>
      <c r="N33" s="9"/>
      <c r="O33" s="9"/>
      <c r="P33" s="9"/>
      <c r="Q33" s="9"/>
      <c r="R33" s="9"/>
      <c r="S33" s="6"/>
      <c r="T33" s="6"/>
      <c r="U33" s="6"/>
      <c r="V33" s="6"/>
      <c r="W33" s="6"/>
    </row>
    <row r="34" ht="12.0" customHeight="1">
      <c r="A34" s="14"/>
      <c r="B34" s="15"/>
      <c r="C34" s="15"/>
      <c r="D34" s="39" t="s">
        <v>8</v>
      </c>
      <c r="E34" s="40" t="s">
        <v>43</v>
      </c>
      <c r="F34" s="41">
        <v>0.0</v>
      </c>
      <c r="G34" s="41" t="s">
        <v>10</v>
      </c>
      <c r="H34" s="319">
        <v>83.0</v>
      </c>
      <c r="I34" s="41" t="s">
        <v>11</v>
      </c>
      <c r="J34" s="81">
        <v>6332.0</v>
      </c>
      <c r="K34" s="320">
        <f t="shared" si="1"/>
        <v>0</v>
      </c>
      <c r="L34" s="317">
        <f t="shared" si="3"/>
        <v>141.1</v>
      </c>
      <c r="M34" s="14"/>
      <c r="N34" s="14"/>
      <c r="O34" s="14"/>
      <c r="P34" s="14"/>
      <c r="Q34" s="14"/>
      <c r="R34" s="14"/>
      <c r="S34" s="6"/>
      <c r="T34" s="6"/>
      <c r="U34" s="6"/>
      <c r="V34" s="6"/>
      <c r="W34" s="6"/>
    </row>
    <row r="35" ht="12.0" customHeight="1">
      <c r="A35" s="14"/>
      <c r="B35" s="15"/>
      <c r="C35" s="15"/>
      <c r="D35" s="31" t="s">
        <v>18</v>
      </c>
      <c r="E35" s="32" t="s">
        <v>43</v>
      </c>
      <c r="F35" s="33">
        <v>2.0</v>
      </c>
      <c r="G35" s="9" t="s">
        <v>20</v>
      </c>
      <c r="H35" s="305">
        <f>SUM(3.3*H12)</f>
        <v>722.7</v>
      </c>
      <c r="I35" s="33" t="s">
        <v>11</v>
      </c>
      <c r="J35" s="33">
        <v>5170.0</v>
      </c>
      <c r="K35" s="323">
        <f t="shared" si="1"/>
        <v>1445.4</v>
      </c>
      <c r="L35" s="301">
        <f t="shared" si="3"/>
        <v>1228.59</v>
      </c>
      <c r="M35" s="324"/>
      <c r="N35" s="325"/>
      <c r="O35" s="324"/>
      <c r="P35" s="9"/>
      <c r="Q35" s="9"/>
      <c r="R35" s="9"/>
      <c r="S35" s="6"/>
      <c r="T35" s="6"/>
      <c r="U35" s="6"/>
      <c r="V35" s="6"/>
      <c r="W35" s="6"/>
    </row>
    <row r="36" ht="12.0" customHeight="1">
      <c r="A36" s="52"/>
      <c r="B36" s="15"/>
      <c r="C36" s="15"/>
      <c r="D36" s="15" t="s">
        <v>8</v>
      </c>
      <c r="E36" s="21" t="s">
        <v>44</v>
      </c>
      <c r="F36" s="14">
        <v>2.0</v>
      </c>
      <c r="G36" s="14" t="s">
        <v>20</v>
      </c>
      <c r="H36" s="307">
        <f>SUM(3*H12)</f>
        <v>657</v>
      </c>
      <c r="I36" s="14" t="s">
        <v>11</v>
      </c>
      <c r="J36" s="51">
        <v>5171.0</v>
      </c>
      <c r="K36" s="308">
        <f t="shared" si="1"/>
        <v>1314</v>
      </c>
      <c r="L36" s="301">
        <f t="shared" si="3"/>
        <v>1116.9</v>
      </c>
      <c r="M36" s="312"/>
      <c r="N36" s="313"/>
      <c r="O36" s="312"/>
      <c r="P36" s="14"/>
      <c r="Q36" s="14"/>
      <c r="R36" s="14"/>
      <c r="S36" s="321" t="s">
        <v>931</v>
      </c>
      <c r="T36" s="6"/>
      <c r="U36" s="6"/>
      <c r="V36" s="6"/>
      <c r="W36" s="6"/>
    </row>
    <row r="37" ht="12.0" customHeight="1">
      <c r="A37" s="52"/>
      <c r="B37" s="15"/>
      <c r="C37" s="15"/>
      <c r="D37" s="16" t="s">
        <v>8</v>
      </c>
      <c r="E37" s="17" t="s">
        <v>45</v>
      </c>
      <c r="F37" s="9">
        <v>1.0</v>
      </c>
      <c r="G37" s="9" t="s">
        <v>16</v>
      </c>
      <c r="H37" s="305">
        <f>SUM(3.51*H12)</f>
        <v>768.69</v>
      </c>
      <c r="I37" s="9" t="s">
        <v>17</v>
      </c>
      <c r="J37" s="24">
        <v>8932.0</v>
      </c>
      <c r="K37" s="306">
        <f t="shared" si="1"/>
        <v>768.69</v>
      </c>
      <c r="L37" s="301">
        <f t="shared" si="3"/>
        <v>1306.773</v>
      </c>
      <c r="M37" s="9"/>
      <c r="N37" s="9"/>
      <c r="O37" s="9"/>
      <c r="P37" s="9"/>
      <c r="Q37" s="9"/>
      <c r="R37" s="9"/>
      <c r="S37" s="321"/>
      <c r="T37" s="6"/>
      <c r="U37" s="6"/>
      <c r="V37" s="6"/>
      <c r="W37" s="6"/>
    </row>
    <row r="38" ht="12.0" customHeight="1">
      <c r="A38" s="52"/>
      <c r="B38" s="15"/>
      <c r="C38" s="15"/>
      <c r="D38" s="15" t="s">
        <v>8</v>
      </c>
      <c r="E38" s="21" t="s">
        <v>46</v>
      </c>
      <c r="F38" s="14">
        <v>4.0</v>
      </c>
      <c r="G38" s="14" t="s">
        <v>10</v>
      </c>
      <c r="H38" s="307">
        <f>SUM(5.3*H12)</f>
        <v>1160.7</v>
      </c>
      <c r="I38" s="14" t="s">
        <v>11</v>
      </c>
      <c r="J38" s="51">
        <v>6335.0</v>
      </c>
      <c r="K38" s="308">
        <f t="shared" si="1"/>
        <v>4642.8</v>
      </c>
      <c r="L38" s="301">
        <f t="shared" si="3"/>
        <v>1973.19</v>
      </c>
      <c r="M38" s="14"/>
      <c r="N38" s="14"/>
      <c r="O38" s="14"/>
      <c r="P38" s="14"/>
      <c r="Q38" s="14"/>
      <c r="R38" s="14"/>
      <c r="S38" s="6"/>
      <c r="T38" s="6"/>
      <c r="U38" s="6"/>
      <c r="V38" s="6"/>
      <c r="W38" s="6"/>
    </row>
    <row r="39" ht="12.0" customHeight="1">
      <c r="A39" s="52"/>
      <c r="B39" s="15"/>
      <c r="C39" s="15"/>
      <c r="D39" s="16" t="s">
        <v>8</v>
      </c>
      <c r="E39" s="17" t="s">
        <v>47</v>
      </c>
      <c r="F39" s="33">
        <v>1.0</v>
      </c>
      <c r="G39" s="9" t="s">
        <v>10</v>
      </c>
      <c r="H39" s="305">
        <f>SUM(6*H12)</f>
        <v>1314</v>
      </c>
      <c r="I39" s="9" t="s">
        <v>11</v>
      </c>
      <c r="J39" s="24">
        <v>6336.0</v>
      </c>
      <c r="K39" s="306">
        <f t="shared" si="1"/>
        <v>1314</v>
      </c>
      <c r="L39" s="301">
        <f t="shared" si="3"/>
        <v>2233.8</v>
      </c>
      <c r="M39" s="9"/>
      <c r="N39" s="9"/>
      <c r="O39" s="9"/>
      <c r="P39" s="9"/>
      <c r="Q39" s="9"/>
      <c r="R39" s="9"/>
      <c r="S39" s="6"/>
      <c r="T39" s="6"/>
      <c r="U39" s="6"/>
      <c r="V39" s="6"/>
      <c r="W39" s="6"/>
    </row>
    <row r="40" ht="12.0" customHeight="1">
      <c r="A40" s="52"/>
      <c r="B40" s="15"/>
      <c r="C40" s="15"/>
      <c r="D40" s="15" t="s">
        <v>8</v>
      </c>
      <c r="E40" s="21" t="s">
        <v>48</v>
      </c>
      <c r="F40" s="14">
        <v>1.0</v>
      </c>
      <c r="G40" s="14" t="s">
        <v>10</v>
      </c>
      <c r="H40" s="307">
        <f>SUM(6.2*H12)</f>
        <v>1357.8</v>
      </c>
      <c r="I40" s="14" t="s">
        <v>11</v>
      </c>
      <c r="J40" s="51">
        <v>6337.0</v>
      </c>
      <c r="K40" s="308">
        <f t="shared" si="1"/>
        <v>1357.8</v>
      </c>
      <c r="L40" s="301">
        <f t="shared" si="3"/>
        <v>2308.26</v>
      </c>
      <c r="M40" s="14"/>
      <c r="N40" s="14"/>
      <c r="O40" s="14"/>
      <c r="P40" s="14"/>
      <c r="Q40" s="14"/>
      <c r="R40" s="14"/>
      <c r="S40" s="6"/>
      <c r="T40" s="6"/>
      <c r="U40" s="6"/>
      <c r="V40" s="6"/>
      <c r="W40" s="6"/>
    </row>
    <row r="41" ht="12.0" customHeight="1">
      <c r="A41" s="52"/>
      <c r="B41" s="15"/>
      <c r="C41" s="15"/>
      <c r="D41" s="25" t="s">
        <v>22</v>
      </c>
      <c r="E41" s="26" t="s">
        <v>48</v>
      </c>
      <c r="F41" s="27">
        <v>0.0</v>
      </c>
      <c r="G41" s="27" t="s">
        <v>16</v>
      </c>
      <c r="H41" s="315">
        <f>SUM(M41+O41)</f>
        <v>88.33</v>
      </c>
      <c r="I41" s="27" t="s">
        <v>17</v>
      </c>
      <c r="J41" s="222">
        <v>8935.0</v>
      </c>
      <c r="K41" s="316">
        <f t="shared" si="1"/>
        <v>0</v>
      </c>
      <c r="L41" s="317">
        <f t="shared" si="3"/>
        <v>150.161</v>
      </c>
      <c r="M41" s="310">
        <v>73.0</v>
      </c>
      <c r="N41" s="311">
        <v>0.21</v>
      </c>
      <c r="O41" s="310">
        <f t="shared" ref="O41:O42" si="4">SUM(M41*N41)</f>
        <v>15.33</v>
      </c>
      <c r="P41" s="326"/>
      <c r="Q41" s="9"/>
      <c r="R41" s="9"/>
      <c r="S41" s="6"/>
      <c r="T41" s="6"/>
      <c r="U41" s="6"/>
      <c r="V41" s="6"/>
      <c r="W41" s="6"/>
    </row>
    <row r="42" ht="12.0" customHeight="1">
      <c r="A42" s="52"/>
      <c r="B42" s="15"/>
      <c r="C42" s="15"/>
      <c r="D42" s="15" t="s">
        <v>8</v>
      </c>
      <c r="E42" s="21" t="s">
        <v>49</v>
      </c>
      <c r="F42" s="14">
        <v>2.0</v>
      </c>
      <c r="G42" s="14" t="s">
        <v>16</v>
      </c>
      <c r="H42" s="307">
        <f>SUM(4.69*H12)</f>
        <v>1027.11</v>
      </c>
      <c r="I42" s="14" t="s">
        <v>17</v>
      </c>
      <c r="J42" s="51">
        <v>8936.0</v>
      </c>
      <c r="K42" s="308">
        <f t="shared" si="1"/>
        <v>2054.22</v>
      </c>
      <c r="L42" s="301">
        <f t="shared" si="3"/>
        <v>1746.087</v>
      </c>
      <c r="M42" s="312">
        <v>376.0</v>
      </c>
      <c r="N42" s="313">
        <v>0.21</v>
      </c>
      <c r="O42" s="312">
        <f t="shared" si="4"/>
        <v>78.96</v>
      </c>
      <c r="P42" s="14"/>
      <c r="Q42" s="14"/>
      <c r="R42" s="14"/>
      <c r="S42" s="6"/>
      <c r="T42" s="6"/>
      <c r="U42" s="6"/>
      <c r="V42" s="6"/>
      <c r="W42" s="6"/>
    </row>
    <row r="43" ht="12.0" customHeight="1">
      <c r="A43" s="52"/>
      <c r="B43" s="15"/>
      <c r="C43" s="15"/>
      <c r="D43" s="25" t="s">
        <v>8</v>
      </c>
      <c r="E43" s="26" t="s">
        <v>50</v>
      </c>
      <c r="F43" s="27">
        <v>0.0</v>
      </c>
      <c r="G43" s="27" t="s">
        <v>10</v>
      </c>
      <c r="H43" s="315"/>
      <c r="I43" s="27" t="s">
        <v>11</v>
      </c>
      <c r="J43" s="103">
        <v>6339.0</v>
      </c>
      <c r="K43" s="316">
        <f t="shared" si="1"/>
        <v>0</v>
      </c>
      <c r="L43" s="317">
        <f t="shared" si="3"/>
        <v>0</v>
      </c>
      <c r="M43" s="9"/>
      <c r="N43" s="9"/>
      <c r="O43" s="9"/>
      <c r="P43" s="9"/>
      <c r="Q43" s="9"/>
      <c r="R43" s="9"/>
      <c r="S43" s="6"/>
      <c r="T43" s="6"/>
      <c r="U43" s="6"/>
      <c r="V43" s="6"/>
      <c r="W43" s="6"/>
    </row>
    <row r="44" ht="12.0" customHeight="1">
      <c r="A44" s="52"/>
      <c r="B44" s="15"/>
      <c r="C44" s="15"/>
      <c r="D44" s="39" t="s">
        <v>8</v>
      </c>
      <c r="E44" s="40" t="s">
        <v>51</v>
      </c>
      <c r="F44" s="41">
        <v>0.0</v>
      </c>
      <c r="G44" s="41" t="s">
        <v>10</v>
      </c>
      <c r="H44" s="319">
        <v>520.0</v>
      </c>
      <c r="I44" s="41" t="s">
        <v>11</v>
      </c>
      <c r="J44" s="81">
        <v>6340.0</v>
      </c>
      <c r="K44" s="320">
        <f t="shared" si="1"/>
        <v>0</v>
      </c>
      <c r="L44" s="317">
        <f t="shared" si="3"/>
        <v>884</v>
      </c>
      <c r="M44" s="14"/>
      <c r="N44" s="14"/>
      <c r="O44" s="14"/>
      <c r="P44" s="14"/>
      <c r="Q44" s="14"/>
      <c r="R44" s="14"/>
      <c r="S44" s="6"/>
      <c r="T44" s="6"/>
      <c r="U44" s="6"/>
      <c r="V44" s="6"/>
      <c r="W44" s="6"/>
    </row>
    <row r="45" ht="12.0" customHeight="1">
      <c r="A45" s="52"/>
      <c r="B45" s="15"/>
      <c r="C45" s="15"/>
      <c r="D45" s="15" t="s">
        <v>8</v>
      </c>
      <c r="E45" s="21" t="s">
        <v>51</v>
      </c>
      <c r="F45" s="14">
        <v>2.0</v>
      </c>
      <c r="G45" s="14" t="s">
        <v>20</v>
      </c>
      <c r="H45" s="307">
        <f>SUM(5.3*H12)</f>
        <v>1160.7</v>
      </c>
      <c r="I45" s="14" t="s">
        <v>11</v>
      </c>
      <c r="J45" s="51">
        <v>5178.0</v>
      </c>
      <c r="K45" s="308">
        <f t="shared" si="1"/>
        <v>2321.4</v>
      </c>
      <c r="L45" s="301">
        <f t="shared" ref="L45:L48" si="5">H45*1.6</f>
        <v>1857.12</v>
      </c>
      <c r="M45" s="14"/>
      <c r="N45" s="14"/>
      <c r="O45" s="14"/>
      <c r="P45" s="14"/>
      <c r="Q45" s="14"/>
      <c r="R45" s="14"/>
      <c r="S45" s="6"/>
      <c r="T45" s="6"/>
      <c r="U45" s="6"/>
      <c r="V45" s="6"/>
      <c r="W45" s="6"/>
    </row>
    <row r="46" ht="12.0" customHeight="1">
      <c r="A46" s="52"/>
      <c r="B46" s="15"/>
      <c r="C46" s="15"/>
      <c r="D46" s="16" t="s">
        <v>8</v>
      </c>
      <c r="E46" s="17" t="s">
        <v>52</v>
      </c>
      <c r="F46" s="9">
        <v>1.0</v>
      </c>
      <c r="G46" s="9" t="s">
        <v>16</v>
      </c>
      <c r="H46" s="305">
        <f>SUM(8.3*H12)</f>
        <v>1817.7</v>
      </c>
      <c r="I46" s="9" t="s">
        <v>17</v>
      </c>
      <c r="J46" s="24">
        <v>8940.0</v>
      </c>
      <c r="K46" s="306">
        <f t="shared" si="1"/>
        <v>1817.7</v>
      </c>
      <c r="L46" s="301">
        <f t="shared" si="5"/>
        <v>2908.32</v>
      </c>
      <c r="M46" s="310">
        <v>642.0</v>
      </c>
      <c r="N46" s="311">
        <v>0.21</v>
      </c>
      <c r="O46" s="310">
        <f>SUM(M46*N46)</f>
        <v>134.82</v>
      </c>
      <c r="P46" s="9"/>
      <c r="Q46" s="9"/>
      <c r="R46" s="9"/>
      <c r="S46" s="6"/>
      <c r="T46" s="6"/>
      <c r="U46" s="6"/>
      <c r="V46" s="6"/>
      <c r="W46" s="6"/>
    </row>
    <row r="47" ht="12.0" customHeight="1">
      <c r="A47" s="52"/>
      <c r="B47" s="15"/>
      <c r="C47" s="15"/>
      <c r="D47" s="15" t="s">
        <v>8</v>
      </c>
      <c r="E47" s="21" t="s">
        <v>53</v>
      </c>
      <c r="F47" s="14">
        <v>3.0</v>
      </c>
      <c r="G47" s="14" t="s">
        <v>10</v>
      </c>
      <c r="H47" s="307">
        <f>SUM(9.5*H12)</f>
        <v>2080.5</v>
      </c>
      <c r="I47" s="14" t="s">
        <v>11</v>
      </c>
      <c r="J47" s="51">
        <v>6344.0</v>
      </c>
      <c r="K47" s="308">
        <f t="shared" si="1"/>
        <v>6241.5</v>
      </c>
      <c r="L47" s="301">
        <f t="shared" si="5"/>
        <v>3328.8</v>
      </c>
      <c r="M47" s="14"/>
      <c r="N47" s="14"/>
      <c r="O47" s="14"/>
      <c r="P47" s="14"/>
      <c r="Q47" s="14"/>
      <c r="R47" s="14"/>
      <c r="S47" s="6"/>
      <c r="T47" s="6"/>
      <c r="U47" s="6"/>
      <c r="V47" s="6"/>
      <c r="W47" s="6"/>
    </row>
    <row r="48" ht="12.0" customHeight="1">
      <c r="A48" s="52"/>
      <c r="B48" s="15"/>
      <c r="C48" s="15"/>
      <c r="D48" s="16" t="s">
        <v>8</v>
      </c>
      <c r="E48" s="17" t="s">
        <v>54</v>
      </c>
      <c r="F48" s="9">
        <v>3.0</v>
      </c>
      <c r="G48" s="9" t="s">
        <v>20</v>
      </c>
      <c r="H48" s="305">
        <f>SUM(8.8*H12)</f>
        <v>1927.2</v>
      </c>
      <c r="I48" s="9" t="s">
        <v>11</v>
      </c>
      <c r="J48" s="24">
        <v>5186.0</v>
      </c>
      <c r="K48" s="306">
        <f t="shared" si="1"/>
        <v>5781.6</v>
      </c>
      <c r="L48" s="301">
        <f t="shared" si="5"/>
        <v>3083.52</v>
      </c>
      <c r="M48" s="9"/>
      <c r="N48" s="9"/>
      <c r="O48" s="9"/>
      <c r="P48" s="9"/>
      <c r="Q48" s="9"/>
      <c r="R48" s="9"/>
      <c r="S48" s="6"/>
      <c r="T48" s="6"/>
      <c r="U48" s="6"/>
      <c r="V48" s="6"/>
      <c r="W48" s="6"/>
    </row>
    <row r="49" ht="12.0" customHeight="1">
      <c r="A49" s="52"/>
      <c r="B49" s="15"/>
      <c r="C49" s="15"/>
      <c r="D49" s="39" t="s">
        <v>8</v>
      </c>
      <c r="E49" s="40" t="s">
        <v>55</v>
      </c>
      <c r="F49" s="41">
        <v>0.0</v>
      </c>
      <c r="G49" s="41" t="s">
        <v>10</v>
      </c>
      <c r="H49" s="319"/>
      <c r="I49" s="41" t="s">
        <v>11</v>
      </c>
      <c r="J49" s="81">
        <v>6349.0</v>
      </c>
      <c r="K49" s="320">
        <f t="shared" si="1"/>
        <v>0</v>
      </c>
      <c r="L49" s="301"/>
      <c r="M49" s="14"/>
      <c r="N49" s="14"/>
      <c r="O49" s="14"/>
      <c r="P49" s="14"/>
      <c r="Q49" s="14"/>
      <c r="R49" s="14"/>
      <c r="S49" s="6"/>
      <c r="T49" s="6"/>
      <c r="U49" s="6"/>
      <c r="V49" s="6"/>
      <c r="W49" s="6"/>
    </row>
    <row r="50" ht="12.0" customHeight="1">
      <c r="A50" s="52"/>
      <c r="B50" s="15"/>
      <c r="C50" s="15"/>
      <c r="D50" s="25" t="s">
        <v>8</v>
      </c>
      <c r="E50" s="26" t="s">
        <v>56</v>
      </c>
      <c r="F50" s="27">
        <v>0.0</v>
      </c>
      <c r="G50" s="27" t="s">
        <v>10</v>
      </c>
      <c r="H50" s="315"/>
      <c r="I50" s="27" t="s">
        <v>11</v>
      </c>
      <c r="J50" s="103">
        <v>6350.0</v>
      </c>
      <c r="K50" s="316">
        <f t="shared" si="1"/>
        <v>0</v>
      </c>
      <c r="L50" s="301"/>
      <c r="M50" s="9"/>
      <c r="N50" s="9"/>
      <c r="O50" s="9"/>
      <c r="P50" s="9"/>
      <c r="Q50" s="9"/>
      <c r="R50" s="9"/>
      <c r="S50" s="6"/>
      <c r="T50" s="6"/>
      <c r="U50" s="6"/>
      <c r="V50" s="6"/>
      <c r="W50" s="6"/>
    </row>
    <row r="51" ht="12.0" customHeight="1">
      <c r="A51" s="52"/>
      <c r="B51" s="15"/>
      <c r="C51" s="15"/>
      <c r="D51" s="39" t="s">
        <v>8</v>
      </c>
      <c r="E51" s="40" t="s">
        <v>57</v>
      </c>
      <c r="F51" s="41">
        <v>0.0</v>
      </c>
      <c r="G51" s="41" t="s">
        <v>10</v>
      </c>
      <c r="H51" s="319">
        <v>485.0</v>
      </c>
      <c r="I51" s="41" t="s">
        <v>11</v>
      </c>
      <c r="J51" s="81">
        <v>6352.0</v>
      </c>
      <c r="K51" s="320">
        <f t="shared" si="1"/>
        <v>0</v>
      </c>
      <c r="L51" s="317">
        <f>H51*1.6</f>
        <v>776</v>
      </c>
      <c r="M51" s="14"/>
      <c r="N51" s="14"/>
      <c r="O51" s="14"/>
      <c r="P51" s="14"/>
      <c r="Q51" s="14"/>
      <c r="R51" s="14"/>
      <c r="S51" s="6"/>
      <c r="T51" s="6"/>
      <c r="U51" s="6"/>
      <c r="V51" s="6"/>
      <c r="W51" s="6"/>
    </row>
    <row r="52" ht="12.0" customHeight="1">
      <c r="A52" s="14"/>
      <c r="B52" s="15"/>
      <c r="C52" s="15"/>
      <c r="D52" s="54" t="s">
        <v>58</v>
      </c>
      <c r="E52" s="47" t="s">
        <v>27</v>
      </c>
      <c r="F52" s="50">
        <v>2.0</v>
      </c>
      <c r="G52" s="50" t="s">
        <v>60</v>
      </c>
      <c r="H52" s="307">
        <f>SUM(0.8*H54)</f>
        <v>189.6</v>
      </c>
      <c r="I52" s="50" t="s">
        <v>17</v>
      </c>
      <c r="J52" s="60">
        <v>22060.0</v>
      </c>
      <c r="K52" s="322">
        <f>F52*H52</f>
        <v>379.2</v>
      </c>
      <c r="L52" s="301">
        <f t="shared" ref="L52:L56" si="6">H52*1.7</f>
        <v>322.32</v>
      </c>
      <c r="M52" s="14"/>
      <c r="N52" s="14"/>
      <c r="O52" s="14"/>
      <c r="P52" s="14"/>
      <c r="Q52" s="14"/>
      <c r="R52" s="14"/>
      <c r="S52" s="6"/>
      <c r="T52" s="6"/>
      <c r="U52" s="6"/>
      <c r="V52" s="6"/>
      <c r="W52" s="6"/>
    </row>
    <row r="53" ht="12.0" customHeight="1">
      <c r="A53" s="14"/>
      <c r="B53" s="15"/>
      <c r="C53" s="15"/>
      <c r="D53" s="55" t="s">
        <v>58</v>
      </c>
      <c r="E53" s="32" t="s">
        <v>31</v>
      </c>
      <c r="F53" s="33">
        <v>4.0</v>
      </c>
      <c r="G53" s="33" t="s">
        <v>60</v>
      </c>
      <c r="H53" s="305">
        <f>SUM(0.85*H54)</f>
        <v>201.45</v>
      </c>
      <c r="I53" s="33" t="s">
        <v>17</v>
      </c>
      <c r="J53" s="59">
        <v>22061.0</v>
      </c>
      <c r="K53" s="323">
        <f>H53*F53</f>
        <v>805.8</v>
      </c>
      <c r="L53" s="301">
        <f t="shared" si="6"/>
        <v>342.465</v>
      </c>
      <c r="M53" s="310"/>
      <c r="N53" s="311"/>
      <c r="O53" s="310"/>
      <c r="P53" s="326"/>
      <c r="Q53" s="9"/>
      <c r="R53" s="9"/>
      <c r="S53" s="6"/>
      <c r="T53" s="6"/>
      <c r="U53" s="6"/>
      <c r="V53" s="6"/>
      <c r="W53" s="6"/>
    </row>
    <row r="54" ht="12.0" customHeight="1">
      <c r="A54" s="14"/>
      <c r="B54" s="15"/>
      <c r="C54" s="15"/>
      <c r="D54" s="54" t="s">
        <v>58</v>
      </c>
      <c r="E54" s="56" t="s">
        <v>70</v>
      </c>
      <c r="F54" s="327">
        <v>10.0</v>
      </c>
      <c r="G54" s="14" t="s">
        <v>60</v>
      </c>
      <c r="H54" s="328">
        <v>237.0</v>
      </c>
      <c r="I54" s="14" t="s">
        <v>61</v>
      </c>
      <c r="J54" s="60">
        <v>4311.0</v>
      </c>
      <c r="K54" s="322">
        <f t="shared" ref="K54:K55" si="7">F54*H54</f>
        <v>2370</v>
      </c>
      <c r="L54" s="301">
        <f t="shared" si="6"/>
        <v>402.9</v>
      </c>
      <c r="M54" s="329"/>
      <c r="N54" s="14"/>
      <c r="O54" s="14"/>
      <c r="P54" s="14"/>
      <c r="Q54" s="14"/>
      <c r="R54" s="14"/>
      <c r="S54" s="321" t="s">
        <v>931</v>
      </c>
      <c r="T54" s="6"/>
      <c r="U54" s="6"/>
      <c r="V54" s="6"/>
      <c r="W54" s="6"/>
    </row>
    <row r="55" ht="12.0" customHeight="1">
      <c r="A55" s="14"/>
      <c r="B55" s="15"/>
      <c r="C55" s="15"/>
      <c r="D55" s="55" t="s">
        <v>58</v>
      </c>
      <c r="E55" s="57" t="s">
        <v>68</v>
      </c>
      <c r="F55" s="330">
        <v>12.0</v>
      </c>
      <c r="G55" s="9" t="s">
        <v>60</v>
      </c>
      <c r="H55" s="305">
        <f>SUM(1.4*H54)</f>
        <v>331.8</v>
      </c>
      <c r="I55" s="9" t="s">
        <v>17</v>
      </c>
      <c r="J55" s="59">
        <v>5975.0</v>
      </c>
      <c r="K55" s="323">
        <f t="shared" si="7"/>
        <v>3981.6</v>
      </c>
      <c r="L55" s="301">
        <f t="shared" si="6"/>
        <v>564.06</v>
      </c>
      <c r="M55" s="310"/>
      <c r="N55" s="311"/>
      <c r="O55" s="310"/>
      <c r="P55" s="326"/>
      <c r="Q55" s="9"/>
      <c r="R55" s="9"/>
      <c r="S55" s="321" t="s">
        <v>931</v>
      </c>
      <c r="T55" s="6"/>
      <c r="U55" s="6"/>
      <c r="V55" s="6"/>
      <c r="W55" s="6"/>
    </row>
    <row r="56" ht="12.0" customHeight="1">
      <c r="A56" s="14"/>
      <c r="B56" s="15"/>
      <c r="C56" s="15"/>
      <c r="D56" s="54" t="s">
        <v>58</v>
      </c>
      <c r="E56" s="21" t="s">
        <v>51</v>
      </c>
      <c r="F56" s="50">
        <v>5.0</v>
      </c>
      <c r="G56" s="14" t="s">
        <v>60</v>
      </c>
      <c r="H56" s="307">
        <f>SUM(2.2*H54)</f>
        <v>521.4</v>
      </c>
      <c r="I56" s="14" t="s">
        <v>61</v>
      </c>
      <c r="J56" s="51">
        <v>4313.0</v>
      </c>
      <c r="K56" s="308">
        <f t="shared" ref="K56:K58" si="8">H56*F56</f>
        <v>2607</v>
      </c>
      <c r="L56" s="301">
        <f t="shared" si="6"/>
        <v>886.38</v>
      </c>
      <c r="M56" s="312"/>
      <c r="N56" s="313"/>
      <c r="O56" s="312"/>
      <c r="P56" s="314"/>
      <c r="Q56" s="14"/>
      <c r="R56" s="14"/>
      <c r="S56" s="6"/>
      <c r="T56" s="6"/>
      <c r="U56" s="6"/>
      <c r="V56" s="6"/>
      <c r="W56" s="6"/>
    </row>
    <row r="57" ht="12.0" customHeight="1">
      <c r="A57" s="14"/>
      <c r="B57" s="15"/>
      <c r="C57" s="15"/>
      <c r="D57" s="58" t="s">
        <v>58</v>
      </c>
      <c r="E57" s="26" t="s">
        <v>51</v>
      </c>
      <c r="F57" s="27">
        <v>4.0</v>
      </c>
      <c r="G57" s="27" t="s">
        <v>63</v>
      </c>
      <c r="H57" s="315">
        <f>SUM(M57+O57)</f>
        <v>0</v>
      </c>
      <c r="I57" s="27" t="s">
        <v>17</v>
      </c>
      <c r="J57" s="103"/>
      <c r="K57" s="316">
        <f t="shared" si="8"/>
        <v>0</v>
      </c>
      <c r="L57" s="317">
        <f>H57*1.82</f>
        <v>0</v>
      </c>
      <c r="M57" s="331">
        <v>0.0</v>
      </c>
      <c r="N57" s="332">
        <v>0.21</v>
      </c>
      <c r="O57" s="331">
        <f>SUM(M57*N57)</f>
        <v>0</v>
      </c>
      <c r="P57" s="331"/>
      <c r="Q57" s="9"/>
      <c r="R57" s="9"/>
      <c r="S57" s="6"/>
      <c r="T57" s="6"/>
      <c r="U57" s="6"/>
      <c r="V57" s="6"/>
      <c r="W57" s="6"/>
    </row>
    <row r="58" ht="12.0" customHeight="1">
      <c r="A58" s="14"/>
      <c r="B58" s="15"/>
      <c r="C58" s="15"/>
      <c r="D58" s="54" t="s">
        <v>64</v>
      </c>
      <c r="E58" s="21" t="s">
        <v>54</v>
      </c>
      <c r="F58" s="14">
        <v>3.0</v>
      </c>
      <c r="G58" s="14"/>
      <c r="H58" s="307">
        <f>SUM(3.3*H54)</f>
        <v>782.1</v>
      </c>
      <c r="I58" s="14" t="s">
        <v>61</v>
      </c>
      <c r="J58" s="51">
        <v>4314.0</v>
      </c>
      <c r="K58" s="308">
        <f t="shared" si="8"/>
        <v>2346.3</v>
      </c>
      <c r="L58" s="301">
        <f>H58*1.7</f>
        <v>1329.57</v>
      </c>
      <c r="M58" s="14"/>
      <c r="N58" s="14"/>
      <c r="O58" s="14"/>
      <c r="P58" s="14"/>
      <c r="Q58" s="14"/>
      <c r="R58" s="14"/>
      <c r="S58" s="6"/>
      <c r="T58" s="6"/>
      <c r="U58" s="6"/>
      <c r="V58" s="6"/>
      <c r="W58" s="6"/>
    </row>
    <row r="59" ht="12.0" customHeight="1">
      <c r="A59" s="14"/>
      <c r="B59" s="15"/>
      <c r="C59" s="15"/>
      <c r="D59" s="55" t="s">
        <v>65</v>
      </c>
      <c r="E59" s="57" t="s">
        <v>66</v>
      </c>
      <c r="F59" s="330">
        <v>1.0</v>
      </c>
      <c r="G59" s="9" t="s">
        <v>10</v>
      </c>
      <c r="H59" s="333">
        <f t="shared" ref="H59:H60" si="9">SUM(M59+O59)</f>
        <v>1548.8</v>
      </c>
      <c r="I59" s="9" t="s">
        <v>17</v>
      </c>
      <c r="J59" s="59">
        <v>22071.0</v>
      </c>
      <c r="K59" s="323">
        <f t="shared" ref="K59:K60" si="10">F59*H59</f>
        <v>1548.8</v>
      </c>
      <c r="L59" s="301">
        <f t="shared" ref="L59:L60" si="11">H59*1.6</f>
        <v>2478.08</v>
      </c>
      <c r="M59" s="334">
        <v>1280.0</v>
      </c>
      <c r="N59" s="311">
        <v>0.21</v>
      </c>
      <c r="O59" s="310">
        <f t="shared" ref="O59:O60" si="12">SUM(M59*N59)</f>
        <v>268.8</v>
      </c>
      <c r="P59" s="9"/>
      <c r="Q59" s="9"/>
      <c r="R59" s="9"/>
      <c r="S59" s="6"/>
      <c r="T59" s="6"/>
      <c r="U59" s="6"/>
      <c r="V59" s="6"/>
      <c r="W59" s="6"/>
    </row>
    <row r="60" ht="12.0" customHeight="1">
      <c r="A60" s="14"/>
      <c r="B60" s="15"/>
      <c r="C60" s="15"/>
      <c r="D60" s="54" t="s">
        <v>67</v>
      </c>
      <c r="E60" s="21" t="s">
        <v>68</v>
      </c>
      <c r="F60" s="14">
        <v>1.0</v>
      </c>
      <c r="G60" s="14" t="s">
        <v>10</v>
      </c>
      <c r="H60" s="335">
        <f t="shared" si="9"/>
        <v>511.83</v>
      </c>
      <c r="I60" s="14" t="s">
        <v>17</v>
      </c>
      <c r="J60" s="60">
        <v>7255.0</v>
      </c>
      <c r="K60" s="322">
        <f t="shared" si="10"/>
        <v>511.83</v>
      </c>
      <c r="L60" s="301">
        <f t="shared" si="11"/>
        <v>818.928</v>
      </c>
      <c r="M60" s="125">
        <v>423.0</v>
      </c>
      <c r="N60" s="313">
        <v>0.21</v>
      </c>
      <c r="O60" s="312">
        <f t="shared" si="12"/>
        <v>88.83</v>
      </c>
      <c r="P60" s="14"/>
      <c r="Q60" s="14"/>
      <c r="R60" s="14"/>
      <c r="S60" s="6"/>
      <c r="T60" s="6"/>
      <c r="U60" s="6"/>
      <c r="V60" s="6"/>
      <c r="W60" s="6"/>
    </row>
    <row r="61" ht="12.0" customHeight="1">
      <c r="A61" s="14"/>
      <c r="B61" s="15"/>
      <c r="C61" s="15"/>
      <c r="D61" s="15" t="s">
        <v>69</v>
      </c>
      <c r="E61" s="21" t="s">
        <v>70</v>
      </c>
      <c r="F61" s="14">
        <v>4.0</v>
      </c>
      <c r="G61" s="14" t="s">
        <v>402</v>
      </c>
      <c r="H61" s="307">
        <f>SUM(1.05*H62)</f>
        <v>402.15</v>
      </c>
      <c r="I61" s="14" t="s">
        <v>61</v>
      </c>
      <c r="J61" s="51">
        <v>5432.0</v>
      </c>
      <c r="K61" s="308">
        <f t="shared" ref="K61:K75" si="13">H61*F61</f>
        <v>1608.6</v>
      </c>
      <c r="L61" s="301">
        <f>H61*2.15</f>
        <v>864.6225</v>
      </c>
      <c r="M61" s="312"/>
      <c r="N61" s="313"/>
      <c r="O61" s="312"/>
      <c r="P61" s="314"/>
      <c r="Q61" s="14"/>
      <c r="R61" s="14"/>
      <c r="S61" s="321" t="s">
        <v>932</v>
      </c>
      <c r="T61" s="6"/>
      <c r="U61" s="6"/>
      <c r="V61" s="6"/>
      <c r="W61" s="6"/>
    </row>
    <row r="62" ht="12.0" customHeight="1">
      <c r="A62" s="14"/>
      <c r="B62" s="15"/>
      <c r="C62" s="15"/>
      <c r="D62" s="16" t="s">
        <v>69</v>
      </c>
      <c r="E62" s="17" t="s">
        <v>933</v>
      </c>
      <c r="F62" s="9">
        <v>4.0</v>
      </c>
      <c r="G62" s="9" t="s">
        <v>60</v>
      </c>
      <c r="H62" s="336">
        <v>383.0</v>
      </c>
      <c r="I62" s="9" t="s">
        <v>61</v>
      </c>
      <c r="J62" s="163">
        <v>5433.0</v>
      </c>
      <c r="K62" s="306">
        <f t="shared" si="13"/>
        <v>1532</v>
      </c>
      <c r="L62" s="301">
        <f>H62*1.9</f>
        <v>727.7</v>
      </c>
      <c r="M62" s="9"/>
      <c r="N62" s="9"/>
      <c r="O62" s="9"/>
      <c r="P62" s="9"/>
      <c r="Q62" s="9"/>
      <c r="R62" s="9"/>
      <c r="S62" s="6"/>
      <c r="T62" s="6"/>
      <c r="U62" s="6"/>
      <c r="V62" s="6"/>
      <c r="W62" s="6"/>
    </row>
    <row r="63" ht="12.0" customHeight="1">
      <c r="A63" s="14"/>
      <c r="B63" s="15"/>
      <c r="C63" s="15"/>
      <c r="D63" s="15" t="s">
        <v>69</v>
      </c>
      <c r="E63" s="21" t="s">
        <v>71</v>
      </c>
      <c r="F63" s="14">
        <v>2.0</v>
      </c>
      <c r="G63" s="14"/>
      <c r="H63" s="337">
        <f>SUM(1*H62)</f>
        <v>383</v>
      </c>
      <c r="I63" s="14" t="s">
        <v>61</v>
      </c>
      <c r="J63" s="51">
        <v>5434.0</v>
      </c>
      <c r="K63" s="308">
        <f t="shared" si="13"/>
        <v>766</v>
      </c>
      <c r="L63" s="301">
        <f t="shared" ref="L63:L66" si="14">H63*1.8</f>
        <v>689.4</v>
      </c>
      <c r="M63" s="312"/>
      <c r="N63" s="313"/>
      <c r="O63" s="312"/>
      <c r="P63" s="314"/>
      <c r="Q63" s="14"/>
      <c r="R63" s="14"/>
      <c r="S63" s="6"/>
      <c r="T63" s="6"/>
      <c r="U63" s="6"/>
      <c r="V63" s="6"/>
      <c r="W63" s="6"/>
    </row>
    <row r="64" ht="12.0" customHeight="1">
      <c r="A64" s="14"/>
      <c r="B64" s="15"/>
      <c r="C64" s="15"/>
      <c r="D64" s="16" t="s">
        <v>69</v>
      </c>
      <c r="E64" s="17" t="s">
        <v>72</v>
      </c>
      <c r="F64" s="9">
        <v>5.0</v>
      </c>
      <c r="G64" s="9" t="s">
        <v>402</v>
      </c>
      <c r="H64" s="305">
        <f>SUM(1*H62)</f>
        <v>383</v>
      </c>
      <c r="I64" s="9" t="s">
        <v>17</v>
      </c>
      <c r="J64" s="24">
        <v>8958.0</v>
      </c>
      <c r="K64" s="306">
        <f t="shared" si="13"/>
        <v>1915</v>
      </c>
      <c r="L64" s="301">
        <f t="shared" si="14"/>
        <v>689.4</v>
      </c>
      <c r="M64" s="310"/>
      <c r="N64" s="311"/>
      <c r="O64" s="310"/>
      <c r="P64" s="326"/>
      <c r="Q64" s="9"/>
      <c r="R64" s="9"/>
      <c r="S64" s="6"/>
      <c r="T64" s="6"/>
      <c r="U64" s="6"/>
      <c r="V64" s="6"/>
      <c r="W64" s="6"/>
    </row>
    <row r="65" ht="12.0" customHeight="1">
      <c r="A65" s="14"/>
      <c r="B65" s="15"/>
      <c r="C65" s="15"/>
      <c r="D65" s="15" t="s">
        <v>69</v>
      </c>
      <c r="E65" s="62" t="s">
        <v>934</v>
      </c>
      <c r="F65" s="50">
        <v>5.0</v>
      </c>
      <c r="G65" s="14" t="s">
        <v>60</v>
      </c>
      <c r="H65" s="307">
        <f>SUM(1.3*H62)</f>
        <v>497.9</v>
      </c>
      <c r="I65" s="14" t="s">
        <v>61</v>
      </c>
      <c r="J65" s="51">
        <v>5438.0</v>
      </c>
      <c r="K65" s="308">
        <f t="shared" si="13"/>
        <v>2489.5</v>
      </c>
      <c r="L65" s="301">
        <f t="shared" si="14"/>
        <v>896.22</v>
      </c>
      <c r="M65" s="14"/>
      <c r="N65" s="14"/>
      <c r="O65" s="14"/>
      <c r="P65" s="14"/>
      <c r="Q65" s="14"/>
      <c r="R65" s="14"/>
      <c r="S65" s="6"/>
      <c r="T65" s="6"/>
      <c r="U65" s="6"/>
      <c r="V65" s="6"/>
      <c r="W65" s="6"/>
    </row>
    <row r="66" ht="12.0" customHeight="1">
      <c r="A66" s="14"/>
      <c r="B66" s="15"/>
      <c r="C66" s="15"/>
      <c r="D66" s="16" t="s">
        <v>69</v>
      </c>
      <c r="E66" s="17" t="s">
        <v>74</v>
      </c>
      <c r="F66" s="33">
        <v>2.0</v>
      </c>
      <c r="G66" s="9"/>
      <c r="H66" s="305">
        <f>SUM(1.8*H62)</f>
        <v>689.4</v>
      </c>
      <c r="I66" s="9" t="s">
        <v>61</v>
      </c>
      <c r="J66" s="24">
        <v>5440.0</v>
      </c>
      <c r="K66" s="306">
        <f t="shared" si="13"/>
        <v>1378.8</v>
      </c>
      <c r="L66" s="301">
        <f t="shared" si="14"/>
        <v>1240.92</v>
      </c>
      <c r="M66" s="310"/>
      <c r="N66" s="311"/>
      <c r="O66" s="310"/>
      <c r="P66" s="326"/>
      <c r="Q66" s="9"/>
      <c r="R66" s="9"/>
      <c r="S66" s="6"/>
      <c r="T66" s="6"/>
      <c r="U66" s="6"/>
      <c r="V66" s="6"/>
      <c r="W66" s="6"/>
    </row>
    <row r="67" ht="12.0" customHeight="1">
      <c r="A67" s="14"/>
      <c r="B67" s="15"/>
      <c r="C67" s="15"/>
      <c r="D67" s="16" t="s">
        <v>75</v>
      </c>
      <c r="E67" s="17" t="s">
        <v>68</v>
      </c>
      <c r="F67" s="33">
        <v>1.0</v>
      </c>
      <c r="G67" s="9" t="s">
        <v>76</v>
      </c>
      <c r="H67" s="338">
        <f>SUM(1.17*H62)</f>
        <v>448.11</v>
      </c>
      <c r="I67" s="9" t="s">
        <v>77</v>
      </c>
      <c r="J67" s="24"/>
      <c r="K67" s="306">
        <f t="shared" si="13"/>
        <v>448.11</v>
      </c>
      <c r="L67" s="301">
        <f>H67*1.7</f>
        <v>761.787</v>
      </c>
      <c r="M67" s="310"/>
      <c r="N67" s="311"/>
      <c r="O67" s="310"/>
      <c r="P67" s="326"/>
      <c r="Q67" s="9"/>
      <c r="R67" s="9"/>
      <c r="S67" s="6"/>
      <c r="T67" s="6"/>
      <c r="U67" s="6"/>
      <c r="V67" s="6"/>
      <c r="W67" s="6"/>
    </row>
    <row r="68" ht="12.0" customHeight="1">
      <c r="A68" s="14"/>
      <c r="B68" s="15"/>
      <c r="C68" s="15"/>
      <c r="D68" s="16" t="s">
        <v>75</v>
      </c>
      <c r="E68" s="17" t="s">
        <v>71</v>
      </c>
      <c r="F68" s="33">
        <v>1.0</v>
      </c>
      <c r="G68" s="9" t="s">
        <v>76</v>
      </c>
      <c r="H68" s="338">
        <f>SUM(1.5*H62)</f>
        <v>574.5</v>
      </c>
      <c r="I68" s="9" t="s">
        <v>77</v>
      </c>
      <c r="J68" s="24"/>
      <c r="K68" s="306">
        <f t="shared" si="13"/>
        <v>574.5</v>
      </c>
      <c r="L68" s="301">
        <f>H68*1.6</f>
        <v>919.2</v>
      </c>
      <c r="M68" s="310"/>
      <c r="N68" s="311"/>
      <c r="O68" s="310"/>
      <c r="P68" s="326"/>
      <c r="Q68" s="9"/>
      <c r="R68" s="9"/>
      <c r="S68" s="6"/>
      <c r="T68" s="6"/>
      <c r="U68" s="6"/>
      <c r="V68" s="6"/>
      <c r="W68" s="6"/>
    </row>
    <row r="69" ht="12.0" customHeight="1">
      <c r="A69" s="14"/>
      <c r="B69" s="15"/>
      <c r="C69" s="15"/>
      <c r="D69" s="39" t="s">
        <v>78</v>
      </c>
      <c r="E69" s="40" t="s">
        <v>79</v>
      </c>
      <c r="F69" s="41">
        <v>0.0</v>
      </c>
      <c r="G69" s="41"/>
      <c r="H69" s="319">
        <v>73.0</v>
      </c>
      <c r="I69" s="41" t="s">
        <v>61</v>
      </c>
      <c r="J69" s="81">
        <v>5472.0</v>
      </c>
      <c r="K69" s="320">
        <f t="shared" si="13"/>
        <v>0</v>
      </c>
      <c r="L69" s="317">
        <f>H69*1.72</f>
        <v>125.56</v>
      </c>
      <c r="M69" s="14"/>
      <c r="N69" s="14"/>
      <c r="O69" s="14"/>
      <c r="P69" s="14"/>
      <c r="Q69" s="14"/>
      <c r="R69" s="14"/>
      <c r="S69" s="6"/>
      <c r="T69" s="6"/>
      <c r="U69" s="6"/>
      <c r="V69" s="6"/>
      <c r="W69" s="6"/>
    </row>
    <row r="70" ht="12.0" customHeight="1">
      <c r="A70" s="14"/>
      <c r="B70" s="15"/>
      <c r="C70" s="15"/>
      <c r="D70" s="31" t="s">
        <v>80</v>
      </c>
      <c r="E70" s="26"/>
      <c r="F70" s="33">
        <v>1.0</v>
      </c>
      <c r="G70" s="9" t="s">
        <v>81</v>
      </c>
      <c r="H70" s="339">
        <f>(N70-P70)</f>
        <v>782.46</v>
      </c>
      <c r="I70" s="9" t="s">
        <v>119</v>
      </c>
      <c r="J70" s="24" t="s">
        <v>82</v>
      </c>
      <c r="K70" s="306">
        <f t="shared" si="13"/>
        <v>782.46</v>
      </c>
      <c r="L70" s="301">
        <f>H70*1.9</f>
        <v>1486.674</v>
      </c>
      <c r="M70" s="59"/>
      <c r="N70" s="310">
        <v>1242.0</v>
      </c>
      <c r="O70" s="310">
        <v>0.37</v>
      </c>
      <c r="P70" s="310">
        <f>N70*O70</f>
        <v>459.54</v>
      </c>
      <c r="Q70" s="9"/>
      <c r="R70" s="9"/>
      <c r="S70" s="6"/>
      <c r="T70" s="6"/>
      <c r="U70" s="6"/>
      <c r="V70" s="6"/>
      <c r="W70" s="6"/>
    </row>
    <row r="71" ht="12.0" customHeight="1">
      <c r="A71" s="52"/>
      <c r="B71" s="15"/>
      <c r="C71" s="15"/>
      <c r="D71" s="16" t="s">
        <v>83</v>
      </c>
      <c r="E71" s="17" t="s">
        <v>84</v>
      </c>
      <c r="F71" s="9">
        <v>9.0</v>
      </c>
      <c r="G71" s="9" t="s">
        <v>85</v>
      </c>
      <c r="H71" s="338">
        <f>SUM(1.1*H62)</f>
        <v>421.3</v>
      </c>
      <c r="I71" s="9" t="s">
        <v>61</v>
      </c>
      <c r="J71" s="24">
        <v>4574.0</v>
      </c>
      <c r="K71" s="306">
        <f t="shared" si="13"/>
        <v>3791.7</v>
      </c>
      <c r="L71" s="301">
        <f t="shared" ref="L71:L72" si="15">H71*2</f>
        <v>842.6</v>
      </c>
      <c r="M71" s="9"/>
      <c r="N71" s="9"/>
      <c r="O71" s="9"/>
      <c r="P71" s="9"/>
      <c r="Q71" s="9"/>
      <c r="R71" s="9"/>
      <c r="S71" s="6"/>
      <c r="T71" s="340" t="s">
        <v>86</v>
      </c>
      <c r="U71" s="6"/>
      <c r="V71" s="6"/>
      <c r="W71" s="6"/>
    </row>
    <row r="72" ht="12.0" customHeight="1">
      <c r="A72" s="52"/>
      <c r="B72" s="15"/>
      <c r="C72" s="15"/>
      <c r="D72" s="15" t="s">
        <v>83</v>
      </c>
      <c r="E72" s="21" t="s">
        <v>87</v>
      </c>
      <c r="F72" s="14">
        <v>6.0</v>
      </c>
      <c r="G72" s="14" t="s">
        <v>85</v>
      </c>
      <c r="H72" s="307">
        <f>SUM(1.2*H62)</f>
        <v>459.6</v>
      </c>
      <c r="I72" s="14" t="s">
        <v>61</v>
      </c>
      <c r="J72" s="51">
        <v>4575.0</v>
      </c>
      <c r="K72" s="308">
        <f t="shared" si="13"/>
        <v>2757.6</v>
      </c>
      <c r="L72" s="301">
        <f t="shared" si="15"/>
        <v>919.2</v>
      </c>
      <c r="M72" s="14"/>
      <c r="N72" s="14"/>
      <c r="O72" s="14"/>
      <c r="P72" s="14"/>
      <c r="Q72" s="14"/>
      <c r="R72" s="14"/>
      <c r="S72" s="6"/>
      <c r="T72" s="340" t="s">
        <v>88</v>
      </c>
      <c r="U72" s="6"/>
      <c r="V72" s="6"/>
      <c r="W72" s="6"/>
    </row>
    <row r="73" ht="12.0" customHeight="1">
      <c r="A73" s="52"/>
      <c r="B73" s="15"/>
      <c r="C73" s="15"/>
      <c r="D73" s="16" t="s">
        <v>83</v>
      </c>
      <c r="E73" s="17" t="s">
        <v>89</v>
      </c>
      <c r="F73" s="9">
        <v>1.0</v>
      </c>
      <c r="G73" s="9" t="s">
        <v>85</v>
      </c>
      <c r="H73" s="338">
        <f>SUM(1.37*H62)</f>
        <v>524.71</v>
      </c>
      <c r="I73" s="9" t="s">
        <v>61</v>
      </c>
      <c r="J73" s="24">
        <v>4578.0</v>
      </c>
      <c r="K73" s="306">
        <f t="shared" si="13"/>
        <v>524.71</v>
      </c>
      <c r="L73" s="301">
        <f>H73*1.9</f>
        <v>996.949</v>
      </c>
      <c r="M73" s="9"/>
      <c r="N73" s="9"/>
      <c r="O73" s="9"/>
      <c r="P73" s="9"/>
      <c r="Q73" s="9"/>
      <c r="R73" s="9"/>
      <c r="S73" s="6"/>
      <c r="T73" s="340" t="s">
        <v>90</v>
      </c>
      <c r="U73" s="6"/>
      <c r="V73" s="6"/>
      <c r="W73" s="6"/>
    </row>
    <row r="74" ht="12.0" customHeight="1">
      <c r="A74" s="52"/>
      <c r="B74" s="15"/>
      <c r="C74" s="15"/>
      <c r="D74" s="15" t="s">
        <v>83</v>
      </c>
      <c r="E74" s="21" t="s">
        <v>91</v>
      </c>
      <c r="F74" s="14">
        <v>4.0</v>
      </c>
      <c r="G74" s="14" t="s">
        <v>85</v>
      </c>
      <c r="H74" s="307">
        <f>SUM(2.05*H62)</f>
        <v>785.15</v>
      </c>
      <c r="I74" s="14" t="s">
        <v>61</v>
      </c>
      <c r="J74" s="51">
        <v>4585.0</v>
      </c>
      <c r="K74" s="308">
        <f t="shared" si="13"/>
        <v>3140.6</v>
      </c>
      <c r="L74" s="301">
        <f t="shared" ref="L74:L75" si="16">H74*1.8</f>
        <v>1413.27</v>
      </c>
      <c r="M74" s="14"/>
      <c r="N74" s="14"/>
      <c r="O74" s="14"/>
      <c r="P74" s="14"/>
      <c r="Q74" s="14"/>
      <c r="R74" s="14"/>
      <c r="S74" s="6"/>
      <c r="T74" s="340" t="s">
        <v>92</v>
      </c>
      <c r="U74" s="6"/>
      <c r="V74" s="6"/>
      <c r="W74" s="6"/>
    </row>
    <row r="75" ht="12.0" customHeight="1">
      <c r="A75" s="14"/>
      <c r="B75" s="64"/>
      <c r="C75" s="64"/>
      <c r="D75" s="16" t="s">
        <v>93</v>
      </c>
      <c r="E75" s="17"/>
      <c r="F75" s="9">
        <v>2.0</v>
      </c>
      <c r="G75" s="9" t="s">
        <v>94</v>
      </c>
      <c r="H75" s="338">
        <f>SUM(2.2*H62)</f>
        <v>842.6</v>
      </c>
      <c r="I75" s="9" t="s">
        <v>17</v>
      </c>
      <c r="J75" s="24">
        <v>5047.0</v>
      </c>
      <c r="K75" s="306">
        <f t="shared" si="13"/>
        <v>1685.2</v>
      </c>
      <c r="L75" s="301">
        <f t="shared" si="16"/>
        <v>1516.68</v>
      </c>
      <c r="M75" s="310"/>
      <c r="N75" s="311"/>
      <c r="O75" s="310">
        <f>SUM(H75/132)</f>
        <v>6.383333333</v>
      </c>
      <c r="P75" s="326"/>
      <c r="Q75" s="9"/>
      <c r="R75" s="9"/>
      <c r="S75" s="6"/>
      <c r="T75" s="6"/>
      <c r="U75" s="6"/>
      <c r="V75" s="6"/>
      <c r="W75" s="6"/>
    </row>
    <row r="76" ht="12.0" customHeight="1">
      <c r="A76" s="14"/>
      <c r="B76" s="10" t="s">
        <v>5</v>
      </c>
      <c r="C76" s="10"/>
      <c r="D76" s="10" t="s">
        <v>95</v>
      </c>
      <c r="E76" s="11" t="s">
        <v>96</v>
      </c>
      <c r="F76" s="12"/>
      <c r="G76" s="12"/>
      <c r="H76" s="302"/>
      <c r="I76" s="12"/>
      <c r="J76" s="303"/>
      <c r="K76" s="304"/>
      <c r="L76" s="301"/>
      <c r="M76" s="12"/>
      <c r="N76" s="12"/>
      <c r="O76" s="12"/>
      <c r="P76" s="12"/>
      <c r="Q76" s="12"/>
      <c r="R76" s="12"/>
      <c r="S76" s="6"/>
      <c r="T76" s="6"/>
      <c r="U76" s="6"/>
      <c r="V76" s="6"/>
      <c r="W76" s="6"/>
    </row>
    <row r="77" ht="12.0" customHeight="1">
      <c r="A77" s="14"/>
      <c r="B77" s="15"/>
      <c r="C77" s="15"/>
      <c r="D77" s="16" t="s">
        <v>97</v>
      </c>
      <c r="E77" s="17" t="s">
        <v>98</v>
      </c>
      <c r="F77" s="33">
        <v>8.0</v>
      </c>
      <c r="G77" s="9"/>
      <c r="H77" s="341">
        <v>222.0</v>
      </c>
      <c r="I77" s="33" t="s">
        <v>540</v>
      </c>
      <c r="J77" s="24"/>
      <c r="K77" s="306">
        <f>H77*F77</f>
        <v>1776</v>
      </c>
      <c r="L77" s="301">
        <f>H77*1.5</f>
        <v>333</v>
      </c>
      <c r="M77" s="9"/>
      <c r="N77" s="9"/>
      <c r="O77" s="9"/>
      <c r="P77" s="9"/>
      <c r="Q77" s="9"/>
      <c r="R77" s="9"/>
      <c r="S77" s="6"/>
      <c r="T77" s="6"/>
      <c r="U77" s="6"/>
      <c r="V77" s="6"/>
      <c r="W77" s="6"/>
    </row>
    <row r="78" ht="12.0" customHeight="1">
      <c r="A78" s="14"/>
      <c r="B78" s="66"/>
      <c r="C78" s="66"/>
      <c r="D78" s="39" t="s">
        <v>99</v>
      </c>
      <c r="E78" s="40" t="s">
        <v>98</v>
      </c>
      <c r="F78" s="41">
        <v>0.0</v>
      </c>
      <c r="G78" s="41"/>
      <c r="H78" s="319">
        <v>26.0</v>
      </c>
      <c r="I78" s="41" t="s">
        <v>100</v>
      </c>
      <c r="J78" s="81"/>
      <c r="K78" s="320"/>
      <c r="L78" s="317">
        <f>H78*1.74</f>
        <v>45.24</v>
      </c>
      <c r="M78" s="14"/>
      <c r="N78" s="14"/>
      <c r="O78" s="14"/>
      <c r="P78" s="14"/>
      <c r="Q78" s="14"/>
      <c r="R78" s="14"/>
      <c r="S78" s="6"/>
      <c r="T78" s="6"/>
      <c r="U78" s="6"/>
      <c r="V78" s="6"/>
      <c r="W78" s="6"/>
    </row>
    <row r="79" ht="12.0" customHeight="1">
      <c r="A79" s="14"/>
      <c r="B79" s="67"/>
      <c r="C79" s="66"/>
      <c r="D79" s="39" t="s">
        <v>101</v>
      </c>
      <c r="E79" s="40"/>
      <c r="F79" s="41">
        <v>0.0</v>
      </c>
      <c r="G79" s="41" t="s">
        <v>103</v>
      </c>
      <c r="H79" s="319">
        <f>SUM(M79+O79)</f>
        <v>76.23</v>
      </c>
      <c r="I79" s="41" t="s">
        <v>17</v>
      </c>
      <c r="J79" s="41">
        <v>3617.0</v>
      </c>
      <c r="K79" s="320">
        <f t="shared" ref="K79:K84" si="17">H79*F79</f>
        <v>0</v>
      </c>
      <c r="L79" s="317">
        <f>H79*1.8</f>
        <v>137.214</v>
      </c>
      <c r="M79" s="342">
        <v>63.0</v>
      </c>
      <c r="N79" s="343">
        <v>0.21</v>
      </c>
      <c r="O79" s="342">
        <f>SUM(M79*N79)</f>
        <v>13.23</v>
      </c>
      <c r="P79" s="14"/>
      <c r="Q79" s="14"/>
      <c r="R79" s="14"/>
      <c r="S79" s="6"/>
      <c r="T79" s="6"/>
      <c r="U79" s="6"/>
      <c r="V79" s="6"/>
      <c r="W79" s="6"/>
    </row>
    <row r="80" ht="12.0" customHeight="1">
      <c r="A80" s="14"/>
      <c r="B80" s="15"/>
      <c r="C80" s="15"/>
      <c r="D80" s="16" t="s">
        <v>104</v>
      </c>
      <c r="E80" s="17" t="s">
        <v>105</v>
      </c>
      <c r="F80" s="9">
        <v>6.0</v>
      </c>
      <c r="G80" s="9"/>
      <c r="H80" s="341">
        <v>815.0</v>
      </c>
      <c r="I80" s="33" t="s">
        <v>540</v>
      </c>
      <c r="J80" s="24"/>
      <c r="K80" s="306">
        <f t="shared" si="17"/>
        <v>4890</v>
      </c>
      <c r="L80" s="301">
        <f t="shared" ref="L80:L81" si="18">H80*1.37</f>
        <v>1116.55</v>
      </c>
      <c r="M80" s="9"/>
      <c r="N80" s="9"/>
      <c r="O80" s="9"/>
      <c r="P80" s="9"/>
      <c r="Q80" s="9"/>
      <c r="R80" s="9"/>
      <c r="S80" s="6"/>
      <c r="T80" s="6"/>
      <c r="U80" s="6"/>
      <c r="V80" s="6"/>
      <c r="W80" s="6"/>
    </row>
    <row r="81" ht="12.0" customHeight="1">
      <c r="A81" s="14"/>
      <c r="B81" s="68"/>
      <c r="C81" s="68"/>
      <c r="D81" s="15" t="s">
        <v>106</v>
      </c>
      <c r="E81" s="21" t="s">
        <v>107</v>
      </c>
      <c r="F81" s="50">
        <v>7.0</v>
      </c>
      <c r="G81" s="14"/>
      <c r="H81" s="344">
        <v>730.0</v>
      </c>
      <c r="I81" s="14" t="s">
        <v>935</v>
      </c>
      <c r="J81" s="51"/>
      <c r="K81" s="308">
        <f t="shared" si="17"/>
        <v>5110</v>
      </c>
      <c r="L81" s="301">
        <f t="shared" si="18"/>
        <v>1000.1</v>
      </c>
      <c r="M81" s="14"/>
      <c r="N81" s="14"/>
      <c r="O81" s="14"/>
      <c r="P81" s="14"/>
      <c r="Q81" s="14"/>
      <c r="R81" s="14"/>
      <c r="S81" s="6"/>
      <c r="T81" s="6"/>
      <c r="U81" s="6"/>
      <c r="V81" s="6"/>
      <c r="W81" s="6"/>
    </row>
    <row r="82" ht="12.0" customHeight="1">
      <c r="A82" s="14"/>
      <c r="B82" s="69"/>
      <c r="C82" s="69"/>
      <c r="D82" s="31" t="s">
        <v>108</v>
      </c>
      <c r="E82" s="32" t="s">
        <v>109</v>
      </c>
      <c r="F82" s="33">
        <v>3.0</v>
      </c>
      <c r="G82" s="33"/>
      <c r="H82" s="345">
        <v>658.0</v>
      </c>
      <c r="I82" s="33" t="s">
        <v>540</v>
      </c>
      <c r="J82" s="59"/>
      <c r="K82" s="323">
        <f t="shared" si="17"/>
        <v>1974</v>
      </c>
      <c r="L82" s="346">
        <f>H82*1.45</f>
        <v>954.1</v>
      </c>
      <c r="M82" s="9"/>
      <c r="N82" s="9"/>
      <c r="O82" s="9"/>
      <c r="P82" s="9"/>
      <c r="Q82" s="9"/>
      <c r="R82" s="9"/>
      <c r="S82" s="6"/>
      <c r="T82" s="6"/>
      <c r="U82" s="6"/>
      <c r="V82" s="6"/>
      <c r="W82" s="6"/>
    </row>
    <row r="83" ht="12.0" customHeight="1">
      <c r="A83" s="14"/>
      <c r="B83" s="15"/>
      <c r="C83" s="15"/>
      <c r="D83" s="15" t="s">
        <v>110</v>
      </c>
      <c r="E83" s="21"/>
      <c r="F83" s="14">
        <v>2.0</v>
      </c>
      <c r="G83" s="14"/>
      <c r="H83" s="344">
        <v>10.0</v>
      </c>
      <c r="I83" s="14"/>
      <c r="J83" s="51"/>
      <c r="K83" s="308">
        <f t="shared" si="17"/>
        <v>20</v>
      </c>
      <c r="L83" s="301">
        <f>H83*1.83</f>
        <v>18.3</v>
      </c>
      <c r="M83" s="14"/>
      <c r="N83" s="14"/>
      <c r="O83" s="14"/>
      <c r="P83" s="14"/>
      <c r="Q83" s="14"/>
      <c r="R83" s="14"/>
      <c r="S83" s="6"/>
      <c r="T83" s="6"/>
      <c r="U83" s="6"/>
      <c r="V83" s="6"/>
      <c r="W83" s="6"/>
    </row>
    <row r="84" ht="12.0" customHeight="1">
      <c r="A84" s="14"/>
      <c r="B84" s="15"/>
      <c r="C84" s="15"/>
      <c r="D84" s="16" t="s">
        <v>111</v>
      </c>
      <c r="E84" s="17"/>
      <c r="F84" s="9">
        <v>60.0</v>
      </c>
      <c r="G84" s="9"/>
      <c r="H84" s="341">
        <v>19.3</v>
      </c>
      <c r="I84" s="9"/>
      <c r="J84" s="24"/>
      <c r="K84" s="306">
        <f t="shared" si="17"/>
        <v>1158</v>
      </c>
      <c r="L84" s="301">
        <f>H84*2</f>
        <v>38.6</v>
      </c>
      <c r="M84" s="9"/>
      <c r="N84" s="9"/>
      <c r="O84" s="9"/>
      <c r="P84" s="9"/>
      <c r="Q84" s="9"/>
      <c r="R84" s="9"/>
      <c r="S84" s="6"/>
      <c r="T84" s="6" t="s">
        <v>112</v>
      </c>
      <c r="U84" s="6"/>
      <c r="V84" s="6"/>
      <c r="W84" s="6"/>
    </row>
    <row r="85" ht="12.0" customHeight="1">
      <c r="A85" s="14"/>
      <c r="B85" s="16"/>
      <c r="C85" s="16"/>
      <c r="D85" s="46" t="s">
        <v>936</v>
      </c>
      <c r="E85" s="21" t="s">
        <v>114</v>
      </c>
      <c r="F85" s="14">
        <v>6.0</v>
      </c>
      <c r="G85" s="14" t="s">
        <v>103</v>
      </c>
      <c r="H85" s="307">
        <f>SUM(1*H86)</f>
        <v>445</v>
      </c>
      <c r="I85" s="50" t="s">
        <v>17</v>
      </c>
      <c r="J85" s="60">
        <v>3172.0</v>
      </c>
      <c r="K85" s="312">
        <f t="shared" ref="K85:K89" si="19">F85*H85</f>
        <v>2670</v>
      </c>
      <c r="L85" s="346">
        <f t="shared" ref="L85:L87" si="20">H85*1.65</f>
        <v>734.25</v>
      </c>
      <c r="M85" s="347"/>
      <c r="N85" s="313"/>
      <c r="O85" s="312"/>
      <c r="P85" s="312"/>
      <c r="Q85" s="14"/>
      <c r="R85" s="14"/>
      <c r="S85" s="6"/>
      <c r="T85" s="6"/>
      <c r="U85" s="6"/>
      <c r="V85" s="6"/>
      <c r="W85" s="6"/>
    </row>
    <row r="86" ht="12.0" customHeight="1">
      <c r="A86" s="14"/>
      <c r="B86" s="16"/>
      <c r="C86" s="16"/>
      <c r="D86" s="31" t="s">
        <v>115</v>
      </c>
      <c r="E86" s="70" t="s">
        <v>114</v>
      </c>
      <c r="F86" s="163">
        <v>2.0</v>
      </c>
      <c r="G86" s="163" t="s">
        <v>103</v>
      </c>
      <c r="H86" s="348">
        <v>445.0</v>
      </c>
      <c r="I86" s="36" t="s">
        <v>576</v>
      </c>
      <c r="J86" s="136" t="s">
        <v>937</v>
      </c>
      <c r="K86" s="310">
        <f t="shared" si="19"/>
        <v>890</v>
      </c>
      <c r="L86" s="346">
        <f t="shared" si="20"/>
        <v>734.25</v>
      </c>
      <c r="M86" s="59"/>
      <c r="N86" s="310"/>
      <c r="O86" s="310"/>
      <c r="P86" s="310"/>
      <c r="Q86" s="9"/>
      <c r="R86" s="9"/>
      <c r="S86" s="6"/>
      <c r="T86" s="6"/>
      <c r="U86" s="6"/>
      <c r="V86" s="6"/>
      <c r="W86" s="6"/>
    </row>
    <row r="87" ht="12.0" customHeight="1">
      <c r="A87" s="14"/>
      <c r="B87" s="71"/>
      <c r="C87" s="71"/>
      <c r="D87" s="113" t="s">
        <v>116</v>
      </c>
      <c r="E87" s="349" t="s">
        <v>109</v>
      </c>
      <c r="F87" s="143">
        <v>4.0</v>
      </c>
      <c r="G87" s="9" t="s">
        <v>938</v>
      </c>
      <c r="H87" s="305">
        <f>SUM(1.3*H86)</f>
        <v>578.5</v>
      </c>
      <c r="I87" s="33" t="s">
        <v>17</v>
      </c>
      <c r="J87" s="59">
        <v>11043.0</v>
      </c>
      <c r="K87" s="310">
        <f t="shared" si="19"/>
        <v>2314</v>
      </c>
      <c r="L87" s="301">
        <f t="shared" si="20"/>
        <v>954.525</v>
      </c>
      <c r="M87" s="310"/>
      <c r="N87" s="310"/>
      <c r="O87" s="310"/>
      <c r="P87" s="310"/>
      <c r="Q87" s="9"/>
      <c r="R87" s="9"/>
      <c r="S87" s="350"/>
      <c r="T87" s="6"/>
      <c r="U87" s="6"/>
      <c r="V87" s="6"/>
      <c r="W87" s="6"/>
    </row>
    <row r="88" ht="12.0" customHeight="1">
      <c r="A88" s="14"/>
      <c r="B88" s="15"/>
      <c r="C88" s="74"/>
      <c r="D88" s="75" t="s">
        <v>116</v>
      </c>
      <c r="E88" s="76" t="s">
        <v>117</v>
      </c>
      <c r="F88" s="146">
        <v>0.0</v>
      </c>
      <c r="G88" s="77" t="s">
        <v>118</v>
      </c>
      <c r="H88" s="319">
        <f>(N88-P88)</f>
        <v>215.46</v>
      </c>
      <c r="I88" s="77" t="s">
        <v>119</v>
      </c>
      <c r="J88" s="81" t="s">
        <v>939</v>
      </c>
      <c r="K88" s="342">
        <f t="shared" si="19"/>
        <v>0</v>
      </c>
      <c r="L88" s="317">
        <f>H88*1.77</f>
        <v>381.3642</v>
      </c>
      <c r="M88" s="342"/>
      <c r="N88" s="342">
        <v>342.0</v>
      </c>
      <c r="O88" s="342">
        <v>0.37</v>
      </c>
      <c r="P88" s="342">
        <f>N88*O88</f>
        <v>126.54</v>
      </c>
      <c r="Q88" s="41"/>
      <c r="R88" s="14"/>
      <c r="S88" s="6"/>
      <c r="T88" s="6"/>
      <c r="U88" s="6"/>
      <c r="V88" s="6"/>
      <c r="W88" s="6"/>
    </row>
    <row r="89" ht="12.0" customHeight="1">
      <c r="A89" s="52"/>
      <c r="B89" s="78"/>
      <c r="C89" s="78"/>
      <c r="D89" s="75" t="s">
        <v>120</v>
      </c>
      <c r="E89" s="76" t="s">
        <v>121</v>
      </c>
      <c r="F89" s="146">
        <v>0.0</v>
      </c>
      <c r="G89" s="41" t="s">
        <v>122</v>
      </c>
      <c r="H89" s="319">
        <v>190.0</v>
      </c>
      <c r="I89" s="41" t="s">
        <v>77</v>
      </c>
      <c r="J89" s="81"/>
      <c r="K89" s="342">
        <f t="shared" si="19"/>
        <v>0</v>
      </c>
      <c r="L89" s="317">
        <f>H89*1.7</f>
        <v>323</v>
      </c>
      <c r="M89" s="312"/>
      <c r="N89" s="313"/>
      <c r="O89" s="312"/>
      <c r="P89" s="314"/>
      <c r="Q89" s="14"/>
      <c r="R89" s="14"/>
      <c r="S89" s="6"/>
      <c r="T89" s="6"/>
      <c r="U89" s="6"/>
      <c r="V89" s="6"/>
      <c r="W89" s="6"/>
    </row>
    <row r="90" ht="12.0" customHeight="1">
      <c r="A90" s="52"/>
      <c r="B90" s="16"/>
      <c r="C90" s="16"/>
      <c r="D90" s="31" t="s">
        <v>123</v>
      </c>
      <c r="E90" s="33" t="s">
        <v>124</v>
      </c>
      <c r="F90" s="33">
        <v>7.0</v>
      </c>
      <c r="G90" s="33" t="s">
        <v>127</v>
      </c>
      <c r="H90" s="351">
        <f>SUM(M90+O90)</f>
        <v>992.2</v>
      </c>
      <c r="I90" s="33" t="s">
        <v>17</v>
      </c>
      <c r="J90" s="38">
        <v>11041.0</v>
      </c>
      <c r="K90" s="306">
        <f t="shared" ref="K90:K91" si="21">H90*F90</f>
        <v>6945.4</v>
      </c>
      <c r="L90" s="301">
        <f t="shared" ref="L90:L92" si="22">H90*1.5</f>
        <v>1488.3</v>
      </c>
      <c r="M90" s="352">
        <v>820.0</v>
      </c>
      <c r="N90" s="311">
        <v>0.21</v>
      </c>
      <c r="O90" s="310">
        <f>SUM(M90*N90)</f>
        <v>172.2</v>
      </c>
      <c r="P90" s="326"/>
      <c r="Q90" s="9"/>
      <c r="R90" s="9"/>
      <c r="S90" s="353" t="s">
        <v>940</v>
      </c>
      <c r="T90" s="6"/>
      <c r="U90" s="6"/>
      <c r="V90" s="6"/>
      <c r="W90" s="6"/>
    </row>
    <row r="91" ht="12.0" customHeight="1">
      <c r="A91" s="52"/>
      <c r="B91" s="16"/>
      <c r="C91" s="16"/>
      <c r="D91" s="15" t="s">
        <v>125</v>
      </c>
      <c r="E91" s="21" t="s">
        <v>124</v>
      </c>
      <c r="F91" s="50">
        <v>2.0</v>
      </c>
      <c r="G91" s="14"/>
      <c r="H91" s="307">
        <f>SUM(1.15*H90)</f>
        <v>1141.03</v>
      </c>
      <c r="I91" s="14" t="s">
        <v>17</v>
      </c>
      <c r="J91" s="51">
        <v>11042.0</v>
      </c>
      <c r="K91" s="308">
        <f t="shared" si="21"/>
        <v>2282.06</v>
      </c>
      <c r="L91" s="301">
        <f t="shared" si="22"/>
        <v>1711.545</v>
      </c>
      <c r="M91" s="312"/>
      <c r="N91" s="313"/>
      <c r="O91" s="312"/>
      <c r="P91" s="314"/>
      <c r="Q91" s="14"/>
      <c r="R91" s="14"/>
      <c r="S91" s="6"/>
      <c r="T91" s="6"/>
      <c r="U91" s="6"/>
      <c r="V91" s="6"/>
      <c r="W91" s="6"/>
    </row>
    <row r="92" ht="12.0" customHeight="1">
      <c r="A92" s="52"/>
      <c r="B92" s="79"/>
      <c r="C92" s="79"/>
      <c r="D92" s="16" t="s">
        <v>126</v>
      </c>
      <c r="E92" s="17" t="s">
        <v>124</v>
      </c>
      <c r="F92" s="33">
        <v>0.0</v>
      </c>
      <c r="G92" s="9" t="s">
        <v>127</v>
      </c>
      <c r="H92" s="305">
        <f>SUM(1*H90)</f>
        <v>992.2</v>
      </c>
      <c r="I92" s="9" t="s">
        <v>17</v>
      </c>
      <c r="J92" s="24">
        <v>11043.0</v>
      </c>
      <c r="K92" s="310">
        <f t="shared" ref="K92:K93" si="23">F92*H92</f>
        <v>0</v>
      </c>
      <c r="L92" s="301">
        <f t="shared" si="22"/>
        <v>1488.3</v>
      </c>
      <c r="M92" s="310"/>
      <c r="N92" s="311"/>
      <c r="O92" s="310"/>
      <c r="P92" s="326"/>
      <c r="Q92" s="9"/>
      <c r="R92" s="9"/>
      <c r="S92" s="6"/>
      <c r="T92" s="6"/>
      <c r="U92" s="6"/>
      <c r="V92" s="6"/>
      <c r="W92" s="6"/>
    </row>
    <row r="93" ht="12.0" customHeight="1">
      <c r="A93" s="52"/>
      <c r="B93" s="16"/>
      <c r="C93" s="16"/>
      <c r="D93" s="25" t="s">
        <v>128</v>
      </c>
      <c r="E93" s="26" t="s">
        <v>129</v>
      </c>
      <c r="F93" s="27">
        <v>0.0</v>
      </c>
      <c r="G93" s="27" t="s">
        <v>130</v>
      </c>
      <c r="H93" s="315">
        <f>SUM(M93+O93)</f>
        <v>310.97</v>
      </c>
      <c r="I93" s="27" t="s">
        <v>17</v>
      </c>
      <c r="J93" s="27" t="s">
        <v>131</v>
      </c>
      <c r="K93" s="331">
        <f t="shared" si="23"/>
        <v>0</v>
      </c>
      <c r="L93" s="317">
        <f>H93*1.65</f>
        <v>513.1005</v>
      </c>
      <c r="M93" s="331">
        <v>257.0</v>
      </c>
      <c r="N93" s="332">
        <v>0.21</v>
      </c>
      <c r="O93" s="331">
        <f>SUM(M93*N93)</f>
        <v>53.97</v>
      </c>
      <c r="P93" s="331"/>
      <c r="Q93" s="9"/>
      <c r="R93" s="9"/>
      <c r="S93" s="6"/>
      <c r="T93" s="6"/>
      <c r="U93" s="6"/>
      <c r="V93" s="6"/>
      <c r="W93" s="6"/>
    </row>
    <row r="94" ht="12.0" customHeight="1">
      <c r="A94" s="14"/>
      <c r="B94" s="15"/>
      <c r="C94" s="15"/>
      <c r="D94" s="46" t="s">
        <v>132</v>
      </c>
      <c r="E94" s="21"/>
      <c r="F94" s="14">
        <v>3.0</v>
      </c>
      <c r="G94" s="14" t="s">
        <v>132</v>
      </c>
      <c r="H94" s="344">
        <v>203.0</v>
      </c>
      <c r="I94" s="14" t="s">
        <v>540</v>
      </c>
      <c r="J94" s="51"/>
      <c r="K94" s="308">
        <f>H94*F94</f>
        <v>609</v>
      </c>
      <c r="L94" s="301">
        <f>H94*1.7</f>
        <v>345.1</v>
      </c>
      <c r="M94" s="14"/>
      <c r="N94" s="14"/>
      <c r="O94" s="14"/>
      <c r="P94" s="14"/>
      <c r="Q94" s="14"/>
      <c r="R94" s="14"/>
      <c r="S94" s="6"/>
      <c r="T94" s="6"/>
      <c r="U94" s="6"/>
      <c r="V94" s="6"/>
      <c r="W94" s="6"/>
    </row>
    <row r="95" ht="12.0" customHeight="1">
      <c r="A95" s="14"/>
      <c r="B95" s="80"/>
      <c r="C95" s="80"/>
      <c r="D95" s="16" t="s">
        <v>133</v>
      </c>
      <c r="E95" s="17" t="s">
        <v>134</v>
      </c>
      <c r="F95" s="33">
        <v>2.0</v>
      </c>
      <c r="G95" s="9" t="s">
        <v>133</v>
      </c>
      <c r="H95" s="341">
        <v>418.0</v>
      </c>
      <c r="I95" s="9" t="s">
        <v>540</v>
      </c>
      <c r="J95" s="24"/>
      <c r="K95" s="310">
        <f>F95*H95</f>
        <v>836</v>
      </c>
      <c r="L95" s="301">
        <f>H95*1.45</f>
        <v>606.1</v>
      </c>
      <c r="M95" s="9"/>
      <c r="N95" s="9"/>
      <c r="O95" s="9"/>
      <c r="P95" s="9"/>
      <c r="Q95" s="9"/>
      <c r="R95" s="9"/>
      <c r="S95" s="6"/>
      <c r="T95" s="6"/>
      <c r="U95" s="6"/>
      <c r="V95" s="6"/>
      <c r="W95" s="6"/>
    </row>
    <row r="96" ht="12.0" customHeight="1">
      <c r="A96" s="14"/>
      <c r="B96" s="80"/>
      <c r="C96" s="80"/>
      <c r="D96" s="15" t="s">
        <v>135</v>
      </c>
      <c r="E96" s="21" t="s">
        <v>136</v>
      </c>
      <c r="F96" s="14">
        <v>7.0</v>
      </c>
      <c r="G96" s="14" t="s">
        <v>137</v>
      </c>
      <c r="H96" s="344">
        <v>590.0</v>
      </c>
      <c r="I96" s="14" t="s">
        <v>935</v>
      </c>
      <c r="J96" s="51"/>
      <c r="K96" s="308">
        <f t="shared" ref="K96:K98" si="24">H96*F96</f>
        <v>4130</v>
      </c>
      <c r="L96" s="301">
        <f>H96*1.35</f>
        <v>796.5</v>
      </c>
      <c r="M96" s="14"/>
      <c r="N96" s="14"/>
      <c r="O96" s="14"/>
      <c r="P96" s="14"/>
      <c r="Q96" s="14"/>
      <c r="R96" s="14"/>
      <c r="S96" s="350" t="s">
        <v>941</v>
      </c>
      <c r="T96" s="6"/>
      <c r="U96" s="6"/>
      <c r="V96" s="6"/>
      <c r="W96" s="6"/>
    </row>
    <row r="97" ht="12.0" customHeight="1">
      <c r="A97" s="14"/>
      <c r="B97" s="15"/>
      <c r="C97" s="15"/>
      <c r="D97" s="25" t="s">
        <v>139</v>
      </c>
      <c r="E97" s="26" t="s">
        <v>140</v>
      </c>
      <c r="F97" s="27">
        <v>0.0</v>
      </c>
      <c r="G97" s="27" t="s">
        <v>141</v>
      </c>
      <c r="H97" s="315">
        <f>SUM(M97+O97)</f>
        <v>44.77</v>
      </c>
      <c r="I97" s="27" t="s">
        <v>17</v>
      </c>
      <c r="J97" s="103">
        <v>3612.0</v>
      </c>
      <c r="K97" s="316">
        <f t="shared" si="24"/>
        <v>0</v>
      </c>
      <c r="L97" s="317">
        <f>H97*1.75</f>
        <v>78.3475</v>
      </c>
      <c r="M97" s="331">
        <v>37.0</v>
      </c>
      <c r="N97" s="332">
        <v>0.21</v>
      </c>
      <c r="O97" s="331">
        <f>SUM(M97*N97)</f>
        <v>7.77</v>
      </c>
      <c r="P97" s="326"/>
      <c r="Q97" s="9"/>
      <c r="R97" s="9"/>
      <c r="S97" s="6"/>
      <c r="T97" s="6"/>
      <c r="U97" s="6"/>
      <c r="V97" s="6"/>
      <c r="W97" s="6"/>
    </row>
    <row r="98" ht="12.0" customHeight="1">
      <c r="A98" s="14"/>
      <c r="B98" s="15"/>
      <c r="C98" s="15"/>
      <c r="D98" s="75" t="s">
        <v>142</v>
      </c>
      <c r="E98" s="76" t="s">
        <v>143</v>
      </c>
      <c r="F98" s="146">
        <v>0.0</v>
      </c>
      <c r="G98" s="354" t="s">
        <v>144</v>
      </c>
      <c r="H98" s="355">
        <v>25.0</v>
      </c>
      <c r="I98" s="77" t="s">
        <v>145</v>
      </c>
      <c r="J98" s="356"/>
      <c r="K98" s="320">
        <f t="shared" si="24"/>
        <v>0</v>
      </c>
      <c r="L98" s="317">
        <f>H98*1.82</f>
        <v>45.5</v>
      </c>
      <c r="M98" s="41"/>
      <c r="N98" s="41"/>
      <c r="O98" s="41"/>
      <c r="P98" s="14"/>
      <c r="Q98" s="14"/>
      <c r="R98" s="14"/>
      <c r="S98" s="6"/>
      <c r="T98" s="6"/>
      <c r="U98" s="6"/>
      <c r="V98" s="6"/>
      <c r="W98" s="6"/>
    </row>
    <row r="99" ht="12.0" customHeight="1">
      <c r="A99" s="14"/>
      <c r="B99" s="82"/>
      <c r="C99" s="83"/>
      <c r="D99" s="9" t="s">
        <v>146</v>
      </c>
      <c r="E99" s="17" t="s">
        <v>114</v>
      </c>
      <c r="F99" s="9">
        <v>4.0</v>
      </c>
      <c r="G99" s="9" t="s">
        <v>147</v>
      </c>
      <c r="H99" s="351">
        <f>SUM(M99+O99)</f>
        <v>556.6</v>
      </c>
      <c r="I99" s="9" t="s">
        <v>17</v>
      </c>
      <c r="J99" s="33">
        <v>1540.0</v>
      </c>
      <c r="K99" s="310">
        <f t="shared" ref="K99:K102" si="25">F99*H99</f>
        <v>2226.4</v>
      </c>
      <c r="L99" s="301">
        <f t="shared" ref="L99:L100" si="26">H99*1.5</f>
        <v>834.9</v>
      </c>
      <c r="M99" s="352">
        <v>460.0</v>
      </c>
      <c r="N99" s="311">
        <v>0.21</v>
      </c>
      <c r="O99" s="310">
        <f>SUM(M99*N99)</f>
        <v>96.6</v>
      </c>
      <c r="P99" s="326"/>
      <c r="Q99" s="9"/>
      <c r="R99" s="9"/>
      <c r="S99" s="350"/>
      <c r="T99" s="6"/>
      <c r="U99" s="6"/>
      <c r="V99" s="6"/>
      <c r="W99" s="6"/>
    </row>
    <row r="100" ht="12.0" customHeight="1">
      <c r="A100" s="52"/>
      <c r="B100" s="82"/>
      <c r="C100" s="82"/>
      <c r="D100" s="357" t="s">
        <v>146</v>
      </c>
      <c r="E100" s="148" t="s">
        <v>148</v>
      </c>
      <c r="F100" s="149">
        <v>8.0</v>
      </c>
      <c r="G100" s="149"/>
      <c r="H100" s="358">
        <f>SUM(1.4*H99)</f>
        <v>779.24</v>
      </c>
      <c r="I100" s="149" t="s">
        <v>17</v>
      </c>
      <c r="J100" s="157">
        <v>6679.0</v>
      </c>
      <c r="K100" s="312">
        <f t="shared" si="25"/>
        <v>6233.92</v>
      </c>
      <c r="L100" s="301">
        <f t="shared" si="26"/>
        <v>1168.86</v>
      </c>
      <c r="M100" s="312"/>
      <c r="N100" s="313"/>
      <c r="O100" s="312"/>
      <c r="P100" s="314"/>
      <c r="Q100" s="14"/>
      <c r="R100" s="14"/>
      <c r="S100" s="350" t="s">
        <v>942</v>
      </c>
      <c r="T100" s="6"/>
      <c r="U100" s="6"/>
      <c r="V100" s="6"/>
      <c r="W100" s="6"/>
    </row>
    <row r="101" ht="12.0" customHeight="1">
      <c r="A101" s="52"/>
      <c r="B101" s="82"/>
      <c r="C101" s="82"/>
      <c r="D101" s="359" t="s">
        <v>146</v>
      </c>
      <c r="E101" s="17" t="s">
        <v>149</v>
      </c>
      <c r="F101" s="9">
        <v>0.0</v>
      </c>
      <c r="G101" s="9" t="s">
        <v>147</v>
      </c>
      <c r="H101" s="305">
        <f>SUM(2.5*H99)</f>
        <v>1391.5</v>
      </c>
      <c r="I101" s="9" t="s">
        <v>17</v>
      </c>
      <c r="J101" s="163">
        <v>1543.0</v>
      </c>
      <c r="K101" s="310">
        <f t="shared" si="25"/>
        <v>0</v>
      </c>
      <c r="L101" s="301">
        <f>H101*1.4</f>
        <v>1948.1</v>
      </c>
      <c r="M101" s="310"/>
      <c r="N101" s="311"/>
      <c r="O101" s="310"/>
      <c r="P101" s="326"/>
      <c r="Q101" s="9"/>
      <c r="R101" s="9"/>
      <c r="S101" s="6"/>
      <c r="T101" s="6"/>
      <c r="U101" s="6"/>
      <c r="V101" s="6"/>
      <c r="W101" s="6"/>
    </row>
    <row r="102" ht="12.0" customHeight="1">
      <c r="A102" s="52"/>
      <c r="B102" s="15"/>
      <c r="C102" s="15"/>
      <c r="D102" s="360" t="s">
        <v>146</v>
      </c>
      <c r="E102" s="40" t="s">
        <v>150</v>
      </c>
      <c r="F102" s="41">
        <v>0.0</v>
      </c>
      <c r="G102" s="41" t="s">
        <v>147</v>
      </c>
      <c r="H102" s="319">
        <f>SUM(M102+O102)</f>
        <v>360.58</v>
      </c>
      <c r="I102" s="41" t="s">
        <v>17</v>
      </c>
      <c r="J102" s="87">
        <v>1544.0</v>
      </c>
      <c r="K102" s="342">
        <f t="shared" si="25"/>
        <v>0</v>
      </c>
      <c r="L102" s="317">
        <f>H102*1.45</f>
        <v>522.841</v>
      </c>
      <c r="M102" s="342">
        <v>298.0</v>
      </c>
      <c r="N102" s="343">
        <v>0.21</v>
      </c>
      <c r="O102" s="342">
        <f>SUM(M102*N102)</f>
        <v>62.58</v>
      </c>
      <c r="P102" s="40"/>
      <c r="Q102" s="14"/>
      <c r="R102" s="14"/>
      <c r="S102" s="6"/>
      <c r="T102" s="6"/>
      <c r="U102" s="6"/>
      <c r="V102" s="6"/>
      <c r="W102" s="6"/>
    </row>
    <row r="103" ht="12.0" customHeight="1">
      <c r="A103" s="52"/>
      <c r="B103" s="71"/>
      <c r="C103" s="16"/>
      <c r="D103" s="90" t="s">
        <v>151</v>
      </c>
      <c r="E103" s="91" t="s">
        <v>152</v>
      </c>
      <c r="F103" s="33">
        <v>4.0</v>
      </c>
      <c r="G103" s="9" t="s">
        <v>943</v>
      </c>
      <c r="H103" s="305">
        <f>SUM(0.4*H106)</f>
        <v>192</v>
      </c>
      <c r="I103" s="361" t="s">
        <v>17</v>
      </c>
      <c r="J103" s="362">
        <v>1506.0</v>
      </c>
      <c r="K103" s="306">
        <f t="shared" ref="K103:K107" si="27">H103*F103</f>
        <v>768</v>
      </c>
      <c r="L103" s="301">
        <f t="shared" ref="L103:L104" si="28">H103*1.7</f>
        <v>326.4</v>
      </c>
      <c r="M103" s="331"/>
      <c r="N103" s="332"/>
      <c r="O103" s="331"/>
      <c r="P103" s="26"/>
      <c r="Q103" s="9"/>
      <c r="R103" s="9"/>
      <c r="S103" s="350" t="s">
        <v>944</v>
      </c>
      <c r="T103" s="6"/>
      <c r="U103" s="6"/>
      <c r="V103" s="6"/>
      <c r="W103" s="6"/>
    </row>
    <row r="104" ht="12.0" customHeight="1">
      <c r="A104" s="52"/>
      <c r="B104" s="71"/>
      <c r="C104" s="16"/>
      <c r="D104" s="92" t="s">
        <v>151</v>
      </c>
      <c r="E104" s="93" t="s">
        <v>155</v>
      </c>
      <c r="F104" s="50">
        <v>4.0</v>
      </c>
      <c r="G104" s="14" t="s">
        <v>943</v>
      </c>
      <c r="H104" s="307">
        <f>SUM(0.7*H106)</f>
        <v>336</v>
      </c>
      <c r="I104" s="363" t="s">
        <v>17</v>
      </c>
      <c r="J104" s="246">
        <v>1507.0</v>
      </c>
      <c r="K104" s="308">
        <f t="shared" si="27"/>
        <v>1344</v>
      </c>
      <c r="L104" s="301">
        <f t="shared" si="28"/>
        <v>571.2</v>
      </c>
      <c r="M104" s="342"/>
      <c r="N104" s="343"/>
      <c r="O104" s="342"/>
      <c r="P104" s="40"/>
      <c r="Q104" s="14"/>
      <c r="R104" s="14"/>
      <c r="S104" s="350"/>
      <c r="T104" s="6"/>
      <c r="U104" s="6"/>
      <c r="V104" s="6"/>
      <c r="W104" s="6"/>
    </row>
    <row r="105" ht="12.0" customHeight="1">
      <c r="A105" s="14"/>
      <c r="B105" s="67"/>
      <c r="C105" s="67"/>
      <c r="D105" s="90" t="s">
        <v>156</v>
      </c>
      <c r="E105" s="91" t="s">
        <v>152</v>
      </c>
      <c r="F105" s="33">
        <v>0.0</v>
      </c>
      <c r="G105" s="9" t="s">
        <v>147</v>
      </c>
      <c r="H105" s="305">
        <f>SUM(0.61*H106)</f>
        <v>292.8</v>
      </c>
      <c r="I105" s="361" t="s">
        <v>17</v>
      </c>
      <c r="J105" s="362">
        <v>1500.0</v>
      </c>
      <c r="K105" s="306">
        <f t="shared" si="27"/>
        <v>0</v>
      </c>
      <c r="L105" s="301">
        <f t="shared" ref="L105:L106" si="29">H105*1.65</f>
        <v>483.12</v>
      </c>
      <c r="M105" s="310">
        <v>104.0</v>
      </c>
      <c r="N105" s="311">
        <v>0.21</v>
      </c>
      <c r="O105" s="310">
        <f>SUM(M105*N105)</f>
        <v>21.84</v>
      </c>
      <c r="P105" s="9"/>
      <c r="Q105" s="9"/>
      <c r="R105" s="9"/>
      <c r="S105" s="350"/>
      <c r="T105" s="6"/>
      <c r="U105" s="6"/>
      <c r="V105" s="6"/>
      <c r="W105" s="6"/>
    </row>
    <row r="106" ht="12.0" customHeight="1">
      <c r="A106" s="14"/>
      <c r="B106" s="67"/>
      <c r="C106" s="67"/>
      <c r="D106" s="363" t="s">
        <v>156</v>
      </c>
      <c r="E106" s="93" t="s">
        <v>157</v>
      </c>
      <c r="F106" s="50">
        <v>4.0</v>
      </c>
      <c r="G106" s="14" t="s">
        <v>147</v>
      </c>
      <c r="H106" s="364">
        <v>480.0</v>
      </c>
      <c r="I106" s="363" t="s">
        <v>61</v>
      </c>
      <c r="J106" s="246">
        <v>3213.0</v>
      </c>
      <c r="K106" s="308">
        <f t="shared" si="27"/>
        <v>1920</v>
      </c>
      <c r="L106" s="301">
        <f t="shared" si="29"/>
        <v>792</v>
      </c>
      <c r="M106" s="14"/>
      <c r="N106" s="14"/>
      <c r="O106" s="14"/>
      <c r="P106" s="14"/>
      <c r="Q106" s="14"/>
      <c r="R106" s="14"/>
      <c r="S106" s="350" t="s">
        <v>945</v>
      </c>
      <c r="T106" s="6"/>
      <c r="U106" s="6"/>
      <c r="V106" s="6"/>
      <c r="W106" s="6"/>
    </row>
    <row r="107" ht="12.0" customHeight="1">
      <c r="A107" s="14"/>
      <c r="B107" s="67"/>
      <c r="C107" s="67"/>
      <c r="D107" s="90" t="s">
        <v>156</v>
      </c>
      <c r="E107" s="91" t="s">
        <v>158</v>
      </c>
      <c r="F107" s="33">
        <v>4.0</v>
      </c>
      <c r="G107" s="9" t="s">
        <v>147</v>
      </c>
      <c r="H107" s="305">
        <f>SUM(1.75*H106)</f>
        <v>840</v>
      </c>
      <c r="I107" s="361" t="s">
        <v>17</v>
      </c>
      <c r="J107" s="362">
        <v>1502.0</v>
      </c>
      <c r="K107" s="306">
        <f t="shared" si="27"/>
        <v>3360</v>
      </c>
      <c r="L107" s="301">
        <f>H107*1.6</f>
        <v>1344</v>
      </c>
      <c r="M107" s="310"/>
      <c r="N107" s="311"/>
      <c r="O107" s="310"/>
      <c r="P107" s="9"/>
      <c r="Q107" s="9"/>
      <c r="R107" s="9"/>
      <c r="S107" s="350"/>
      <c r="T107" s="6"/>
      <c r="U107" s="6"/>
      <c r="V107" s="6"/>
      <c r="W107" s="6"/>
    </row>
    <row r="108" ht="12.0" customHeight="1">
      <c r="A108" s="14"/>
      <c r="B108" s="71"/>
      <c r="C108" s="16"/>
      <c r="D108" s="33" t="s">
        <v>159</v>
      </c>
      <c r="E108" s="32"/>
      <c r="F108" s="33">
        <v>8.0</v>
      </c>
      <c r="G108" s="33" t="s">
        <v>160</v>
      </c>
      <c r="H108" s="305">
        <f>SUM(0.4*H106)</f>
        <v>192</v>
      </c>
      <c r="I108" s="33" t="s">
        <v>17</v>
      </c>
      <c r="J108" s="59">
        <v>5428.0</v>
      </c>
      <c r="K108" s="323">
        <f t="shared" ref="K108:K115" si="30">F108*H108</f>
        <v>1536</v>
      </c>
      <c r="L108" s="346">
        <f>H108*1.65</f>
        <v>316.8</v>
      </c>
      <c r="M108" s="310">
        <v>120.0</v>
      </c>
      <c r="N108" s="311">
        <v>0.21</v>
      </c>
      <c r="O108" s="310">
        <f>SUM(M108*N108)</f>
        <v>25.2</v>
      </c>
      <c r="P108" s="326"/>
      <c r="Q108" s="9"/>
      <c r="R108" s="9"/>
      <c r="S108" s="6"/>
      <c r="T108" s="6"/>
      <c r="U108" s="6"/>
      <c r="V108" s="6"/>
      <c r="W108" s="6"/>
    </row>
    <row r="109" ht="12.0" customHeight="1">
      <c r="A109" s="14"/>
      <c r="B109" s="15"/>
      <c r="C109" s="15"/>
      <c r="D109" s="41" t="s">
        <v>161</v>
      </c>
      <c r="E109" s="40"/>
      <c r="F109" s="41">
        <v>0.0</v>
      </c>
      <c r="G109" s="41"/>
      <c r="H109" s="319">
        <v>58.0</v>
      </c>
      <c r="I109" s="41" t="s">
        <v>162</v>
      </c>
      <c r="J109" s="81"/>
      <c r="K109" s="320">
        <f t="shared" si="30"/>
        <v>0</v>
      </c>
      <c r="L109" s="317">
        <f>H109*1.5</f>
        <v>87</v>
      </c>
      <c r="M109" s="312"/>
      <c r="N109" s="313"/>
      <c r="O109" s="312"/>
      <c r="P109" s="314"/>
      <c r="Q109" s="14"/>
      <c r="R109" s="14"/>
      <c r="S109" s="6"/>
      <c r="T109" s="6"/>
      <c r="U109" s="6"/>
      <c r="V109" s="6"/>
      <c r="W109" s="6"/>
    </row>
    <row r="110" ht="12.0" customHeight="1">
      <c r="A110" s="14"/>
      <c r="B110" s="79"/>
      <c r="C110" s="68"/>
      <c r="D110" s="9" t="s">
        <v>163</v>
      </c>
      <c r="E110" s="17"/>
      <c r="F110" s="33">
        <v>600.0</v>
      </c>
      <c r="G110" s="9"/>
      <c r="H110" s="341">
        <v>2.0</v>
      </c>
      <c r="I110" s="9" t="s">
        <v>162</v>
      </c>
      <c r="J110" s="24"/>
      <c r="K110" s="306">
        <f t="shared" si="30"/>
        <v>1200</v>
      </c>
      <c r="L110" s="301">
        <v>5.0</v>
      </c>
      <c r="M110" s="9"/>
      <c r="N110" s="9"/>
      <c r="O110" s="9"/>
      <c r="P110" s="9"/>
      <c r="Q110" s="9"/>
      <c r="R110" s="9"/>
      <c r="S110" s="6"/>
      <c r="T110" s="6" t="s">
        <v>112</v>
      </c>
      <c r="U110" s="6"/>
      <c r="V110" s="6"/>
      <c r="W110" s="6"/>
    </row>
    <row r="111" ht="12.0" customHeight="1">
      <c r="A111" s="14"/>
      <c r="B111" s="15"/>
      <c r="C111" s="15"/>
      <c r="D111" s="50" t="s">
        <v>946</v>
      </c>
      <c r="E111" s="98"/>
      <c r="F111" s="50">
        <v>6.0</v>
      </c>
      <c r="G111" s="50"/>
      <c r="H111" s="365">
        <f>SUM(M111+O111)</f>
        <v>532.4</v>
      </c>
      <c r="I111" s="50" t="s">
        <v>17</v>
      </c>
      <c r="J111" s="60">
        <v>338.0</v>
      </c>
      <c r="K111" s="308">
        <f t="shared" si="30"/>
        <v>3194.4</v>
      </c>
      <c r="L111" s="301">
        <f>H111*1.65</f>
        <v>878.46</v>
      </c>
      <c r="M111" s="312">
        <v>440.0</v>
      </c>
      <c r="N111" s="313">
        <v>0.21</v>
      </c>
      <c r="O111" s="312">
        <f>SUM(M111*N111)</f>
        <v>92.4</v>
      </c>
      <c r="P111" s="14"/>
      <c r="Q111" s="14"/>
      <c r="R111" s="14"/>
      <c r="S111" s="321" t="s">
        <v>947</v>
      </c>
      <c r="T111" s="6"/>
      <c r="U111" s="6"/>
      <c r="V111" s="6"/>
      <c r="W111" s="6"/>
    </row>
    <row r="112" ht="12.0" customHeight="1">
      <c r="A112" s="14"/>
      <c r="B112" s="64"/>
      <c r="C112" s="64"/>
      <c r="D112" s="25" t="s">
        <v>948</v>
      </c>
      <c r="E112" s="366"/>
      <c r="F112" s="27">
        <v>0.0</v>
      </c>
      <c r="G112" s="27"/>
      <c r="H112" s="315">
        <v>300.0</v>
      </c>
      <c r="I112" s="27" t="s">
        <v>949</v>
      </c>
      <c r="J112" s="103"/>
      <c r="K112" s="316">
        <f t="shared" si="30"/>
        <v>0</v>
      </c>
      <c r="L112" s="317">
        <f>H112*1.6</f>
        <v>480</v>
      </c>
      <c r="M112" s="9"/>
      <c r="N112" s="9"/>
      <c r="O112" s="9"/>
      <c r="P112" s="9"/>
      <c r="Q112" s="9"/>
      <c r="R112" s="9"/>
      <c r="S112" s="6"/>
      <c r="T112" s="6"/>
      <c r="U112" s="6"/>
      <c r="V112" s="6"/>
      <c r="W112" s="6"/>
    </row>
    <row r="113" ht="12.0" customHeight="1">
      <c r="A113" s="14"/>
      <c r="B113" s="15"/>
      <c r="C113" s="15"/>
      <c r="D113" s="39" t="s">
        <v>166</v>
      </c>
      <c r="E113" s="367"/>
      <c r="F113" s="41">
        <v>0.0</v>
      </c>
      <c r="G113" s="41" t="s">
        <v>167</v>
      </c>
      <c r="H113" s="319">
        <v>40.0</v>
      </c>
      <c r="I113" s="41" t="s">
        <v>162</v>
      </c>
      <c r="J113" s="81">
        <v>4922.0</v>
      </c>
      <c r="K113" s="320">
        <f t="shared" si="30"/>
        <v>0</v>
      </c>
      <c r="L113" s="317">
        <f>H113*1.8</f>
        <v>72</v>
      </c>
      <c r="M113" s="14"/>
      <c r="N113" s="14"/>
      <c r="O113" s="14"/>
      <c r="P113" s="14"/>
      <c r="Q113" s="14"/>
      <c r="R113" s="14"/>
      <c r="S113" s="6"/>
      <c r="T113" s="6"/>
      <c r="U113" s="6"/>
      <c r="V113" s="6"/>
      <c r="W113" s="6"/>
    </row>
    <row r="114" ht="12.0" customHeight="1">
      <c r="A114" s="14"/>
      <c r="B114" s="15"/>
      <c r="C114" s="15"/>
      <c r="D114" s="15" t="s">
        <v>168</v>
      </c>
      <c r="E114" s="21"/>
      <c r="F114" s="14">
        <v>78.0</v>
      </c>
      <c r="G114" s="14"/>
      <c r="H114" s="318">
        <f>SUM(P114/78)</f>
        <v>56.10987179</v>
      </c>
      <c r="I114" s="14" t="s">
        <v>17</v>
      </c>
      <c r="J114" s="51">
        <v>6036.0</v>
      </c>
      <c r="K114" s="308">
        <f t="shared" si="30"/>
        <v>4376.57</v>
      </c>
      <c r="L114" s="301">
        <f>H114*2.4</f>
        <v>134.6636923</v>
      </c>
      <c r="M114" s="368">
        <v>3617.0</v>
      </c>
      <c r="N114" s="313">
        <v>0.21</v>
      </c>
      <c r="O114" s="312">
        <f>SUM(M114*N114)</f>
        <v>759.57</v>
      </c>
      <c r="P114" s="314">
        <f>SUM(M114+O114)</f>
        <v>4376.57</v>
      </c>
      <c r="Q114" s="14"/>
      <c r="R114" s="14"/>
      <c r="S114" s="6"/>
      <c r="T114" s="6"/>
      <c r="U114" s="6"/>
      <c r="V114" s="6"/>
      <c r="W114" s="6"/>
    </row>
    <row r="115" ht="12.0" customHeight="1">
      <c r="A115" s="14"/>
      <c r="B115" s="15"/>
      <c r="C115" s="15"/>
      <c r="D115" s="16" t="s">
        <v>169</v>
      </c>
      <c r="E115" s="17"/>
      <c r="F115" s="9">
        <v>22.0</v>
      </c>
      <c r="G115" s="9"/>
      <c r="H115" s="305">
        <f>SUM(3.11*H114)</f>
        <v>174.5017013</v>
      </c>
      <c r="I115" s="9" t="s">
        <v>170</v>
      </c>
      <c r="J115" s="24"/>
      <c r="K115" s="306">
        <f t="shared" si="30"/>
        <v>3839.037428</v>
      </c>
      <c r="L115" s="301">
        <f>H115*1.7</f>
        <v>296.6528922</v>
      </c>
      <c r="M115" s="369"/>
      <c r="N115" s="369"/>
      <c r="O115" s="369"/>
      <c r="P115" s="369"/>
      <c r="Q115" s="369"/>
      <c r="R115" s="369"/>
      <c r="S115" s="6"/>
      <c r="T115" s="6"/>
      <c r="U115" s="6"/>
      <c r="V115" s="6"/>
      <c r="W115" s="6"/>
    </row>
    <row r="116" ht="12.0" customHeight="1">
      <c r="A116" s="14"/>
      <c r="B116" s="15"/>
      <c r="C116" s="15"/>
      <c r="D116" s="16" t="s">
        <v>171</v>
      </c>
      <c r="E116" s="17" t="s">
        <v>172</v>
      </c>
      <c r="F116" s="9">
        <v>15.0</v>
      </c>
      <c r="G116" s="9"/>
      <c r="H116" s="345">
        <f>SUM(M116+O116)</f>
        <v>100.43</v>
      </c>
      <c r="I116" s="9" t="s">
        <v>17</v>
      </c>
      <c r="J116" s="24">
        <v>1951.0</v>
      </c>
      <c r="K116" s="306">
        <f t="shared" ref="K116:K167" si="31">H116*F116</f>
        <v>1506.45</v>
      </c>
      <c r="L116" s="301">
        <f>H116*1.9</f>
        <v>190.817</v>
      </c>
      <c r="M116" s="310">
        <v>83.0</v>
      </c>
      <c r="N116" s="311">
        <v>0.21</v>
      </c>
      <c r="O116" s="310">
        <f>SUM(M116*N116)</f>
        <v>17.43</v>
      </c>
      <c r="P116" s="369"/>
      <c r="Q116" s="369"/>
      <c r="R116" s="369"/>
      <c r="S116" s="6"/>
      <c r="T116" s="6" t="s">
        <v>173</v>
      </c>
      <c r="U116" s="6"/>
      <c r="V116" s="6"/>
      <c r="W116" s="6"/>
    </row>
    <row r="117" ht="12.0" customHeight="1">
      <c r="A117" s="52"/>
      <c r="B117" s="15"/>
      <c r="C117" s="15"/>
      <c r="D117" s="15" t="s">
        <v>174</v>
      </c>
      <c r="E117" s="21" t="s">
        <v>175</v>
      </c>
      <c r="F117" s="14">
        <v>10.0</v>
      </c>
      <c r="G117" s="14"/>
      <c r="H117" s="318">
        <v>1651.0</v>
      </c>
      <c r="I117" s="14" t="s">
        <v>61</v>
      </c>
      <c r="J117" s="51">
        <v>715.0</v>
      </c>
      <c r="K117" s="308">
        <f t="shared" si="31"/>
        <v>16510</v>
      </c>
      <c r="L117" s="301">
        <f>H117*1.73</f>
        <v>2856.23</v>
      </c>
      <c r="M117" s="14"/>
      <c r="N117" s="14"/>
      <c r="O117" s="14"/>
      <c r="P117" s="14"/>
      <c r="Q117" s="14"/>
      <c r="R117" s="14"/>
      <c r="S117" s="6"/>
      <c r="T117" s="14" t="s">
        <v>176</v>
      </c>
      <c r="U117" s="14" t="s">
        <v>177</v>
      </c>
      <c r="V117" s="6"/>
      <c r="W117" s="6"/>
    </row>
    <row r="118" ht="12.0" customHeight="1">
      <c r="A118" s="14"/>
      <c r="B118" s="15"/>
      <c r="C118" s="15"/>
      <c r="D118" s="31" t="s">
        <v>950</v>
      </c>
      <c r="E118" s="32" t="s">
        <v>179</v>
      </c>
      <c r="F118" s="33">
        <v>6.0</v>
      </c>
      <c r="G118" s="33"/>
      <c r="H118" s="305">
        <f>SUM(0.95*H117)</f>
        <v>1568.45</v>
      </c>
      <c r="I118" s="33" t="s">
        <v>17</v>
      </c>
      <c r="J118" s="59">
        <v>1095.0</v>
      </c>
      <c r="K118" s="323">
        <f t="shared" si="31"/>
        <v>9410.7</v>
      </c>
      <c r="L118" s="301">
        <f>H118*1.7</f>
        <v>2666.365</v>
      </c>
      <c r="M118" s="310"/>
      <c r="N118" s="311"/>
      <c r="O118" s="310"/>
      <c r="P118" s="154"/>
      <c r="Q118" s="154"/>
      <c r="R118" s="154"/>
      <c r="S118" s="321" t="s">
        <v>947</v>
      </c>
      <c r="T118" s="6" t="s">
        <v>176</v>
      </c>
      <c r="U118" s="6" t="s">
        <v>180</v>
      </c>
      <c r="V118" s="6"/>
      <c r="W118" s="6"/>
    </row>
    <row r="119" ht="12.0" customHeight="1">
      <c r="A119" s="52"/>
      <c r="B119" s="15"/>
      <c r="C119" s="15"/>
      <c r="D119" s="39" t="s">
        <v>181</v>
      </c>
      <c r="E119" s="40" t="s">
        <v>182</v>
      </c>
      <c r="F119" s="41">
        <v>0.0</v>
      </c>
      <c r="G119" s="41"/>
      <c r="H119" s="319">
        <f>SUM(0.86*H117)</f>
        <v>1419.86</v>
      </c>
      <c r="I119" s="41" t="s">
        <v>61</v>
      </c>
      <c r="J119" s="81">
        <v>718.0</v>
      </c>
      <c r="K119" s="320">
        <f t="shared" si="31"/>
        <v>0</v>
      </c>
      <c r="L119" s="317">
        <f>H119*1.73</f>
        <v>2456.3578</v>
      </c>
      <c r="M119" s="14"/>
      <c r="N119" s="14"/>
      <c r="O119" s="15"/>
      <c r="P119" s="14"/>
      <c r="Q119" s="14"/>
      <c r="R119" s="14"/>
      <c r="S119" s="6"/>
      <c r="T119" s="14" t="s">
        <v>176</v>
      </c>
      <c r="U119" s="14" t="s">
        <v>183</v>
      </c>
      <c r="V119" s="6"/>
      <c r="W119" s="6"/>
    </row>
    <row r="120" ht="12.0" customHeight="1">
      <c r="A120" s="52"/>
      <c r="B120" s="15"/>
      <c r="C120" s="15"/>
      <c r="D120" s="15" t="s">
        <v>181</v>
      </c>
      <c r="E120" s="21" t="s">
        <v>951</v>
      </c>
      <c r="F120" s="14">
        <v>12.5</v>
      </c>
      <c r="G120" s="14"/>
      <c r="H120" s="307">
        <f>SUM(1*H117)</f>
        <v>1651</v>
      </c>
      <c r="I120" s="14" t="s">
        <v>17</v>
      </c>
      <c r="J120" s="51">
        <v>1087.0</v>
      </c>
      <c r="K120" s="308">
        <f t="shared" si="31"/>
        <v>20637.5</v>
      </c>
      <c r="L120" s="301">
        <f>H120*1.7</f>
        <v>2806.7</v>
      </c>
      <c r="M120" s="149"/>
      <c r="N120" s="149"/>
      <c r="O120" s="15"/>
      <c r="P120" s="14"/>
      <c r="Q120" s="14"/>
      <c r="R120" s="14"/>
      <c r="S120" s="6"/>
      <c r="T120" s="14" t="s">
        <v>176</v>
      </c>
      <c r="U120" s="14" t="s">
        <v>952</v>
      </c>
      <c r="V120" s="6"/>
      <c r="W120" s="6"/>
    </row>
    <row r="121" ht="12.0" customHeight="1">
      <c r="A121" s="14"/>
      <c r="B121" s="100"/>
      <c r="C121" s="68"/>
      <c r="D121" s="101" t="s">
        <v>184</v>
      </c>
      <c r="E121" s="26" t="s">
        <v>953</v>
      </c>
      <c r="F121" s="27">
        <v>0.0</v>
      </c>
      <c r="G121" s="102" t="s">
        <v>186</v>
      </c>
      <c r="H121" s="315">
        <v>23.0</v>
      </c>
      <c r="I121" s="27" t="s">
        <v>954</v>
      </c>
      <c r="J121" s="103"/>
      <c r="K121" s="316">
        <f t="shared" si="31"/>
        <v>0</v>
      </c>
      <c r="L121" s="317">
        <f t="shared" ref="L121:L122" si="32">H121*1.75</f>
        <v>40.25</v>
      </c>
      <c r="M121" s="370"/>
      <c r="N121" s="371"/>
      <c r="O121" s="331"/>
      <c r="P121" s="331"/>
      <c r="Q121" s="27"/>
      <c r="R121" s="27"/>
      <c r="S121" s="6"/>
      <c r="T121" s="6"/>
      <c r="U121" s="6"/>
      <c r="V121" s="6"/>
      <c r="W121" s="6"/>
    </row>
    <row r="122" ht="12.0" customHeight="1">
      <c r="A122" s="14"/>
      <c r="B122" s="69"/>
      <c r="C122" s="66"/>
      <c r="D122" s="101" t="s">
        <v>187</v>
      </c>
      <c r="E122" s="26" t="s">
        <v>188</v>
      </c>
      <c r="F122" s="27">
        <v>0.0</v>
      </c>
      <c r="G122" s="102" t="s">
        <v>189</v>
      </c>
      <c r="H122" s="315">
        <v>60.0</v>
      </c>
      <c r="I122" s="27" t="s">
        <v>61</v>
      </c>
      <c r="J122" s="103">
        <v>1978.0</v>
      </c>
      <c r="K122" s="316">
        <f t="shared" si="31"/>
        <v>0</v>
      </c>
      <c r="L122" s="317">
        <f t="shared" si="32"/>
        <v>105</v>
      </c>
      <c r="M122" s="331"/>
      <c r="N122" s="332"/>
      <c r="O122" s="331"/>
      <c r="P122" s="331"/>
      <c r="Q122" s="27"/>
      <c r="R122" s="27"/>
      <c r="S122" s="321" t="s">
        <v>955</v>
      </c>
      <c r="T122" s="6"/>
      <c r="U122" s="6"/>
      <c r="V122" s="6"/>
      <c r="W122" s="6"/>
    </row>
    <row r="123" ht="12.0" customHeight="1">
      <c r="A123" s="14"/>
      <c r="B123" s="15"/>
      <c r="C123" s="15"/>
      <c r="D123" s="15" t="s">
        <v>190</v>
      </c>
      <c r="E123" s="47" t="s">
        <v>191</v>
      </c>
      <c r="F123" s="50">
        <v>2.0</v>
      </c>
      <c r="G123" s="105" t="s">
        <v>192</v>
      </c>
      <c r="H123" s="307">
        <f>SUM(23.5*H125)</f>
        <v>2416.975</v>
      </c>
      <c r="I123" s="50" t="s">
        <v>17</v>
      </c>
      <c r="J123" s="60">
        <v>5232.0</v>
      </c>
      <c r="K123" s="322">
        <f t="shared" si="31"/>
        <v>4833.95</v>
      </c>
      <c r="L123" s="346">
        <f>H123*1.45</f>
        <v>3504.61375</v>
      </c>
      <c r="M123" s="312"/>
      <c r="N123" s="313"/>
      <c r="O123" s="312"/>
      <c r="P123" s="314"/>
      <c r="Q123" s="14"/>
      <c r="R123" s="14"/>
      <c r="S123" s="6"/>
      <c r="T123" s="6"/>
      <c r="U123" s="6"/>
      <c r="V123" s="6"/>
      <c r="W123" s="6"/>
    </row>
    <row r="124" ht="12.0" customHeight="1">
      <c r="A124" s="14"/>
      <c r="B124" s="15"/>
      <c r="C124" s="15"/>
      <c r="D124" s="15" t="s">
        <v>193</v>
      </c>
      <c r="E124" s="47" t="s">
        <v>194</v>
      </c>
      <c r="F124" s="50">
        <v>30.0</v>
      </c>
      <c r="G124" s="105" t="s">
        <v>195</v>
      </c>
      <c r="H124" s="365">
        <v>95.0</v>
      </c>
      <c r="I124" s="50" t="s">
        <v>576</v>
      </c>
      <c r="J124" s="60" t="s">
        <v>956</v>
      </c>
      <c r="K124" s="322">
        <f t="shared" si="31"/>
        <v>2850</v>
      </c>
      <c r="L124" s="346">
        <f>H124*1.88</f>
        <v>178.6</v>
      </c>
      <c r="M124" s="312"/>
      <c r="N124" s="313"/>
      <c r="O124" s="312"/>
      <c r="P124" s="314"/>
      <c r="Q124" s="14"/>
      <c r="R124" s="14"/>
      <c r="S124" s="6"/>
      <c r="T124" s="6"/>
      <c r="U124" s="6"/>
      <c r="V124" s="6"/>
      <c r="W124" s="6"/>
    </row>
    <row r="125" ht="12.0" customHeight="1">
      <c r="A125" s="14"/>
      <c r="B125" s="15"/>
      <c r="C125" s="15"/>
      <c r="D125" s="106" t="s">
        <v>957</v>
      </c>
      <c r="E125" s="32" t="s">
        <v>194</v>
      </c>
      <c r="F125" s="33">
        <v>30.0</v>
      </c>
      <c r="G125" s="107" t="s">
        <v>197</v>
      </c>
      <c r="H125" s="351">
        <f>SUM(M125+O125)</f>
        <v>102.85</v>
      </c>
      <c r="I125" s="33" t="s">
        <v>17</v>
      </c>
      <c r="J125" s="59">
        <v>11051.0</v>
      </c>
      <c r="K125" s="323">
        <f t="shared" si="31"/>
        <v>3085.5</v>
      </c>
      <c r="L125" s="346">
        <f>H125*1.77</f>
        <v>182.0445</v>
      </c>
      <c r="M125" s="352">
        <v>85.0</v>
      </c>
      <c r="N125" s="311">
        <v>0.21</v>
      </c>
      <c r="O125" s="310">
        <f>SUM(M125*N125)</f>
        <v>17.85</v>
      </c>
      <c r="P125" s="326"/>
      <c r="Q125" s="9"/>
      <c r="R125" s="9"/>
      <c r="S125" s="6"/>
      <c r="T125" s="6"/>
      <c r="U125" s="6"/>
      <c r="V125" s="6"/>
      <c r="W125" s="6"/>
    </row>
    <row r="126" ht="12.0" customHeight="1">
      <c r="A126" s="14"/>
      <c r="B126" s="15"/>
      <c r="C126" s="15"/>
      <c r="D126" s="46" t="s">
        <v>958</v>
      </c>
      <c r="E126" s="50" t="s">
        <v>199</v>
      </c>
      <c r="F126" s="50">
        <v>25.0</v>
      </c>
      <c r="G126" s="105" t="s">
        <v>189</v>
      </c>
      <c r="H126" s="307">
        <f>SUM(2*H125)</f>
        <v>205.7</v>
      </c>
      <c r="I126" s="46" t="s">
        <v>61</v>
      </c>
      <c r="J126" s="50">
        <v>1980.0</v>
      </c>
      <c r="K126" s="308">
        <f t="shared" si="31"/>
        <v>5142.5</v>
      </c>
      <c r="L126" s="301">
        <f>H126*1.8</f>
        <v>370.26</v>
      </c>
      <c r="M126" s="312"/>
      <c r="N126" s="313"/>
      <c r="O126" s="312"/>
      <c r="P126" s="314"/>
      <c r="Q126" s="14"/>
      <c r="R126" s="14"/>
      <c r="S126" s="321" t="s">
        <v>959</v>
      </c>
      <c r="T126" s="6"/>
      <c r="U126" s="6"/>
      <c r="V126" s="6"/>
      <c r="W126" s="6"/>
    </row>
    <row r="127" ht="12.0" customHeight="1">
      <c r="A127" s="14"/>
      <c r="B127" s="15"/>
      <c r="C127" s="15"/>
      <c r="D127" s="16" t="s">
        <v>960</v>
      </c>
      <c r="E127" s="17" t="s">
        <v>201</v>
      </c>
      <c r="F127" s="9">
        <v>5.0</v>
      </c>
      <c r="G127" s="9" t="s">
        <v>202</v>
      </c>
      <c r="H127" s="372">
        <f>SUM(3.68*H125)</f>
        <v>378.488</v>
      </c>
      <c r="I127" s="9" t="s">
        <v>17</v>
      </c>
      <c r="J127" s="24">
        <v>5969.0</v>
      </c>
      <c r="K127" s="306">
        <f t="shared" si="31"/>
        <v>1892.44</v>
      </c>
      <c r="L127" s="301">
        <f t="shared" ref="L127:L128" si="33">H127*1.77</f>
        <v>669.92376</v>
      </c>
      <c r="M127" s="9"/>
      <c r="N127" s="9"/>
      <c r="O127" s="9"/>
      <c r="P127" s="9"/>
      <c r="Q127" s="9"/>
      <c r="R127" s="9"/>
      <c r="S127" s="6"/>
      <c r="T127" s="6"/>
      <c r="U127" s="6"/>
      <c r="V127" s="6"/>
      <c r="W127" s="6"/>
    </row>
    <row r="128" ht="12.0" customHeight="1">
      <c r="A128" s="14"/>
      <c r="B128" s="15"/>
      <c r="C128" s="15"/>
      <c r="D128" s="109" t="s">
        <v>961</v>
      </c>
      <c r="E128" s="110" t="s">
        <v>204</v>
      </c>
      <c r="F128" s="111">
        <v>0.0</v>
      </c>
      <c r="G128" s="111" t="s">
        <v>202</v>
      </c>
      <c r="H128" s="307">
        <f>SUM(6.14*H125)</f>
        <v>631.499</v>
      </c>
      <c r="I128" s="111" t="s">
        <v>17</v>
      </c>
      <c r="J128" s="373">
        <v>5240.0</v>
      </c>
      <c r="K128" s="374">
        <f t="shared" si="31"/>
        <v>0</v>
      </c>
      <c r="L128" s="301">
        <f t="shared" si="33"/>
        <v>1117.75323</v>
      </c>
      <c r="M128" s="314"/>
      <c r="N128" s="313"/>
      <c r="O128" s="312"/>
      <c r="P128" s="14"/>
      <c r="Q128" s="14"/>
      <c r="R128" s="14"/>
      <c r="S128" s="6"/>
      <c r="T128" s="6"/>
      <c r="U128" s="6"/>
      <c r="V128" s="6"/>
      <c r="W128" s="6"/>
    </row>
    <row r="129" ht="12.0" customHeight="1">
      <c r="A129" s="14"/>
      <c r="B129" s="15"/>
      <c r="C129" s="15"/>
      <c r="D129" s="113" t="s">
        <v>962</v>
      </c>
      <c r="E129" s="17" t="s">
        <v>205</v>
      </c>
      <c r="F129" s="9">
        <v>5.0</v>
      </c>
      <c r="G129" s="9" t="s">
        <v>197</v>
      </c>
      <c r="H129" s="333">
        <f>SUM(M129+O129)</f>
        <v>831.27</v>
      </c>
      <c r="I129" s="9" t="s">
        <v>17</v>
      </c>
      <c r="J129" s="24">
        <v>5241.0</v>
      </c>
      <c r="K129" s="326">
        <f t="shared" si="31"/>
        <v>4156.35</v>
      </c>
      <c r="L129" s="301">
        <f>H129*1.55</f>
        <v>1288.4685</v>
      </c>
      <c r="M129" s="334">
        <v>687.0</v>
      </c>
      <c r="N129" s="311">
        <v>0.21</v>
      </c>
      <c r="O129" s="310">
        <f>SUM(M129*N129)</f>
        <v>144.27</v>
      </c>
      <c r="P129" s="9"/>
      <c r="Q129" s="9"/>
      <c r="R129" s="9"/>
      <c r="S129" s="6"/>
      <c r="T129" s="6"/>
      <c r="U129" s="6"/>
      <c r="V129" s="6"/>
      <c r="W129" s="6"/>
    </row>
    <row r="130" ht="12.0" customHeight="1">
      <c r="A130" s="14"/>
      <c r="B130" s="15"/>
      <c r="C130" s="15"/>
      <c r="D130" s="15" t="s">
        <v>963</v>
      </c>
      <c r="E130" s="21" t="s">
        <v>209</v>
      </c>
      <c r="F130" s="14">
        <v>11.0</v>
      </c>
      <c r="G130" s="14" t="s">
        <v>189</v>
      </c>
      <c r="H130" s="307">
        <f>SUM(2.5*H125)</f>
        <v>257.125</v>
      </c>
      <c r="I130" s="15" t="s">
        <v>17</v>
      </c>
      <c r="J130" s="51">
        <v>5237.0</v>
      </c>
      <c r="K130" s="308">
        <f t="shared" si="31"/>
        <v>2828.375</v>
      </c>
      <c r="L130" s="301">
        <f t="shared" ref="L130:L131" si="34">H130*1.7</f>
        <v>437.1125</v>
      </c>
      <c r="M130" s="312"/>
      <c r="N130" s="313"/>
      <c r="O130" s="312"/>
      <c r="P130" s="314"/>
      <c r="Q130" s="14"/>
      <c r="R130" s="14"/>
      <c r="S130" s="6"/>
      <c r="T130" s="6"/>
      <c r="U130" s="6"/>
      <c r="V130" s="6"/>
      <c r="W130" s="6"/>
    </row>
    <row r="131" ht="12.0" customHeight="1">
      <c r="A131" s="14"/>
      <c r="B131" s="15"/>
      <c r="C131" s="15"/>
      <c r="D131" s="15" t="s">
        <v>210</v>
      </c>
      <c r="E131" s="21" t="s">
        <v>211</v>
      </c>
      <c r="F131" s="14">
        <v>2.0</v>
      </c>
      <c r="G131" s="14" t="s">
        <v>964</v>
      </c>
      <c r="H131" s="307">
        <f>SUM(4.56*H125)</f>
        <v>468.996</v>
      </c>
      <c r="I131" s="15" t="s">
        <v>17</v>
      </c>
      <c r="J131" s="51">
        <v>5248.0</v>
      </c>
      <c r="K131" s="308">
        <f t="shared" si="31"/>
        <v>937.992</v>
      </c>
      <c r="L131" s="301">
        <f t="shared" si="34"/>
        <v>797.2932</v>
      </c>
      <c r="M131" s="312"/>
      <c r="N131" s="313"/>
      <c r="O131" s="312"/>
      <c r="P131" s="314"/>
      <c r="Q131" s="14"/>
      <c r="R131" s="14"/>
      <c r="S131" s="6"/>
      <c r="T131" s="6"/>
      <c r="U131" s="6"/>
      <c r="V131" s="6"/>
      <c r="W131" s="6"/>
    </row>
    <row r="132" ht="12.0" customHeight="1">
      <c r="A132" s="14"/>
      <c r="B132" s="39"/>
      <c r="C132" s="114"/>
      <c r="D132" s="27" t="s">
        <v>213</v>
      </c>
      <c r="E132" s="26" t="s">
        <v>191</v>
      </c>
      <c r="F132" s="27">
        <v>0.0</v>
      </c>
      <c r="G132" s="27" t="s">
        <v>76</v>
      </c>
      <c r="H132" s="375">
        <v>51.4</v>
      </c>
      <c r="I132" s="27" t="s">
        <v>17</v>
      </c>
      <c r="J132" s="27">
        <v>5264.0</v>
      </c>
      <c r="K132" s="331">
        <f t="shared" si="31"/>
        <v>0</v>
      </c>
      <c r="L132" s="317">
        <f>H132*1.97</f>
        <v>101.258</v>
      </c>
      <c r="M132" s="9"/>
      <c r="N132" s="9"/>
      <c r="O132" s="9"/>
      <c r="P132" s="9"/>
      <c r="Q132" s="9"/>
      <c r="R132" s="9"/>
      <c r="S132" s="6"/>
      <c r="T132" s="6"/>
      <c r="U132" s="6"/>
      <c r="V132" s="6"/>
      <c r="W132" s="6"/>
    </row>
    <row r="133" ht="12.0" customHeight="1">
      <c r="A133" s="52"/>
      <c r="B133" s="15"/>
      <c r="C133" s="15"/>
      <c r="D133" s="50" t="s">
        <v>214</v>
      </c>
      <c r="E133" s="50" t="s">
        <v>191</v>
      </c>
      <c r="F133" s="50">
        <v>13.0</v>
      </c>
      <c r="G133" s="50" t="s">
        <v>195</v>
      </c>
      <c r="H133" s="376">
        <f>SUM(0.73*H134)</f>
        <v>832.2</v>
      </c>
      <c r="I133" s="50" t="s">
        <v>61</v>
      </c>
      <c r="J133" s="60">
        <v>1971.0</v>
      </c>
      <c r="K133" s="322">
        <f t="shared" si="31"/>
        <v>10818.6</v>
      </c>
      <c r="L133" s="346">
        <f>H133*1.8</f>
        <v>1497.96</v>
      </c>
      <c r="M133" s="312"/>
      <c r="N133" s="312"/>
      <c r="O133" s="312"/>
      <c r="P133" s="312"/>
      <c r="Q133" s="312"/>
      <c r="R133" s="312"/>
      <c r="S133" s="321" t="s">
        <v>965</v>
      </c>
      <c r="T133" s="6"/>
      <c r="U133" s="6"/>
      <c r="V133" s="6"/>
      <c r="W133" s="6"/>
    </row>
    <row r="134" ht="12.0" customHeight="1">
      <c r="A134" s="52"/>
      <c r="B134" s="15"/>
      <c r="C134" s="15"/>
      <c r="D134" s="50" t="s">
        <v>214</v>
      </c>
      <c r="E134" s="14" t="s">
        <v>191</v>
      </c>
      <c r="F134" s="14">
        <v>4.0</v>
      </c>
      <c r="G134" s="14" t="s">
        <v>189</v>
      </c>
      <c r="H134" s="377">
        <v>1140.0</v>
      </c>
      <c r="I134" s="15" t="s">
        <v>17</v>
      </c>
      <c r="J134" s="51">
        <v>5444.0</v>
      </c>
      <c r="K134" s="308">
        <f t="shared" si="31"/>
        <v>4560</v>
      </c>
      <c r="L134" s="301">
        <f>H134*1.6</f>
        <v>1824</v>
      </c>
      <c r="M134" s="347"/>
      <c r="N134" s="313"/>
      <c r="O134" s="312"/>
      <c r="P134" s="314"/>
      <c r="Q134" s="314"/>
      <c r="R134" s="314"/>
      <c r="S134" s="6"/>
      <c r="T134" s="6"/>
      <c r="U134" s="6"/>
      <c r="V134" s="6"/>
      <c r="W134" s="6"/>
    </row>
    <row r="135" ht="12.0" customHeight="1">
      <c r="A135" s="52"/>
      <c r="B135" s="15"/>
      <c r="C135" s="15"/>
      <c r="D135" s="33" t="s">
        <v>216</v>
      </c>
      <c r="E135" s="9" t="s">
        <v>191</v>
      </c>
      <c r="F135" s="9">
        <v>10.0</v>
      </c>
      <c r="G135" s="9" t="s">
        <v>195</v>
      </c>
      <c r="H135" s="305">
        <f>SUM(0.72*H134)</f>
        <v>820.8</v>
      </c>
      <c r="I135" s="9" t="s">
        <v>576</v>
      </c>
      <c r="J135" s="24" t="s">
        <v>215</v>
      </c>
      <c r="K135" s="326">
        <f t="shared" si="31"/>
        <v>8208</v>
      </c>
      <c r="L135" s="301">
        <f t="shared" ref="L135:L136" si="35">H135*1.7</f>
        <v>1395.36</v>
      </c>
      <c r="M135" s="310"/>
      <c r="N135" s="311"/>
      <c r="O135" s="310"/>
      <c r="P135" s="326"/>
      <c r="Q135" s="326"/>
      <c r="R135" s="326"/>
      <c r="S135" s="6"/>
      <c r="T135" s="6"/>
      <c r="U135" s="6"/>
      <c r="V135" s="6"/>
      <c r="W135" s="6"/>
    </row>
    <row r="136" ht="12.0" customHeight="1">
      <c r="A136" s="52"/>
      <c r="B136" s="15"/>
      <c r="C136" s="15"/>
      <c r="D136" s="33" t="s">
        <v>216</v>
      </c>
      <c r="E136" s="9" t="s">
        <v>191</v>
      </c>
      <c r="F136" s="9">
        <v>5.0</v>
      </c>
      <c r="G136" s="9" t="s">
        <v>189</v>
      </c>
      <c r="H136" s="378">
        <f>SUM(0.84*H134)</f>
        <v>957.6</v>
      </c>
      <c r="I136" s="9" t="s">
        <v>17</v>
      </c>
      <c r="J136" s="24">
        <v>5440.0</v>
      </c>
      <c r="K136" s="326">
        <f t="shared" si="31"/>
        <v>4788</v>
      </c>
      <c r="L136" s="301">
        <f t="shared" si="35"/>
        <v>1627.92</v>
      </c>
      <c r="M136" s="310"/>
      <c r="N136" s="311"/>
      <c r="O136" s="310"/>
      <c r="P136" s="326"/>
      <c r="Q136" s="9"/>
      <c r="R136" s="9"/>
      <c r="S136" s="6"/>
      <c r="T136" s="6"/>
      <c r="U136" s="6"/>
      <c r="V136" s="6"/>
      <c r="W136" s="6"/>
    </row>
    <row r="137" ht="12.0" customHeight="1">
      <c r="A137" s="52"/>
      <c r="B137" s="15"/>
      <c r="C137" s="15"/>
      <c r="D137" s="41" t="s">
        <v>217</v>
      </c>
      <c r="E137" s="41" t="s">
        <v>191</v>
      </c>
      <c r="F137" s="41">
        <v>0.0</v>
      </c>
      <c r="G137" s="41" t="s">
        <v>189</v>
      </c>
      <c r="H137" s="319">
        <f>SUM(M137+O137)</f>
        <v>108.9</v>
      </c>
      <c r="I137" s="39" t="s">
        <v>17</v>
      </c>
      <c r="J137" s="81">
        <v>5460.0</v>
      </c>
      <c r="K137" s="342">
        <f t="shared" si="31"/>
        <v>0</v>
      </c>
      <c r="L137" s="317">
        <f>H137*1.83</f>
        <v>199.287</v>
      </c>
      <c r="M137" s="342">
        <v>90.0</v>
      </c>
      <c r="N137" s="343">
        <v>0.21</v>
      </c>
      <c r="O137" s="342">
        <f>SUM(M137*N137)</f>
        <v>18.9</v>
      </c>
      <c r="P137" s="314"/>
      <c r="Q137" s="14"/>
      <c r="R137" s="14"/>
      <c r="S137" s="6"/>
      <c r="T137" s="6"/>
      <c r="U137" s="6"/>
      <c r="V137" s="6"/>
      <c r="W137" s="6"/>
    </row>
    <row r="138" ht="12.0" customHeight="1">
      <c r="A138" s="52"/>
      <c r="B138" s="15"/>
      <c r="C138" s="15"/>
      <c r="D138" s="33" t="s">
        <v>218</v>
      </c>
      <c r="E138" s="115" t="s">
        <v>219</v>
      </c>
      <c r="F138" s="9">
        <v>2.0</v>
      </c>
      <c r="G138" s="9"/>
      <c r="H138" s="378">
        <f>SUM(1.8*H134)</f>
        <v>2052</v>
      </c>
      <c r="I138" s="9" t="s">
        <v>17</v>
      </c>
      <c r="J138" s="24">
        <v>5441.0</v>
      </c>
      <c r="K138" s="323">
        <f t="shared" si="31"/>
        <v>4104</v>
      </c>
      <c r="L138" s="301">
        <f>H138*1.5</f>
        <v>3078</v>
      </c>
      <c r="M138" s="310"/>
      <c r="N138" s="311"/>
      <c r="O138" s="310"/>
      <c r="P138" s="326"/>
      <c r="Q138" s="326"/>
      <c r="R138" s="326"/>
      <c r="S138" s="321" t="s">
        <v>966</v>
      </c>
      <c r="T138" s="6"/>
      <c r="U138" s="6"/>
      <c r="V138" s="6"/>
      <c r="W138" s="6"/>
    </row>
    <row r="139" ht="12.0" customHeight="1">
      <c r="A139" s="52"/>
      <c r="B139" s="15"/>
      <c r="C139" s="46"/>
      <c r="D139" s="46" t="s">
        <v>220</v>
      </c>
      <c r="E139" s="50" t="s">
        <v>191</v>
      </c>
      <c r="F139" s="50">
        <v>3.0</v>
      </c>
      <c r="G139" s="50"/>
      <c r="H139" s="365">
        <v>2010.0</v>
      </c>
      <c r="I139" s="46" t="s">
        <v>17</v>
      </c>
      <c r="J139" s="48">
        <v>5309.0</v>
      </c>
      <c r="K139" s="322">
        <f t="shared" si="31"/>
        <v>6030</v>
      </c>
      <c r="L139" s="346">
        <f>H139*1.4</f>
        <v>2814</v>
      </c>
      <c r="M139" s="342"/>
      <c r="N139" s="343"/>
      <c r="O139" s="342"/>
      <c r="P139" s="314"/>
      <c r="Q139" s="314"/>
      <c r="R139" s="314"/>
      <c r="S139" s="6"/>
      <c r="T139" s="6"/>
      <c r="U139" s="6"/>
      <c r="V139" s="6"/>
      <c r="W139" s="6"/>
    </row>
    <row r="140" ht="12.0" customHeight="1">
      <c r="A140" s="52"/>
      <c r="B140" s="15"/>
      <c r="C140" s="15"/>
      <c r="D140" s="31" t="s">
        <v>967</v>
      </c>
      <c r="E140" s="9" t="s">
        <v>222</v>
      </c>
      <c r="F140" s="9">
        <v>1.0</v>
      </c>
      <c r="G140" s="9" t="s">
        <v>189</v>
      </c>
      <c r="H140" s="305">
        <f>SUM(1.23*H134)</f>
        <v>1402.2</v>
      </c>
      <c r="I140" s="16" t="s">
        <v>11</v>
      </c>
      <c r="J140" s="24">
        <v>1888.0</v>
      </c>
      <c r="K140" s="306">
        <f t="shared" si="31"/>
        <v>1402.2</v>
      </c>
      <c r="L140" s="301">
        <f t="shared" ref="L140:L141" si="36">H140*1.8</f>
        <v>2523.96</v>
      </c>
      <c r="M140" s="312"/>
      <c r="N140" s="313"/>
      <c r="O140" s="312"/>
      <c r="P140" s="314"/>
      <c r="Q140" s="314"/>
      <c r="R140" s="314"/>
      <c r="S140" s="6"/>
      <c r="T140" s="6"/>
      <c r="U140" s="6"/>
      <c r="V140" s="6"/>
      <c r="W140" s="6"/>
    </row>
    <row r="141" ht="12.0" customHeight="1">
      <c r="A141" s="52"/>
      <c r="B141" s="15"/>
      <c r="C141" s="15"/>
      <c r="D141" s="46" t="s">
        <v>221</v>
      </c>
      <c r="E141" s="14" t="s">
        <v>223</v>
      </c>
      <c r="F141" s="14">
        <v>1.0</v>
      </c>
      <c r="G141" s="14" t="s">
        <v>189</v>
      </c>
      <c r="H141" s="307">
        <f>SUM(1.55*H134)</f>
        <v>1767</v>
      </c>
      <c r="I141" s="15" t="s">
        <v>11</v>
      </c>
      <c r="J141" s="51">
        <v>1889.0</v>
      </c>
      <c r="K141" s="308">
        <f t="shared" si="31"/>
        <v>1767</v>
      </c>
      <c r="L141" s="301">
        <f t="shared" si="36"/>
        <v>3180.6</v>
      </c>
      <c r="M141" s="312"/>
      <c r="N141" s="313"/>
      <c r="O141" s="312"/>
      <c r="P141" s="314"/>
      <c r="Q141" s="314"/>
      <c r="R141" s="314"/>
      <c r="S141" s="6"/>
      <c r="T141" s="6"/>
      <c r="U141" s="6"/>
      <c r="V141" s="6"/>
      <c r="W141" s="6"/>
    </row>
    <row r="142" ht="12.0" customHeight="1">
      <c r="A142" s="14"/>
      <c r="B142" s="15"/>
      <c r="C142" s="15"/>
      <c r="D142" s="31" t="s">
        <v>968</v>
      </c>
      <c r="E142" s="32" t="s">
        <v>209</v>
      </c>
      <c r="F142" s="33">
        <v>12.0</v>
      </c>
      <c r="G142" s="33" t="s">
        <v>225</v>
      </c>
      <c r="H142" s="378">
        <f>SUM(0.335*H134)</f>
        <v>381.9</v>
      </c>
      <c r="I142" s="33" t="s">
        <v>17</v>
      </c>
      <c r="J142" s="59">
        <v>1853.0</v>
      </c>
      <c r="K142" s="323">
        <f t="shared" si="31"/>
        <v>4582.8</v>
      </c>
      <c r="L142" s="301">
        <f>H142*1.7</f>
        <v>649.23</v>
      </c>
      <c r="M142" s="310"/>
      <c r="N142" s="311"/>
      <c r="O142" s="310"/>
      <c r="P142" s="326"/>
      <c r="Q142" s="326"/>
      <c r="R142" s="326"/>
      <c r="S142" s="6"/>
      <c r="T142" s="6"/>
      <c r="U142" s="6"/>
      <c r="V142" s="6"/>
      <c r="W142" s="6"/>
    </row>
    <row r="143" ht="12.0" customHeight="1">
      <c r="A143" s="14"/>
      <c r="B143" s="15"/>
      <c r="C143" s="15"/>
      <c r="D143" s="39" t="s">
        <v>226</v>
      </c>
      <c r="E143" s="40" t="s">
        <v>209</v>
      </c>
      <c r="F143" s="41">
        <v>0.0</v>
      </c>
      <c r="G143" s="41"/>
      <c r="H143" s="319">
        <f>SUM(M143+O143)</f>
        <v>61.71</v>
      </c>
      <c r="I143" s="39" t="s">
        <v>17</v>
      </c>
      <c r="J143" s="81">
        <v>1854.0</v>
      </c>
      <c r="K143" s="320">
        <f t="shared" si="31"/>
        <v>0</v>
      </c>
      <c r="L143" s="317">
        <f>H143*1.75</f>
        <v>107.9925</v>
      </c>
      <c r="M143" s="342">
        <v>51.0</v>
      </c>
      <c r="N143" s="343">
        <v>0.21</v>
      </c>
      <c r="O143" s="342">
        <f t="shared" ref="O143:O144" si="37">SUM(M143*N143)</f>
        <v>10.71</v>
      </c>
      <c r="P143" s="314"/>
      <c r="Q143" s="314"/>
      <c r="R143" s="314"/>
      <c r="S143" s="6"/>
      <c r="T143" s="6"/>
      <c r="U143" s="6"/>
      <c r="V143" s="6"/>
      <c r="W143" s="6"/>
    </row>
    <row r="144" ht="12.0" customHeight="1">
      <c r="A144" s="14"/>
      <c r="B144" s="15"/>
      <c r="C144" s="15"/>
      <c r="D144" s="31" t="s">
        <v>227</v>
      </c>
      <c r="E144" s="32" t="s">
        <v>209</v>
      </c>
      <c r="F144" s="33">
        <v>10.0</v>
      </c>
      <c r="G144" s="33"/>
      <c r="H144" s="378">
        <f>SUM(0.17*H134)</f>
        <v>193.8</v>
      </c>
      <c r="I144" s="9" t="s">
        <v>17</v>
      </c>
      <c r="J144" s="33">
        <v>5364.0</v>
      </c>
      <c r="K144" s="323">
        <f t="shared" si="31"/>
        <v>1938</v>
      </c>
      <c r="L144" s="301">
        <f t="shared" ref="L144:L145" si="38">H144*1.7</f>
        <v>329.46</v>
      </c>
      <c r="M144" s="310">
        <v>88.0</v>
      </c>
      <c r="N144" s="311">
        <v>0.21</v>
      </c>
      <c r="O144" s="310">
        <f t="shared" si="37"/>
        <v>18.48</v>
      </c>
      <c r="P144" s="326"/>
      <c r="Q144" s="326"/>
      <c r="R144" s="326"/>
      <c r="S144" s="6"/>
      <c r="T144" s="6"/>
      <c r="U144" s="6"/>
      <c r="V144" s="6"/>
      <c r="W144" s="6"/>
    </row>
    <row r="145" ht="12.0" customHeight="1">
      <c r="A145" s="14"/>
      <c r="B145" s="15"/>
      <c r="C145" s="15"/>
      <c r="D145" s="46" t="s">
        <v>229</v>
      </c>
      <c r="E145" s="47" t="s">
        <v>230</v>
      </c>
      <c r="F145" s="50">
        <v>4.0</v>
      </c>
      <c r="G145" s="50" t="s">
        <v>231</v>
      </c>
      <c r="H145" s="307">
        <f>SUM(0.45*H134)</f>
        <v>513</v>
      </c>
      <c r="I145" s="50" t="s">
        <v>17</v>
      </c>
      <c r="J145" s="60">
        <v>15099.0</v>
      </c>
      <c r="K145" s="308">
        <f t="shared" si="31"/>
        <v>2052</v>
      </c>
      <c r="L145" s="301">
        <f t="shared" si="38"/>
        <v>872.1</v>
      </c>
      <c r="M145" s="312"/>
      <c r="N145" s="313"/>
      <c r="O145" s="312"/>
      <c r="P145" s="314"/>
      <c r="Q145" s="314"/>
      <c r="R145" s="314"/>
      <c r="S145" s="6"/>
      <c r="T145" s="6"/>
      <c r="U145" s="6"/>
      <c r="V145" s="6"/>
      <c r="W145" s="6"/>
    </row>
    <row r="146" ht="12.0" customHeight="1">
      <c r="A146" s="52"/>
      <c r="B146" s="15"/>
      <c r="C146" s="15"/>
      <c r="D146" s="46" t="s">
        <v>232</v>
      </c>
      <c r="E146" s="47" t="s">
        <v>233</v>
      </c>
      <c r="F146" s="50">
        <v>2.0</v>
      </c>
      <c r="G146" s="50"/>
      <c r="H146" s="307">
        <f>SUM(1.05*H134)</f>
        <v>1197</v>
      </c>
      <c r="I146" s="50" t="s">
        <v>61</v>
      </c>
      <c r="J146" s="60">
        <v>4782.0</v>
      </c>
      <c r="K146" s="308">
        <f t="shared" si="31"/>
        <v>2394</v>
      </c>
      <c r="L146" s="301">
        <f>H146*1.6</f>
        <v>1915.2</v>
      </c>
      <c r="M146" s="314"/>
      <c r="N146" s="314"/>
      <c r="O146" s="314"/>
      <c r="P146" s="314"/>
      <c r="Q146" s="314"/>
      <c r="R146" s="314"/>
      <c r="S146" s="6"/>
      <c r="T146" s="6"/>
      <c r="U146" s="6"/>
      <c r="V146" s="6"/>
      <c r="W146" s="6"/>
    </row>
    <row r="147" ht="12.0" customHeight="1">
      <c r="A147" s="52"/>
      <c r="B147" s="15"/>
      <c r="C147" s="15"/>
      <c r="D147" s="31" t="s">
        <v>969</v>
      </c>
      <c r="E147" s="32" t="s">
        <v>235</v>
      </c>
      <c r="F147" s="33">
        <v>4.0</v>
      </c>
      <c r="G147" s="33"/>
      <c r="H147" s="305">
        <f>SUM(0.4*H134)</f>
        <v>456</v>
      </c>
      <c r="I147" s="33" t="s">
        <v>61</v>
      </c>
      <c r="J147" s="59">
        <v>4787.0</v>
      </c>
      <c r="K147" s="306">
        <f t="shared" si="31"/>
        <v>1824</v>
      </c>
      <c r="L147" s="301">
        <f t="shared" ref="L147:L149" si="39">H147*1.7</f>
        <v>775.2</v>
      </c>
      <c r="M147" s="326"/>
      <c r="N147" s="326"/>
      <c r="O147" s="326"/>
      <c r="P147" s="326"/>
      <c r="Q147" s="326"/>
      <c r="R147" s="326"/>
      <c r="S147" s="6"/>
      <c r="T147" s="6"/>
      <c r="U147" s="6"/>
      <c r="V147" s="6"/>
      <c r="W147" s="6"/>
    </row>
    <row r="148" ht="12.0" customHeight="1">
      <c r="A148" s="52"/>
      <c r="B148" s="15"/>
      <c r="C148" s="15"/>
      <c r="D148" s="31" t="s">
        <v>236</v>
      </c>
      <c r="E148" s="32" t="s">
        <v>388</v>
      </c>
      <c r="F148" s="33">
        <v>4.0</v>
      </c>
      <c r="G148" s="33" t="s">
        <v>970</v>
      </c>
      <c r="H148" s="305">
        <f>SUM(0.6*H135)</f>
        <v>492.48</v>
      </c>
      <c r="I148" s="33" t="s">
        <v>17</v>
      </c>
      <c r="J148" s="59">
        <v>5293.0</v>
      </c>
      <c r="K148" s="306">
        <f t="shared" si="31"/>
        <v>1969.92</v>
      </c>
      <c r="L148" s="301">
        <f t="shared" si="39"/>
        <v>837.216</v>
      </c>
      <c r="M148" s="326"/>
      <c r="N148" s="326"/>
      <c r="O148" s="326"/>
      <c r="P148" s="326"/>
      <c r="Q148" s="326"/>
      <c r="R148" s="326"/>
      <c r="S148" s="6"/>
      <c r="T148" s="6"/>
      <c r="U148" s="6"/>
      <c r="V148" s="6"/>
      <c r="W148" s="6"/>
    </row>
    <row r="149" ht="12.0" customHeight="1">
      <c r="A149" s="14"/>
      <c r="B149" s="15"/>
      <c r="C149" s="15"/>
      <c r="D149" s="31" t="s">
        <v>237</v>
      </c>
      <c r="E149" s="32"/>
      <c r="F149" s="33">
        <v>2.0</v>
      </c>
      <c r="G149" s="33" t="s">
        <v>231</v>
      </c>
      <c r="H149" s="378">
        <f>SUM(0.48*H134)</f>
        <v>547.2</v>
      </c>
      <c r="I149" s="9" t="s">
        <v>17</v>
      </c>
      <c r="J149" s="33">
        <v>5335.0</v>
      </c>
      <c r="K149" s="323">
        <f t="shared" si="31"/>
        <v>1094.4</v>
      </c>
      <c r="L149" s="301">
        <f t="shared" si="39"/>
        <v>930.24</v>
      </c>
      <c r="M149" s="310">
        <v>245.0</v>
      </c>
      <c r="N149" s="311">
        <v>0.21</v>
      </c>
      <c r="O149" s="310">
        <f>SUM(M149*N149)</f>
        <v>51.45</v>
      </c>
      <c r="P149" s="326"/>
      <c r="Q149" s="326"/>
      <c r="R149" s="326"/>
      <c r="S149" s="6"/>
      <c r="T149" s="6"/>
      <c r="U149" s="6"/>
      <c r="V149" s="6"/>
      <c r="W149" s="6"/>
    </row>
    <row r="150" ht="12.0" customHeight="1">
      <c r="A150" s="14"/>
      <c r="B150" s="15"/>
      <c r="C150" s="15"/>
      <c r="D150" s="15" t="s">
        <v>238</v>
      </c>
      <c r="E150" s="21"/>
      <c r="F150" s="14">
        <v>4.0</v>
      </c>
      <c r="G150" s="14"/>
      <c r="H150" s="344">
        <v>53.0</v>
      </c>
      <c r="I150" s="14" t="s">
        <v>239</v>
      </c>
      <c r="J150" s="51"/>
      <c r="K150" s="308">
        <f t="shared" si="31"/>
        <v>212</v>
      </c>
      <c r="L150" s="301">
        <f>H150*1.8</f>
        <v>95.4</v>
      </c>
      <c r="M150" s="9"/>
      <c r="N150" s="9"/>
      <c r="O150" s="9"/>
      <c r="P150" s="9"/>
      <c r="Q150" s="9"/>
      <c r="R150" s="9"/>
      <c r="S150" s="6"/>
      <c r="T150" s="6"/>
      <c r="U150" s="6"/>
      <c r="V150" s="6"/>
      <c r="W150" s="6"/>
    </row>
    <row r="151" ht="12.0" customHeight="1">
      <c r="A151" s="14"/>
      <c r="B151" s="15"/>
      <c r="C151" s="15"/>
      <c r="D151" s="16" t="s">
        <v>240</v>
      </c>
      <c r="E151" s="17" t="s">
        <v>241</v>
      </c>
      <c r="F151" s="33">
        <v>12.0</v>
      </c>
      <c r="G151" s="9" t="s">
        <v>242</v>
      </c>
      <c r="H151" s="305">
        <f>SUM(1*H158)</f>
        <v>165</v>
      </c>
      <c r="I151" s="9" t="s">
        <v>239</v>
      </c>
      <c r="J151" s="24"/>
      <c r="K151" s="306">
        <f t="shared" si="31"/>
        <v>1980</v>
      </c>
      <c r="L151" s="301">
        <f>H151*1.6</f>
        <v>264</v>
      </c>
      <c r="M151" s="9"/>
      <c r="N151" s="9"/>
      <c r="O151" s="9"/>
      <c r="P151" s="9"/>
      <c r="Q151" s="9"/>
      <c r="R151" s="9"/>
      <c r="S151" s="6"/>
      <c r="T151" s="6"/>
      <c r="U151" s="6"/>
      <c r="V151" s="6"/>
      <c r="W151" s="6"/>
    </row>
    <row r="152" ht="12.0" customHeight="1">
      <c r="A152" s="14"/>
      <c r="B152" s="15"/>
      <c r="C152" s="15"/>
      <c r="D152" s="46" t="s">
        <v>243</v>
      </c>
      <c r="E152" s="47"/>
      <c r="F152" s="50">
        <v>4.0</v>
      </c>
      <c r="G152" s="50" t="s">
        <v>244</v>
      </c>
      <c r="H152" s="307">
        <f>SUM(2.4*H158)</f>
        <v>396</v>
      </c>
      <c r="I152" s="50" t="s">
        <v>239</v>
      </c>
      <c r="J152" s="60">
        <v>1500831.0</v>
      </c>
      <c r="K152" s="322">
        <f t="shared" si="31"/>
        <v>1584</v>
      </c>
      <c r="L152" s="346">
        <f>H152*1.5</f>
        <v>594</v>
      </c>
      <c r="M152" s="14"/>
      <c r="N152" s="14"/>
      <c r="O152" s="14"/>
      <c r="P152" s="14"/>
      <c r="Q152" s="14"/>
      <c r="R152" s="14"/>
      <c r="S152" s="6"/>
      <c r="T152" s="6"/>
      <c r="U152" s="6"/>
      <c r="V152" s="6"/>
      <c r="W152" s="6"/>
    </row>
    <row r="153" ht="12.0" customHeight="1">
      <c r="A153" s="14"/>
      <c r="B153" s="15"/>
      <c r="C153" s="15"/>
      <c r="D153" s="16" t="s">
        <v>246</v>
      </c>
      <c r="E153" s="17" t="s">
        <v>247</v>
      </c>
      <c r="F153" s="9">
        <v>5.0</v>
      </c>
      <c r="G153" s="9" t="s">
        <v>248</v>
      </c>
      <c r="H153" s="341">
        <v>165.0</v>
      </c>
      <c r="I153" s="9" t="s">
        <v>61</v>
      </c>
      <c r="J153" s="24">
        <v>8760.0</v>
      </c>
      <c r="K153" s="306">
        <f t="shared" si="31"/>
        <v>825</v>
      </c>
      <c r="L153" s="301">
        <f t="shared" ref="L153:L154" si="40">H153*1.7</f>
        <v>280.5</v>
      </c>
      <c r="M153" s="9"/>
      <c r="N153" s="9"/>
      <c r="O153" s="9"/>
      <c r="P153" s="9"/>
      <c r="Q153" s="9"/>
      <c r="R153" s="9"/>
      <c r="S153" s="6"/>
      <c r="T153" s="6"/>
      <c r="U153" s="6"/>
      <c r="V153" s="6"/>
      <c r="W153" s="6"/>
    </row>
    <row r="154" ht="12.0" customHeight="1">
      <c r="A154" s="14"/>
      <c r="B154" s="15"/>
      <c r="C154" s="15"/>
      <c r="D154" s="14" t="s">
        <v>249</v>
      </c>
      <c r="E154" s="21" t="s">
        <v>250</v>
      </c>
      <c r="F154" s="14">
        <v>6.0</v>
      </c>
      <c r="G154" s="14" t="s">
        <v>248</v>
      </c>
      <c r="H154" s="344">
        <v>406.0</v>
      </c>
      <c r="I154" s="14" t="s">
        <v>61</v>
      </c>
      <c r="J154" s="51">
        <v>8750.0</v>
      </c>
      <c r="K154" s="308">
        <f t="shared" si="31"/>
        <v>2436</v>
      </c>
      <c r="L154" s="301">
        <f t="shared" si="40"/>
        <v>690.2</v>
      </c>
      <c r="M154" s="14"/>
      <c r="N154" s="14"/>
      <c r="O154" s="14"/>
      <c r="P154" s="14"/>
      <c r="Q154" s="14"/>
      <c r="R154" s="14"/>
      <c r="S154" s="6"/>
      <c r="T154" s="6"/>
      <c r="U154" s="6"/>
      <c r="V154" s="6"/>
      <c r="W154" s="6"/>
    </row>
    <row r="155" ht="12.0" customHeight="1">
      <c r="A155" s="14"/>
      <c r="B155" s="15"/>
      <c r="C155" s="15"/>
      <c r="D155" s="27" t="s">
        <v>251</v>
      </c>
      <c r="E155" s="26" t="s">
        <v>252</v>
      </c>
      <c r="F155" s="27">
        <v>0.0</v>
      </c>
      <c r="G155" s="27" t="s">
        <v>248</v>
      </c>
      <c r="H155" s="315">
        <v>48.0</v>
      </c>
      <c r="I155" s="27" t="s">
        <v>61</v>
      </c>
      <c r="J155" s="103">
        <v>8751.0</v>
      </c>
      <c r="K155" s="316">
        <f t="shared" si="31"/>
        <v>0</v>
      </c>
      <c r="L155" s="317">
        <f>H155*1.72</f>
        <v>82.56</v>
      </c>
      <c r="M155" s="116"/>
      <c r="N155" s="116"/>
      <c r="O155" s="116"/>
      <c r="P155" s="116"/>
      <c r="Q155" s="116"/>
      <c r="R155" s="116"/>
      <c r="S155" s="6"/>
      <c r="T155" s="6"/>
      <c r="U155" s="6"/>
      <c r="V155" s="6"/>
      <c r="W155" s="6"/>
    </row>
    <row r="156" ht="12.0" customHeight="1">
      <c r="A156" s="14"/>
      <c r="B156" s="15"/>
      <c r="C156" s="15"/>
      <c r="D156" s="14" t="s">
        <v>253</v>
      </c>
      <c r="E156" s="14"/>
      <c r="F156" s="14">
        <v>3.0</v>
      </c>
      <c r="G156" s="14" t="s">
        <v>244</v>
      </c>
      <c r="H156" s="307">
        <f>SUM(1.5*H158)</f>
        <v>247.5</v>
      </c>
      <c r="I156" s="14" t="s">
        <v>239</v>
      </c>
      <c r="J156" s="14"/>
      <c r="K156" s="14">
        <f t="shared" si="31"/>
        <v>742.5</v>
      </c>
      <c r="L156" s="301">
        <f>H156*1.6</f>
        <v>396</v>
      </c>
      <c r="M156" s="116"/>
      <c r="N156" s="116"/>
      <c r="O156" s="116"/>
      <c r="P156" s="116"/>
      <c r="Q156" s="116"/>
      <c r="R156" s="116"/>
      <c r="S156" s="6"/>
      <c r="T156" s="6"/>
      <c r="U156" s="6"/>
      <c r="V156" s="6"/>
      <c r="W156" s="6"/>
    </row>
    <row r="157" ht="12.0" customHeight="1">
      <c r="A157" s="14"/>
      <c r="B157" s="15"/>
      <c r="C157" s="15"/>
      <c r="D157" s="41" t="s">
        <v>254</v>
      </c>
      <c r="E157" s="40" t="s">
        <v>255</v>
      </c>
      <c r="F157" s="41">
        <v>0.0</v>
      </c>
      <c r="G157" s="41"/>
      <c r="H157" s="319">
        <v>18.0</v>
      </c>
      <c r="I157" s="41" t="s">
        <v>61</v>
      </c>
      <c r="J157" s="81">
        <v>2960.0</v>
      </c>
      <c r="K157" s="320">
        <f t="shared" si="31"/>
        <v>0</v>
      </c>
      <c r="L157" s="317">
        <f>H157*1.85</f>
        <v>33.3</v>
      </c>
      <c r="M157" s="14"/>
      <c r="N157" s="14"/>
      <c r="O157" s="14"/>
      <c r="P157" s="14"/>
      <c r="Q157" s="14"/>
      <c r="R157" s="14"/>
      <c r="S157" s="6"/>
      <c r="T157" s="6"/>
      <c r="U157" s="6"/>
      <c r="V157" s="6"/>
      <c r="W157" s="6"/>
    </row>
    <row r="158" ht="12.0" customHeight="1">
      <c r="A158" s="14"/>
      <c r="B158" s="67"/>
      <c r="C158" s="67"/>
      <c r="D158" s="9" t="s">
        <v>256</v>
      </c>
      <c r="E158" s="17" t="s">
        <v>257</v>
      </c>
      <c r="F158" s="9">
        <v>11.0</v>
      </c>
      <c r="G158" s="9"/>
      <c r="H158" s="379">
        <v>165.0</v>
      </c>
      <c r="I158" s="9" t="s">
        <v>239</v>
      </c>
      <c r="J158" s="24"/>
      <c r="K158" s="306">
        <f t="shared" si="31"/>
        <v>1815</v>
      </c>
      <c r="L158" s="346">
        <f>H158*1.7</f>
        <v>280.5</v>
      </c>
      <c r="M158" s="9"/>
      <c r="N158" s="9"/>
      <c r="O158" s="9"/>
      <c r="P158" s="9"/>
      <c r="Q158" s="9"/>
      <c r="R158" s="9"/>
      <c r="S158" s="6"/>
      <c r="T158" s="6"/>
      <c r="U158" s="6"/>
      <c r="V158" s="6"/>
      <c r="W158" s="6"/>
    </row>
    <row r="159" ht="12.0" customHeight="1">
      <c r="A159" s="14"/>
      <c r="B159" s="67"/>
      <c r="C159" s="67"/>
      <c r="D159" s="14" t="s">
        <v>256</v>
      </c>
      <c r="E159" s="21" t="s">
        <v>259</v>
      </c>
      <c r="F159" s="14">
        <v>3.0</v>
      </c>
      <c r="G159" s="14"/>
      <c r="H159" s="307">
        <f>SUM(3.5*H158)</f>
        <v>577.5</v>
      </c>
      <c r="I159" s="14" t="s">
        <v>239</v>
      </c>
      <c r="J159" s="51"/>
      <c r="K159" s="308">
        <f t="shared" si="31"/>
        <v>1732.5</v>
      </c>
      <c r="L159" s="346">
        <f>H159*1.65</f>
        <v>952.875</v>
      </c>
      <c r="M159" s="14"/>
      <c r="N159" s="14"/>
      <c r="O159" s="14"/>
      <c r="P159" s="14"/>
      <c r="Q159" s="14"/>
      <c r="R159" s="14"/>
      <c r="S159" s="6"/>
      <c r="T159" s="3" t="s">
        <v>260</v>
      </c>
      <c r="U159" s="6"/>
      <c r="V159" s="6"/>
      <c r="W159" s="6"/>
    </row>
    <row r="160" ht="12.0" customHeight="1">
      <c r="A160" s="14"/>
      <c r="B160" s="15"/>
      <c r="C160" s="15"/>
      <c r="D160" s="41" t="s">
        <v>261</v>
      </c>
      <c r="E160" s="40" t="s">
        <v>148</v>
      </c>
      <c r="F160" s="41">
        <v>0.0</v>
      </c>
      <c r="G160" s="41"/>
      <c r="H160" s="319">
        <v>32.0</v>
      </c>
      <c r="I160" s="41"/>
      <c r="J160" s="81"/>
      <c r="K160" s="342">
        <f t="shared" si="31"/>
        <v>0</v>
      </c>
      <c r="L160" s="317">
        <f>H160*1.87</f>
        <v>59.84</v>
      </c>
      <c r="M160" s="14"/>
      <c r="N160" s="14"/>
      <c r="O160" s="14"/>
      <c r="P160" s="14"/>
      <c r="Q160" s="14"/>
      <c r="R160" s="14"/>
      <c r="S160" s="6"/>
      <c r="T160" s="6"/>
      <c r="U160" s="6"/>
      <c r="V160" s="6"/>
      <c r="W160" s="6"/>
    </row>
    <row r="161" ht="12.0" customHeight="1">
      <c r="A161" s="14"/>
      <c r="B161" s="66"/>
      <c r="C161" s="66"/>
      <c r="D161" s="27" t="s">
        <v>262</v>
      </c>
      <c r="E161" s="26"/>
      <c r="F161" s="27">
        <v>0.0</v>
      </c>
      <c r="G161" s="27" t="s">
        <v>971</v>
      </c>
      <c r="H161" s="315">
        <v>51.9</v>
      </c>
      <c r="I161" s="27" t="s">
        <v>239</v>
      </c>
      <c r="J161" s="103"/>
      <c r="K161" s="331">
        <f t="shared" si="31"/>
        <v>0</v>
      </c>
      <c r="L161" s="317">
        <f>H161*1.65</f>
        <v>85.635</v>
      </c>
      <c r="M161" s="9"/>
      <c r="N161" s="9"/>
      <c r="O161" s="9"/>
      <c r="P161" s="9"/>
      <c r="Q161" s="9"/>
      <c r="R161" s="9"/>
      <c r="S161" s="6"/>
      <c r="T161" s="6"/>
      <c r="U161" s="6"/>
      <c r="V161" s="6"/>
      <c r="W161" s="6"/>
    </row>
    <row r="162" ht="12.0" customHeight="1">
      <c r="A162" s="14"/>
      <c r="B162" s="16"/>
      <c r="C162" s="71"/>
      <c r="D162" s="14" t="s">
        <v>262</v>
      </c>
      <c r="E162" s="14" t="s">
        <v>264</v>
      </c>
      <c r="F162" s="14">
        <v>6.0</v>
      </c>
      <c r="G162" s="14" t="s">
        <v>972</v>
      </c>
      <c r="H162" s="344">
        <v>426.0</v>
      </c>
      <c r="I162" s="14" t="s">
        <v>239</v>
      </c>
      <c r="J162" s="51"/>
      <c r="K162" s="14">
        <f t="shared" si="31"/>
        <v>2556</v>
      </c>
      <c r="L162" s="301">
        <f>H162*1.55</f>
        <v>660.3</v>
      </c>
      <c r="M162" s="14"/>
      <c r="N162" s="14"/>
      <c r="O162" s="14"/>
      <c r="P162" s="14"/>
      <c r="Q162" s="14"/>
      <c r="R162" s="14"/>
      <c r="S162" s="6"/>
      <c r="T162" s="6"/>
      <c r="U162" s="6"/>
      <c r="V162" s="6"/>
      <c r="W162" s="6"/>
    </row>
    <row r="163" ht="12.0" customHeight="1">
      <c r="A163" s="14"/>
      <c r="B163" s="15"/>
      <c r="C163" s="15"/>
      <c r="D163" s="27" t="s">
        <v>262</v>
      </c>
      <c r="E163" s="27"/>
      <c r="F163" s="27">
        <v>0.0</v>
      </c>
      <c r="G163" s="27" t="s">
        <v>266</v>
      </c>
      <c r="H163" s="315">
        <v>39.0</v>
      </c>
      <c r="I163" s="27" t="s">
        <v>267</v>
      </c>
      <c r="J163" s="103"/>
      <c r="K163" s="27">
        <f t="shared" si="31"/>
        <v>0</v>
      </c>
      <c r="L163" s="317">
        <f>H163*1.47</f>
        <v>57.33</v>
      </c>
      <c r="M163" s="9"/>
      <c r="N163" s="9"/>
      <c r="O163" s="9"/>
      <c r="P163" s="9"/>
      <c r="Q163" s="9"/>
      <c r="R163" s="9"/>
      <c r="S163" s="6"/>
      <c r="T163" s="6"/>
      <c r="U163" s="6"/>
      <c r="V163" s="6"/>
      <c r="W163" s="6"/>
    </row>
    <row r="164" ht="12.0" customHeight="1">
      <c r="A164" s="14"/>
      <c r="B164" s="15"/>
      <c r="C164" s="15"/>
      <c r="D164" s="41" t="s">
        <v>268</v>
      </c>
      <c r="E164" s="41"/>
      <c r="F164" s="41">
        <v>0.0</v>
      </c>
      <c r="G164" s="41" t="s">
        <v>266</v>
      </c>
      <c r="H164" s="319">
        <v>36.0</v>
      </c>
      <c r="I164" s="41"/>
      <c r="J164" s="81"/>
      <c r="K164" s="41">
        <f t="shared" si="31"/>
        <v>0</v>
      </c>
      <c r="L164" s="317">
        <f>H164*1.6</f>
        <v>57.6</v>
      </c>
      <c r="M164" s="14"/>
      <c r="N164" s="14"/>
      <c r="O164" s="14"/>
      <c r="P164" s="14"/>
      <c r="Q164" s="14"/>
      <c r="R164" s="14"/>
      <c r="S164" s="6"/>
      <c r="T164" s="6"/>
      <c r="U164" s="6"/>
      <c r="V164" s="6"/>
      <c r="W164" s="6"/>
    </row>
    <row r="165" ht="12.0" customHeight="1">
      <c r="A165" s="14"/>
      <c r="B165" s="15"/>
      <c r="C165" s="15"/>
      <c r="D165" s="41" t="s">
        <v>269</v>
      </c>
      <c r="E165" s="41"/>
      <c r="F165" s="41">
        <v>0.0</v>
      </c>
      <c r="G165" s="41" t="s">
        <v>266</v>
      </c>
      <c r="H165" s="319">
        <v>38.0</v>
      </c>
      <c r="I165" s="41" t="s">
        <v>239</v>
      </c>
      <c r="J165" s="81"/>
      <c r="K165" s="41">
        <f t="shared" si="31"/>
        <v>0</v>
      </c>
      <c r="L165" s="317">
        <f>H165*1.62</f>
        <v>61.56</v>
      </c>
      <c r="M165" s="14"/>
      <c r="N165" s="14"/>
      <c r="O165" s="14"/>
      <c r="P165" s="14"/>
      <c r="Q165" s="14"/>
      <c r="R165" s="14"/>
      <c r="S165" s="6"/>
      <c r="T165" s="6"/>
      <c r="U165" s="6"/>
      <c r="V165" s="6"/>
      <c r="W165" s="6"/>
    </row>
    <row r="166" ht="12.0" customHeight="1">
      <c r="A166" s="14"/>
      <c r="B166" s="1"/>
      <c r="C166" s="1"/>
      <c r="D166" s="9" t="s">
        <v>270</v>
      </c>
      <c r="E166" s="9" t="s">
        <v>271</v>
      </c>
      <c r="F166" s="9">
        <v>2.0</v>
      </c>
      <c r="G166" s="9"/>
      <c r="H166" s="305">
        <f>SUM(1.9*H158)</f>
        <v>313.5</v>
      </c>
      <c r="I166" s="9" t="s">
        <v>239</v>
      </c>
      <c r="J166" s="24"/>
      <c r="K166" s="9">
        <f t="shared" si="31"/>
        <v>627</v>
      </c>
      <c r="L166" s="301">
        <f t="shared" ref="L166:L167" si="41">H166*1.7</f>
        <v>532.95</v>
      </c>
      <c r="M166" s="9"/>
      <c r="N166" s="9"/>
      <c r="O166" s="9"/>
      <c r="P166" s="9"/>
      <c r="Q166" s="9"/>
      <c r="R166" s="9"/>
      <c r="S166" s="6"/>
      <c r="T166" s="6"/>
      <c r="U166" s="6"/>
      <c r="V166" s="6"/>
      <c r="W166" s="6"/>
    </row>
    <row r="167" ht="12.0" customHeight="1">
      <c r="A167" s="14"/>
      <c r="B167" s="1"/>
      <c r="C167" s="1"/>
      <c r="D167" s="9" t="s">
        <v>270</v>
      </c>
      <c r="E167" s="16" t="s">
        <v>258</v>
      </c>
      <c r="F167" s="9">
        <v>1.0</v>
      </c>
      <c r="G167" s="9"/>
      <c r="H167" s="305">
        <f>SUM(3.3*H158)</f>
        <v>544.5</v>
      </c>
      <c r="I167" s="9" t="s">
        <v>239</v>
      </c>
      <c r="J167" s="24"/>
      <c r="K167" s="9">
        <f t="shared" si="31"/>
        <v>544.5</v>
      </c>
      <c r="L167" s="301">
        <f t="shared" si="41"/>
        <v>925.65</v>
      </c>
      <c r="M167" s="9"/>
      <c r="N167" s="9"/>
      <c r="O167" s="9"/>
      <c r="P167" s="9"/>
      <c r="Q167" s="9"/>
      <c r="R167" s="9"/>
      <c r="S167" s="6"/>
      <c r="T167" s="6"/>
      <c r="U167" s="6"/>
      <c r="V167" s="6"/>
      <c r="W167" s="6"/>
    </row>
    <row r="168" ht="12.0" customHeight="1">
      <c r="A168" s="14"/>
      <c r="B168" s="15"/>
      <c r="C168" s="15"/>
      <c r="D168" s="33" t="s">
        <v>272</v>
      </c>
      <c r="E168" s="33"/>
      <c r="F168" s="33">
        <v>2.0</v>
      </c>
      <c r="G168" s="33"/>
      <c r="H168" s="305">
        <f>SUM(3*H158)</f>
        <v>495</v>
      </c>
      <c r="I168" s="9" t="s">
        <v>273</v>
      </c>
      <c r="J168" s="9">
        <v>10418.0</v>
      </c>
      <c r="K168" s="33">
        <f>SUM(F168*H168)</f>
        <v>990</v>
      </c>
      <c r="L168" s="301">
        <f t="shared" ref="L168:L169" si="42">H168*1.6</f>
        <v>792</v>
      </c>
      <c r="M168" s="310">
        <v>590.0</v>
      </c>
      <c r="N168" s="311">
        <v>0.3</v>
      </c>
      <c r="O168" s="310">
        <f>SUM(M168*N168)</f>
        <v>177</v>
      </c>
      <c r="P168" s="9"/>
      <c r="Q168" s="9"/>
      <c r="R168" s="9"/>
      <c r="S168" s="6"/>
      <c r="T168" s="6"/>
      <c r="U168" s="6"/>
      <c r="V168" s="6"/>
      <c r="W168" s="6"/>
    </row>
    <row r="169" ht="12.0" customHeight="1">
      <c r="A169" s="14"/>
      <c r="B169" s="71"/>
      <c r="C169" s="79"/>
      <c r="D169" s="50" t="s">
        <v>274</v>
      </c>
      <c r="E169" s="50" t="s">
        <v>275</v>
      </c>
      <c r="F169" s="50">
        <v>11.0</v>
      </c>
      <c r="G169" s="50" t="s">
        <v>276</v>
      </c>
      <c r="H169" s="365">
        <v>433.0</v>
      </c>
      <c r="I169" s="50" t="s">
        <v>61</v>
      </c>
      <c r="J169" s="60">
        <v>8781.0</v>
      </c>
      <c r="K169" s="50">
        <f t="shared" ref="K169:K174" si="43">H169*F169</f>
        <v>4763</v>
      </c>
      <c r="L169" s="346">
        <f t="shared" si="42"/>
        <v>692.8</v>
      </c>
      <c r="M169" s="14"/>
      <c r="N169" s="14"/>
      <c r="O169" s="14"/>
      <c r="P169" s="14"/>
      <c r="Q169" s="14"/>
      <c r="R169" s="14"/>
      <c r="S169" s="6"/>
      <c r="T169" s="6"/>
      <c r="U169" s="6"/>
      <c r="V169" s="6"/>
      <c r="W169" s="6"/>
    </row>
    <row r="170" ht="12.0" customHeight="1">
      <c r="A170" s="14"/>
      <c r="B170" s="79"/>
      <c r="C170" s="79"/>
      <c r="D170" s="27" t="s">
        <v>277</v>
      </c>
      <c r="E170" s="27" t="s">
        <v>278</v>
      </c>
      <c r="F170" s="27">
        <v>0.0</v>
      </c>
      <c r="G170" s="27"/>
      <c r="H170" s="315">
        <v>59.0</v>
      </c>
      <c r="I170" s="27" t="s">
        <v>239</v>
      </c>
      <c r="J170" s="103"/>
      <c r="K170" s="27">
        <f t="shared" si="43"/>
        <v>0</v>
      </c>
      <c r="L170" s="317">
        <f>H170*1.81</f>
        <v>106.79</v>
      </c>
      <c r="M170" s="9"/>
      <c r="N170" s="9"/>
      <c r="O170" s="9"/>
      <c r="P170" s="9"/>
      <c r="Q170" s="9"/>
      <c r="R170" s="9"/>
      <c r="S170" s="6"/>
      <c r="T170" s="6"/>
      <c r="U170" s="6"/>
      <c r="V170" s="6"/>
      <c r="W170" s="6"/>
    </row>
    <row r="171" ht="12.0" customHeight="1">
      <c r="A171" s="14"/>
      <c r="B171" s="66"/>
      <c r="C171" s="66"/>
      <c r="D171" s="9" t="s">
        <v>279</v>
      </c>
      <c r="E171" s="9" t="s">
        <v>973</v>
      </c>
      <c r="F171" s="9">
        <v>36.0</v>
      </c>
      <c r="G171" s="9" t="s">
        <v>281</v>
      </c>
      <c r="H171" s="341">
        <f>SUM(M171/12)</f>
        <v>20.16666667</v>
      </c>
      <c r="I171" s="9" t="s">
        <v>239</v>
      </c>
      <c r="J171" s="24"/>
      <c r="K171" s="9">
        <f t="shared" si="43"/>
        <v>726</v>
      </c>
      <c r="L171" s="301">
        <f>H171*1.87</f>
        <v>37.71166667</v>
      </c>
      <c r="M171" s="380">
        <v>242.0</v>
      </c>
      <c r="N171" s="9"/>
      <c r="O171" s="9"/>
      <c r="P171" s="9"/>
      <c r="Q171" s="9"/>
      <c r="R171" s="9"/>
      <c r="S171" s="6"/>
      <c r="T171" s="6" t="s">
        <v>282</v>
      </c>
      <c r="U171" s="6"/>
      <c r="V171" s="6"/>
      <c r="W171" s="6"/>
    </row>
    <row r="172" ht="12.0" customHeight="1">
      <c r="A172" s="14"/>
      <c r="B172" s="66"/>
      <c r="C172" s="66"/>
      <c r="D172" s="50" t="s">
        <v>974</v>
      </c>
      <c r="E172" s="50"/>
      <c r="F172" s="50">
        <v>55.0</v>
      </c>
      <c r="G172" s="50"/>
      <c r="H172" s="365">
        <v>51.0</v>
      </c>
      <c r="I172" s="50" t="s">
        <v>239</v>
      </c>
      <c r="J172" s="60"/>
      <c r="K172" s="50">
        <f t="shared" si="43"/>
        <v>2805</v>
      </c>
      <c r="L172" s="346">
        <f>H172*1.8</f>
        <v>91.8</v>
      </c>
      <c r="M172" s="50"/>
      <c r="N172" s="50"/>
      <c r="O172" s="50"/>
      <c r="P172" s="14"/>
      <c r="Q172" s="14"/>
      <c r="R172" s="14"/>
      <c r="S172" s="6"/>
      <c r="T172" s="14" t="s">
        <v>285</v>
      </c>
      <c r="U172" s="6"/>
      <c r="V172" s="6"/>
      <c r="W172" s="6"/>
    </row>
    <row r="173" ht="12.0" customHeight="1">
      <c r="A173" s="14"/>
      <c r="B173" s="66"/>
      <c r="C173" s="66"/>
      <c r="D173" s="33" t="s">
        <v>975</v>
      </c>
      <c r="E173" s="33"/>
      <c r="F173" s="33">
        <v>8.0</v>
      </c>
      <c r="G173" s="33"/>
      <c r="H173" s="345">
        <v>204.0</v>
      </c>
      <c r="I173" s="33" t="s">
        <v>239</v>
      </c>
      <c r="J173" s="59"/>
      <c r="K173" s="33">
        <f t="shared" si="43"/>
        <v>1632</v>
      </c>
      <c r="L173" s="346">
        <f>H173*1.65</f>
        <v>336.6</v>
      </c>
      <c r="M173" s="9"/>
      <c r="N173" s="9"/>
      <c r="O173" s="9"/>
      <c r="P173" s="9"/>
      <c r="Q173" s="9"/>
      <c r="R173" s="9"/>
      <c r="S173" s="6"/>
      <c r="T173" s="50" t="s">
        <v>976</v>
      </c>
      <c r="U173" s="6"/>
      <c r="V173" s="6"/>
      <c r="W173" s="6"/>
    </row>
    <row r="174" ht="12.0" customHeight="1">
      <c r="A174" s="14"/>
      <c r="B174" s="79"/>
      <c r="C174" s="79"/>
      <c r="D174" s="46" t="s">
        <v>288</v>
      </c>
      <c r="E174" s="47" t="s">
        <v>289</v>
      </c>
      <c r="F174" s="50">
        <v>10.0</v>
      </c>
      <c r="G174" s="50" t="s">
        <v>225</v>
      </c>
      <c r="H174" s="307">
        <f>SUM(0.8*H175)</f>
        <v>216.8</v>
      </c>
      <c r="I174" s="50" t="s">
        <v>17</v>
      </c>
      <c r="J174" s="60">
        <v>5656.0</v>
      </c>
      <c r="K174" s="322">
        <f t="shared" si="43"/>
        <v>2168</v>
      </c>
      <c r="L174" s="346">
        <f>H174*1.7</f>
        <v>368.56</v>
      </c>
      <c r="M174" s="312"/>
      <c r="N174" s="313"/>
      <c r="O174" s="312"/>
      <c r="P174" s="314"/>
      <c r="Q174" s="14"/>
      <c r="R174" s="14"/>
      <c r="S174" s="6"/>
      <c r="T174" s="6"/>
      <c r="U174" s="6"/>
      <c r="V174" s="6"/>
      <c r="W174" s="6"/>
    </row>
    <row r="175" ht="12.0" customHeight="1">
      <c r="A175" s="14"/>
      <c r="B175" s="15"/>
      <c r="C175" s="67"/>
      <c r="D175" s="16" t="s">
        <v>290</v>
      </c>
      <c r="E175" s="17" t="s">
        <v>291</v>
      </c>
      <c r="F175" s="9">
        <v>12.0</v>
      </c>
      <c r="G175" s="9" t="s">
        <v>225</v>
      </c>
      <c r="H175" s="381">
        <v>271.0</v>
      </c>
      <c r="I175" s="9" t="s">
        <v>61</v>
      </c>
      <c r="J175" s="24">
        <v>5127.0</v>
      </c>
      <c r="K175" s="306">
        <f t="shared" ref="K175:K179" si="44">(F175*H175)</f>
        <v>3252</v>
      </c>
      <c r="L175" s="301">
        <f>H175*1.75</f>
        <v>474.25</v>
      </c>
      <c r="M175" s="310"/>
      <c r="N175" s="311"/>
      <c r="O175" s="310"/>
      <c r="P175" s="326"/>
      <c r="Q175" s="9"/>
      <c r="R175" s="9"/>
      <c r="S175" s="321" t="s">
        <v>977</v>
      </c>
      <c r="T175" s="6"/>
      <c r="U175" s="6"/>
      <c r="V175" s="6"/>
      <c r="W175" s="6"/>
    </row>
    <row r="176" ht="12.0" customHeight="1">
      <c r="A176" s="14"/>
      <c r="B176" s="124"/>
      <c r="C176" s="124"/>
      <c r="D176" s="15" t="s">
        <v>292</v>
      </c>
      <c r="E176" s="21"/>
      <c r="F176" s="14">
        <v>12.0</v>
      </c>
      <c r="G176" s="14"/>
      <c r="H176" s="307">
        <f>SUM(0.5*H175)</f>
        <v>135.5</v>
      </c>
      <c r="I176" s="14" t="s">
        <v>61</v>
      </c>
      <c r="J176" s="51">
        <v>5110.0</v>
      </c>
      <c r="K176" s="308">
        <f t="shared" si="44"/>
        <v>1626</v>
      </c>
      <c r="L176" s="301">
        <f>H176*1.7</f>
        <v>230.35</v>
      </c>
      <c r="M176" s="310"/>
      <c r="N176" s="311"/>
      <c r="O176" s="310"/>
      <c r="P176" s="326"/>
      <c r="Q176" s="9"/>
      <c r="R176" s="9"/>
      <c r="S176" s="6"/>
      <c r="T176" s="6"/>
      <c r="U176" s="6"/>
      <c r="V176" s="6"/>
      <c r="W176" s="6"/>
    </row>
    <row r="177" ht="12.0" customHeight="1">
      <c r="A177" s="14"/>
      <c r="B177" s="124"/>
      <c r="C177" s="124"/>
      <c r="D177" s="16" t="s">
        <v>294</v>
      </c>
      <c r="E177" s="17"/>
      <c r="F177" s="9">
        <v>12.0</v>
      </c>
      <c r="G177" s="9"/>
      <c r="H177" s="305">
        <f>SUM(0.5*H175)</f>
        <v>135.5</v>
      </c>
      <c r="I177" s="9" t="s">
        <v>293</v>
      </c>
      <c r="J177" s="24"/>
      <c r="K177" s="306">
        <f t="shared" si="44"/>
        <v>1626</v>
      </c>
      <c r="L177" s="301">
        <f>H177*1.75</f>
        <v>237.125</v>
      </c>
      <c r="M177" s="310"/>
      <c r="N177" s="311"/>
      <c r="O177" s="310"/>
      <c r="P177" s="326"/>
      <c r="Q177" s="9"/>
      <c r="R177" s="9"/>
      <c r="S177" s="6"/>
      <c r="T177" s="6"/>
      <c r="U177" s="6"/>
      <c r="V177" s="6"/>
      <c r="W177" s="6"/>
    </row>
    <row r="178" ht="12.0" customHeight="1">
      <c r="A178" s="14"/>
      <c r="B178" s="15"/>
      <c r="C178" s="15"/>
      <c r="D178" s="46" t="s">
        <v>295</v>
      </c>
      <c r="E178" s="47" t="s">
        <v>233</v>
      </c>
      <c r="F178" s="50">
        <v>5.0</v>
      </c>
      <c r="G178" s="50" t="s">
        <v>296</v>
      </c>
      <c r="H178" s="365">
        <f t="shared" ref="H178:H179" si="45">SUM(M178/5)</f>
        <v>204</v>
      </c>
      <c r="I178" s="50" t="s">
        <v>576</v>
      </c>
      <c r="J178" s="60" t="s">
        <v>297</v>
      </c>
      <c r="K178" s="322">
        <f t="shared" si="44"/>
        <v>1020</v>
      </c>
      <c r="L178" s="346">
        <f>H178*1.9</f>
        <v>387.6</v>
      </c>
      <c r="M178" s="312">
        <v>1020.0</v>
      </c>
      <c r="N178" s="313"/>
      <c r="O178" s="312"/>
      <c r="P178" s="312"/>
      <c r="Q178" s="50"/>
      <c r="R178" s="14"/>
      <c r="S178" s="6"/>
      <c r="T178" s="6"/>
      <c r="U178" s="6"/>
      <c r="V178" s="6"/>
      <c r="W178" s="6"/>
    </row>
    <row r="179" ht="12.0" customHeight="1">
      <c r="A179" s="14"/>
      <c r="B179" s="15"/>
      <c r="C179" s="15"/>
      <c r="D179" s="46" t="s">
        <v>298</v>
      </c>
      <c r="E179" s="47" t="s">
        <v>299</v>
      </c>
      <c r="F179" s="50">
        <v>5.0</v>
      </c>
      <c r="G179" s="50" t="s">
        <v>296</v>
      </c>
      <c r="H179" s="365">
        <f t="shared" si="45"/>
        <v>302</v>
      </c>
      <c r="I179" s="50" t="s">
        <v>576</v>
      </c>
      <c r="J179" s="60" t="s">
        <v>300</v>
      </c>
      <c r="K179" s="322">
        <f t="shared" si="44"/>
        <v>1510</v>
      </c>
      <c r="L179" s="346">
        <f>H179*1.8</f>
        <v>543.6</v>
      </c>
      <c r="M179" s="312">
        <v>1510.0</v>
      </c>
      <c r="N179" s="313"/>
      <c r="O179" s="312"/>
      <c r="P179" s="312"/>
      <c r="Q179" s="50"/>
      <c r="R179" s="14"/>
      <c r="S179" s="6"/>
      <c r="T179" s="6"/>
      <c r="U179" s="6"/>
      <c r="V179" s="6"/>
      <c r="W179" s="6"/>
    </row>
    <row r="180" ht="12.0" customHeight="1">
      <c r="A180" s="14"/>
      <c r="B180" s="16"/>
      <c r="C180" s="16"/>
      <c r="D180" s="16" t="s">
        <v>301</v>
      </c>
      <c r="E180" s="17"/>
      <c r="F180" s="9">
        <v>10.0</v>
      </c>
      <c r="G180" s="9"/>
      <c r="H180" s="341">
        <v>99.0</v>
      </c>
      <c r="I180" s="9" t="s">
        <v>61</v>
      </c>
      <c r="J180" s="24">
        <v>338.0</v>
      </c>
      <c r="K180" s="306">
        <f t="shared" ref="K180:K184" si="46">H180*F180</f>
        <v>990</v>
      </c>
      <c r="L180" s="301">
        <f>H180*2.08</f>
        <v>205.92</v>
      </c>
      <c r="M180" s="9"/>
      <c r="N180" s="9"/>
      <c r="O180" s="9"/>
      <c r="P180" s="9"/>
      <c r="Q180" s="9"/>
      <c r="R180" s="9"/>
      <c r="S180" s="6"/>
      <c r="T180" s="6" t="s">
        <v>978</v>
      </c>
      <c r="U180" s="6"/>
      <c r="V180" s="6"/>
      <c r="W180" s="6"/>
    </row>
    <row r="181" ht="12.0" customHeight="1">
      <c r="A181" s="14"/>
      <c r="B181" s="16"/>
      <c r="C181" s="16"/>
      <c r="D181" s="39" t="s">
        <v>302</v>
      </c>
      <c r="E181" s="40" t="s">
        <v>303</v>
      </c>
      <c r="F181" s="41">
        <v>0.0</v>
      </c>
      <c r="G181" s="41"/>
      <c r="H181" s="319">
        <f t="shared" ref="H181:H184" si="47">SUM(M181+O181)</f>
        <v>44.77</v>
      </c>
      <c r="I181" s="41" t="s">
        <v>17</v>
      </c>
      <c r="J181" s="81">
        <v>2220.0</v>
      </c>
      <c r="K181" s="320">
        <f t="shared" si="46"/>
        <v>0</v>
      </c>
      <c r="L181" s="317">
        <f>H181*1.9</f>
        <v>85.063</v>
      </c>
      <c r="M181" s="342">
        <v>37.0</v>
      </c>
      <c r="N181" s="343">
        <v>0.21</v>
      </c>
      <c r="O181" s="342">
        <f t="shared" ref="O181:O184" si="48">SUM(M181*N181)</f>
        <v>7.77</v>
      </c>
      <c r="P181" s="314"/>
      <c r="Q181" s="14"/>
      <c r="R181" s="14"/>
      <c r="S181" s="6"/>
      <c r="T181" s="6"/>
      <c r="U181" s="6"/>
      <c r="V181" s="6"/>
      <c r="W181" s="6"/>
    </row>
    <row r="182" ht="12.0" customHeight="1">
      <c r="A182" s="14"/>
      <c r="B182" s="16"/>
      <c r="C182" s="16"/>
      <c r="D182" s="15" t="s">
        <v>302</v>
      </c>
      <c r="E182" s="21" t="s">
        <v>304</v>
      </c>
      <c r="F182" s="14">
        <v>10.0</v>
      </c>
      <c r="G182" s="14"/>
      <c r="H182" s="365">
        <f t="shared" si="47"/>
        <v>360.58</v>
      </c>
      <c r="I182" s="14" t="s">
        <v>17</v>
      </c>
      <c r="J182" s="51">
        <v>2222.0</v>
      </c>
      <c r="K182" s="308">
        <f t="shared" si="46"/>
        <v>3605.8</v>
      </c>
      <c r="L182" s="301">
        <f>H182*1.7</f>
        <v>612.986</v>
      </c>
      <c r="M182" s="312">
        <v>298.0</v>
      </c>
      <c r="N182" s="313">
        <v>0.21</v>
      </c>
      <c r="O182" s="312">
        <f t="shared" si="48"/>
        <v>62.58</v>
      </c>
      <c r="P182" s="314"/>
      <c r="Q182" s="14"/>
      <c r="R182" s="14"/>
      <c r="S182" s="6"/>
      <c r="T182" s="6"/>
      <c r="U182" s="6"/>
      <c r="V182" s="6"/>
      <c r="W182" s="6"/>
    </row>
    <row r="183" ht="12.0" customHeight="1">
      <c r="A183" s="14"/>
      <c r="B183" s="1"/>
      <c r="C183" s="1"/>
      <c r="D183" s="50" t="s">
        <v>305</v>
      </c>
      <c r="E183" s="50"/>
      <c r="F183" s="50">
        <v>11.0</v>
      </c>
      <c r="G183" s="50"/>
      <c r="H183" s="365">
        <f t="shared" si="47"/>
        <v>141.57</v>
      </c>
      <c r="I183" s="50" t="s">
        <v>17</v>
      </c>
      <c r="J183" s="50">
        <v>1703.0</v>
      </c>
      <c r="K183" s="308">
        <f t="shared" si="46"/>
        <v>1557.27</v>
      </c>
      <c r="L183" s="301">
        <f>H183*1.9</f>
        <v>268.983</v>
      </c>
      <c r="M183" s="312">
        <v>117.0</v>
      </c>
      <c r="N183" s="313">
        <v>0.21</v>
      </c>
      <c r="O183" s="312">
        <f t="shared" si="48"/>
        <v>24.57</v>
      </c>
      <c r="P183" s="314"/>
      <c r="Q183" s="14"/>
      <c r="R183" s="14"/>
      <c r="S183" s="6"/>
      <c r="T183" s="6"/>
      <c r="U183" s="6"/>
      <c r="V183" s="6"/>
      <c r="W183" s="6"/>
    </row>
    <row r="184" ht="12.0" customHeight="1">
      <c r="A184" s="14"/>
      <c r="B184" s="124"/>
      <c r="C184" s="127"/>
      <c r="D184" s="46" t="s">
        <v>306</v>
      </c>
      <c r="E184" s="50"/>
      <c r="F184" s="50">
        <v>10.0</v>
      </c>
      <c r="G184" s="50"/>
      <c r="H184" s="365">
        <f t="shared" si="47"/>
        <v>301.29</v>
      </c>
      <c r="I184" s="50" t="s">
        <v>17</v>
      </c>
      <c r="J184" s="50">
        <v>1710.0</v>
      </c>
      <c r="K184" s="308">
        <f t="shared" si="46"/>
        <v>3012.9</v>
      </c>
      <c r="L184" s="301">
        <f>H184*1.7</f>
        <v>512.193</v>
      </c>
      <c r="M184" s="312">
        <v>249.0</v>
      </c>
      <c r="N184" s="313">
        <v>0.21</v>
      </c>
      <c r="O184" s="312">
        <f t="shared" si="48"/>
        <v>52.29</v>
      </c>
      <c r="P184" s="314"/>
      <c r="Q184" s="14"/>
      <c r="R184" s="14"/>
      <c r="S184" s="6"/>
      <c r="T184" s="6"/>
      <c r="U184" s="6"/>
      <c r="V184" s="6"/>
      <c r="W184" s="6"/>
    </row>
    <row r="185" ht="12.0" customHeight="1">
      <c r="A185" s="14"/>
      <c r="B185" s="128"/>
      <c r="C185" s="128"/>
      <c r="D185" s="31" t="s">
        <v>307</v>
      </c>
      <c r="E185" s="32" t="s">
        <v>308</v>
      </c>
      <c r="F185" s="33">
        <v>8.0</v>
      </c>
      <c r="G185" s="9"/>
      <c r="H185" s="345">
        <v>320.0</v>
      </c>
      <c r="I185" s="9" t="s">
        <v>61</v>
      </c>
      <c r="J185" s="59">
        <v>505.0</v>
      </c>
      <c r="K185" s="323">
        <f t="shared" ref="K185:K188" si="49">F185*H185</f>
        <v>2560</v>
      </c>
      <c r="L185" s="301">
        <f t="shared" ref="L185:L186" si="50">H185*1.87</f>
        <v>598.4</v>
      </c>
      <c r="M185" s="9"/>
      <c r="N185" s="9"/>
      <c r="O185" s="9"/>
      <c r="P185" s="9"/>
      <c r="Q185" s="9"/>
      <c r="R185" s="9"/>
      <c r="S185" s="321" t="s">
        <v>979</v>
      </c>
      <c r="T185" s="382" t="s">
        <v>173</v>
      </c>
      <c r="U185" s="6"/>
      <c r="V185" s="6"/>
      <c r="W185" s="6"/>
    </row>
    <row r="186" ht="12.0" customHeight="1">
      <c r="A186" s="14"/>
      <c r="B186" s="128"/>
      <c r="C186" s="128"/>
      <c r="D186" s="39" t="s">
        <v>307</v>
      </c>
      <c r="E186" s="40" t="s">
        <v>309</v>
      </c>
      <c r="F186" s="41">
        <v>0.0</v>
      </c>
      <c r="G186" s="41"/>
      <c r="H186" s="319">
        <v>23.9</v>
      </c>
      <c r="I186" s="41" t="s">
        <v>61</v>
      </c>
      <c r="J186" s="81">
        <v>506.0</v>
      </c>
      <c r="K186" s="320">
        <f t="shared" si="49"/>
        <v>0</v>
      </c>
      <c r="L186" s="317">
        <f t="shared" si="50"/>
        <v>44.693</v>
      </c>
      <c r="M186" s="14"/>
      <c r="N186" s="14"/>
      <c r="O186" s="14"/>
      <c r="P186" s="14"/>
      <c r="Q186" s="14"/>
      <c r="R186" s="14"/>
      <c r="S186" s="6"/>
      <c r="T186" s="104" t="s">
        <v>173</v>
      </c>
      <c r="U186" s="6"/>
      <c r="V186" s="6"/>
      <c r="W186" s="6"/>
    </row>
    <row r="187" ht="12.0" customHeight="1">
      <c r="A187" s="14"/>
      <c r="B187" s="78"/>
      <c r="C187" s="78"/>
      <c r="D187" s="31" t="s">
        <v>310</v>
      </c>
      <c r="E187" s="131"/>
      <c r="F187" s="33">
        <v>1.0</v>
      </c>
      <c r="G187" s="9"/>
      <c r="H187" s="345">
        <f>SUM(M187+O187)</f>
        <v>1317.69</v>
      </c>
      <c r="I187" s="9" t="s">
        <v>17</v>
      </c>
      <c r="J187" s="59">
        <v>3063.0</v>
      </c>
      <c r="K187" s="323">
        <f t="shared" si="49"/>
        <v>1317.69</v>
      </c>
      <c r="L187" s="301">
        <f>H187*1.8</f>
        <v>2371.842</v>
      </c>
      <c r="M187" s="310">
        <v>1089.0</v>
      </c>
      <c r="N187" s="311">
        <v>0.21</v>
      </c>
      <c r="O187" s="310">
        <f>SUM(M187*N187)</f>
        <v>228.69</v>
      </c>
      <c r="P187" s="326"/>
      <c r="Q187" s="9"/>
      <c r="R187" s="9"/>
      <c r="S187" s="6"/>
      <c r="T187" s="6"/>
      <c r="U187" s="6"/>
      <c r="V187" s="6"/>
      <c r="W187" s="6"/>
    </row>
    <row r="188" ht="12.0" customHeight="1">
      <c r="A188" s="14"/>
      <c r="B188" s="78"/>
      <c r="C188" s="78"/>
      <c r="D188" s="31" t="s">
        <v>311</v>
      </c>
      <c r="E188" s="131"/>
      <c r="F188" s="33">
        <v>0.0</v>
      </c>
      <c r="G188" s="9"/>
      <c r="H188" s="345">
        <v>220.0</v>
      </c>
      <c r="I188" s="9" t="s">
        <v>980</v>
      </c>
      <c r="J188" s="59"/>
      <c r="K188" s="323">
        <f t="shared" si="49"/>
        <v>0</v>
      </c>
      <c r="L188" s="301">
        <v>255.0</v>
      </c>
      <c r="M188" s="310"/>
      <c r="N188" s="311"/>
      <c r="O188" s="310"/>
      <c r="P188" s="326"/>
      <c r="Q188" s="9"/>
      <c r="R188" s="9"/>
      <c r="S188" s="6"/>
      <c r="T188" s="6"/>
      <c r="U188" s="6"/>
      <c r="V188" s="6"/>
      <c r="W188" s="6"/>
    </row>
    <row r="189" ht="12.0" customHeight="1">
      <c r="A189" s="14"/>
      <c r="B189" s="15"/>
      <c r="C189" s="15"/>
      <c r="D189" s="15" t="s">
        <v>312</v>
      </c>
      <c r="E189" s="47" t="s">
        <v>308</v>
      </c>
      <c r="F189" s="14">
        <v>60.0</v>
      </c>
      <c r="G189" s="14"/>
      <c r="H189" s="364">
        <v>79.0</v>
      </c>
      <c r="I189" s="14" t="s">
        <v>61</v>
      </c>
      <c r="J189" s="51">
        <v>516.0</v>
      </c>
      <c r="K189" s="308">
        <f t="shared" ref="K189:K197" si="51">H189*F189</f>
        <v>4740</v>
      </c>
      <c r="L189" s="301">
        <f t="shared" ref="L189:L191" si="52">H189*1.8</f>
        <v>142.2</v>
      </c>
      <c r="M189" s="14"/>
      <c r="N189" s="14"/>
      <c r="O189" s="14"/>
      <c r="P189" s="14"/>
      <c r="Q189" s="14"/>
      <c r="R189" s="14"/>
      <c r="S189" s="6"/>
      <c r="T189" s="6"/>
      <c r="U189" s="6"/>
      <c r="V189" s="6"/>
      <c r="W189" s="6"/>
    </row>
    <row r="190" ht="12.0" customHeight="1">
      <c r="A190" s="14"/>
      <c r="B190" s="15"/>
      <c r="C190" s="15"/>
      <c r="D190" s="16" t="s">
        <v>313</v>
      </c>
      <c r="E190" s="32" t="s">
        <v>308</v>
      </c>
      <c r="F190" s="9">
        <v>0.0</v>
      </c>
      <c r="G190" s="9"/>
      <c r="H190" s="305">
        <f>SUM(1*H189)</f>
        <v>79</v>
      </c>
      <c r="I190" s="9" t="s">
        <v>61</v>
      </c>
      <c r="J190" s="24">
        <v>515.0</v>
      </c>
      <c r="K190" s="306">
        <f t="shared" si="51"/>
        <v>0</v>
      </c>
      <c r="L190" s="301">
        <f t="shared" si="52"/>
        <v>142.2</v>
      </c>
      <c r="M190" s="9"/>
      <c r="N190" s="9"/>
      <c r="O190" s="9"/>
      <c r="P190" s="9"/>
      <c r="Q190" s="9"/>
      <c r="R190" s="9"/>
      <c r="S190" s="6"/>
      <c r="T190" s="6"/>
      <c r="U190" s="6"/>
      <c r="V190" s="6"/>
      <c r="W190" s="6"/>
    </row>
    <row r="191" ht="12.0" customHeight="1">
      <c r="A191" s="14"/>
      <c r="B191" s="15"/>
      <c r="C191" s="15"/>
      <c r="D191" s="15" t="s">
        <v>314</v>
      </c>
      <c r="E191" s="132" t="s">
        <v>315</v>
      </c>
      <c r="F191" s="14">
        <v>50.0</v>
      </c>
      <c r="G191" s="14"/>
      <c r="H191" s="307">
        <f>SUM(1*H189)</f>
        <v>79</v>
      </c>
      <c r="I191" s="14" t="s">
        <v>61</v>
      </c>
      <c r="J191" s="51">
        <v>518.0</v>
      </c>
      <c r="K191" s="308">
        <f t="shared" si="51"/>
        <v>3950</v>
      </c>
      <c r="L191" s="301">
        <f t="shared" si="52"/>
        <v>142.2</v>
      </c>
      <c r="M191" s="14"/>
      <c r="N191" s="14"/>
      <c r="O191" s="14"/>
      <c r="P191" s="14"/>
      <c r="Q191" s="14"/>
      <c r="R191" s="14"/>
      <c r="S191" s="6"/>
      <c r="T191" s="6"/>
      <c r="U191" s="6"/>
      <c r="V191" s="6"/>
      <c r="W191" s="6"/>
    </row>
    <row r="192" ht="12.0" customHeight="1">
      <c r="A192" s="14"/>
      <c r="B192" s="78"/>
      <c r="C192" s="78"/>
      <c r="D192" s="15" t="s">
        <v>316</v>
      </c>
      <c r="E192" s="132"/>
      <c r="F192" s="14">
        <v>1.0</v>
      </c>
      <c r="G192" s="14"/>
      <c r="H192" s="365">
        <f t="shared" ref="H192:H194" si="53">SUM(M192+O192)</f>
        <v>840.95</v>
      </c>
      <c r="I192" s="14" t="s">
        <v>17</v>
      </c>
      <c r="J192" s="51">
        <v>3079.0</v>
      </c>
      <c r="K192" s="308">
        <f t="shared" si="51"/>
        <v>840.95</v>
      </c>
      <c r="L192" s="301">
        <f>H192*1.7</f>
        <v>1429.615</v>
      </c>
      <c r="M192" s="312">
        <v>695.0</v>
      </c>
      <c r="N192" s="313">
        <v>0.21</v>
      </c>
      <c r="O192" s="312">
        <f t="shared" ref="O192:O194" si="54">SUM(M192*N192)</f>
        <v>145.95</v>
      </c>
      <c r="P192" s="14"/>
      <c r="Q192" s="14"/>
      <c r="R192" s="14"/>
      <c r="S192" s="6"/>
      <c r="T192" s="6"/>
      <c r="U192" s="6"/>
      <c r="V192" s="6"/>
      <c r="W192" s="6"/>
    </row>
    <row r="193" ht="12.0" customHeight="1">
      <c r="A193" s="14"/>
      <c r="B193" s="15"/>
      <c r="C193" s="15"/>
      <c r="D193" s="16" t="s">
        <v>317</v>
      </c>
      <c r="E193" s="131"/>
      <c r="F193" s="9">
        <v>6.0</v>
      </c>
      <c r="G193" s="9"/>
      <c r="H193" s="345">
        <f t="shared" si="53"/>
        <v>75.02</v>
      </c>
      <c r="I193" s="9" t="s">
        <v>17</v>
      </c>
      <c r="J193" s="24">
        <v>3094.0</v>
      </c>
      <c r="K193" s="306">
        <f t="shared" si="51"/>
        <v>450.12</v>
      </c>
      <c r="L193" s="301">
        <f>H193*2.09</f>
        <v>156.7918</v>
      </c>
      <c r="M193" s="310">
        <v>62.0</v>
      </c>
      <c r="N193" s="311">
        <v>0.21</v>
      </c>
      <c r="O193" s="310">
        <f t="shared" si="54"/>
        <v>13.02</v>
      </c>
      <c r="P193" s="326"/>
      <c r="Q193" s="9"/>
      <c r="R193" s="9"/>
      <c r="S193" s="6"/>
      <c r="T193" s="6"/>
      <c r="U193" s="6"/>
      <c r="V193" s="6"/>
      <c r="W193" s="6"/>
    </row>
    <row r="194" ht="12.0" customHeight="1">
      <c r="A194" s="14"/>
      <c r="B194" s="16"/>
      <c r="C194" s="16"/>
      <c r="D194" s="16" t="s">
        <v>318</v>
      </c>
      <c r="E194" s="133"/>
      <c r="F194" s="9">
        <v>5.0</v>
      </c>
      <c r="G194" s="9"/>
      <c r="H194" s="345">
        <f t="shared" si="53"/>
        <v>219.01</v>
      </c>
      <c r="I194" s="9" t="s">
        <v>17</v>
      </c>
      <c r="J194" s="24">
        <v>2620.0</v>
      </c>
      <c r="K194" s="306">
        <f t="shared" si="51"/>
        <v>1095.05</v>
      </c>
      <c r="L194" s="301">
        <f>H194*1.85</f>
        <v>405.1685</v>
      </c>
      <c r="M194" s="310">
        <v>181.0</v>
      </c>
      <c r="N194" s="311">
        <v>0.21</v>
      </c>
      <c r="O194" s="310">
        <f t="shared" si="54"/>
        <v>38.01</v>
      </c>
      <c r="P194" s="326"/>
      <c r="Q194" s="9"/>
      <c r="R194" s="9"/>
      <c r="S194" s="6"/>
      <c r="T194" s="6"/>
      <c r="U194" s="6"/>
      <c r="V194" s="6"/>
      <c r="W194" s="6"/>
    </row>
    <row r="195" ht="12.0" customHeight="1">
      <c r="A195" s="14"/>
      <c r="B195" s="128"/>
      <c r="C195" s="128"/>
      <c r="D195" s="46" t="s">
        <v>319</v>
      </c>
      <c r="E195" s="14"/>
      <c r="F195" s="14">
        <v>152.0</v>
      </c>
      <c r="G195" s="14"/>
      <c r="H195" s="344">
        <f>SUM(N195/152)</f>
        <v>17.96052632</v>
      </c>
      <c r="I195" s="14" t="s">
        <v>61</v>
      </c>
      <c r="J195" s="60">
        <v>543.0</v>
      </c>
      <c r="K195" s="308">
        <f t="shared" si="51"/>
        <v>2730</v>
      </c>
      <c r="L195" s="301">
        <f>H195*2.05</f>
        <v>36.81907895</v>
      </c>
      <c r="M195" s="14"/>
      <c r="N195" s="383">
        <v>2730.0</v>
      </c>
      <c r="O195" s="14"/>
      <c r="P195" s="14"/>
      <c r="Q195" s="14"/>
      <c r="R195" s="14"/>
      <c r="S195" s="321" t="s">
        <v>981</v>
      </c>
      <c r="T195" s="14" t="s">
        <v>245</v>
      </c>
      <c r="U195" s="6"/>
      <c r="V195" s="6"/>
      <c r="W195" s="6"/>
    </row>
    <row r="196" ht="12.0" customHeight="1">
      <c r="A196" s="14"/>
      <c r="B196" s="15"/>
      <c r="C196" s="134"/>
      <c r="D196" s="36" t="s">
        <v>320</v>
      </c>
      <c r="E196" s="36"/>
      <c r="F196" s="33">
        <v>2.0</v>
      </c>
      <c r="G196" s="33"/>
      <c r="H196" s="345">
        <v>780.0</v>
      </c>
      <c r="I196" s="33" t="s">
        <v>61</v>
      </c>
      <c r="J196" s="59">
        <v>4249.0</v>
      </c>
      <c r="K196" s="323">
        <f t="shared" si="51"/>
        <v>1560</v>
      </c>
      <c r="L196" s="346">
        <f>H196*1.7</f>
        <v>1326</v>
      </c>
      <c r="M196" s="9"/>
      <c r="N196" s="9"/>
      <c r="O196" s="9"/>
      <c r="P196" s="9"/>
      <c r="Q196" s="9"/>
      <c r="R196" s="9"/>
      <c r="S196" s="321" t="s">
        <v>982</v>
      </c>
      <c r="T196" s="6"/>
      <c r="U196" s="6"/>
      <c r="V196" s="6"/>
      <c r="W196" s="6"/>
    </row>
    <row r="197" ht="12.0" customHeight="1">
      <c r="A197" s="52"/>
      <c r="B197" s="15"/>
      <c r="C197" s="15"/>
      <c r="D197" s="15" t="s">
        <v>321</v>
      </c>
      <c r="E197" s="21"/>
      <c r="F197" s="14">
        <v>2.0</v>
      </c>
      <c r="G197" s="14"/>
      <c r="H197" s="344">
        <v>554.0</v>
      </c>
      <c r="I197" s="14" t="s">
        <v>61</v>
      </c>
      <c r="J197" s="51">
        <v>875.0</v>
      </c>
      <c r="K197" s="308">
        <f t="shared" si="51"/>
        <v>1108</v>
      </c>
      <c r="L197" s="301">
        <f>H197*1.75</f>
        <v>969.5</v>
      </c>
      <c r="M197" s="14"/>
      <c r="N197" s="14"/>
      <c r="O197" s="14"/>
      <c r="P197" s="14"/>
      <c r="Q197" s="14"/>
      <c r="R197" s="14"/>
      <c r="S197" s="6"/>
      <c r="T197" s="6"/>
      <c r="U197" s="6"/>
      <c r="V197" s="6"/>
      <c r="W197" s="6"/>
    </row>
    <row r="198" ht="12.0" customHeight="1">
      <c r="A198" s="52"/>
      <c r="B198" s="15"/>
      <c r="C198" s="15"/>
      <c r="D198" s="31" t="s">
        <v>322</v>
      </c>
      <c r="E198" s="32" t="s">
        <v>323</v>
      </c>
      <c r="F198" s="33">
        <v>2.0</v>
      </c>
      <c r="G198" s="33"/>
      <c r="H198" s="345">
        <f t="shared" ref="H198:H200" si="55">SUM(M198+O198)</f>
        <v>508.2</v>
      </c>
      <c r="I198" s="33" t="s">
        <v>17</v>
      </c>
      <c r="J198" s="59">
        <v>7155.0</v>
      </c>
      <c r="K198" s="323">
        <f t="shared" ref="K198:K199" si="56">(F198*H198)</f>
        <v>1016.4</v>
      </c>
      <c r="L198" s="346">
        <f t="shared" ref="L198:L199" si="57">H198*1.85</f>
        <v>940.17</v>
      </c>
      <c r="M198" s="310">
        <v>420.0</v>
      </c>
      <c r="N198" s="311">
        <v>0.21</v>
      </c>
      <c r="O198" s="310">
        <f t="shared" ref="O198:O200" si="58">SUM(M198*N198)</f>
        <v>88.2</v>
      </c>
      <c r="P198" s="9"/>
      <c r="Q198" s="9"/>
      <c r="R198" s="9"/>
      <c r="S198" s="6"/>
      <c r="T198" s="6"/>
      <c r="U198" s="6"/>
      <c r="V198" s="6"/>
      <c r="W198" s="6"/>
    </row>
    <row r="199" ht="12.0" customHeight="1">
      <c r="A199" s="14"/>
      <c r="B199" s="15"/>
      <c r="C199" s="134"/>
      <c r="D199" s="31" t="s">
        <v>324</v>
      </c>
      <c r="E199" s="32" t="s">
        <v>325</v>
      </c>
      <c r="F199" s="33">
        <v>4.0</v>
      </c>
      <c r="G199" s="33"/>
      <c r="H199" s="345">
        <f t="shared" si="55"/>
        <v>566.28</v>
      </c>
      <c r="I199" s="33" t="s">
        <v>17</v>
      </c>
      <c r="J199" s="59">
        <v>7156.0</v>
      </c>
      <c r="K199" s="323">
        <f t="shared" si="56"/>
        <v>2265.12</v>
      </c>
      <c r="L199" s="346">
        <f t="shared" si="57"/>
        <v>1047.618</v>
      </c>
      <c r="M199" s="310">
        <v>468.0</v>
      </c>
      <c r="N199" s="311">
        <v>0.21</v>
      </c>
      <c r="O199" s="310">
        <f t="shared" si="58"/>
        <v>98.28</v>
      </c>
      <c r="P199" s="326"/>
      <c r="Q199" s="27"/>
      <c r="R199" s="9"/>
      <c r="S199" s="6"/>
      <c r="T199" s="6"/>
      <c r="U199" s="6"/>
      <c r="V199" s="6"/>
      <c r="W199" s="6"/>
    </row>
    <row r="200" ht="12.0" customHeight="1">
      <c r="A200" s="52"/>
      <c r="B200" s="67"/>
      <c r="C200" s="67"/>
      <c r="D200" s="15" t="s">
        <v>326</v>
      </c>
      <c r="E200" s="21"/>
      <c r="F200" s="14">
        <v>1.0</v>
      </c>
      <c r="G200" s="14"/>
      <c r="H200" s="365">
        <f t="shared" si="55"/>
        <v>1450.79</v>
      </c>
      <c r="I200" s="14" t="s">
        <v>17</v>
      </c>
      <c r="J200" s="51">
        <v>1128.0</v>
      </c>
      <c r="K200" s="308">
        <f t="shared" ref="K200:K203" si="59">H200*F200</f>
        <v>1450.79</v>
      </c>
      <c r="L200" s="301">
        <f>H200*1.75</f>
        <v>2538.8825</v>
      </c>
      <c r="M200" s="312">
        <v>1199.0</v>
      </c>
      <c r="N200" s="313">
        <v>0.21</v>
      </c>
      <c r="O200" s="312">
        <f t="shared" si="58"/>
        <v>251.79</v>
      </c>
      <c r="P200" s="314"/>
      <c r="Q200" s="14"/>
      <c r="R200" s="14"/>
      <c r="S200" s="6"/>
      <c r="T200" s="6"/>
      <c r="U200" s="6"/>
      <c r="V200" s="6"/>
      <c r="W200" s="6"/>
    </row>
    <row r="201" ht="12.0" customHeight="1">
      <c r="A201" s="14"/>
      <c r="B201" s="15"/>
      <c r="C201" s="15"/>
      <c r="D201" s="16" t="s">
        <v>327</v>
      </c>
      <c r="E201" s="17"/>
      <c r="F201" s="9">
        <v>4.0</v>
      </c>
      <c r="G201" s="9"/>
      <c r="H201" s="305">
        <f>SUM(0.6*H175)</f>
        <v>162.6</v>
      </c>
      <c r="I201" s="9"/>
      <c r="J201" s="24"/>
      <c r="K201" s="306">
        <f t="shared" si="59"/>
        <v>650.4</v>
      </c>
      <c r="L201" s="301">
        <f>H201*1.9</f>
        <v>308.94</v>
      </c>
      <c r="M201" s="9"/>
      <c r="N201" s="9"/>
      <c r="O201" s="9"/>
      <c r="P201" s="9"/>
      <c r="Q201" s="9"/>
      <c r="R201" s="9"/>
      <c r="S201" s="6"/>
      <c r="T201" s="6"/>
      <c r="U201" s="6"/>
      <c r="V201" s="6"/>
      <c r="W201" s="6"/>
    </row>
    <row r="202" ht="12.0" customHeight="1">
      <c r="A202" s="14"/>
      <c r="B202" s="71"/>
      <c r="C202" s="71"/>
      <c r="D202" s="15" t="s">
        <v>328</v>
      </c>
      <c r="E202" s="21" t="s">
        <v>329</v>
      </c>
      <c r="F202" s="14">
        <v>6.0</v>
      </c>
      <c r="G202" s="14" t="s">
        <v>330</v>
      </c>
      <c r="H202" s="365">
        <f>SUM(M202+O202)</f>
        <v>222.64</v>
      </c>
      <c r="I202" s="14" t="s">
        <v>17</v>
      </c>
      <c r="J202" s="51">
        <v>982.0</v>
      </c>
      <c r="K202" s="308">
        <f t="shared" si="59"/>
        <v>1335.84</v>
      </c>
      <c r="L202" s="301">
        <f>H202*1.8</f>
        <v>400.752</v>
      </c>
      <c r="M202" s="312">
        <v>184.0</v>
      </c>
      <c r="N202" s="313">
        <v>0.21</v>
      </c>
      <c r="O202" s="312">
        <f>SUM(M202*N202)</f>
        <v>38.64</v>
      </c>
      <c r="P202" s="314"/>
      <c r="Q202" s="14"/>
      <c r="R202" s="14"/>
      <c r="S202" s="6"/>
      <c r="T202" s="6"/>
      <c r="U202" s="6"/>
      <c r="V202" s="6"/>
      <c r="W202" s="6"/>
    </row>
    <row r="203" ht="12.0" customHeight="1">
      <c r="A203" s="14"/>
      <c r="B203" s="71"/>
      <c r="C203" s="71"/>
      <c r="D203" s="39" t="s">
        <v>328</v>
      </c>
      <c r="E203" s="40" t="s">
        <v>331</v>
      </c>
      <c r="F203" s="41">
        <v>0.0</v>
      </c>
      <c r="G203" s="41" t="s">
        <v>332</v>
      </c>
      <c r="H203" s="319">
        <v>92.0</v>
      </c>
      <c r="I203" s="41" t="s">
        <v>61</v>
      </c>
      <c r="J203" s="81">
        <v>8355.0</v>
      </c>
      <c r="K203" s="320">
        <f t="shared" si="59"/>
        <v>0</v>
      </c>
      <c r="L203" s="317">
        <f>H203*1.7</f>
        <v>156.4</v>
      </c>
      <c r="M203" s="14"/>
      <c r="N203" s="14"/>
      <c r="O203" s="14"/>
      <c r="P203" s="14"/>
      <c r="Q203" s="14"/>
      <c r="R203" s="14"/>
      <c r="S203" s="6"/>
      <c r="T203" s="6"/>
      <c r="U203" s="6"/>
      <c r="V203" s="6"/>
      <c r="W203" s="6"/>
    </row>
    <row r="204" ht="12.0" customHeight="1">
      <c r="A204" s="14"/>
      <c r="B204" s="135"/>
      <c r="C204" s="135"/>
      <c r="D204" s="31" t="s">
        <v>335</v>
      </c>
      <c r="E204" s="32" t="s">
        <v>334</v>
      </c>
      <c r="F204" s="33">
        <v>10.0</v>
      </c>
      <c r="G204" s="6"/>
      <c r="H204" s="345">
        <f t="shared" ref="H204:H205" si="60">(N204-P204)</f>
        <v>88.2</v>
      </c>
      <c r="I204" s="33" t="s">
        <v>119</v>
      </c>
      <c r="J204" s="59">
        <v>1601.0</v>
      </c>
      <c r="K204" s="310">
        <f t="shared" ref="K204:K205" si="61">F204*H204</f>
        <v>882</v>
      </c>
      <c r="L204" s="346">
        <f t="shared" ref="L204:L205" si="62">H204*1.9</f>
        <v>167.58</v>
      </c>
      <c r="M204" s="59"/>
      <c r="N204" s="310">
        <v>140.0</v>
      </c>
      <c r="O204" s="310">
        <v>0.37</v>
      </c>
      <c r="P204" s="310">
        <f t="shared" ref="P204:P205" si="63">N204*O204</f>
        <v>51.8</v>
      </c>
      <c r="Q204" s="326"/>
      <c r="R204" s="326"/>
      <c r="S204" s="6"/>
      <c r="T204" s="6"/>
      <c r="U204" s="6"/>
      <c r="V204" s="6"/>
      <c r="W204" s="6"/>
    </row>
    <row r="205" ht="12.0" customHeight="1">
      <c r="A205" s="14"/>
      <c r="B205" s="135"/>
      <c r="C205" s="135"/>
      <c r="D205" s="31" t="s">
        <v>335</v>
      </c>
      <c r="E205" s="32" t="s">
        <v>336</v>
      </c>
      <c r="F205" s="33">
        <v>2.0</v>
      </c>
      <c r="G205" s="9"/>
      <c r="H205" s="345">
        <f t="shared" si="60"/>
        <v>142.38</v>
      </c>
      <c r="I205" s="36" t="s">
        <v>119</v>
      </c>
      <c r="J205" s="59">
        <v>1602.0</v>
      </c>
      <c r="K205" s="310">
        <f t="shared" si="61"/>
        <v>284.76</v>
      </c>
      <c r="L205" s="346">
        <f t="shared" si="62"/>
        <v>270.522</v>
      </c>
      <c r="M205" s="59"/>
      <c r="N205" s="310">
        <v>226.0</v>
      </c>
      <c r="O205" s="310">
        <v>0.37</v>
      </c>
      <c r="P205" s="310">
        <f t="shared" si="63"/>
        <v>83.62</v>
      </c>
      <c r="Q205" s="326"/>
      <c r="R205" s="326"/>
      <c r="S205" s="321" t="s">
        <v>983</v>
      </c>
      <c r="T205" s="6"/>
      <c r="U205" s="6"/>
      <c r="V205" s="6"/>
      <c r="W205" s="6"/>
    </row>
    <row r="206" ht="12.0" customHeight="1">
      <c r="A206" s="14"/>
      <c r="B206" s="15"/>
      <c r="C206" s="15"/>
      <c r="D206" s="39" t="s">
        <v>337</v>
      </c>
      <c r="E206" s="40" t="s">
        <v>338</v>
      </c>
      <c r="F206" s="41">
        <v>0.0</v>
      </c>
      <c r="G206" s="41"/>
      <c r="H206" s="319">
        <v>11.0</v>
      </c>
      <c r="I206" s="41" t="s">
        <v>61</v>
      </c>
      <c r="J206" s="81">
        <v>2350.0</v>
      </c>
      <c r="K206" s="320">
        <f t="shared" ref="K206:K217" si="64">H206*F206</f>
        <v>0</v>
      </c>
      <c r="L206" s="317">
        <f>H206*2.03</f>
        <v>22.33</v>
      </c>
      <c r="M206" s="14"/>
      <c r="N206" s="14"/>
      <c r="O206" s="14"/>
      <c r="P206" s="14"/>
      <c r="Q206" s="14"/>
      <c r="R206" s="14"/>
      <c r="S206" s="6"/>
      <c r="T206" s="6"/>
      <c r="U206" s="6"/>
      <c r="V206" s="6"/>
      <c r="W206" s="6"/>
    </row>
    <row r="207" ht="12.0" customHeight="1">
      <c r="A207" s="14"/>
      <c r="B207" s="15"/>
      <c r="C207" s="15"/>
      <c r="D207" s="16" t="s">
        <v>337</v>
      </c>
      <c r="E207" s="17" t="s">
        <v>339</v>
      </c>
      <c r="F207" s="9">
        <v>4.0</v>
      </c>
      <c r="G207" s="9"/>
      <c r="H207" s="305">
        <f>SUM(4.2*H189)</f>
        <v>331.8</v>
      </c>
      <c r="I207" s="9" t="s">
        <v>61</v>
      </c>
      <c r="J207" s="24">
        <v>2351.0</v>
      </c>
      <c r="K207" s="306">
        <f t="shared" si="64"/>
        <v>1327.2</v>
      </c>
      <c r="L207" s="301">
        <f>H207*2.08</f>
        <v>690.144</v>
      </c>
      <c r="M207" s="9"/>
      <c r="N207" s="9"/>
      <c r="O207" s="9"/>
      <c r="P207" s="9"/>
      <c r="Q207" s="9"/>
      <c r="R207" s="9"/>
      <c r="S207" s="6"/>
      <c r="T207" s="6"/>
      <c r="U207" s="6"/>
      <c r="V207" s="6"/>
      <c r="W207" s="6"/>
    </row>
    <row r="208" ht="12.0" customHeight="1">
      <c r="A208" s="14"/>
      <c r="B208" s="15"/>
      <c r="C208" s="15"/>
      <c r="D208" s="15" t="s">
        <v>337</v>
      </c>
      <c r="E208" s="21" t="s">
        <v>235</v>
      </c>
      <c r="F208" s="14">
        <v>6.0</v>
      </c>
      <c r="G208" s="14"/>
      <c r="H208" s="307">
        <f>SUM(5.6*H189)</f>
        <v>442.4</v>
      </c>
      <c r="I208" s="14" t="s">
        <v>61</v>
      </c>
      <c r="J208" s="51">
        <v>2352.0</v>
      </c>
      <c r="K208" s="308">
        <f t="shared" si="64"/>
        <v>2654.4</v>
      </c>
      <c r="L208" s="301">
        <f>H208*2.03</f>
        <v>898.072</v>
      </c>
      <c r="M208" s="14"/>
      <c r="N208" s="14"/>
      <c r="O208" s="14"/>
      <c r="P208" s="14"/>
      <c r="Q208" s="14"/>
      <c r="R208" s="14"/>
      <c r="S208" s="6"/>
      <c r="T208" s="6"/>
      <c r="U208" s="6"/>
      <c r="V208" s="6"/>
      <c r="W208" s="6"/>
    </row>
    <row r="209" ht="12.0" customHeight="1">
      <c r="A209" s="14"/>
      <c r="B209" s="15"/>
      <c r="C209" s="15"/>
      <c r="D209" s="15" t="s">
        <v>340</v>
      </c>
      <c r="E209" s="21" t="s">
        <v>341</v>
      </c>
      <c r="F209" s="14">
        <v>2.0</v>
      </c>
      <c r="G209" s="14"/>
      <c r="H209" s="365">
        <f t="shared" ref="H209:H210" si="65">SUM(M209+O209)</f>
        <v>647.35</v>
      </c>
      <c r="I209" s="14" t="s">
        <v>17</v>
      </c>
      <c r="J209" s="51">
        <v>15108.0</v>
      </c>
      <c r="K209" s="308">
        <f t="shared" si="64"/>
        <v>1294.7</v>
      </c>
      <c r="L209" s="301">
        <f t="shared" ref="L209:L211" si="66">H209*1.7</f>
        <v>1100.495</v>
      </c>
      <c r="M209" s="312">
        <v>535.0</v>
      </c>
      <c r="N209" s="313">
        <v>0.21</v>
      </c>
      <c r="O209" s="312">
        <f t="shared" ref="O209:O211" si="67">SUM(M209*N209)</f>
        <v>112.35</v>
      </c>
      <c r="P209" s="14"/>
      <c r="Q209" s="14"/>
      <c r="R209" s="14"/>
      <c r="S209" s="6"/>
      <c r="T209" s="6"/>
      <c r="U209" s="6"/>
      <c r="V209" s="6"/>
      <c r="W209" s="6"/>
    </row>
    <row r="210" ht="12.0" customHeight="1">
      <c r="A210" s="14"/>
      <c r="B210" s="15"/>
      <c r="C210" s="15"/>
      <c r="D210" s="15" t="s">
        <v>342</v>
      </c>
      <c r="E210" s="21"/>
      <c r="F210" s="14">
        <v>16.0</v>
      </c>
      <c r="G210" s="14"/>
      <c r="H210" s="384">
        <f t="shared" si="65"/>
        <v>175.45</v>
      </c>
      <c r="I210" s="14" t="s">
        <v>17</v>
      </c>
      <c r="J210" s="51">
        <v>6521.0</v>
      </c>
      <c r="K210" s="308">
        <f t="shared" si="64"/>
        <v>2807.2</v>
      </c>
      <c r="L210" s="301">
        <f t="shared" si="66"/>
        <v>298.265</v>
      </c>
      <c r="M210" s="312">
        <f>SUM(P210/4)</f>
        <v>145</v>
      </c>
      <c r="N210" s="313">
        <v>0.21</v>
      </c>
      <c r="O210" s="312">
        <f t="shared" si="67"/>
        <v>30.45</v>
      </c>
      <c r="P210" s="368">
        <v>580.0</v>
      </c>
      <c r="Q210" s="14"/>
      <c r="R210" s="14"/>
      <c r="S210" s="6"/>
      <c r="T210" s="6"/>
      <c r="U210" s="6"/>
      <c r="V210" s="6"/>
      <c r="W210" s="6"/>
    </row>
    <row r="211" ht="12.0" customHeight="1">
      <c r="A211" s="14"/>
      <c r="B211" s="15"/>
      <c r="C211" s="15"/>
      <c r="D211" s="16" t="s">
        <v>343</v>
      </c>
      <c r="E211" s="17"/>
      <c r="F211" s="9">
        <v>13.0</v>
      </c>
      <c r="G211" s="9"/>
      <c r="H211" s="305">
        <f>SUM(H210*1)</f>
        <v>175.45</v>
      </c>
      <c r="I211" s="9" t="s">
        <v>17</v>
      </c>
      <c r="J211" s="24">
        <v>6522.0</v>
      </c>
      <c r="K211" s="326">
        <f t="shared" si="64"/>
        <v>2280.85</v>
      </c>
      <c r="L211" s="301">
        <f t="shared" si="66"/>
        <v>298.265</v>
      </c>
      <c r="M211" s="310">
        <v>130.0</v>
      </c>
      <c r="N211" s="311">
        <v>0.21</v>
      </c>
      <c r="O211" s="310">
        <f t="shared" si="67"/>
        <v>27.3</v>
      </c>
      <c r="P211" s="9"/>
      <c r="Q211" s="9"/>
      <c r="R211" s="9"/>
      <c r="S211" s="6"/>
      <c r="T211" s="6"/>
      <c r="U211" s="6"/>
      <c r="V211" s="6"/>
      <c r="W211" s="6"/>
    </row>
    <row r="212" ht="12.0" customHeight="1">
      <c r="A212" s="14"/>
      <c r="B212" s="15"/>
      <c r="C212" s="15"/>
      <c r="D212" s="39" t="s">
        <v>344</v>
      </c>
      <c r="E212" s="40"/>
      <c r="F212" s="41">
        <v>0.0</v>
      </c>
      <c r="G212" s="41"/>
      <c r="H212" s="319">
        <v>65.0</v>
      </c>
      <c r="I212" s="41" t="s">
        <v>17</v>
      </c>
      <c r="J212" s="81">
        <v>6063.0</v>
      </c>
      <c r="K212" s="320">
        <f t="shared" si="64"/>
        <v>0</v>
      </c>
      <c r="L212" s="317">
        <f>H212*1.75</f>
        <v>113.75</v>
      </c>
      <c r="M212" s="14"/>
      <c r="N212" s="14"/>
      <c r="O212" s="14"/>
      <c r="P212" s="14"/>
      <c r="Q212" s="14"/>
      <c r="R212" s="14"/>
      <c r="S212" s="6"/>
      <c r="T212" s="6"/>
      <c r="U212" s="6"/>
      <c r="V212" s="6"/>
      <c r="W212" s="6"/>
    </row>
    <row r="213" ht="12.0" customHeight="1">
      <c r="A213" s="52"/>
      <c r="B213" s="15"/>
      <c r="C213" s="15"/>
      <c r="D213" s="16" t="s">
        <v>345</v>
      </c>
      <c r="E213" s="17"/>
      <c r="F213" s="9">
        <v>4.0</v>
      </c>
      <c r="G213" s="9" t="s">
        <v>231</v>
      </c>
      <c r="H213" s="345">
        <f>SUM(M213+O213)</f>
        <v>459.8</v>
      </c>
      <c r="I213" s="9" t="s">
        <v>17</v>
      </c>
      <c r="J213" s="24">
        <v>15096.0</v>
      </c>
      <c r="K213" s="306">
        <f t="shared" si="64"/>
        <v>1839.2</v>
      </c>
      <c r="L213" s="301">
        <f>H213*1.65</f>
        <v>758.67</v>
      </c>
      <c r="M213" s="310">
        <v>380.0</v>
      </c>
      <c r="N213" s="311">
        <v>0.21</v>
      </c>
      <c r="O213" s="310">
        <f>SUM(M213*N213)</f>
        <v>79.8</v>
      </c>
      <c r="P213" s="326"/>
      <c r="Q213" s="9"/>
      <c r="R213" s="9"/>
      <c r="S213" s="6"/>
      <c r="T213" s="6"/>
      <c r="U213" s="6"/>
      <c r="V213" s="6"/>
      <c r="W213" s="6"/>
    </row>
    <row r="214" ht="12.0" customHeight="1">
      <c r="A214" s="14"/>
      <c r="B214" s="15"/>
      <c r="C214" s="15"/>
      <c r="D214" s="39" t="s">
        <v>346</v>
      </c>
      <c r="E214" s="40"/>
      <c r="F214" s="41">
        <v>0.0</v>
      </c>
      <c r="G214" s="41"/>
      <c r="H214" s="319">
        <v>156.0</v>
      </c>
      <c r="I214" s="41" t="s">
        <v>61</v>
      </c>
      <c r="J214" s="81">
        <v>5463.0</v>
      </c>
      <c r="K214" s="320">
        <f t="shared" si="64"/>
        <v>0</v>
      </c>
      <c r="L214" s="317">
        <f>H214*1.66</f>
        <v>258.96</v>
      </c>
      <c r="M214" s="14"/>
      <c r="N214" s="14"/>
      <c r="O214" s="14"/>
      <c r="P214" s="14"/>
      <c r="Q214" s="14"/>
      <c r="R214" s="14"/>
      <c r="S214" s="6"/>
      <c r="T214" s="6"/>
      <c r="U214" s="6"/>
      <c r="V214" s="6"/>
      <c r="W214" s="6"/>
    </row>
    <row r="215" ht="12.0" customHeight="1">
      <c r="A215" s="52"/>
      <c r="B215" s="15"/>
      <c r="C215" s="15"/>
      <c r="D215" s="31" t="s">
        <v>347</v>
      </c>
      <c r="E215" s="32"/>
      <c r="F215" s="33">
        <v>1.0</v>
      </c>
      <c r="G215" s="33"/>
      <c r="H215" s="345">
        <v>2363.0</v>
      </c>
      <c r="I215" s="33" t="s">
        <v>61</v>
      </c>
      <c r="J215" s="59">
        <v>5462.0</v>
      </c>
      <c r="K215" s="323">
        <f t="shared" si="64"/>
        <v>2363</v>
      </c>
      <c r="L215" s="346">
        <f>H215*1.4</f>
        <v>3308.2</v>
      </c>
      <c r="M215" s="9"/>
      <c r="N215" s="9"/>
      <c r="O215" s="9"/>
      <c r="P215" s="9"/>
      <c r="Q215" s="9"/>
      <c r="R215" s="9"/>
      <c r="S215" s="6"/>
      <c r="T215" s="6"/>
      <c r="U215" s="6"/>
      <c r="V215" s="6"/>
      <c r="W215" s="6"/>
    </row>
    <row r="216" ht="12.0" customHeight="1">
      <c r="A216" s="52"/>
      <c r="B216" s="15"/>
      <c r="C216" s="15"/>
      <c r="D216" s="15" t="s">
        <v>348</v>
      </c>
      <c r="E216" s="21" t="s">
        <v>349</v>
      </c>
      <c r="F216" s="14">
        <v>0.0</v>
      </c>
      <c r="G216" s="14"/>
      <c r="H216" s="344">
        <v>65.0</v>
      </c>
      <c r="I216" s="14" t="s">
        <v>293</v>
      </c>
      <c r="J216" s="51"/>
      <c r="K216" s="308">
        <f t="shared" si="64"/>
        <v>0</v>
      </c>
      <c r="L216" s="301">
        <f>H216*2</f>
        <v>130</v>
      </c>
      <c r="M216" s="14"/>
      <c r="N216" s="14"/>
      <c r="O216" s="14"/>
      <c r="P216" s="14"/>
      <c r="Q216" s="14"/>
      <c r="R216" s="14"/>
      <c r="S216" s="6"/>
      <c r="T216" s="6"/>
      <c r="U216" s="6"/>
      <c r="V216" s="6"/>
      <c r="W216" s="6"/>
    </row>
    <row r="217" ht="12.0" customHeight="1">
      <c r="A217" s="52"/>
      <c r="B217" s="15"/>
      <c r="C217" s="15"/>
      <c r="D217" s="16" t="s">
        <v>350</v>
      </c>
      <c r="E217" s="17" t="s">
        <v>351</v>
      </c>
      <c r="F217" s="9">
        <v>0.0</v>
      </c>
      <c r="G217" s="9"/>
      <c r="H217" s="341">
        <v>460.0</v>
      </c>
      <c r="I217" s="9" t="s">
        <v>293</v>
      </c>
      <c r="J217" s="24"/>
      <c r="K217" s="306">
        <f t="shared" si="64"/>
        <v>0</v>
      </c>
      <c r="L217" s="301">
        <f t="shared" ref="L217:L218" si="68">H217*1.7</f>
        <v>782</v>
      </c>
      <c r="M217" s="9"/>
      <c r="N217" s="9"/>
      <c r="O217" s="9"/>
      <c r="P217" s="9"/>
      <c r="Q217" s="9"/>
      <c r="R217" s="9"/>
      <c r="S217" s="6"/>
      <c r="T217" s="6"/>
      <c r="U217" s="6"/>
      <c r="V217" s="6"/>
      <c r="W217" s="6"/>
    </row>
    <row r="218" ht="12.0" customHeight="1">
      <c r="A218" s="14"/>
      <c r="B218" s="15"/>
      <c r="C218" s="15"/>
      <c r="D218" s="16" t="s">
        <v>352</v>
      </c>
      <c r="E218" s="17" t="s">
        <v>353</v>
      </c>
      <c r="F218" s="9">
        <v>16.0</v>
      </c>
      <c r="G218" s="9"/>
      <c r="H218" s="345">
        <f>SUM(M218+O218)</f>
        <v>205.7</v>
      </c>
      <c r="I218" s="9" t="s">
        <v>17</v>
      </c>
      <c r="J218" s="24">
        <v>3854.0</v>
      </c>
      <c r="K218" s="306">
        <f>F218*H218</f>
        <v>3291.2</v>
      </c>
      <c r="L218" s="301">
        <f t="shared" si="68"/>
        <v>349.69</v>
      </c>
      <c r="M218" s="310">
        <v>170.0</v>
      </c>
      <c r="N218" s="311">
        <v>0.21</v>
      </c>
      <c r="O218" s="310">
        <f>SUM(M218*N218)</f>
        <v>35.7</v>
      </c>
      <c r="P218" s="9"/>
      <c r="Q218" s="9"/>
      <c r="R218" s="9"/>
      <c r="S218" s="6"/>
      <c r="T218" s="6" t="s">
        <v>112</v>
      </c>
      <c r="U218" s="6"/>
      <c r="V218" s="6"/>
      <c r="W218" s="6"/>
    </row>
    <row r="219" ht="12.0" customHeight="1">
      <c r="A219" s="14"/>
      <c r="B219" s="15"/>
      <c r="C219" s="15"/>
      <c r="D219" s="15" t="s">
        <v>355</v>
      </c>
      <c r="E219" s="21"/>
      <c r="F219" s="14">
        <v>2.0</v>
      </c>
      <c r="G219" s="14"/>
      <c r="H219" s="344">
        <v>133.0</v>
      </c>
      <c r="I219" s="14" t="s">
        <v>17</v>
      </c>
      <c r="J219" s="51">
        <v>760.0</v>
      </c>
      <c r="K219" s="308">
        <f t="shared" ref="K219:K220" si="69">H219*F219</f>
        <v>266</v>
      </c>
      <c r="L219" s="301">
        <f>H219*1.9</f>
        <v>252.7</v>
      </c>
      <c r="M219" s="14"/>
      <c r="N219" s="14"/>
      <c r="O219" s="14"/>
      <c r="P219" s="14"/>
      <c r="Q219" s="14"/>
      <c r="R219" s="14"/>
      <c r="S219" s="321" t="s">
        <v>942</v>
      </c>
      <c r="T219" s="6"/>
      <c r="U219" s="6"/>
      <c r="V219" s="6"/>
      <c r="W219" s="6"/>
    </row>
    <row r="220" ht="12.0" customHeight="1">
      <c r="A220" s="14"/>
      <c r="B220" s="15"/>
      <c r="C220" s="15"/>
      <c r="D220" s="15" t="s">
        <v>356</v>
      </c>
      <c r="E220" s="21"/>
      <c r="F220" s="14">
        <v>2.0</v>
      </c>
      <c r="G220" s="14"/>
      <c r="H220" s="344">
        <v>300.0</v>
      </c>
      <c r="I220" s="14" t="s">
        <v>17</v>
      </c>
      <c r="J220" s="51">
        <v>761.0</v>
      </c>
      <c r="K220" s="308">
        <f t="shared" si="69"/>
        <v>600</v>
      </c>
      <c r="L220" s="301">
        <f>H220*1.8</f>
        <v>540</v>
      </c>
      <c r="M220" s="14"/>
      <c r="N220" s="14"/>
      <c r="O220" s="14"/>
      <c r="P220" s="14"/>
      <c r="Q220" s="14"/>
      <c r="R220" s="14"/>
      <c r="S220" s="6"/>
      <c r="T220" s="6"/>
      <c r="U220" s="6"/>
      <c r="V220" s="6"/>
      <c r="W220" s="6"/>
    </row>
    <row r="221" ht="12.0" customHeight="1">
      <c r="A221" s="14"/>
      <c r="B221" s="10" t="s">
        <v>5</v>
      </c>
      <c r="C221" s="10"/>
      <c r="D221" s="137" t="s">
        <v>357</v>
      </c>
      <c r="E221" s="11" t="s">
        <v>358</v>
      </c>
      <c r="F221" s="12"/>
      <c r="G221" s="12"/>
      <c r="H221" s="302"/>
      <c r="I221" s="12"/>
      <c r="J221" s="303"/>
      <c r="K221" s="304"/>
      <c r="L221" s="301"/>
      <c r="M221" s="12"/>
      <c r="N221" s="12"/>
      <c r="O221" s="12"/>
      <c r="P221" s="12"/>
      <c r="Q221" s="12"/>
      <c r="R221" s="12"/>
      <c r="S221" s="6"/>
      <c r="T221" s="6"/>
      <c r="U221" s="6"/>
      <c r="V221" s="6"/>
      <c r="W221" s="6"/>
    </row>
    <row r="222" ht="12.0" customHeight="1">
      <c r="A222" s="52"/>
      <c r="B222" s="15"/>
      <c r="C222" s="15"/>
      <c r="D222" s="46" t="s">
        <v>359</v>
      </c>
      <c r="E222" s="47" t="s">
        <v>360</v>
      </c>
      <c r="F222" s="50">
        <v>2.0</v>
      </c>
      <c r="G222" s="50"/>
      <c r="H222" s="365">
        <v>2700.0</v>
      </c>
      <c r="I222" s="50" t="s">
        <v>61</v>
      </c>
      <c r="J222" s="60">
        <v>2063.0</v>
      </c>
      <c r="K222" s="322">
        <f t="shared" ref="K222:K233" si="70">H222*F222</f>
        <v>5400</v>
      </c>
      <c r="L222" s="346">
        <f t="shared" ref="L222:L225" si="71">H222*1.65</f>
        <v>4455</v>
      </c>
      <c r="M222" s="312"/>
      <c r="N222" s="313"/>
      <c r="O222" s="312"/>
      <c r="P222" s="314"/>
      <c r="Q222" s="14"/>
      <c r="R222" s="14"/>
      <c r="S222" s="321" t="s">
        <v>984</v>
      </c>
      <c r="T222" s="6"/>
      <c r="U222" s="6"/>
      <c r="V222" s="6"/>
      <c r="W222" s="6"/>
    </row>
    <row r="223" ht="12.0" customHeight="1">
      <c r="A223" s="52"/>
      <c r="B223" s="15"/>
      <c r="C223" s="15"/>
      <c r="D223" s="16" t="s">
        <v>362</v>
      </c>
      <c r="E223" s="17" t="s">
        <v>363</v>
      </c>
      <c r="F223" s="33">
        <v>1.0</v>
      </c>
      <c r="G223" s="9" t="s">
        <v>361</v>
      </c>
      <c r="H223" s="345">
        <v>2528.0</v>
      </c>
      <c r="I223" s="361" t="s">
        <v>61</v>
      </c>
      <c r="J223" s="24">
        <v>2094.0</v>
      </c>
      <c r="K223" s="306">
        <f t="shared" si="70"/>
        <v>2528</v>
      </c>
      <c r="L223" s="346">
        <f t="shared" si="71"/>
        <v>4171.2</v>
      </c>
      <c r="M223" s="310"/>
      <c r="N223" s="311"/>
      <c r="O223" s="310"/>
      <c r="P223" s="326"/>
      <c r="Q223" s="9"/>
      <c r="R223" s="9"/>
      <c r="S223" s="321" t="s">
        <v>931</v>
      </c>
      <c r="T223" s="6"/>
      <c r="U223" s="6"/>
      <c r="V223" s="6"/>
      <c r="W223" s="6"/>
    </row>
    <row r="224" ht="12.0" customHeight="1">
      <c r="A224" s="52"/>
      <c r="B224" s="15"/>
      <c r="C224" s="15"/>
      <c r="D224" s="46" t="s">
        <v>359</v>
      </c>
      <c r="E224" s="47" t="s">
        <v>364</v>
      </c>
      <c r="F224" s="50">
        <v>1.0</v>
      </c>
      <c r="G224" s="50"/>
      <c r="H224" s="365">
        <v>2147.0</v>
      </c>
      <c r="I224" s="327" t="s">
        <v>61</v>
      </c>
      <c r="J224" s="60">
        <v>2097.0</v>
      </c>
      <c r="K224" s="322">
        <f t="shared" si="70"/>
        <v>2147</v>
      </c>
      <c r="L224" s="346">
        <f t="shared" si="71"/>
        <v>3542.55</v>
      </c>
      <c r="M224" s="312"/>
      <c r="N224" s="313"/>
      <c r="O224" s="312"/>
      <c r="P224" s="314"/>
      <c r="Q224" s="14"/>
      <c r="R224" s="14"/>
      <c r="S224" s="321" t="s">
        <v>931</v>
      </c>
      <c r="T224" s="6"/>
      <c r="U224" s="6"/>
      <c r="V224" s="6"/>
      <c r="W224" s="6"/>
    </row>
    <row r="225" ht="12.0" customHeight="1">
      <c r="A225" s="52"/>
      <c r="B225" s="15"/>
      <c r="C225" s="15"/>
      <c r="D225" s="39" t="s">
        <v>365</v>
      </c>
      <c r="E225" s="40"/>
      <c r="F225" s="41">
        <v>0.0</v>
      </c>
      <c r="G225" s="41" t="s">
        <v>231</v>
      </c>
      <c r="H225" s="319">
        <f t="shared" ref="H225:H227" si="72">SUM(M225+O225)</f>
        <v>776.82</v>
      </c>
      <c r="I225" s="41" t="s">
        <v>17</v>
      </c>
      <c r="J225" s="81">
        <v>1263.0</v>
      </c>
      <c r="K225" s="320">
        <f t="shared" si="70"/>
        <v>0</v>
      </c>
      <c r="L225" s="317">
        <f t="shared" si="71"/>
        <v>1281.753</v>
      </c>
      <c r="M225" s="342">
        <v>642.0</v>
      </c>
      <c r="N225" s="343">
        <v>0.21</v>
      </c>
      <c r="O225" s="342">
        <f t="shared" ref="O225:O227" si="73">SUM(M225*N225)</f>
        <v>134.82</v>
      </c>
      <c r="P225" s="314"/>
      <c r="Q225" s="14"/>
      <c r="R225" s="14"/>
      <c r="S225" s="321"/>
      <c r="T225" s="6"/>
      <c r="U225" s="6"/>
      <c r="V225" s="6"/>
      <c r="W225" s="6"/>
    </row>
    <row r="226" ht="12.0" customHeight="1">
      <c r="A226" s="52"/>
      <c r="B226" s="15"/>
      <c r="C226" s="15"/>
      <c r="D226" s="15" t="s">
        <v>366</v>
      </c>
      <c r="E226" s="21" t="s">
        <v>367</v>
      </c>
      <c r="F226" s="14">
        <v>2.0</v>
      </c>
      <c r="G226" s="14" t="s">
        <v>361</v>
      </c>
      <c r="H226" s="384">
        <f t="shared" si="72"/>
        <v>1102.31</v>
      </c>
      <c r="I226" s="14" t="s">
        <v>17</v>
      </c>
      <c r="J226" s="51">
        <v>1260.0</v>
      </c>
      <c r="K226" s="308">
        <f t="shared" si="70"/>
        <v>2204.62</v>
      </c>
      <c r="L226" s="346">
        <f t="shared" ref="L226:L227" si="74">H226*1.7</f>
        <v>1873.927</v>
      </c>
      <c r="M226" s="385">
        <v>911.0</v>
      </c>
      <c r="N226" s="313">
        <v>0.21</v>
      </c>
      <c r="O226" s="312">
        <f t="shared" si="73"/>
        <v>191.31</v>
      </c>
      <c r="P226" s="314"/>
      <c r="Q226" s="14"/>
      <c r="R226" s="14"/>
      <c r="S226" s="321"/>
      <c r="T226" s="6"/>
      <c r="U226" s="6"/>
      <c r="V226" s="6"/>
      <c r="W226" s="6"/>
    </row>
    <row r="227" ht="12.0" customHeight="1">
      <c r="A227" s="52"/>
      <c r="B227" s="15"/>
      <c r="C227" s="15"/>
      <c r="D227" s="15" t="s">
        <v>368</v>
      </c>
      <c r="E227" s="21" t="s">
        <v>369</v>
      </c>
      <c r="F227" s="14">
        <v>1.0</v>
      </c>
      <c r="G227" s="14" t="s">
        <v>361</v>
      </c>
      <c r="H227" s="307">
        <f t="shared" si="72"/>
        <v>1102.31</v>
      </c>
      <c r="I227" s="14" t="s">
        <v>17</v>
      </c>
      <c r="J227" s="51">
        <v>1207.0</v>
      </c>
      <c r="K227" s="308">
        <f t="shared" si="70"/>
        <v>1102.31</v>
      </c>
      <c r="L227" s="346">
        <f t="shared" si="74"/>
        <v>1873.927</v>
      </c>
      <c r="M227" s="386">
        <f>SUM(M226*1)</f>
        <v>911</v>
      </c>
      <c r="N227" s="313">
        <v>0.21</v>
      </c>
      <c r="O227" s="312">
        <f t="shared" si="73"/>
        <v>191.31</v>
      </c>
      <c r="P227" s="314"/>
      <c r="Q227" s="14"/>
      <c r="R227" s="14"/>
      <c r="S227" s="321"/>
      <c r="T227" s="6"/>
      <c r="U227" s="6"/>
      <c r="V227" s="6"/>
      <c r="W227" s="6"/>
    </row>
    <row r="228" ht="12.0" customHeight="1">
      <c r="A228" s="52"/>
      <c r="B228" s="15"/>
      <c r="C228" s="15"/>
      <c r="D228" s="31" t="s">
        <v>370</v>
      </c>
      <c r="E228" s="17" t="s">
        <v>371</v>
      </c>
      <c r="F228" s="33">
        <v>1.0</v>
      </c>
      <c r="G228" s="33" t="s">
        <v>372</v>
      </c>
      <c r="H228" s="345">
        <v>1210.0</v>
      </c>
      <c r="I228" s="330" t="s">
        <v>61</v>
      </c>
      <c r="J228" s="59">
        <v>3107.0</v>
      </c>
      <c r="K228" s="323">
        <f t="shared" si="70"/>
        <v>1210</v>
      </c>
      <c r="L228" s="346">
        <f>H228*1.6</f>
        <v>1936</v>
      </c>
      <c r="M228" s="310"/>
      <c r="N228" s="311"/>
      <c r="O228" s="310"/>
      <c r="P228" s="326"/>
      <c r="Q228" s="9"/>
      <c r="R228" s="9"/>
      <c r="S228" s="6"/>
      <c r="T228" s="6"/>
      <c r="U228" s="6"/>
      <c r="V228" s="6"/>
      <c r="W228" s="6"/>
    </row>
    <row r="229" ht="12.0" customHeight="1">
      <c r="A229" s="52"/>
      <c r="B229" s="15"/>
      <c r="C229" s="15"/>
      <c r="D229" s="39" t="s">
        <v>373</v>
      </c>
      <c r="E229" s="40" t="s">
        <v>374</v>
      </c>
      <c r="F229" s="41">
        <v>0.0</v>
      </c>
      <c r="G229" s="41" t="s">
        <v>361</v>
      </c>
      <c r="H229" s="319">
        <f t="shared" ref="H229:H231" si="75">SUM(M229+O229)</f>
        <v>448.91</v>
      </c>
      <c r="I229" s="41" t="s">
        <v>17</v>
      </c>
      <c r="J229" s="81">
        <v>1282.0</v>
      </c>
      <c r="K229" s="320">
        <f t="shared" si="70"/>
        <v>0</v>
      </c>
      <c r="L229" s="317">
        <f t="shared" ref="L229:L231" si="76">H229*1.65</f>
        <v>740.7015</v>
      </c>
      <c r="M229" s="312">
        <v>371.0</v>
      </c>
      <c r="N229" s="313">
        <v>0.21</v>
      </c>
      <c r="O229" s="312">
        <f t="shared" ref="O229:O231" si="77">SUM(M229*N229)</f>
        <v>77.91</v>
      </c>
      <c r="P229" s="314"/>
      <c r="Q229" s="14"/>
      <c r="R229" s="14"/>
      <c r="S229" s="6"/>
      <c r="T229" s="6"/>
      <c r="U229" s="6"/>
      <c r="V229" s="6"/>
      <c r="W229" s="6"/>
    </row>
    <row r="230" ht="12.0" customHeight="1">
      <c r="A230" s="52"/>
      <c r="B230" s="15"/>
      <c r="C230" s="15"/>
      <c r="D230" s="15" t="s">
        <v>375</v>
      </c>
      <c r="E230" s="21"/>
      <c r="F230" s="14">
        <v>7.0</v>
      </c>
      <c r="G230" s="14"/>
      <c r="H230" s="365">
        <f t="shared" si="75"/>
        <v>486.42</v>
      </c>
      <c r="I230" s="14" t="s">
        <v>17</v>
      </c>
      <c r="J230" s="50">
        <v>2021.0</v>
      </c>
      <c r="K230" s="308">
        <f t="shared" si="70"/>
        <v>3404.94</v>
      </c>
      <c r="L230" s="346">
        <f t="shared" si="76"/>
        <v>802.593</v>
      </c>
      <c r="M230" s="312">
        <v>402.0</v>
      </c>
      <c r="N230" s="313">
        <v>0.21</v>
      </c>
      <c r="O230" s="312">
        <f t="shared" si="77"/>
        <v>84.42</v>
      </c>
      <c r="P230" s="314"/>
      <c r="Q230" s="14"/>
      <c r="R230" s="14"/>
      <c r="S230" s="321" t="s">
        <v>985</v>
      </c>
      <c r="T230" s="6"/>
      <c r="U230" s="6"/>
      <c r="V230" s="6"/>
      <c r="W230" s="6"/>
    </row>
    <row r="231" ht="12.0" customHeight="1">
      <c r="A231" s="52"/>
      <c r="B231" s="15"/>
      <c r="C231" s="15"/>
      <c r="D231" s="16" t="s">
        <v>376</v>
      </c>
      <c r="E231" s="17" t="s">
        <v>377</v>
      </c>
      <c r="F231" s="9">
        <v>3.0</v>
      </c>
      <c r="G231" s="9"/>
      <c r="H231" s="345">
        <f t="shared" si="75"/>
        <v>1036.97</v>
      </c>
      <c r="I231" s="9" t="s">
        <v>17</v>
      </c>
      <c r="J231" s="24">
        <v>2024.0</v>
      </c>
      <c r="K231" s="306">
        <f t="shared" si="70"/>
        <v>3110.91</v>
      </c>
      <c r="L231" s="301">
        <f t="shared" si="76"/>
        <v>1711.0005</v>
      </c>
      <c r="M231" s="310">
        <v>857.0</v>
      </c>
      <c r="N231" s="311">
        <v>0.21</v>
      </c>
      <c r="O231" s="310">
        <f t="shared" si="77"/>
        <v>179.97</v>
      </c>
      <c r="P231" s="9"/>
      <c r="Q231" s="9"/>
      <c r="R231" s="9"/>
      <c r="S231" s="321" t="s">
        <v>931</v>
      </c>
      <c r="T231" s="6"/>
      <c r="U231" s="6"/>
      <c r="V231" s="6"/>
      <c r="W231" s="6"/>
    </row>
    <row r="232" ht="12.0" customHeight="1">
      <c r="A232" s="14"/>
      <c r="B232" s="15"/>
      <c r="C232" s="15"/>
      <c r="D232" s="15" t="s">
        <v>378</v>
      </c>
      <c r="E232" s="21" t="s">
        <v>72</v>
      </c>
      <c r="F232" s="50">
        <v>4.0</v>
      </c>
      <c r="G232" s="14"/>
      <c r="H232" s="344">
        <v>637.0</v>
      </c>
      <c r="I232" s="14" t="s">
        <v>61</v>
      </c>
      <c r="J232" s="51">
        <v>2242.0</v>
      </c>
      <c r="K232" s="308">
        <f t="shared" si="70"/>
        <v>2548</v>
      </c>
      <c r="L232" s="301">
        <f t="shared" ref="L232:L234" si="78">H232*1.7</f>
        <v>1082.9</v>
      </c>
      <c r="M232" s="14"/>
      <c r="N232" s="14"/>
      <c r="O232" s="14"/>
      <c r="P232" s="14"/>
      <c r="Q232" s="14"/>
      <c r="R232" s="14"/>
      <c r="S232" s="6"/>
      <c r="T232" s="6"/>
      <c r="U232" s="6"/>
      <c r="V232" s="6"/>
      <c r="W232" s="6"/>
    </row>
    <row r="233" ht="12.0" customHeight="1">
      <c r="A233" s="52"/>
      <c r="B233" s="15"/>
      <c r="C233" s="15"/>
      <c r="D233" s="16" t="s">
        <v>378</v>
      </c>
      <c r="E233" s="17" t="s">
        <v>379</v>
      </c>
      <c r="F233" s="9">
        <v>6.0</v>
      </c>
      <c r="G233" s="9"/>
      <c r="H233" s="341">
        <v>1033.0</v>
      </c>
      <c r="I233" s="9" t="s">
        <v>61</v>
      </c>
      <c r="J233" s="24">
        <v>2244.0</v>
      </c>
      <c r="K233" s="306">
        <f t="shared" si="70"/>
        <v>6198</v>
      </c>
      <c r="L233" s="301">
        <f t="shared" si="78"/>
        <v>1756.1</v>
      </c>
      <c r="M233" s="9"/>
      <c r="N233" s="9"/>
      <c r="O233" s="9"/>
      <c r="P233" s="9"/>
      <c r="Q233" s="9"/>
      <c r="R233" s="9"/>
      <c r="S233" s="6"/>
      <c r="T233" s="6"/>
      <c r="U233" s="6"/>
      <c r="V233" s="6"/>
      <c r="W233" s="6"/>
    </row>
    <row r="234" ht="12.0" customHeight="1">
      <c r="A234" s="52"/>
      <c r="B234" s="15"/>
      <c r="C234" s="15"/>
      <c r="D234" s="16" t="s">
        <v>380</v>
      </c>
      <c r="E234" s="17" t="s">
        <v>72</v>
      </c>
      <c r="F234" s="9">
        <v>2.0</v>
      </c>
      <c r="G234" s="9"/>
      <c r="H234" s="341">
        <v>475.0</v>
      </c>
      <c r="I234" s="9" t="s">
        <v>61</v>
      </c>
      <c r="J234" s="24">
        <v>2247.0</v>
      </c>
      <c r="K234" s="306"/>
      <c r="L234" s="301">
        <f t="shared" si="78"/>
        <v>807.5</v>
      </c>
      <c r="M234" s="9"/>
      <c r="N234" s="9"/>
      <c r="O234" s="9"/>
      <c r="P234" s="9"/>
      <c r="Q234" s="9"/>
      <c r="R234" s="9"/>
      <c r="S234" s="6"/>
      <c r="T234" s="6"/>
      <c r="U234" s="6"/>
      <c r="V234" s="6"/>
      <c r="W234" s="6"/>
    </row>
    <row r="235" ht="12.0" customHeight="1">
      <c r="A235" s="14"/>
      <c r="B235" s="15"/>
      <c r="C235" s="15"/>
      <c r="D235" s="39" t="s">
        <v>381</v>
      </c>
      <c r="E235" s="40"/>
      <c r="F235" s="41">
        <v>2.0</v>
      </c>
      <c r="G235" s="41" t="s">
        <v>382</v>
      </c>
      <c r="H235" s="319">
        <v>30.0</v>
      </c>
      <c r="I235" s="41" t="s">
        <v>293</v>
      </c>
      <c r="J235" s="81"/>
      <c r="K235" s="320">
        <f t="shared" ref="K235:K237" si="79">(F235*H235)</f>
        <v>60</v>
      </c>
      <c r="L235" s="317">
        <f>H235*1.91</f>
        <v>57.3</v>
      </c>
      <c r="M235" s="14"/>
      <c r="N235" s="14"/>
      <c r="O235" s="14"/>
      <c r="P235" s="14"/>
      <c r="Q235" s="14"/>
      <c r="R235" s="14"/>
      <c r="S235" s="6"/>
      <c r="T235" s="6"/>
      <c r="U235" s="6"/>
      <c r="V235" s="6"/>
      <c r="W235" s="6"/>
    </row>
    <row r="236" ht="12.0" customHeight="1">
      <c r="A236" s="14"/>
      <c r="B236" s="15"/>
      <c r="C236" s="15"/>
      <c r="D236" s="25" t="s">
        <v>383</v>
      </c>
      <c r="E236" s="26">
        <v>45.0</v>
      </c>
      <c r="F236" s="27">
        <v>3.0</v>
      </c>
      <c r="G236" s="27"/>
      <c r="H236" s="315">
        <v>13.6</v>
      </c>
      <c r="I236" s="27"/>
      <c r="J236" s="103"/>
      <c r="K236" s="316">
        <f t="shared" si="79"/>
        <v>40.8</v>
      </c>
      <c r="L236" s="317">
        <f>H236*2.08</f>
        <v>28.288</v>
      </c>
      <c r="M236" s="9"/>
      <c r="N236" s="9"/>
      <c r="O236" s="9"/>
      <c r="P236" s="9"/>
      <c r="Q236" s="9"/>
      <c r="R236" s="9"/>
      <c r="S236" s="6"/>
      <c r="T236" s="6"/>
      <c r="U236" s="6"/>
      <c r="V236" s="6"/>
      <c r="W236" s="6"/>
    </row>
    <row r="237" ht="12.0" customHeight="1">
      <c r="A237" s="14"/>
      <c r="B237" s="15"/>
      <c r="C237" s="15"/>
      <c r="D237" s="39" t="s">
        <v>384</v>
      </c>
      <c r="E237" s="40">
        <v>60.0</v>
      </c>
      <c r="F237" s="41">
        <v>1.0</v>
      </c>
      <c r="G237" s="41"/>
      <c r="H237" s="319">
        <v>18.0</v>
      </c>
      <c r="I237" s="41"/>
      <c r="J237" s="81"/>
      <c r="K237" s="320">
        <f t="shared" si="79"/>
        <v>18</v>
      </c>
      <c r="L237" s="317">
        <f>H237*2</f>
        <v>36</v>
      </c>
      <c r="M237" s="14"/>
      <c r="N237" s="14"/>
      <c r="O237" s="14"/>
      <c r="P237" s="14"/>
      <c r="Q237" s="14"/>
      <c r="R237" s="14"/>
      <c r="S237" s="6"/>
      <c r="T237" s="6"/>
      <c r="U237" s="6"/>
      <c r="V237" s="6"/>
      <c r="W237" s="6"/>
    </row>
    <row r="238" ht="12.0" customHeight="1">
      <c r="A238" s="14"/>
      <c r="B238" s="15"/>
      <c r="C238" s="15"/>
      <c r="D238" s="16" t="s">
        <v>385</v>
      </c>
      <c r="E238" s="17" t="s">
        <v>386</v>
      </c>
      <c r="F238" s="9">
        <v>18.0</v>
      </c>
      <c r="G238" s="9" t="s">
        <v>389</v>
      </c>
      <c r="H238" s="387">
        <f>SUM(M238+O238)</f>
        <v>118.58</v>
      </c>
      <c r="I238" s="9" t="s">
        <v>17</v>
      </c>
      <c r="J238" s="24">
        <v>4200.0</v>
      </c>
      <c r="K238" s="306">
        <f t="shared" ref="K238:K242" si="80">H238*F238</f>
        <v>2134.44</v>
      </c>
      <c r="L238" s="301">
        <f t="shared" ref="L238:L239" si="81">H238*1.8</f>
        <v>213.444</v>
      </c>
      <c r="M238" s="107">
        <v>98.0</v>
      </c>
      <c r="N238" s="311">
        <v>0.21</v>
      </c>
      <c r="O238" s="310">
        <f>SUM(M238*N238)</f>
        <v>20.58</v>
      </c>
      <c r="P238" s="326"/>
      <c r="Q238" s="9"/>
      <c r="R238" s="9"/>
      <c r="S238" s="6"/>
      <c r="T238" s="6"/>
      <c r="U238" s="6"/>
      <c r="V238" s="6"/>
      <c r="W238" s="6"/>
    </row>
    <row r="239" ht="12.0" customHeight="1">
      <c r="A239" s="14"/>
      <c r="B239" s="15"/>
      <c r="C239" s="15"/>
      <c r="D239" s="15" t="s">
        <v>385</v>
      </c>
      <c r="E239" s="21" t="s">
        <v>235</v>
      </c>
      <c r="F239" s="14">
        <v>12.0</v>
      </c>
      <c r="G239" s="14" t="s">
        <v>389</v>
      </c>
      <c r="H239" s="307">
        <f>SUM(1.36*H238)</f>
        <v>161.2688</v>
      </c>
      <c r="I239" s="14" t="s">
        <v>17</v>
      </c>
      <c r="J239" s="51">
        <v>4202.0</v>
      </c>
      <c r="K239" s="308">
        <f t="shared" si="80"/>
        <v>1935.2256</v>
      </c>
      <c r="L239" s="301">
        <f t="shared" si="81"/>
        <v>290.28384</v>
      </c>
      <c r="M239" s="312"/>
      <c r="N239" s="313"/>
      <c r="O239" s="312"/>
      <c r="P239" s="314"/>
      <c r="Q239" s="14"/>
      <c r="R239" s="14"/>
      <c r="S239" s="6"/>
      <c r="T239" s="6"/>
      <c r="U239" s="6"/>
      <c r="V239" s="6"/>
      <c r="W239" s="6"/>
    </row>
    <row r="240" ht="12.0" customHeight="1">
      <c r="A240" s="14"/>
      <c r="B240" s="15"/>
      <c r="C240" s="15"/>
      <c r="D240" s="25" t="s">
        <v>387</v>
      </c>
      <c r="E240" s="26" t="s">
        <v>386</v>
      </c>
      <c r="F240" s="27">
        <v>0.0</v>
      </c>
      <c r="G240" s="27"/>
      <c r="H240" s="315">
        <v>7.8</v>
      </c>
      <c r="I240" s="27" t="s">
        <v>61</v>
      </c>
      <c r="J240" s="103">
        <v>2401.0</v>
      </c>
      <c r="K240" s="316">
        <f t="shared" si="80"/>
        <v>0</v>
      </c>
      <c r="L240" s="317">
        <f>H240*2.1</f>
        <v>16.38</v>
      </c>
      <c r="M240" s="9"/>
      <c r="N240" s="9"/>
      <c r="O240" s="9"/>
      <c r="P240" s="9"/>
      <c r="Q240" s="9"/>
      <c r="R240" s="9"/>
      <c r="S240" s="6"/>
      <c r="T240" s="6"/>
      <c r="U240" s="6"/>
      <c r="V240" s="6"/>
      <c r="W240" s="6"/>
    </row>
    <row r="241" ht="12.0" customHeight="1">
      <c r="A241" s="14"/>
      <c r="B241" s="15"/>
      <c r="C241" s="15"/>
      <c r="D241" s="15" t="s">
        <v>387</v>
      </c>
      <c r="E241" s="21" t="s">
        <v>339</v>
      </c>
      <c r="F241" s="14">
        <v>14.0</v>
      </c>
      <c r="G241" s="14"/>
      <c r="H241" s="307">
        <f>SUM(1.1*H238)</f>
        <v>130.438</v>
      </c>
      <c r="I241" s="14" t="s">
        <v>17</v>
      </c>
      <c r="J241" s="51">
        <v>4191.0</v>
      </c>
      <c r="K241" s="308">
        <f t="shared" si="80"/>
        <v>1826.132</v>
      </c>
      <c r="L241" s="301">
        <f>H241*1.8</f>
        <v>234.7884</v>
      </c>
      <c r="M241" s="312"/>
      <c r="N241" s="313"/>
      <c r="O241" s="312"/>
      <c r="P241" s="314"/>
      <c r="Q241" s="14"/>
      <c r="R241" s="14"/>
      <c r="S241" s="6"/>
      <c r="T241" s="6"/>
      <c r="U241" s="6"/>
      <c r="V241" s="6"/>
      <c r="W241" s="6"/>
    </row>
    <row r="242" ht="12.0" customHeight="1">
      <c r="A242" s="14"/>
      <c r="B242" s="15"/>
      <c r="C242" s="134"/>
      <c r="D242" s="31" t="s">
        <v>387</v>
      </c>
      <c r="E242" s="32" t="s">
        <v>388</v>
      </c>
      <c r="F242" s="33">
        <v>12.0</v>
      </c>
      <c r="G242" s="33" t="s">
        <v>389</v>
      </c>
      <c r="H242" s="305">
        <f>SUM(1.8*H238)</f>
        <v>213.444</v>
      </c>
      <c r="I242" s="33" t="s">
        <v>17</v>
      </c>
      <c r="J242" s="59">
        <v>4194.0</v>
      </c>
      <c r="K242" s="323">
        <f t="shared" si="80"/>
        <v>2561.328</v>
      </c>
      <c r="L242" s="301">
        <f t="shared" ref="L242:L244" si="82">H242*1.7</f>
        <v>362.8548</v>
      </c>
      <c r="M242" s="310"/>
      <c r="N242" s="311"/>
      <c r="O242" s="310"/>
      <c r="P242" s="326"/>
      <c r="Q242" s="9"/>
      <c r="R242" s="9"/>
      <c r="S242" s="6"/>
      <c r="T242" s="6"/>
      <c r="U242" s="6"/>
      <c r="V242" s="6"/>
      <c r="W242" s="6"/>
    </row>
    <row r="243" ht="12.0" customHeight="1">
      <c r="A243" s="14"/>
      <c r="B243" s="15"/>
      <c r="C243" s="15"/>
      <c r="D243" s="46" t="s">
        <v>986</v>
      </c>
      <c r="E243" s="47"/>
      <c r="F243" s="50">
        <v>9.0</v>
      </c>
      <c r="G243" s="14"/>
      <c r="H243" s="377">
        <v>296.0</v>
      </c>
      <c r="I243" s="14" t="s">
        <v>61</v>
      </c>
      <c r="J243" s="60">
        <v>2418.0</v>
      </c>
      <c r="K243" s="322">
        <f t="shared" ref="K243:K244" si="83">F243*H243</f>
        <v>2664</v>
      </c>
      <c r="L243" s="301">
        <f t="shared" si="82"/>
        <v>503.2</v>
      </c>
      <c r="M243" s="14"/>
      <c r="N243" s="14"/>
      <c r="O243" s="14"/>
      <c r="P243" s="14"/>
      <c r="Q243" s="14"/>
      <c r="R243" s="14"/>
      <c r="S243" s="6"/>
      <c r="T243" s="6"/>
      <c r="U243" s="6"/>
      <c r="V243" s="6"/>
      <c r="W243" s="6"/>
    </row>
    <row r="244" ht="12.0" customHeight="1">
      <c r="A244" s="14"/>
      <c r="B244" s="15"/>
      <c r="C244" s="15"/>
      <c r="D244" s="31" t="s">
        <v>390</v>
      </c>
      <c r="E244" s="73"/>
      <c r="F244" s="143">
        <v>6.0</v>
      </c>
      <c r="G244" s="369"/>
      <c r="H244" s="388">
        <f>SUM(1.38*H243)</f>
        <v>408.48</v>
      </c>
      <c r="I244" s="6" t="s">
        <v>61</v>
      </c>
      <c r="J244" s="142">
        <v>2420.0</v>
      </c>
      <c r="K244" s="323">
        <f t="shared" si="83"/>
        <v>2450.88</v>
      </c>
      <c r="L244" s="301">
        <f t="shared" si="82"/>
        <v>694.416</v>
      </c>
      <c r="M244" s="9"/>
      <c r="N244" s="9"/>
      <c r="O244" s="9"/>
      <c r="P244" s="9"/>
      <c r="Q244" s="9"/>
      <c r="R244" s="9"/>
      <c r="S244" s="6"/>
      <c r="T244" s="6"/>
      <c r="U244" s="6"/>
      <c r="V244" s="6"/>
      <c r="W244" s="6"/>
    </row>
    <row r="245" ht="12.0" customHeight="1">
      <c r="A245" s="14"/>
      <c r="B245" s="15"/>
      <c r="C245" s="134"/>
      <c r="D245" s="75" t="s">
        <v>391</v>
      </c>
      <c r="E245" s="145"/>
      <c r="F245" s="146">
        <v>0.0</v>
      </c>
      <c r="G245" s="146"/>
      <c r="H245" s="389"/>
      <c r="I245" s="77" t="s">
        <v>61</v>
      </c>
      <c r="J245" s="145">
        <v>2372.0</v>
      </c>
      <c r="K245" s="390"/>
      <c r="L245" s="317"/>
      <c r="M245" s="14"/>
      <c r="N245" s="14"/>
      <c r="O245" s="14"/>
      <c r="P245" s="14"/>
      <c r="Q245" s="14"/>
      <c r="R245" s="14"/>
      <c r="S245" s="6"/>
      <c r="T245" s="6"/>
      <c r="U245" s="6"/>
      <c r="V245" s="6"/>
      <c r="W245" s="6"/>
    </row>
    <row r="246" ht="12.75" customHeight="1">
      <c r="A246" s="14"/>
      <c r="B246" s="15"/>
      <c r="C246" s="15"/>
      <c r="D246" s="25" t="s">
        <v>392</v>
      </c>
      <c r="E246" s="26"/>
      <c r="F246" s="27">
        <v>0.0</v>
      </c>
      <c r="G246" s="27"/>
      <c r="H246" s="315">
        <v>61.0</v>
      </c>
      <c r="I246" s="27" t="s">
        <v>293</v>
      </c>
      <c r="J246" s="103"/>
      <c r="K246" s="316">
        <f>H246*F246</f>
        <v>0</v>
      </c>
      <c r="L246" s="317">
        <f>H246*1.77</f>
        <v>107.97</v>
      </c>
      <c r="M246" s="9"/>
      <c r="N246" s="9"/>
      <c r="O246" s="9"/>
      <c r="P246" s="9"/>
      <c r="Q246" s="9"/>
      <c r="R246" s="9"/>
      <c r="S246" s="6"/>
      <c r="T246" s="6"/>
      <c r="U246" s="6"/>
      <c r="V246" s="6"/>
      <c r="W246" s="6"/>
    </row>
    <row r="247" ht="12.75" customHeight="1">
      <c r="A247" s="14"/>
      <c r="B247" s="1"/>
      <c r="C247" s="1"/>
      <c r="D247" s="41" t="s">
        <v>393</v>
      </c>
      <c r="E247" s="40" t="s">
        <v>394</v>
      </c>
      <c r="F247" s="41">
        <v>2.0</v>
      </c>
      <c r="G247" s="41"/>
      <c r="H247" s="319">
        <v>25.0</v>
      </c>
      <c r="I247" s="41" t="s">
        <v>162</v>
      </c>
      <c r="J247" s="41" t="s">
        <v>395</v>
      </c>
      <c r="K247" s="320">
        <f t="shared" ref="K247:K248" si="84">(F247*H247)</f>
        <v>50</v>
      </c>
      <c r="L247" s="317">
        <f t="shared" ref="L247:L248" si="85">H247*2</f>
        <v>50</v>
      </c>
      <c r="M247" s="14"/>
      <c r="N247" s="14"/>
      <c r="O247" s="14"/>
      <c r="P247" s="14"/>
      <c r="Q247" s="14"/>
      <c r="R247" s="14"/>
      <c r="S247" s="6"/>
      <c r="T247" s="6"/>
      <c r="U247" s="6"/>
      <c r="V247" s="6"/>
      <c r="W247" s="6"/>
    </row>
    <row r="248" ht="12.75" customHeight="1">
      <c r="A248" s="14"/>
      <c r="B248" s="1"/>
      <c r="C248" s="1"/>
      <c r="D248" s="27" t="s">
        <v>393</v>
      </c>
      <c r="E248" s="26" t="s">
        <v>396</v>
      </c>
      <c r="F248" s="27">
        <v>2.0</v>
      </c>
      <c r="G248" s="27"/>
      <c r="H248" s="315">
        <v>30.0</v>
      </c>
      <c r="I248" s="27" t="s">
        <v>162</v>
      </c>
      <c r="J248" s="27" t="s">
        <v>397</v>
      </c>
      <c r="K248" s="316">
        <f t="shared" si="84"/>
        <v>60</v>
      </c>
      <c r="L248" s="317">
        <f t="shared" si="85"/>
        <v>60</v>
      </c>
      <c r="M248" s="9"/>
      <c r="N248" s="9"/>
      <c r="O248" s="9"/>
      <c r="P248" s="9"/>
      <c r="Q248" s="9"/>
      <c r="R248" s="9"/>
      <c r="S248" s="6"/>
      <c r="T248" s="6"/>
      <c r="U248" s="6"/>
      <c r="V248" s="6"/>
      <c r="W248" s="6"/>
    </row>
    <row r="249" ht="12.75" customHeight="1">
      <c r="A249" s="14"/>
      <c r="B249" s="1"/>
      <c r="C249" s="1"/>
      <c r="D249" s="14" t="s">
        <v>398</v>
      </c>
      <c r="E249" s="21" t="s">
        <v>394</v>
      </c>
      <c r="F249" s="14">
        <v>8.0</v>
      </c>
      <c r="G249" s="14"/>
      <c r="H249" s="365">
        <v>265.0</v>
      </c>
      <c r="I249" s="14" t="s">
        <v>935</v>
      </c>
      <c r="J249" s="51"/>
      <c r="K249" s="308">
        <f t="shared" ref="K249:K250" si="86">H249*F249</f>
        <v>2120</v>
      </c>
      <c r="L249" s="301">
        <f>H249*1.6</f>
        <v>424</v>
      </c>
      <c r="M249" s="312"/>
      <c r="N249" s="313"/>
      <c r="O249" s="312"/>
      <c r="P249" s="314"/>
      <c r="Q249" s="314"/>
      <c r="R249" s="314"/>
      <c r="S249" s="350"/>
      <c r="T249" s="6"/>
      <c r="U249" s="6"/>
      <c r="V249" s="6"/>
      <c r="W249" s="6"/>
    </row>
    <row r="250" ht="12.75" customHeight="1">
      <c r="A250" s="52"/>
      <c r="B250" s="1"/>
      <c r="C250" s="1"/>
      <c r="D250" s="33" t="s">
        <v>398</v>
      </c>
      <c r="E250" s="32" t="s">
        <v>339</v>
      </c>
      <c r="F250" s="33">
        <v>2.0</v>
      </c>
      <c r="G250" s="33"/>
      <c r="H250" s="345">
        <f t="shared" ref="H250:H252" si="87">SUM(M250+O250)</f>
        <v>363</v>
      </c>
      <c r="I250" s="33" t="s">
        <v>17</v>
      </c>
      <c r="J250" s="59">
        <v>1053.0</v>
      </c>
      <c r="K250" s="323">
        <f t="shared" si="86"/>
        <v>726</v>
      </c>
      <c r="L250" s="346">
        <f>H250*1.75</f>
        <v>635.25</v>
      </c>
      <c r="M250" s="310">
        <v>300.0</v>
      </c>
      <c r="N250" s="311">
        <v>0.21</v>
      </c>
      <c r="O250" s="310">
        <f t="shared" ref="O250:O252" si="88">SUM(M250*N250)</f>
        <v>63</v>
      </c>
      <c r="P250" s="326"/>
      <c r="Q250" s="326"/>
      <c r="R250" s="326"/>
      <c r="S250" s="6"/>
      <c r="T250" s="6"/>
      <c r="U250" s="6"/>
      <c r="V250" s="6"/>
      <c r="W250" s="6"/>
    </row>
    <row r="251" ht="12.75" customHeight="1">
      <c r="A251" s="52"/>
      <c r="B251" s="1"/>
      <c r="C251" s="1"/>
      <c r="D251" s="50" t="s">
        <v>400</v>
      </c>
      <c r="E251" s="47" t="s">
        <v>235</v>
      </c>
      <c r="F251" s="50">
        <v>4.0</v>
      </c>
      <c r="G251" s="50"/>
      <c r="H251" s="365">
        <f t="shared" si="87"/>
        <v>496.1</v>
      </c>
      <c r="I251" s="50" t="s">
        <v>17</v>
      </c>
      <c r="J251" s="60">
        <v>1054.0</v>
      </c>
      <c r="K251" s="322">
        <f t="shared" ref="K251:K254" si="89">(F251*H251)</f>
        <v>1984.4</v>
      </c>
      <c r="L251" s="346">
        <f>H251*1.6</f>
        <v>793.76</v>
      </c>
      <c r="M251" s="312">
        <v>410.0</v>
      </c>
      <c r="N251" s="313">
        <v>0.21</v>
      </c>
      <c r="O251" s="312">
        <f t="shared" si="88"/>
        <v>86.1</v>
      </c>
      <c r="P251" s="314"/>
      <c r="Q251" s="350" t="s">
        <v>987</v>
      </c>
      <c r="R251" s="14"/>
      <c r="S251" s="350"/>
      <c r="T251" s="6"/>
      <c r="U251" s="6"/>
      <c r="V251" s="6"/>
      <c r="W251" s="6"/>
    </row>
    <row r="252" ht="12.75" customHeight="1">
      <c r="A252" s="52"/>
      <c r="B252" s="1"/>
      <c r="C252" s="1"/>
      <c r="D252" s="14" t="s">
        <v>400</v>
      </c>
      <c r="E252" s="21" t="s">
        <v>401</v>
      </c>
      <c r="F252" s="14">
        <v>4.0</v>
      </c>
      <c r="G252" s="14"/>
      <c r="H252" s="365">
        <f t="shared" si="87"/>
        <v>689.7</v>
      </c>
      <c r="I252" s="14" t="s">
        <v>17</v>
      </c>
      <c r="J252" s="50">
        <v>1055.0</v>
      </c>
      <c r="K252" s="308">
        <f t="shared" si="89"/>
        <v>2758.8</v>
      </c>
      <c r="L252" s="301">
        <f>H252*1.7</f>
        <v>1172.49</v>
      </c>
      <c r="M252" s="312">
        <v>570.0</v>
      </c>
      <c r="N252" s="313">
        <v>0.21</v>
      </c>
      <c r="O252" s="312">
        <f t="shared" si="88"/>
        <v>119.7</v>
      </c>
      <c r="P252" s="314"/>
      <c r="Q252" s="14"/>
      <c r="R252" s="14"/>
      <c r="S252" s="6"/>
      <c r="T252" s="6"/>
      <c r="U252" s="6"/>
      <c r="V252" s="6"/>
      <c r="W252" s="6"/>
    </row>
    <row r="253" ht="12.0" customHeight="1">
      <c r="A253" s="14"/>
      <c r="B253" s="1"/>
      <c r="C253" s="1"/>
      <c r="D253" s="27" t="s">
        <v>988</v>
      </c>
      <c r="E253" s="26" t="s">
        <v>399</v>
      </c>
      <c r="F253" s="27">
        <v>0.0</v>
      </c>
      <c r="G253" s="27" t="s">
        <v>404</v>
      </c>
      <c r="H253" s="315">
        <v>49.9</v>
      </c>
      <c r="I253" s="27" t="s">
        <v>61</v>
      </c>
      <c r="J253" s="103">
        <v>6286.0</v>
      </c>
      <c r="K253" s="316">
        <f t="shared" si="89"/>
        <v>0</v>
      </c>
      <c r="L253" s="317">
        <f>H253*1.77</f>
        <v>88.323</v>
      </c>
      <c r="M253" s="9"/>
      <c r="N253" s="9"/>
      <c r="O253" s="9"/>
      <c r="P253" s="9"/>
      <c r="Q253" s="9"/>
      <c r="R253" s="9"/>
      <c r="S253" s="6"/>
      <c r="T253" s="6"/>
      <c r="U253" s="6"/>
      <c r="V253" s="6"/>
      <c r="W253" s="6"/>
    </row>
    <row r="254" ht="12.0" customHeight="1">
      <c r="A254" s="14"/>
      <c r="B254" s="1"/>
      <c r="C254" s="1"/>
      <c r="D254" s="41" t="s">
        <v>405</v>
      </c>
      <c r="E254" s="40" t="s">
        <v>235</v>
      </c>
      <c r="F254" s="41">
        <v>0.0</v>
      </c>
      <c r="G254" s="41" t="s">
        <v>404</v>
      </c>
      <c r="H254" s="319">
        <v>128.8</v>
      </c>
      <c r="I254" s="41" t="s">
        <v>61</v>
      </c>
      <c r="J254" s="41">
        <v>6288.0</v>
      </c>
      <c r="K254" s="342">
        <f t="shared" si="89"/>
        <v>0</v>
      </c>
      <c r="L254" s="317">
        <f>H254*1.65</f>
        <v>212.52</v>
      </c>
      <c r="M254" s="14"/>
      <c r="N254" s="14"/>
      <c r="O254" s="14"/>
      <c r="P254" s="14"/>
      <c r="Q254" s="14"/>
      <c r="R254" s="14"/>
      <c r="S254" s="6"/>
      <c r="T254" s="6"/>
      <c r="U254" s="6"/>
      <c r="V254" s="6"/>
      <c r="W254" s="6"/>
    </row>
    <row r="255" ht="12.0" customHeight="1">
      <c r="A255" s="14"/>
      <c r="B255" s="15"/>
      <c r="C255" s="15"/>
      <c r="D255" s="16" t="s">
        <v>406</v>
      </c>
      <c r="E255" s="17" t="s">
        <v>407</v>
      </c>
      <c r="F255" s="9">
        <v>12.0</v>
      </c>
      <c r="G255" s="9"/>
      <c r="H255" s="305">
        <f>SUM(0.3*H266)</f>
        <v>48.9</v>
      </c>
      <c r="I255" s="9" t="s">
        <v>17</v>
      </c>
      <c r="J255" s="24">
        <v>4222.0</v>
      </c>
      <c r="K255" s="306">
        <f t="shared" ref="K255:K275" si="90">H255*F255</f>
        <v>586.8</v>
      </c>
      <c r="L255" s="301">
        <f t="shared" ref="L255:L260" si="91">H255*2</f>
        <v>97.8</v>
      </c>
      <c r="M255" s="14"/>
      <c r="N255" s="14"/>
      <c r="O255" s="14"/>
      <c r="P255" s="14"/>
      <c r="Q255" s="14"/>
      <c r="R255" s="14"/>
      <c r="S255" s="6"/>
      <c r="T255" s="6"/>
      <c r="U255" s="6"/>
      <c r="V255" s="6"/>
      <c r="W255" s="6"/>
    </row>
    <row r="256" ht="12.0" customHeight="1">
      <c r="A256" s="14"/>
      <c r="B256" s="15"/>
      <c r="C256" s="15"/>
      <c r="D256" s="16" t="s">
        <v>406</v>
      </c>
      <c r="E256" s="17" t="s">
        <v>408</v>
      </c>
      <c r="F256" s="9">
        <v>0.0</v>
      </c>
      <c r="G256" s="9"/>
      <c r="H256" s="305">
        <f>SUM(0.46*H266)</f>
        <v>74.98</v>
      </c>
      <c r="I256" s="9" t="s">
        <v>61</v>
      </c>
      <c r="J256" s="24">
        <v>2409.0</v>
      </c>
      <c r="K256" s="306">
        <f t="shared" si="90"/>
        <v>0</v>
      </c>
      <c r="L256" s="301">
        <f t="shared" si="91"/>
        <v>149.96</v>
      </c>
      <c r="M256" s="9"/>
      <c r="N256" s="9"/>
      <c r="O256" s="9"/>
      <c r="P256" s="9"/>
      <c r="Q256" s="9"/>
      <c r="R256" s="9"/>
      <c r="S256" s="6"/>
      <c r="T256" s="6"/>
      <c r="U256" s="6"/>
      <c r="V256" s="6"/>
      <c r="W256" s="6"/>
    </row>
    <row r="257" ht="12.0" customHeight="1">
      <c r="A257" s="14"/>
      <c r="B257" s="15"/>
      <c r="C257" s="15"/>
      <c r="D257" s="16" t="s">
        <v>406</v>
      </c>
      <c r="E257" s="17" t="s">
        <v>409</v>
      </c>
      <c r="F257" s="9">
        <v>12.0</v>
      </c>
      <c r="G257" s="9"/>
      <c r="H257" s="305">
        <f>SUM(0.58*H266)</f>
        <v>94.54</v>
      </c>
      <c r="I257" s="9" t="s">
        <v>61</v>
      </c>
      <c r="J257" s="24">
        <v>2410.0</v>
      </c>
      <c r="K257" s="306">
        <f t="shared" si="90"/>
        <v>1134.48</v>
      </c>
      <c r="L257" s="301">
        <f t="shared" si="91"/>
        <v>189.08</v>
      </c>
      <c r="M257" s="9"/>
      <c r="N257" s="9"/>
      <c r="O257" s="9"/>
      <c r="P257" s="9"/>
      <c r="Q257" s="9"/>
      <c r="R257" s="9"/>
      <c r="S257" s="6"/>
      <c r="T257" s="6"/>
      <c r="U257" s="6"/>
      <c r="V257" s="6"/>
      <c r="W257" s="6"/>
    </row>
    <row r="258" ht="12.0" customHeight="1">
      <c r="A258" s="14"/>
      <c r="B258" s="15"/>
      <c r="C258" s="15"/>
      <c r="D258" s="15" t="s">
        <v>406</v>
      </c>
      <c r="E258" s="21" t="s">
        <v>410</v>
      </c>
      <c r="F258" s="14">
        <v>11.0</v>
      </c>
      <c r="G258" s="14"/>
      <c r="H258" s="307">
        <f>SUM(0.6*H266)</f>
        <v>97.8</v>
      </c>
      <c r="I258" s="14" t="s">
        <v>61</v>
      </c>
      <c r="J258" s="51">
        <v>2411.0</v>
      </c>
      <c r="K258" s="308">
        <f t="shared" si="90"/>
        <v>1075.8</v>
      </c>
      <c r="L258" s="301">
        <f t="shared" si="91"/>
        <v>195.6</v>
      </c>
      <c r="M258" s="14"/>
      <c r="N258" s="14"/>
      <c r="O258" s="14"/>
      <c r="P258" s="14"/>
      <c r="Q258" s="14"/>
      <c r="R258" s="14"/>
      <c r="S258" s="6"/>
      <c r="T258" s="6"/>
      <c r="U258" s="6"/>
      <c r="V258" s="6"/>
      <c r="W258" s="6"/>
    </row>
    <row r="259" ht="12.0" customHeight="1">
      <c r="A259" s="14"/>
      <c r="B259" s="15"/>
      <c r="C259" s="15"/>
      <c r="D259" s="15" t="s">
        <v>989</v>
      </c>
      <c r="E259" s="21"/>
      <c r="F259" s="14">
        <v>5.0</v>
      </c>
      <c r="G259" s="14"/>
      <c r="H259" s="307">
        <f>SUM(0.84*H266)</f>
        <v>136.92</v>
      </c>
      <c r="I259" s="14" t="s">
        <v>61</v>
      </c>
      <c r="J259" s="51">
        <v>2442.0</v>
      </c>
      <c r="K259" s="308">
        <f t="shared" si="90"/>
        <v>684.6</v>
      </c>
      <c r="L259" s="301">
        <f t="shared" si="91"/>
        <v>273.84</v>
      </c>
      <c r="M259" s="14"/>
      <c r="N259" s="14"/>
      <c r="O259" s="14"/>
      <c r="P259" s="14"/>
      <c r="Q259" s="14"/>
      <c r="R259" s="14"/>
      <c r="S259" s="6"/>
      <c r="T259" s="6"/>
      <c r="U259" s="6"/>
      <c r="V259" s="6"/>
      <c r="W259" s="6"/>
    </row>
    <row r="260" ht="12.0" customHeight="1">
      <c r="A260" s="14"/>
      <c r="B260" s="15"/>
      <c r="C260" s="15"/>
      <c r="D260" s="16" t="s">
        <v>990</v>
      </c>
      <c r="E260" s="17"/>
      <c r="F260" s="9">
        <v>5.0</v>
      </c>
      <c r="G260" s="9"/>
      <c r="H260" s="305">
        <f>SUM(0.84*H266)</f>
        <v>136.92</v>
      </c>
      <c r="I260" s="9" t="s">
        <v>61</v>
      </c>
      <c r="J260" s="24">
        <v>2443.0</v>
      </c>
      <c r="K260" s="306">
        <f t="shared" si="90"/>
        <v>684.6</v>
      </c>
      <c r="L260" s="301">
        <f t="shared" si="91"/>
        <v>273.84</v>
      </c>
      <c r="M260" s="9"/>
      <c r="N260" s="9"/>
      <c r="O260" s="9"/>
      <c r="P260" s="9"/>
      <c r="Q260" s="9"/>
      <c r="R260" s="9"/>
      <c r="S260" s="6"/>
      <c r="T260" s="6"/>
      <c r="U260" s="6"/>
      <c r="V260" s="6"/>
      <c r="W260" s="6"/>
    </row>
    <row r="261" ht="12.0" customHeight="1">
      <c r="A261" s="14"/>
      <c r="B261" s="15"/>
      <c r="C261" s="15"/>
      <c r="D261" s="50" t="s">
        <v>413</v>
      </c>
      <c r="E261" s="98"/>
      <c r="F261" s="50">
        <v>20.0</v>
      </c>
      <c r="G261" s="50"/>
      <c r="H261" s="307">
        <f>SUM(0.3*H266)</f>
        <v>48.9</v>
      </c>
      <c r="I261" s="50" t="s">
        <v>61</v>
      </c>
      <c r="J261" s="60">
        <v>2444.0</v>
      </c>
      <c r="K261" s="308">
        <f t="shared" si="90"/>
        <v>978</v>
      </c>
      <c r="L261" s="301">
        <f>H261*2.1</f>
        <v>102.69</v>
      </c>
      <c r="M261" s="14"/>
      <c r="N261" s="14"/>
      <c r="O261" s="14"/>
      <c r="P261" s="14"/>
      <c r="Q261" s="14"/>
      <c r="R261" s="14"/>
      <c r="S261" s="6"/>
      <c r="T261" s="6"/>
      <c r="U261" s="6"/>
      <c r="V261" s="6"/>
      <c r="W261" s="6"/>
    </row>
    <row r="262" ht="12.0" customHeight="1">
      <c r="A262" s="14"/>
      <c r="B262" s="15"/>
      <c r="C262" s="15"/>
      <c r="D262" s="84" t="s">
        <v>414</v>
      </c>
      <c r="E262" s="148" t="s">
        <v>388</v>
      </c>
      <c r="F262" s="149">
        <v>30.0</v>
      </c>
      <c r="G262" s="149"/>
      <c r="H262" s="307">
        <f>SUM(0.77*H266)</f>
        <v>125.51</v>
      </c>
      <c r="I262" s="149" t="s">
        <v>17</v>
      </c>
      <c r="J262" s="166">
        <v>4700.0</v>
      </c>
      <c r="K262" s="391">
        <f t="shared" si="90"/>
        <v>3765.3</v>
      </c>
      <c r="L262" s="301">
        <f t="shared" ref="L262:L264" si="92">H262*1.9</f>
        <v>238.469</v>
      </c>
      <c r="M262" s="312">
        <v>60.0</v>
      </c>
      <c r="N262" s="313">
        <v>0.21</v>
      </c>
      <c r="O262" s="312">
        <f t="shared" ref="O262:O263" si="93">SUM(M262*N262)</f>
        <v>12.6</v>
      </c>
      <c r="P262" s="314"/>
      <c r="Q262" s="14"/>
      <c r="R262" s="14"/>
      <c r="S262" s="6"/>
      <c r="T262" s="6"/>
      <c r="U262" s="6"/>
      <c r="V262" s="6"/>
      <c r="W262" s="6"/>
    </row>
    <row r="263" ht="12.0" customHeight="1">
      <c r="A263" s="14"/>
      <c r="B263" s="15"/>
      <c r="C263" s="15"/>
      <c r="D263" s="152" t="s">
        <v>415</v>
      </c>
      <c r="E263" s="153" t="s">
        <v>388</v>
      </c>
      <c r="F263" s="154">
        <v>24.0</v>
      </c>
      <c r="G263" s="154"/>
      <c r="H263" s="305">
        <f>SUM(0.71*H266)</f>
        <v>115.73</v>
      </c>
      <c r="I263" s="154" t="s">
        <v>17</v>
      </c>
      <c r="J263" s="263">
        <v>4703.0</v>
      </c>
      <c r="K263" s="392">
        <f t="shared" si="90"/>
        <v>2777.52</v>
      </c>
      <c r="L263" s="301">
        <f t="shared" si="92"/>
        <v>219.887</v>
      </c>
      <c r="M263" s="310">
        <v>53.0</v>
      </c>
      <c r="N263" s="311">
        <v>0.21</v>
      </c>
      <c r="O263" s="310">
        <f t="shared" si="93"/>
        <v>11.13</v>
      </c>
      <c r="P263" s="326"/>
      <c r="Q263" s="9"/>
      <c r="R263" s="9"/>
      <c r="S263" s="6"/>
      <c r="T263" s="6"/>
      <c r="U263" s="6"/>
      <c r="V263" s="6"/>
      <c r="W263" s="6"/>
    </row>
    <row r="264" ht="12.0" customHeight="1">
      <c r="A264" s="14"/>
      <c r="B264" s="15"/>
      <c r="C264" s="15"/>
      <c r="D264" s="15" t="s">
        <v>416</v>
      </c>
      <c r="E264" s="21" t="s">
        <v>417</v>
      </c>
      <c r="F264" s="14">
        <v>24.0</v>
      </c>
      <c r="G264" s="14"/>
      <c r="H264" s="307">
        <f>SUM(0.97*H266)</f>
        <v>158.11</v>
      </c>
      <c r="I264" s="14" t="s">
        <v>61</v>
      </c>
      <c r="J264" s="51">
        <v>2304.0</v>
      </c>
      <c r="K264" s="308">
        <f t="shared" si="90"/>
        <v>3794.64</v>
      </c>
      <c r="L264" s="301">
        <f t="shared" si="92"/>
        <v>300.409</v>
      </c>
      <c r="M264" s="14"/>
      <c r="N264" s="14"/>
      <c r="O264" s="14"/>
      <c r="P264" s="14"/>
      <c r="Q264" s="14"/>
      <c r="R264" s="14"/>
      <c r="S264" s="6"/>
      <c r="T264" s="6"/>
      <c r="U264" s="6"/>
      <c r="V264" s="6"/>
      <c r="W264" s="6"/>
    </row>
    <row r="265" ht="12.0" customHeight="1">
      <c r="A265" s="14"/>
      <c r="B265" s="15"/>
      <c r="C265" s="15"/>
      <c r="D265" s="16" t="s">
        <v>418</v>
      </c>
      <c r="E265" s="17" t="s">
        <v>419</v>
      </c>
      <c r="F265" s="9">
        <v>30.0</v>
      </c>
      <c r="G265" s="9"/>
      <c r="H265" s="305">
        <f>SUM(0.87*H266)</f>
        <v>141.81</v>
      </c>
      <c r="I265" s="9" t="s">
        <v>61</v>
      </c>
      <c r="J265" s="24">
        <v>2260.0</v>
      </c>
      <c r="K265" s="306">
        <f t="shared" si="90"/>
        <v>4254.3</v>
      </c>
      <c r="L265" s="301">
        <f t="shared" ref="L265:L266" si="94">H265*1.7</f>
        <v>241.077</v>
      </c>
      <c r="M265" s="9"/>
      <c r="N265" s="9"/>
      <c r="O265" s="9"/>
      <c r="P265" s="9"/>
      <c r="Q265" s="353" t="s">
        <v>991</v>
      </c>
      <c r="R265" s="9"/>
      <c r="S265" s="6"/>
      <c r="T265" s="6"/>
      <c r="U265" s="6"/>
      <c r="V265" s="6"/>
      <c r="W265" s="6"/>
    </row>
    <row r="266" ht="12.0" customHeight="1">
      <c r="A266" s="14"/>
      <c r="B266" s="15"/>
      <c r="C266" s="15"/>
      <c r="D266" s="15" t="s">
        <v>418</v>
      </c>
      <c r="E266" s="21" t="s">
        <v>420</v>
      </c>
      <c r="F266" s="14">
        <v>12.0</v>
      </c>
      <c r="G266" s="14"/>
      <c r="H266" s="393">
        <v>163.0</v>
      </c>
      <c r="I266" s="14" t="s">
        <v>61</v>
      </c>
      <c r="J266" s="51">
        <v>2261.0</v>
      </c>
      <c r="K266" s="308">
        <f t="shared" si="90"/>
        <v>1956</v>
      </c>
      <c r="L266" s="301">
        <f t="shared" si="94"/>
        <v>277.1</v>
      </c>
      <c r="M266" s="14"/>
      <c r="N266" s="14"/>
      <c r="O266" s="14"/>
      <c r="P266" s="14"/>
      <c r="Q266" s="329" t="s">
        <v>992</v>
      </c>
      <c r="R266" s="14"/>
      <c r="S266" s="6"/>
      <c r="T266" s="6"/>
      <c r="U266" s="6"/>
      <c r="V266" s="6"/>
      <c r="W266" s="6"/>
    </row>
    <row r="267" ht="12.0" customHeight="1">
      <c r="A267" s="14"/>
      <c r="B267" s="15"/>
      <c r="C267" s="15"/>
      <c r="D267" s="16" t="s">
        <v>421</v>
      </c>
      <c r="E267" s="17" t="s">
        <v>309</v>
      </c>
      <c r="F267" s="9">
        <v>114.0</v>
      </c>
      <c r="G267" s="9"/>
      <c r="H267" s="305">
        <f>SUM(0.29*H270)</f>
        <v>17.11</v>
      </c>
      <c r="I267" s="9" t="s">
        <v>61</v>
      </c>
      <c r="J267" s="24">
        <v>2361.0</v>
      </c>
      <c r="K267" s="306">
        <f t="shared" si="90"/>
        <v>1950.54</v>
      </c>
      <c r="L267" s="301">
        <f t="shared" ref="L267:L268" si="95">H267*2.06</f>
        <v>35.2466</v>
      </c>
      <c r="M267" s="9"/>
      <c r="N267" s="9"/>
      <c r="O267" s="9"/>
      <c r="P267" s="9"/>
      <c r="Q267" s="9"/>
      <c r="R267" s="9"/>
      <c r="S267" s="6"/>
      <c r="T267" s="6"/>
      <c r="U267" s="6"/>
      <c r="V267" s="6"/>
      <c r="W267" s="6"/>
    </row>
    <row r="268" ht="12.0" customHeight="1">
      <c r="A268" s="14"/>
      <c r="B268" s="15"/>
      <c r="C268" s="15"/>
      <c r="D268" s="15" t="s">
        <v>422</v>
      </c>
      <c r="E268" s="21" t="s">
        <v>423</v>
      </c>
      <c r="F268" s="14">
        <v>44.0</v>
      </c>
      <c r="G268" s="14"/>
      <c r="H268" s="307">
        <f>SUM(0.6*H270)</f>
        <v>35.4</v>
      </c>
      <c r="I268" s="14" t="s">
        <v>61</v>
      </c>
      <c r="J268" s="51">
        <v>2362.0</v>
      </c>
      <c r="K268" s="308">
        <f t="shared" si="90"/>
        <v>1557.6</v>
      </c>
      <c r="L268" s="301">
        <f t="shared" si="95"/>
        <v>72.924</v>
      </c>
      <c r="M268" s="14"/>
      <c r="N268" s="14"/>
      <c r="O268" s="14"/>
      <c r="P268" s="14"/>
      <c r="Q268" s="14"/>
      <c r="R268" s="14"/>
      <c r="S268" s="6"/>
      <c r="T268" s="6"/>
      <c r="U268" s="6"/>
      <c r="V268" s="6"/>
      <c r="W268" s="6"/>
    </row>
    <row r="269" ht="12.0" customHeight="1">
      <c r="A269" s="14"/>
      <c r="B269" s="15"/>
      <c r="C269" s="15"/>
      <c r="D269" s="16" t="s">
        <v>424</v>
      </c>
      <c r="E269" s="17" t="s">
        <v>425</v>
      </c>
      <c r="F269" s="9">
        <v>24.0</v>
      </c>
      <c r="G269" s="9"/>
      <c r="H269" s="305">
        <f>SUM(0.38*H272)</f>
        <v>58.292</v>
      </c>
      <c r="I269" s="9" t="s">
        <v>17</v>
      </c>
      <c r="J269" s="24">
        <v>4045.0</v>
      </c>
      <c r="K269" s="306">
        <f t="shared" si="90"/>
        <v>1399.008</v>
      </c>
      <c r="L269" s="301">
        <f t="shared" ref="L269:L270" si="96">H269*2.2</f>
        <v>128.2424</v>
      </c>
      <c r="M269" s="310"/>
      <c r="N269" s="311"/>
      <c r="O269" s="310"/>
      <c r="P269" s="9"/>
      <c r="Q269" s="9"/>
      <c r="R269" s="9"/>
      <c r="S269" s="6"/>
      <c r="T269" s="6"/>
      <c r="U269" s="6"/>
      <c r="V269" s="6"/>
      <c r="W269" s="6"/>
    </row>
    <row r="270" ht="12.0" customHeight="1">
      <c r="A270" s="14"/>
      <c r="B270" s="15"/>
      <c r="C270" s="15"/>
      <c r="D270" s="15" t="s">
        <v>424</v>
      </c>
      <c r="E270" s="21" t="s">
        <v>408</v>
      </c>
      <c r="F270" s="14">
        <v>25.0</v>
      </c>
      <c r="G270" s="14"/>
      <c r="H270" s="393">
        <v>59.0</v>
      </c>
      <c r="I270" s="14" t="s">
        <v>61</v>
      </c>
      <c r="J270" s="51">
        <v>2364.0</v>
      </c>
      <c r="K270" s="308">
        <f t="shared" si="90"/>
        <v>1475</v>
      </c>
      <c r="L270" s="301">
        <f t="shared" si="96"/>
        <v>129.8</v>
      </c>
      <c r="M270" s="14"/>
      <c r="N270" s="14"/>
      <c r="O270" s="14"/>
      <c r="P270" s="14"/>
      <c r="Q270" s="14"/>
      <c r="R270" s="14"/>
      <c r="S270" s="6"/>
      <c r="T270" s="6"/>
      <c r="U270" s="6"/>
      <c r="V270" s="6"/>
      <c r="W270" s="6"/>
    </row>
    <row r="271" ht="12.0" customHeight="1">
      <c r="A271" s="14"/>
      <c r="B271" s="15"/>
      <c r="C271" s="15"/>
      <c r="D271" s="16" t="s">
        <v>424</v>
      </c>
      <c r="E271" s="17" t="s">
        <v>426</v>
      </c>
      <c r="F271" s="9">
        <v>25.0</v>
      </c>
      <c r="G271" s="9"/>
      <c r="H271" s="305">
        <f>SUM(1.5*H270)</f>
        <v>88.5</v>
      </c>
      <c r="I271" s="9" t="s">
        <v>17</v>
      </c>
      <c r="J271" s="24">
        <v>4047.0</v>
      </c>
      <c r="K271" s="306">
        <f t="shared" si="90"/>
        <v>2212.5</v>
      </c>
      <c r="L271" s="301">
        <f t="shared" ref="L271:L272" si="97">H271*2.06</f>
        <v>182.31</v>
      </c>
      <c r="M271" s="310"/>
      <c r="N271" s="311"/>
      <c r="O271" s="310"/>
      <c r="P271" s="326"/>
      <c r="Q271" s="353"/>
      <c r="R271" s="9"/>
      <c r="S271" s="6"/>
      <c r="T271" s="6"/>
      <c r="U271" s="6"/>
      <c r="V271" s="6"/>
      <c r="W271" s="6"/>
    </row>
    <row r="272" ht="12.0" customHeight="1">
      <c r="A272" s="14"/>
      <c r="B272" s="15"/>
      <c r="C272" s="15"/>
      <c r="D272" s="15" t="s">
        <v>424</v>
      </c>
      <c r="E272" s="21" t="s">
        <v>427</v>
      </c>
      <c r="F272" s="14">
        <v>24.0</v>
      </c>
      <c r="G272" s="14"/>
      <c r="H272" s="307">
        <f>SUM(2.6*H270)</f>
        <v>153.4</v>
      </c>
      <c r="I272" s="14" t="s">
        <v>17</v>
      </c>
      <c r="J272" s="60">
        <v>4048.0</v>
      </c>
      <c r="K272" s="308">
        <f t="shared" si="90"/>
        <v>3681.6</v>
      </c>
      <c r="L272" s="301">
        <f t="shared" si="97"/>
        <v>316.004</v>
      </c>
      <c r="M272" s="312"/>
      <c r="N272" s="313"/>
      <c r="O272" s="312"/>
      <c r="P272" s="314"/>
      <c r="Q272" s="14"/>
      <c r="R272" s="14"/>
      <c r="S272" s="6"/>
      <c r="T272" s="6"/>
      <c r="U272" s="6"/>
      <c r="V272" s="6"/>
      <c r="W272" s="6"/>
    </row>
    <row r="273" ht="12.0" customHeight="1">
      <c r="A273" s="14"/>
      <c r="B273" s="15"/>
      <c r="C273" s="15"/>
      <c r="D273" s="16" t="s">
        <v>428</v>
      </c>
      <c r="E273" s="17" t="s">
        <v>233</v>
      </c>
      <c r="F273" s="33">
        <v>36.0</v>
      </c>
      <c r="G273" s="9"/>
      <c r="H273" s="305">
        <f>SUM(2*H266)</f>
        <v>326</v>
      </c>
      <c r="I273" s="9" t="s">
        <v>17</v>
      </c>
      <c r="J273" s="24">
        <v>4103.0</v>
      </c>
      <c r="K273" s="306">
        <f t="shared" si="90"/>
        <v>11736</v>
      </c>
      <c r="L273" s="301">
        <f>H273*1.7</f>
        <v>554.2</v>
      </c>
      <c r="M273" s="310"/>
      <c r="N273" s="311"/>
      <c r="O273" s="310"/>
      <c r="P273" s="326"/>
      <c r="Q273" s="9"/>
      <c r="R273" s="9"/>
      <c r="S273" s="6"/>
      <c r="T273" s="6"/>
      <c r="U273" s="6"/>
      <c r="V273" s="6"/>
      <c r="W273" s="6"/>
    </row>
    <row r="274" ht="12.0" customHeight="1">
      <c r="A274" s="14"/>
      <c r="B274" s="15"/>
      <c r="C274" s="15"/>
      <c r="D274" s="46" t="s">
        <v>429</v>
      </c>
      <c r="E274" s="47" t="s">
        <v>430</v>
      </c>
      <c r="F274" s="50">
        <v>12.0</v>
      </c>
      <c r="G274" s="50"/>
      <c r="H274" s="307">
        <f>SUM(1.29*H266)</f>
        <v>210.27</v>
      </c>
      <c r="I274" s="50" t="s">
        <v>61</v>
      </c>
      <c r="J274" s="157">
        <v>2333.0</v>
      </c>
      <c r="K274" s="322">
        <f t="shared" si="90"/>
        <v>2523.24</v>
      </c>
      <c r="L274" s="301">
        <f>H274*1.8</f>
        <v>378.486</v>
      </c>
      <c r="M274" s="312"/>
      <c r="N274" s="313"/>
      <c r="O274" s="312"/>
      <c r="P274" s="314"/>
      <c r="Q274" s="394"/>
      <c r="R274" s="14"/>
      <c r="S274" s="6"/>
      <c r="T274" s="6"/>
      <c r="U274" s="6"/>
      <c r="V274" s="6"/>
      <c r="W274" s="6"/>
    </row>
    <row r="275" ht="12.0" customHeight="1">
      <c r="A275" s="14"/>
      <c r="B275" s="15"/>
      <c r="C275" s="15"/>
      <c r="D275" s="16" t="s">
        <v>431</v>
      </c>
      <c r="E275" s="17" t="s">
        <v>432</v>
      </c>
      <c r="F275" s="9">
        <v>5.0</v>
      </c>
      <c r="G275" s="9"/>
      <c r="H275" s="341">
        <v>534.0</v>
      </c>
      <c r="I275" s="9" t="s">
        <v>61</v>
      </c>
      <c r="J275" s="24">
        <v>2614.0</v>
      </c>
      <c r="K275" s="306">
        <f t="shared" si="90"/>
        <v>2670</v>
      </c>
      <c r="L275" s="301">
        <f>H275*1.75</f>
        <v>934.5</v>
      </c>
      <c r="M275" s="9"/>
      <c r="N275" s="9">
        <f>SUM(90/70)</f>
        <v>1.285714286</v>
      </c>
      <c r="O275" s="9"/>
      <c r="P275" s="9"/>
      <c r="Q275" s="9"/>
      <c r="R275" s="9"/>
      <c r="S275" s="6"/>
      <c r="T275" s="6"/>
      <c r="U275" s="6"/>
      <c r="V275" s="6"/>
      <c r="W275" s="6"/>
    </row>
    <row r="276" ht="12.0" customHeight="1">
      <c r="A276" s="14"/>
      <c r="B276" s="15"/>
      <c r="C276" s="15"/>
      <c r="D276" s="15" t="s">
        <v>433</v>
      </c>
      <c r="E276" s="21" t="s">
        <v>434</v>
      </c>
      <c r="F276" s="14">
        <v>25.0</v>
      </c>
      <c r="G276" s="14"/>
      <c r="H276" s="364">
        <v>117.0</v>
      </c>
      <c r="I276" s="14" t="s">
        <v>61</v>
      </c>
      <c r="J276" s="51">
        <v>2729.0</v>
      </c>
      <c r="K276" s="308">
        <f t="shared" ref="K276:K282" si="98">(F276*H276)</f>
        <v>2925</v>
      </c>
      <c r="L276" s="301">
        <f t="shared" ref="L276:L282" si="99">H276*1.7</f>
        <v>198.9</v>
      </c>
      <c r="M276" s="14"/>
      <c r="N276" s="14"/>
      <c r="O276" s="14"/>
      <c r="P276" s="14"/>
      <c r="Q276" s="14"/>
      <c r="R276" s="14"/>
      <c r="S276" s="6"/>
      <c r="T276" s="158" t="s">
        <v>112</v>
      </c>
      <c r="U276" s="6"/>
      <c r="V276" s="6"/>
      <c r="W276" s="6"/>
    </row>
    <row r="277" ht="12.0" customHeight="1">
      <c r="A277" s="14"/>
      <c r="B277" s="15"/>
      <c r="C277" s="15"/>
      <c r="D277" s="15" t="s">
        <v>435</v>
      </c>
      <c r="E277" s="21" t="s">
        <v>436</v>
      </c>
      <c r="F277" s="14">
        <v>25.0</v>
      </c>
      <c r="G277" s="14"/>
      <c r="H277" s="307">
        <f>SUM(1.15*H276)</f>
        <v>134.55</v>
      </c>
      <c r="I277" s="14" t="s">
        <v>17</v>
      </c>
      <c r="J277" s="51">
        <v>15131.0</v>
      </c>
      <c r="K277" s="308">
        <f t="shared" si="98"/>
        <v>3363.75</v>
      </c>
      <c r="L277" s="301">
        <f t="shared" si="99"/>
        <v>228.735</v>
      </c>
      <c r="M277" s="14"/>
      <c r="N277" s="14"/>
      <c r="O277" s="14"/>
      <c r="P277" s="14"/>
      <c r="Q277" s="14"/>
      <c r="R277" s="14"/>
      <c r="S277" s="6"/>
      <c r="T277" s="158"/>
      <c r="U277" s="6"/>
      <c r="V277" s="6"/>
      <c r="W277" s="6"/>
    </row>
    <row r="278" ht="12.0" customHeight="1">
      <c r="A278" s="14"/>
      <c r="B278" s="15"/>
      <c r="C278" s="15"/>
      <c r="D278" s="16" t="s">
        <v>437</v>
      </c>
      <c r="E278" s="17" t="s">
        <v>438</v>
      </c>
      <c r="F278" s="9">
        <v>24.0</v>
      </c>
      <c r="G278" s="9"/>
      <c r="H278" s="305">
        <f>SUM(1.33*H276)</f>
        <v>155.61</v>
      </c>
      <c r="I278" s="9" t="s">
        <v>61</v>
      </c>
      <c r="J278" s="24">
        <v>2731.0</v>
      </c>
      <c r="K278" s="306">
        <f t="shared" si="98"/>
        <v>3734.64</v>
      </c>
      <c r="L278" s="301">
        <f t="shared" si="99"/>
        <v>264.537</v>
      </c>
      <c r="M278" s="9"/>
      <c r="N278" s="9"/>
      <c r="O278" s="9"/>
      <c r="P278" s="9"/>
      <c r="Q278" s="9"/>
      <c r="R278" s="9"/>
      <c r="S278" s="6"/>
      <c r="T278" s="6" t="s">
        <v>112</v>
      </c>
      <c r="U278" s="6"/>
      <c r="V278" s="6"/>
      <c r="W278" s="6"/>
    </row>
    <row r="279" ht="12.0" customHeight="1">
      <c r="A279" s="14"/>
      <c r="B279" s="15"/>
      <c r="C279" s="15"/>
      <c r="D279" s="15" t="s">
        <v>993</v>
      </c>
      <c r="E279" s="21" t="s">
        <v>440</v>
      </c>
      <c r="F279" s="50">
        <v>20.0</v>
      </c>
      <c r="G279" s="14"/>
      <c r="H279" s="307">
        <f>SUM(1.75*H276)</f>
        <v>204.75</v>
      </c>
      <c r="I279" s="14" t="s">
        <v>61</v>
      </c>
      <c r="J279" s="51">
        <v>2732.0</v>
      </c>
      <c r="K279" s="308">
        <f t="shared" si="98"/>
        <v>4095</v>
      </c>
      <c r="L279" s="301">
        <f t="shared" si="99"/>
        <v>348.075</v>
      </c>
      <c r="M279" s="14"/>
      <c r="N279" s="14"/>
      <c r="O279" s="14"/>
      <c r="P279" s="14"/>
      <c r="Q279" s="394" t="s">
        <v>994</v>
      </c>
      <c r="R279" s="14"/>
      <c r="S279" s="6"/>
      <c r="T279" s="158" t="s">
        <v>112</v>
      </c>
      <c r="U279" s="6"/>
      <c r="V279" s="6"/>
      <c r="W279" s="6"/>
    </row>
    <row r="280" ht="12.0" customHeight="1">
      <c r="A280" s="14"/>
      <c r="B280" s="15"/>
      <c r="C280" s="15"/>
      <c r="D280" s="15" t="s">
        <v>441</v>
      </c>
      <c r="E280" s="21" t="s">
        <v>442</v>
      </c>
      <c r="F280" s="14">
        <v>25.0</v>
      </c>
      <c r="G280" s="14"/>
      <c r="H280" s="307">
        <f>SUM(2.8*H276)</f>
        <v>327.6</v>
      </c>
      <c r="I280" s="14" t="s">
        <v>17</v>
      </c>
      <c r="J280" s="51">
        <v>15023.0</v>
      </c>
      <c r="K280" s="308">
        <f t="shared" si="98"/>
        <v>8190</v>
      </c>
      <c r="L280" s="301">
        <f t="shared" si="99"/>
        <v>556.92</v>
      </c>
      <c r="M280" s="14"/>
      <c r="N280" s="14"/>
      <c r="O280" s="14"/>
      <c r="P280" s="14"/>
      <c r="Q280" s="394"/>
      <c r="R280" s="14"/>
      <c r="S280" s="6"/>
      <c r="T280" s="158"/>
      <c r="U280" s="6"/>
      <c r="V280" s="6"/>
      <c r="W280" s="6"/>
    </row>
    <row r="281" ht="12.0" customHeight="1">
      <c r="A281" s="14"/>
      <c r="B281" s="15"/>
      <c r="C281" s="15"/>
      <c r="D281" s="16" t="s">
        <v>443</v>
      </c>
      <c r="E281" s="17" t="s">
        <v>444</v>
      </c>
      <c r="F281" s="9">
        <v>20.0</v>
      </c>
      <c r="G281" s="9"/>
      <c r="H281" s="305">
        <f>SUM(3.3*H276)</f>
        <v>386.1</v>
      </c>
      <c r="I281" s="9" t="s">
        <v>61</v>
      </c>
      <c r="J281" s="24">
        <v>2734.0</v>
      </c>
      <c r="K281" s="306">
        <f t="shared" si="98"/>
        <v>7722</v>
      </c>
      <c r="L281" s="301">
        <f t="shared" si="99"/>
        <v>656.37</v>
      </c>
      <c r="M281" s="9"/>
      <c r="N281" s="9"/>
      <c r="O281" s="9"/>
      <c r="P281" s="9"/>
      <c r="Q281" s="9"/>
      <c r="R281" s="9"/>
      <c r="S281" s="6"/>
      <c r="T281" s="6" t="s">
        <v>112</v>
      </c>
      <c r="U281" s="6"/>
      <c r="V281" s="6"/>
      <c r="W281" s="6"/>
    </row>
    <row r="282" ht="12.0" customHeight="1">
      <c r="A282" s="14"/>
      <c r="B282" s="15"/>
      <c r="C282" s="15"/>
      <c r="D282" s="15" t="s">
        <v>445</v>
      </c>
      <c r="E282" s="21" t="s">
        <v>446</v>
      </c>
      <c r="F282" s="14">
        <v>10.0</v>
      </c>
      <c r="G282" s="14"/>
      <c r="H282" s="307">
        <f>SUM(4*H276)</f>
        <v>468</v>
      </c>
      <c r="I282" s="14" t="s">
        <v>61</v>
      </c>
      <c r="J282" s="51">
        <v>2753.0</v>
      </c>
      <c r="K282" s="308">
        <f t="shared" si="98"/>
        <v>4680</v>
      </c>
      <c r="L282" s="301">
        <f t="shared" si="99"/>
        <v>795.6</v>
      </c>
      <c r="M282" s="14"/>
      <c r="N282" s="14"/>
      <c r="O282" s="14"/>
      <c r="P282" s="14"/>
      <c r="Q282" s="14"/>
      <c r="R282" s="14"/>
      <c r="S282" s="6"/>
      <c r="T282" s="158" t="s">
        <v>112</v>
      </c>
      <c r="U282" s="6"/>
      <c r="V282" s="6"/>
      <c r="W282" s="6"/>
    </row>
    <row r="283" ht="12.0" customHeight="1">
      <c r="A283" s="14"/>
      <c r="B283" s="15"/>
      <c r="C283" s="15"/>
      <c r="D283" s="16" t="s">
        <v>447</v>
      </c>
      <c r="E283" s="17" t="s">
        <v>448</v>
      </c>
      <c r="F283" s="33">
        <v>96.0</v>
      </c>
      <c r="G283" s="9"/>
      <c r="H283" s="305">
        <f>SUM(0.3*H294)</f>
        <v>20.1</v>
      </c>
      <c r="I283" s="9" t="s">
        <v>61</v>
      </c>
      <c r="J283" s="24">
        <v>2501.0</v>
      </c>
      <c r="K283" s="323">
        <f t="shared" ref="K283:K285" si="100">F283*H283</f>
        <v>1929.6</v>
      </c>
      <c r="L283" s="301">
        <f t="shared" ref="L283:L286" si="101">H283*2.08</f>
        <v>41.808</v>
      </c>
      <c r="M283" s="9"/>
      <c r="N283" s="9"/>
      <c r="O283" s="9"/>
      <c r="P283" s="9"/>
      <c r="Q283" s="353" t="s">
        <v>995</v>
      </c>
      <c r="R283" s="9"/>
      <c r="S283" s="6"/>
      <c r="T283" s="6" t="s">
        <v>112</v>
      </c>
      <c r="U283" s="6"/>
      <c r="V283" s="6"/>
      <c r="W283" s="6"/>
    </row>
    <row r="284" ht="12.0" customHeight="1">
      <c r="A284" s="14"/>
      <c r="B284" s="15"/>
      <c r="C284" s="15"/>
      <c r="D284" s="16" t="s">
        <v>447</v>
      </c>
      <c r="E284" s="17" t="s">
        <v>449</v>
      </c>
      <c r="F284" s="33">
        <v>48.0</v>
      </c>
      <c r="G284" s="9"/>
      <c r="H284" s="305">
        <f>SUM(0.34*H294)</f>
        <v>22.78</v>
      </c>
      <c r="I284" s="9" t="s">
        <v>61</v>
      </c>
      <c r="J284" s="24">
        <v>2502.0</v>
      </c>
      <c r="K284" s="323">
        <f t="shared" si="100"/>
        <v>1093.44</v>
      </c>
      <c r="L284" s="301">
        <f t="shared" si="101"/>
        <v>47.3824</v>
      </c>
      <c r="M284" s="9"/>
      <c r="N284" s="9"/>
      <c r="O284" s="9"/>
      <c r="P284" s="9"/>
      <c r="Q284" s="353" t="s">
        <v>996</v>
      </c>
      <c r="R284" s="9"/>
      <c r="S284" s="6"/>
      <c r="T284" s="6" t="s">
        <v>112</v>
      </c>
      <c r="U284" s="6"/>
      <c r="V284" s="6"/>
      <c r="W284" s="6"/>
    </row>
    <row r="285" ht="12.0" customHeight="1">
      <c r="A285" s="14"/>
      <c r="B285" s="15"/>
      <c r="C285" s="15"/>
      <c r="D285" s="15" t="s">
        <v>447</v>
      </c>
      <c r="E285" s="21" t="s">
        <v>450</v>
      </c>
      <c r="F285" s="50">
        <v>90.0</v>
      </c>
      <c r="G285" s="14"/>
      <c r="H285" s="307">
        <f>SUM(0.56*H294)</f>
        <v>37.52</v>
      </c>
      <c r="I285" s="14" t="s">
        <v>61</v>
      </c>
      <c r="J285" s="51">
        <v>2503.0</v>
      </c>
      <c r="K285" s="322">
        <f t="shared" si="100"/>
        <v>3376.8</v>
      </c>
      <c r="L285" s="301">
        <f t="shared" si="101"/>
        <v>78.0416</v>
      </c>
      <c r="M285" s="14"/>
      <c r="N285" s="14"/>
      <c r="O285" s="14"/>
      <c r="P285" s="14"/>
      <c r="Q285" s="14"/>
      <c r="R285" s="14"/>
      <c r="S285" s="6"/>
      <c r="T285" s="158" t="s">
        <v>112</v>
      </c>
      <c r="U285" s="6"/>
      <c r="V285" s="6"/>
      <c r="W285" s="6"/>
    </row>
    <row r="286" ht="12.0" customHeight="1">
      <c r="A286" s="14"/>
      <c r="B286" s="15"/>
      <c r="C286" s="15"/>
      <c r="D286" s="16" t="s">
        <v>447</v>
      </c>
      <c r="E286" s="17" t="s">
        <v>451</v>
      </c>
      <c r="F286" s="33">
        <v>75.0</v>
      </c>
      <c r="G286" s="9"/>
      <c r="H286" s="305">
        <f>SUM(0.74*H294)</f>
        <v>49.58</v>
      </c>
      <c r="I286" s="9" t="s">
        <v>61</v>
      </c>
      <c r="J286" s="24">
        <v>2504.0</v>
      </c>
      <c r="K286" s="306">
        <f>(F286*H286)</f>
        <v>3718.5</v>
      </c>
      <c r="L286" s="301">
        <f t="shared" si="101"/>
        <v>103.1264</v>
      </c>
      <c r="M286" s="9"/>
      <c r="N286" s="9"/>
      <c r="O286" s="9"/>
      <c r="P286" s="9"/>
      <c r="Q286" s="9"/>
      <c r="R286" s="9"/>
      <c r="S286" s="6"/>
      <c r="T286" s="6" t="s">
        <v>112</v>
      </c>
      <c r="U286" s="6"/>
      <c r="V286" s="6"/>
      <c r="W286" s="6"/>
    </row>
    <row r="287" ht="12.0" customHeight="1">
      <c r="A287" s="14"/>
      <c r="B287" s="15"/>
      <c r="C287" s="15"/>
      <c r="D287" s="16" t="s">
        <v>447</v>
      </c>
      <c r="E287" s="17" t="s">
        <v>452</v>
      </c>
      <c r="F287" s="33">
        <v>25.0</v>
      </c>
      <c r="G287" s="9"/>
      <c r="H287" s="305">
        <f>SUM(0.8*H294)</f>
        <v>53.6</v>
      </c>
      <c r="I287" s="9" t="s">
        <v>17</v>
      </c>
      <c r="J287" s="24">
        <v>5415.0</v>
      </c>
      <c r="K287" s="306">
        <f>H287*F287</f>
        <v>1340</v>
      </c>
      <c r="L287" s="301">
        <f>H287*1.9</f>
        <v>101.84</v>
      </c>
      <c r="M287" s="310">
        <v>33.0</v>
      </c>
      <c r="N287" s="311">
        <v>0.21</v>
      </c>
      <c r="O287" s="310">
        <f>SUM(M287*N287)</f>
        <v>6.93</v>
      </c>
      <c r="P287" s="9"/>
      <c r="Q287" s="9"/>
      <c r="R287" s="9"/>
      <c r="S287" s="6"/>
      <c r="T287" s="6"/>
      <c r="U287" s="6"/>
      <c r="V287" s="6"/>
      <c r="W287" s="6"/>
    </row>
    <row r="288" ht="12.0" customHeight="1">
      <c r="A288" s="14"/>
      <c r="B288" s="15"/>
      <c r="C288" s="15"/>
      <c r="D288" s="15" t="s">
        <v>453</v>
      </c>
      <c r="E288" s="21" t="s">
        <v>454</v>
      </c>
      <c r="F288" s="50">
        <v>24.0</v>
      </c>
      <c r="G288" s="14"/>
      <c r="H288" s="307">
        <f>SUM(1.35*H294)</f>
        <v>90.45</v>
      </c>
      <c r="I288" s="14" t="s">
        <v>17</v>
      </c>
      <c r="J288" s="51">
        <v>5416.0</v>
      </c>
      <c r="K288" s="322">
        <f t="shared" ref="K288:K300" si="102">F288*H288</f>
        <v>2170.8</v>
      </c>
      <c r="L288" s="301">
        <f>H288*1.8</f>
        <v>162.81</v>
      </c>
      <c r="M288" s="14"/>
      <c r="N288" s="14"/>
      <c r="O288" s="14"/>
      <c r="P288" s="14"/>
      <c r="Q288" s="14"/>
      <c r="R288" s="14"/>
      <c r="S288" s="6"/>
      <c r="T288" s="158" t="s">
        <v>112</v>
      </c>
      <c r="U288" s="6"/>
      <c r="V288" s="6"/>
      <c r="W288" s="6"/>
    </row>
    <row r="289" ht="12.0" customHeight="1">
      <c r="A289" s="14"/>
      <c r="B289" s="15"/>
      <c r="C289" s="15"/>
      <c r="D289" s="16" t="s">
        <v>455</v>
      </c>
      <c r="E289" s="17" t="s">
        <v>450</v>
      </c>
      <c r="F289" s="9">
        <v>2.0</v>
      </c>
      <c r="G289" s="9"/>
      <c r="H289" s="305">
        <f>SUM(0.44*H294)</f>
        <v>29.48</v>
      </c>
      <c r="I289" s="9" t="s">
        <v>61</v>
      </c>
      <c r="J289" s="24">
        <v>2512.0</v>
      </c>
      <c r="K289" s="323">
        <f t="shared" si="102"/>
        <v>58.96</v>
      </c>
      <c r="L289" s="301">
        <f t="shared" ref="L289:L294" si="103">H289*2.08</f>
        <v>61.3184</v>
      </c>
      <c r="M289" s="9"/>
      <c r="N289" s="9"/>
      <c r="O289" s="9"/>
      <c r="P289" s="9"/>
      <c r="Q289" s="9"/>
      <c r="R289" s="9"/>
      <c r="S289" s="6"/>
      <c r="T289" s="158" t="s">
        <v>112</v>
      </c>
      <c r="U289" s="6"/>
      <c r="V289" s="6"/>
      <c r="W289" s="6"/>
    </row>
    <row r="290" ht="12.0" customHeight="1">
      <c r="A290" s="14"/>
      <c r="B290" s="15"/>
      <c r="C290" s="15"/>
      <c r="D290" s="15" t="s">
        <v>455</v>
      </c>
      <c r="E290" s="21" t="s">
        <v>456</v>
      </c>
      <c r="F290" s="14">
        <v>24.0</v>
      </c>
      <c r="G290" s="14"/>
      <c r="H290" s="307">
        <f>SUM(0.56*H294)</f>
        <v>37.52</v>
      </c>
      <c r="I290" s="14" t="s">
        <v>61</v>
      </c>
      <c r="J290" s="51">
        <v>2513.0</v>
      </c>
      <c r="K290" s="322">
        <f t="shared" si="102"/>
        <v>900.48</v>
      </c>
      <c r="L290" s="301">
        <f t="shared" si="103"/>
        <v>78.0416</v>
      </c>
      <c r="M290" s="14"/>
      <c r="N290" s="14"/>
      <c r="O290" s="14"/>
      <c r="P290" s="14"/>
      <c r="Q290" s="14"/>
      <c r="R290" s="14"/>
      <c r="S290" s="6"/>
      <c r="T290" s="158" t="s">
        <v>112</v>
      </c>
      <c r="U290" s="6"/>
      <c r="V290" s="6"/>
      <c r="W290" s="6"/>
    </row>
    <row r="291" ht="12.0" customHeight="1">
      <c r="A291" s="14"/>
      <c r="B291" s="15"/>
      <c r="C291" s="15"/>
      <c r="D291" s="16" t="s">
        <v>457</v>
      </c>
      <c r="E291" s="17" t="s">
        <v>235</v>
      </c>
      <c r="F291" s="9">
        <v>64.0</v>
      </c>
      <c r="G291" s="9"/>
      <c r="H291" s="305">
        <f>SUM(0.24*H294)</f>
        <v>16.08</v>
      </c>
      <c r="I291" s="9" t="s">
        <v>61</v>
      </c>
      <c r="J291" s="24">
        <v>2519.0</v>
      </c>
      <c r="K291" s="323">
        <f t="shared" si="102"/>
        <v>1029.12</v>
      </c>
      <c r="L291" s="301">
        <f t="shared" si="103"/>
        <v>33.4464</v>
      </c>
      <c r="M291" s="9"/>
      <c r="N291" s="9"/>
      <c r="O291" s="9"/>
      <c r="P291" s="9"/>
      <c r="Q291" s="9"/>
      <c r="R291" s="9"/>
      <c r="S291" s="6"/>
      <c r="T291" s="6" t="s">
        <v>112</v>
      </c>
      <c r="U291" s="6"/>
      <c r="V291" s="6"/>
      <c r="W291" s="6"/>
    </row>
    <row r="292" ht="12.0" customHeight="1">
      <c r="A292" s="14"/>
      <c r="B292" s="15"/>
      <c r="C292" s="15"/>
      <c r="D292" s="15" t="s">
        <v>458</v>
      </c>
      <c r="E292" s="21" t="s">
        <v>459</v>
      </c>
      <c r="F292" s="14">
        <v>0.0</v>
      </c>
      <c r="G292" s="14"/>
      <c r="H292" s="307">
        <f>SUM(0.3*H294)</f>
        <v>20.1</v>
      </c>
      <c r="I292" s="14"/>
      <c r="J292" s="51"/>
      <c r="K292" s="322">
        <f t="shared" si="102"/>
        <v>0</v>
      </c>
      <c r="L292" s="301">
        <f t="shared" si="103"/>
        <v>41.808</v>
      </c>
      <c r="M292" s="14"/>
      <c r="N292" s="14"/>
      <c r="O292" s="14"/>
      <c r="P292" s="14"/>
      <c r="Q292" s="14"/>
      <c r="R292" s="14"/>
      <c r="S292" s="6"/>
      <c r="T292" s="158" t="s">
        <v>112</v>
      </c>
      <c r="U292" s="6"/>
      <c r="V292" s="6"/>
      <c r="W292" s="6"/>
    </row>
    <row r="293" ht="12.0" customHeight="1">
      <c r="A293" s="14"/>
      <c r="B293" s="15"/>
      <c r="C293" s="15"/>
      <c r="D293" s="16" t="s">
        <v>460</v>
      </c>
      <c r="E293" s="17" t="s">
        <v>461</v>
      </c>
      <c r="F293" s="9">
        <v>24.0</v>
      </c>
      <c r="G293" s="9"/>
      <c r="H293" s="305">
        <f>SUM(0.68*H294)</f>
        <v>45.56</v>
      </c>
      <c r="I293" s="9" t="s">
        <v>61</v>
      </c>
      <c r="J293" s="24">
        <v>2522.0</v>
      </c>
      <c r="K293" s="323">
        <f t="shared" si="102"/>
        <v>1093.44</v>
      </c>
      <c r="L293" s="301">
        <f t="shared" si="103"/>
        <v>94.7648</v>
      </c>
      <c r="M293" s="9"/>
      <c r="N293" s="9"/>
      <c r="O293" s="9"/>
      <c r="P293" s="9"/>
      <c r="Q293" s="9"/>
      <c r="R293" s="9"/>
      <c r="S293" s="6"/>
      <c r="T293" s="6" t="s">
        <v>112</v>
      </c>
      <c r="U293" s="6"/>
      <c r="V293" s="6"/>
      <c r="W293" s="6"/>
    </row>
    <row r="294" ht="12.0" customHeight="1">
      <c r="A294" s="14"/>
      <c r="B294" s="15"/>
      <c r="C294" s="15"/>
      <c r="D294" s="109" t="s">
        <v>460</v>
      </c>
      <c r="E294" s="159" t="s">
        <v>430</v>
      </c>
      <c r="F294" s="160">
        <v>24.0</v>
      </c>
      <c r="G294" s="160"/>
      <c r="H294" s="395">
        <v>67.0</v>
      </c>
      <c r="I294" s="160" t="s">
        <v>61</v>
      </c>
      <c r="J294" s="160">
        <v>2523.0</v>
      </c>
      <c r="K294" s="322">
        <f t="shared" si="102"/>
        <v>1608</v>
      </c>
      <c r="L294" s="301">
        <f t="shared" si="103"/>
        <v>139.36</v>
      </c>
      <c r="M294" s="14"/>
      <c r="N294" s="14"/>
      <c r="O294" s="14"/>
      <c r="P294" s="14"/>
      <c r="Q294" s="14"/>
      <c r="R294" s="14"/>
      <c r="S294" s="6"/>
      <c r="T294" s="158" t="s">
        <v>112</v>
      </c>
      <c r="U294" s="6"/>
      <c r="V294" s="6"/>
      <c r="W294" s="6"/>
    </row>
    <row r="295" ht="12.0" customHeight="1">
      <c r="A295" s="14"/>
      <c r="B295" s="15"/>
      <c r="C295" s="15"/>
      <c r="D295" s="31" t="s">
        <v>462</v>
      </c>
      <c r="E295" s="17"/>
      <c r="F295" s="9">
        <v>12.0</v>
      </c>
      <c r="G295" s="9"/>
      <c r="H295" s="305">
        <f>SUM(0.45*H294)</f>
        <v>30.15</v>
      </c>
      <c r="I295" s="9" t="s">
        <v>119</v>
      </c>
      <c r="J295" s="24" t="s">
        <v>463</v>
      </c>
      <c r="K295" s="306">
        <f t="shared" si="102"/>
        <v>361.8</v>
      </c>
      <c r="L295" s="301">
        <f t="shared" ref="L295:L297" si="104">H295*2</f>
        <v>60.3</v>
      </c>
      <c r="M295" s="9"/>
      <c r="N295" s="9"/>
      <c r="O295" s="9"/>
      <c r="P295" s="9"/>
      <c r="Q295" s="9"/>
      <c r="R295" s="9"/>
      <c r="S295" s="6"/>
      <c r="T295" s="6"/>
      <c r="U295" s="6"/>
      <c r="V295" s="6"/>
      <c r="W295" s="6"/>
    </row>
    <row r="296" ht="12.0" customHeight="1">
      <c r="A296" s="14"/>
      <c r="B296" s="15"/>
      <c r="C296" s="15"/>
      <c r="D296" s="46" t="s">
        <v>464</v>
      </c>
      <c r="E296" s="47" t="s">
        <v>465</v>
      </c>
      <c r="F296" s="50">
        <v>6.0</v>
      </c>
      <c r="G296" s="50"/>
      <c r="H296" s="307">
        <f>SUM(0.5*H294)</f>
        <v>33.5</v>
      </c>
      <c r="I296" s="50" t="s">
        <v>466</v>
      </c>
      <c r="J296" s="60"/>
      <c r="K296" s="396">
        <f t="shared" si="102"/>
        <v>201</v>
      </c>
      <c r="L296" s="301">
        <f t="shared" si="104"/>
        <v>67</v>
      </c>
      <c r="M296" s="14"/>
      <c r="N296" s="14"/>
      <c r="O296" s="14"/>
      <c r="P296" s="14"/>
      <c r="Q296" s="14"/>
      <c r="R296" s="14"/>
      <c r="S296" s="6"/>
      <c r="T296" s="6"/>
      <c r="U296" s="6"/>
      <c r="V296" s="6"/>
      <c r="W296" s="6"/>
    </row>
    <row r="297" ht="12.0" customHeight="1">
      <c r="A297" s="14"/>
      <c r="B297" s="15"/>
      <c r="C297" s="15"/>
      <c r="D297" s="31" t="s">
        <v>464</v>
      </c>
      <c r="E297" s="17" t="s">
        <v>467</v>
      </c>
      <c r="F297" s="9">
        <v>6.0</v>
      </c>
      <c r="G297" s="9"/>
      <c r="H297" s="305">
        <f>SUM(0.5*H294)</f>
        <v>33.5</v>
      </c>
      <c r="I297" s="9" t="s">
        <v>466</v>
      </c>
      <c r="J297" s="24"/>
      <c r="K297" s="306">
        <f t="shared" si="102"/>
        <v>201</v>
      </c>
      <c r="L297" s="301">
        <f t="shared" si="104"/>
        <v>67</v>
      </c>
      <c r="M297" s="9"/>
      <c r="N297" s="9"/>
      <c r="O297" s="9"/>
      <c r="P297" s="9"/>
      <c r="Q297" s="9"/>
      <c r="R297" s="9"/>
      <c r="S297" s="6"/>
      <c r="T297" s="6"/>
      <c r="U297" s="6"/>
      <c r="V297" s="6"/>
      <c r="W297" s="6"/>
    </row>
    <row r="298" ht="12.0" customHeight="1">
      <c r="A298" s="14"/>
      <c r="B298" s="15"/>
      <c r="C298" s="134"/>
      <c r="D298" s="39" t="s">
        <v>464</v>
      </c>
      <c r="E298" s="40" t="s">
        <v>468</v>
      </c>
      <c r="F298" s="41">
        <v>0.0</v>
      </c>
      <c r="G298" s="41"/>
      <c r="H298" s="319">
        <v>3.0</v>
      </c>
      <c r="I298" s="41" t="s">
        <v>466</v>
      </c>
      <c r="J298" s="81"/>
      <c r="K298" s="320">
        <f t="shared" si="102"/>
        <v>0</v>
      </c>
      <c r="L298" s="317">
        <f>H298*3.03</f>
        <v>9.09</v>
      </c>
      <c r="M298" s="14"/>
      <c r="N298" s="14"/>
      <c r="O298" s="14"/>
      <c r="P298" s="14"/>
      <c r="Q298" s="14"/>
      <c r="R298" s="14"/>
      <c r="S298" s="6"/>
      <c r="T298" s="6"/>
      <c r="U298" s="6"/>
      <c r="V298" s="6"/>
      <c r="W298" s="6"/>
    </row>
    <row r="299" ht="12.0" customHeight="1">
      <c r="A299" s="14"/>
      <c r="B299" s="15"/>
      <c r="C299" s="134"/>
      <c r="D299" s="31" t="s">
        <v>469</v>
      </c>
      <c r="E299" s="32"/>
      <c r="F299" s="33">
        <v>23.0</v>
      </c>
      <c r="G299" s="33"/>
      <c r="H299" s="345">
        <f t="shared" ref="H299:H301" si="105">SUM(M299+O299)</f>
        <v>111.32</v>
      </c>
      <c r="I299" s="33" t="s">
        <v>17</v>
      </c>
      <c r="J299" s="59">
        <v>4990.0</v>
      </c>
      <c r="K299" s="323">
        <f t="shared" si="102"/>
        <v>2560.36</v>
      </c>
      <c r="L299" s="346">
        <f t="shared" ref="L299:L300" si="106">H299*1.8</f>
        <v>200.376</v>
      </c>
      <c r="M299" s="310">
        <v>92.0</v>
      </c>
      <c r="N299" s="311">
        <v>0.21</v>
      </c>
      <c r="O299" s="310">
        <f t="shared" ref="O299:O301" si="107">SUM(M299*N299)</f>
        <v>19.32</v>
      </c>
      <c r="P299" s="9"/>
      <c r="Q299" s="9"/>
      <c r="R299" s="9"/>
      <c r="S299" s="6"/>
      <c r="T299" s="6"/>
      <c r="U299" s="6"/>
      <c r="V299" s="6"/>
      <c r="W299" s="6"/>
    </row>
    <row r="300" ht="12.0" customHeight="1">
      <c r="A300" s="14"/>
      <c r="B300" s="15"/>
      <c r="C300" s="15"/>
      <c r="D300" s="15" t="s">
        <v>470</v>
      </c>
      <c r="E300" s="21"/>
      <c r="F300" s="50">
        <v>24.0</v>
      </c>
      <c r="G300" s="14"/>
      <c r="H300" s="365">
        <f t="shared" si="105"/>
        <v>50.82</v>
      </c>
      <c r="I300" s="14" t="s">
        <v>17</v>
      </c>
      <c r="J300" s="50">
        <v>4989.0</v>
      </c>
      <c r="K300" s="308">
        <f t="shared" si="102"/>
        <v>1219.68</v>
      </c>
      <c r="L300" s="346">
        <f t="shared" si="106"/>
        <v>91.476</v>
      </c>
      <c r="M300" s="312">
        <v>42.0</v>
      </c>
      <c r="N300" s="313">
        <v>0.21</v>
      </c>
      <c r="O300" s="312">
        <f t="shared" si="107"/>
        <v>8.82</v>
      </c>
      <c r="P300" s="14"/>
      <c r="Q300" s="14"/>
      <c r="R300" s="14"/>
      <c r="S300" s="6" t="s">
        <v>997</v>
      </c>
      <c r="T300" s="6"/>
      <c r="U300" s="6"/>
      <c r="V300" s="6"/>
      <c r="W300" s="6"/>
    </row>
    <row r="301" ht="12.0" customHeight="1">
      <c r="A301" s="14"/>
      <c r="B301" s="15"/>
      <c r="C301" s="15"/>
      <c r="D301" s="162" t="s">
        <v>998</v>
      </c>
      <c r="E301" s="163" t="s">
        <v>472</v>
      </c>
      <c r="F301" s="163">
        <v>150.0</v>
      </c>
      <c r="G301" s="163"/>
      <c r="H301" s="345">
        <f t="shared" si="105"/>
        <v>7.865</v>
      </c>
      <c r="I301" s="163" t="s">
        <v>17</v>
      </c>
      <c r="J301" s="163">
        <v>7161.0</v>
      </c>
      <c r="K301" s="326">
        <f t="shared" ref="K301:K342" si="108">(F301*H301)</f>
        <v>1179.75</v>
      </c>
      <c r="L301" s="301">
        <f>H301*2.1</f>
        <v>16.5165</v>
      </c>
      <c r="M301" s="310">
        <f>SUM(Q301/200)</f>
        <v>6.5</v>
      </c>
      <c r="N301" s="311">
        <v>0.21</v>
      </c>
      <c r="O301" s="310">
        <f t="shared" si="107"/>
        <v>1.365</v>
      </c>
      <c r="P301" s="326"/>
      <c r="Q301" s="9">
        <v>1300.0</v>
      </c>
      <c r="R301" s="9"/>
      <c r="S301" s="6"/>
      <c r="T301" s="6"/>
      <c r="U301" s="6"/>
      <c r="V301" s="6"/>
      <c r="W301" s="6"/>
    </row>
    <row r="302" ht="12.0" customHeight="1">
      <c r="A302" s="14"/>
      <c r="B302" s="15"/>
      <c r="C302" s="15"/>
      <c r="D302" s="164" t="s">
        <v>473</v>
      </c>
      <c r="E302" s="157"/>
      <c r="F302" s="157">
        <v>0.0</v>
      </c>
      <c r="G302" s="157"/>
      <c r="H302" s="365">
        <v>36.0</v>
      </c>
      <c r="I302" s="157" t="s">
        <v>61</v>
      </c>
      <c r="J302" s="157">
        <v>2783.0</v>
      </c>
      <c r="K302" s="314">
        <f t="shared" si="108"/>
        <v>0</v>
      </c>
      <c r="L302" s="301">
        <f>H302*1.7</f>
        <v>61.2</v>
      </c>
      <c r="M302" s="312"/>
      <c r="N302" s="313"/>
      <c r="O302" s="312"/>
      <c r="P302" s="314"/>
      <c r="Q302" s="14"/>
      <c r="R302" s="14"/>
      <c r="S302" s="6"/>
      <c r="T302" s="6"/>
      <c r="U302" s="6"/>
      <c r="V302" s="6"/>
      <c r="W302" s="6"/>
    </row>
    <row r="303" ht="12.0" customHeight="1">
      <c r="A303" s="14"/>
      <c r="B303" s="15"/>
      <c r="C303" s="15"/>
      <c r="D303" s="25" t="s">
        <v>474</v>
      </c>
      <c r="E303" s="26"/>
      <c r="F303" s="27">
        <v>0.0</v>
      </c>
      <c r="G303" s="27"/>
      <c r="H303" s="315">
        <v>108.0</v>
      </c>
      <c r="I303" s="27" t="s">
        <v>293</v>
      </c>
      <c r="J303" s="103"/>
      <c r="K303" s="316">
        <f t="shared" si="108"/>
        <v>0</v>
      </c>
      <c r="L303" s="317">
        <f>H303*1.85</f>
        <v>199.8</v>
      </c>
      <c r="M303" s="9"/>
      <c r="N303" s="9"/>
      <c r="O303" s="9"/>
      <c r="P303" s="9"/>
      <c r="Q303" s="9"/>
      <c r="R303" s="9"/>
      <c r="S303" s="6"/>
      <c r="T303" s="6"/>
      <c r="U303" s="6"/>
      <c r="V303" s="6"/>
      <c r="W303" s="6"/>
    </row>
    <row r="304" ht="12.0" customHeight="1">
      <c r="A304" s="14"/>
      <c r="B304" s="16"/>
      <c r="C304" s="16"/>
      <c r="D304" s="15" t="s">
        <v>475</v>
      </c>
      <c r="E304" s="21" t="s">
        <v>478</v>
      </c>
      <c r="F304" s="14">
        <v>2.0</v>
      </c>
      <c r="G304" s="14"/>
      <c r="H304" s="307">
        <f>SUM(0.9*H305)</f>
        <v>153.549</v>
      </c>
      <c r="I304" s="14" t="s">
        <v>17</v>
      </c>
      <c r="J304" s="51">
        <v>1333.0</v>
      </c>
      <c r="K304" s="308">
        <f t="shared" si="108"/>
        <v>307.098</v>
      </c>
      <c r="L304" s="301">
        <f t="shared" ref="L304:L305" si="109">H304*1.7</f>
        <v>261.0333</v>
      </c>
      <c r="M304" s="312"/>
      <c r="N304" s="313"/>
      <c r="O304" s="312"/>
      <c r="P304" s="314"/>
      <c r="Q304" s="14"/>
      <c r="R304" s="14"/>
      <c r="S304" s="6"/>
      <c r="T304" s="6"/>
      <c r="U304" s="6"/>
      <c r="V304" s="6"/>
      <c r="W304" s="6"/>
    </row>
    <row r="305" ht="12.0" customHeight="1">
      <c r="A305" s="14"/>
      <c r="B305" s="16"/>
      <c r="C305" s="16"/>
      <c r="D305" s="9" t="s">
        <v>477</v>
      </c>
      <c r="E305" s="17"/>
      <c r="F305" s="9">
        <v>11.0</v>
      </c>
      <c r="G305" s="9"/>
      <c r="H305" s="387">
        <f>SUM(M305+O305)</f>
        <v>170.61</v>
      </c>
      <c r="I305" s="9" t="s">
        <v>17</v>
      </c>
      <c r="J305" s="24">
        <v>10021.0</v>
      </c>
      <c r="K305" s="306">
        <f t="shared" si="108"/>
        <v>1876.71</v>
      </c>
      <c r="L305" s="301">
        <f t="shared" si="109"/>
        <v>290.037</v>
      </c>
      <c r="M305" s="397">
        <v>141.0</v>
      </c>
      <c r="N305" s="311">
        <v>0.21</v>
      </c>
      <c r="O305" s="310">
        <f>SUM(M305*N305)</f>
        <v>29.61</v>
      </c>
      <c r="P305" s="9"/>
      <c r="Q305" s="9"/>
      <c r="R305" s="9"/>
      <c r="S305" s="6"/>
      <c r="T305" s="6"/>
      <c r="U305" s="6"/>
      <c r="V305" s="6"/>
      <c r="W305" s="6"/>
    </row>
    <row r="306" ht="12.0" customHeight="1">
      <c r="A306" s="14"/>
      <c r="B306" s="78"/>
      <c r="C306" s="78"/>
      <c r="D306" s="9" t="s">
        <v>479</v>
      </c>
      <c r="E306" s="32" t="s">
        <v>476</v>
      </c>
      <c r="F306" s="9">
        <v>2.0</v>
      </c>
      <c r="G306" s="9"/>
      <c r="H306" s="305">
        <f>SUM(1*H305)</f>
        <v>170.61</v>
      </c>
      <c r="I306" s="9" t="s">
        <v>949</v>
      </c>
      <c r="J306" s="24"/>
      <c r="K306" s="306">
        <f t="shared" si="108"/>
        <v>341.22</v>
      </c>
      <c r="L306" s="301">
        <f>H306*1.8</f>
        <v>307.098</v>
      </c>
      <c r="M306" s="310"/>
      <c r="N306" s="311"/>
      <c r="O306" s="310"/>
      <c r="P306" s="9"/>
      <c r="Q306" s="9"/>
      <c r="R306" s="9"/>
      <c r="S306" s="6"/>
      <c r="T306" s="6"/>
      <c r="U306" s="6"/>
      <c r="V306" s="6"/>
      <c r="W306" s="6"/>
    </row>
    <row r="307" ht="12.0" customHeight="1">
      <c r="A307" s="14"/>
      <c r="B307" s="78"/>
      <c r="C307" s="78"/>
      <c r="D307" s="41" t="s">
        <v>480</v>
      </c>
      <c r="E307" s="40" t="s">
        <v>410</v>
      </c>
      <c r="F307" s="41">
        <v>0.0</v>
      </c>
      <c r="G307" s="41"/>
      <c r="H307" s="319">
        <v>35.0</v>
      </c>
      <c r="I307" s="41" t="s">
        <v>293</v>
      </c>
      <c r="J307" s="81"/>
      <c r="K307" s="342">
        <f t="shared" si="108"/>
        <v>0</v>
      </c>
      <c r="L307" s="317">
        <f>H307*2</f>
        <v>70</v>
      </c>
      <c r="M307" s="9"/>
      <c r="N307" s="9"/>
      <c r="O307" s="9"/>
      <c r="P307" s="9"/>
      <c r="Q307" s="9"/>
      <c r="R307" s="9"/>
      <c r="S307" s="6"/>
      <c r="T307" s="6"/>
      <c r="U307" s="6"/>
      <c r="V307" s="6"/>
      <c r="W307" s="6"/>
    </row>
    <row r="308" ht="12.0" customHeight="1">
      <c r="A308" s="14"/>
      <c r="B308" s="1"/>
      <c r="C308" s="1"/>
      <c r="D308" s="14" t="s">
        <v>481</v>
      </c>
      <c r="E308" s="21" t="s">
        <v>482</v>
      </c>
      <c r="F308" s="14">
        <v>10.0</v>
      </c>
      <c r="G308" s="14"/>
      <c r="H308" s="365">
        <f t="shared" ref="H308:H309" si="110">SUM(M308+O308)</f>
        <v>38.72</v>
      </c>
      <c r="I308" s="14" t="s">
        <v>17</v>
      </c>
      <c r="J308" s="166">
        <v>2770.0</v>
      </c>
      <c r="K308" s="308">
        <f t="shared" si="108"/>
        <v>387.2</v>
      </c>
      <c r="L308" s="301">
        <f t="shared" ref="L308:L309" si="111">H308*1.8</f>
        <v>69.696</v>
      </c>
      <c r="M308" s="312">
        <v>32.0</v>
      </c>
      <c r="N308" s="313">
        <v>0.21</v>
      </c>
      <c r="O308" s="312">
        <f t="shared" ref="O308:O309" si="112">SUM(M308*N308)</f>
        <v>6.72</v>
      </c>
      <c r="P308" s="9"/>
      <c r="Q308" s="9"/>
      <c r="R308" s="9"/>
      <c r="S308" s="6"/>
      <c r="T308" s="6"/>
      <c r="U308" s="6"/>
      <c r="V308" s="6"/>
      <c r="W308" s="6"/>
    </row>
    <row r="309" ht="12.0" customHeight="1">
      <c r="A309" s="14"/>
      <c r="B309" s="78"/>
      <c r="C309" s="78"/>
      <c r="D309" s="33" t="s">
        <v>483</v>
      </c>
      <c r="E309" s="17"/>
      <c r="F309" s="9">
        <v>10.0</v>
      </c>
      <c r="G309" s="9"/>
      <c r="H309" s="345">
        <f t="shared" si="110"/>
        <v>68.97</v>
      </c>
      <c r="I309" s="9" t="s">
        <v>17</v>
      </c>
      <c r="J309" s="263">
        <v>2782.0</v>
      </c>
      <c r="K309" s="306">
        <f t="shared" si="108"/>
        <v>689.7</v>
      </c>
      <c r="L309" s="301">
        <f t="shared" si="111"/>
        <v>124.146</v>
      </c>
      <c r="M309" s="310">
        <v>57.0</v>
      </c>
      <c r="N309" s="311">
        <v>0.21</v>
      </c>
      <c r="O309" s="310">
        <f t="shared" si="112"/>
        <v>11.97</v>
      </c>
      <c r="P309" s="9"/>
      <c r="Q309" s="9"/>
      <c r="R309" s="9"/>
      <c r="S309" s="6"/>
      <c r="T309" s="6"/>
      <c r="U309" s="6"/>
      <c r="V309" s="6"/>
      <c r="W309" s="6"/>
    </row>
    <row r="310" ht="12.0" customHeight="1">
      <c r="A310" s="14"/>
      <c r="B310" s="15"/>
      <c r="C310" s="15"/>
      <c r="D310" s="33" t="s">
        <v>484</v>
      </c>
      <c r="E310" s="17"/>
      <c r="F310" s="398">
        <v>0.0</v>
      </c>
      <c r="G310" s="9"/>
      <c r="H310" s="305">
        <f>SUM(0.96*H313)</f>
        <v>124.8</v>
      </c>
      <c r="I310" s="9" t="s">
        <v>61</v>
      </c>
      <c r="J310" s="33">
        <v>2805.0</v>
      </c>
      <c r="K310" s="326">
        <f t="shared" si="108"/>
        <v>0</v>
      </c>
      <c r="L310" s="301">
        <f t="shared" ref="L310:L315" si="113">H310*2.02</f>
        <v>252.096</v>
      </c>
      <c r="M310" s="9"/>
      <c r="N310" s="9"/>
      <c r="O310" s="9"/>
      <c r="P310" s="9"/>
      <c r="Q310" s="9"/>
      <c r="R310" s="9"/>
      <c r="S310" s="6"/>
      <c r="T310" s="6"/>
      <c r="U310" s="6"/>
      <c r="V310" s="6"/>
      <c r="W310" s="6"/>
    </row>
    <row r="311" ht="12.0" customHeight="1">
      <c r="A311" s="14"/>
      <c r="B311" s="78"/>
      <c r="C311" s="78"/>
      <c r="D311" s="50" t="s">
        <v>485</v>
      </c>
      <c r="E311" s="21"/>
      <c r="F311" s="14">
        <v>10.0</v>
      </c>
      <c r="G311" s="14"/>
      <c r="H311" s="307">
        <f>SUM(0.9*H313)</f>
        <v>117</v>
      </c>
      <c r="I311" s="14" t="s">
        <v>61</v>
      </c>
      <c r="J311" s="50">
        <v>2806.0</v>
      </c>
      <c r="K311" s="314">
        <f t="shared" si="108"/>
        <v>1170</v>
      </c>
      <c r="L311" s="301">
        <f t="shared" si="113"/>
        <v>236.34</v>
      </c>
      <c r="M311" s="9"/>
      <c r="N311" s="9"/>
      <c r="O311" s="9"/>
      <c r="P311" s="9"/>
      <c r="Q311" s="9"/>
      <c r="R311" s="9"/>
      <c r="S311" s="6"/>
      <c r="T311" s="6"/>
      <c r="U311" s="6"/>
      <c r="V311" s="6"/>
      <c r="W311" s="6"/>
    </row>
    <row r="312" ht="12.0" customHeight="1">
      <c r="A312" s="14"/>
      <c r="B312" s="1"/>
      <c r="C312" s="1"/>
      <c r="D312" s="33" t="s">
        <v>486</v>
      </c>
      <c r="E312" s="17"/>
      <c r="F312" s="9">
        <v>6.0</v>
      </c>
      <c r="G312" s="9"/>
      <c r="H312" s="305">
        <f>SUM(0.94*H313)</f>
        <v>122.2</v>
      </c>
      <c r="I312" s="9" t="s">
        <v>61</v>
      </c>
      <c r="J312" s="33">
        <v>2807.0</v>
      </c>
      <c r="K312" s="326">
        <f t="shared" si="108"/>
        <v>733.2</v>
      </c>
      <c r="L312" s="301">
        <f t="shared" si="113"/>
        <v>246.844</v>
      </c>
      <c r="M312" s="9"/>
      <c r="N312" s="9"/>
      <c r="O312" s="9"/>
      <c r="P312" s="9"/>
      <c r="Q312" s="9"/>
      <c r="R312" s="9"/>
      <c r="S312" s="6"/>
      <c r="T312" s="6"/>
      <c r="U312" s="6"/>
      <c r="V312" s="6"/>
      <c r="W312" s="6"/>
    </row>
    <row r="313" ht="12.0" customHeight="1">
      <c r="A313" s="14"/>
      <c r="B313" s="78"/>
      <c r="C313" s="78"/>
      <c r="D313" s="50" t="s">
        <v>487</v>
      </c>
      <c r="E313" s="21"/>
      <c r="F313" s="14">
        <v>3.0</v>
      </c>
      <c r="G313" s="14"/>
      <c r="H313" s="377">
        <v>130.0</v>
      </c>
      <c r="I313" s="14" t="s">
        <v>61</v>
      </c>
      <c r="J313" s="50">
        <v>2808.0</v>
      </c>
      <c r="K313" s="314">
        <f t="shared" si="108"/>
        <v>390</v>
      </c>
      <c r="L313" s="301">
        <f t="shared" si="113"/>
        <v>262.6</v>
      </c>
      <c r="M313" s="9"/>
      <c r="N313" s="9"/>
      <c r="O313" s="9"/>
      <c r="P313" s="9"/>
      <c r="Q313" s="9"/>
      <c r="R313" s="9"/>
      <c r="S313" s="6"/>
      <c r="T313" s="6"/>
      <c r="U313" s="6"/>
      <c r="V313" s="6"/>
      <c r="W313" s="6"/>
    </row>
    <row r="314" ht="12.0" customHeight="1">
      <c r="A314" s="14"/>
      <c r="B314" s="15"/>
      <c r="C314" s="15"/>
      <c r="D314" s="116" t="s">
        <v>488</v>
      </c>
      <c r="E314" s="117"/>
      <c r="F314" s="116">
        <v>0.0</v>
      </c>
      <c r="G314" s="116"/>
      <c r="H314" s="399">
        <v>11.1</v>
      </c>
      <c r="I314" s="116" t="s">
        <v>61</v>
      </c>
      <c r="J314" s="116">
        <v>2809.0</v>
      </c>
      <c r="K314" s="400">
        <f t="shared" si="108"/>
        <v>0</v>
      </c>
      <c r="L314" s="401">
        <f t="shared" si="113"/>
        <v>22.422</v>
      </c>
      <c r="M314" s="9"/>
      <c r="N314" s="9"/>
      <c r="O314" s="9"/>
      <c r="P314" s="9"/>
      <c r="Q314" s="9"/>
      <c r="R314" s="9"/>
      <c r="S314" s="6"/>
      <c r="T314" s="6"/>
      <c r="U314" s="6"/>
      <c r="V314" s="6"/>
      <c r="W314" s="6"/>
    </row>
    <row r="315" ht="12.0" customHeight="1">
      <c r="A315" s="14"/>
      <c r="B315" s="15"/>
      <c r="C315" s="15"/>
      <c r="D315" s="50" t="s">
        <v>489</v>
      </c>
      <c r="E315" s="21"/>
      <c r="F315" s="14">
        <v>6.0</v>
      </c>
      <c r="G315" s="14"/>
      <c r="H315" s="307">
        <f>SUM(2.1*H313)</f>
        <v>273</v>
      </c>
      <c r="I315" s="14" t="s">
        <v>61</v>
      </c>
      <c r="J315" s="50">
        <v>2810.0</v>
      </c>
      <c r="K315" s="314">
        <f t="shared" si="108"/>
        <v>1638</v>
      </c>
      <c r="L315" s="301">
        <f t="shared" si="113"/>
        <v>551.46</v>
      </c>
      <c r="M315" s="9"/>
      <c r="N315" s="9"/>
      <c r="O315" s="9"/>
      <c r="P315" s="9"/>
      <c r="Q315" s="9"/>
      <c r="R315" s="9"/>
      <c r="S315" s="6"/>
      <c r="T315" s="6"/>
      <c r="U315" s="6"/>
      <c r="V315" s="6"/>
      <c r="W315" s="6"/>
    </row>
    <row r="316" ht="12.0" customHeight="1">
      <c r="A316" s="14"/>
      <c r="B316" s="15"/>
      <c r="C316" s="15"/>
      <c r="D316" s="33" t="s">
        <v>490</v>
      </c>
      <c r="E316" s="17"/>
      <c r="F316" s="9">
        <v>6.0</v>
      </c>
      <c r="G316" s="9"/>
      <c r="H316" s="345">
        <f>SUM(2.34*H313)</f>
        <v>304.2</v>
      </c>
      <c r="I316" s="9" t="s">
        <v>61</v>
      </c>
      <c r="J316" s="33">
        <v>2811.0</v>
      </c>
      <c r="K316" s="326">
        <f t="shared" si="108"/>
        <v>1825.2</v>
      </c>
      <c r="L316" s="301">
        <f>H316*1.7</f>
        <v>517.14</v>
      </c>
      <c r="M316" s="9"/>
      <c r="N316" s="9"/>
      <c r="O316" s="9"/>
      <c r="P316" s="9"/>
      <c r="Q316" s="9"/>
      <c r="R316" s="9"/>
      <c r="S316" s="6"/>
      <c r="T316" s="6"/>
      <c r="U316" s="6"/>
      <c r="V316" s="6"/>
      <c r="W316" s="6"/>
    </row>
    <row r="317" ht="12.0" customHeight="1">
      <c r="A317" s="14"/>
      <c r="B317" s="15"/>
      <c r="C317" s="15"/>
      <c r="D317" s="121" t="s">
        <v>491</v>
      </c>
      <c r="E317" s="120"/>
      <c r="F317" s="121">
        <v>0.0</v>
      </c>
      <c r="G317" s="121"/>
      <c r="H317" s="402">
        <v>9.6</v>
      </c>
      <c r="I317" s="121" t="s">
        <v>61</v>
      </c>
      <c r="J317" s="121">
        <v>2812.0</v>
      </c>
      <c r="K317" s="403">
        <f t="shared" si="108"/>
        <v>0</v>
      </c>
      <c r="L317" s="401">
        <f t="shared" ref="L317:L326" si="114">H317*2.02</f>
        <v>19.392</v>
      </c>
      <c r="M317" s="9"/>
      <c r="N317" s="9"/>
      <c r="O317" s="9"/>
      <c r="P317" s="9"/>
      <c r="Q317" s="9"/>
      <c r="R317" s="9"/>
      <c r="S317" s="6"/>
      <c r="T317" s="6"/>
      <c r="U317" s="6"/>
      <c r="V317" s="6"/>
      <c r="W317" s="6"/>
    </row>
    <row r="318" ht="12.0" customHeight="1">
      <c r="A318" s="14"/>
      <c r="B318" s="15"/>
      <c r="C318" s="15"/>
      <c r="D318" s="116" t="s">
        <v>492</v>
      </c>
      <c r="E318" s="117"/>
      <c r="F318" s="116">
        <v>0.0</v>
      </c>
      <c r="G318" s="116"/>
      <c r="H318" s="399">
        <v>9.6</v>
      </c>
      <c r="I318" s="116" t="s">
        <v>61</v>
      </c>
      <c r="J318" s="116">
        <v>2813.0</v>
      </c>
      <c r="K318" s="400">
        <f t="shared" si="108"/>
        <v>0</v>
      </c>
      <c r="L318" s="401">
        <f t="shared" si="114"/>
        <v>19.392</v>
      </c>
      <c r="M318" s="9"/>
      <c r="N318" s="9"/>
      <c r="O318" s="9"/>
      <c r="P318" s="9"/>
      <c r="Q318" s="9"/>
      <c r="R318" s="9"/>
      <c r="S318" s="6"/>
      <c r="T318" s="6"/>
      <c r="U318" s="6"/>
      <c r="V318" s="6"/>
      <c r="W318" s="6"/>
    </row>
    <row r="319" ht="12.0" customHeight="1">
      <c r="A319" s="14"/>
      <c r="B319" s="15"/>
      <c r="C319" s="15"/>
      <c r="D319" s="50" t="s">
        <v>493</v>
      </c>
      <c r="E319" s="21"/>
      <c r="F319" s="14">
        <v>1.0</v>
      </c>
      <c r="G319" s="14"/>
      <c r="H319" s="307">
        <f>SUM(1*H313)</f>
        <v>130</v>
      </c>
      <c r="I319" s="14" t="s">
        <v>61</v>
      </c>
      <c r="J319" s="50">
        <v>2814.0</v>
      </c>
      <c r="K319" s="314">
        <f t="shared" si="108"/>
        <v>130</v>
      </c>
      <c r="L319" s="301">
        <f t="shared" si="114"/>
        <v>262.6</v>
      </c>
      <c r="M319" s="9"/>
      <c r="N319" s="9"/>
      <c r="O319" s="9"/>
      <c r="P319" s="9"/>
      <c r="Q319" s="9"/>
      <c r="R319" s="9"/>
      <c r="S319" s="6"/>
      <c r="T319" s="6"/>
      <c r="U319" s="6"/>
      <c r="V319" s="6"/>
      <c r="W319" s="6"/>
    </row>
    <row r="320" ht="12.0" customHeight="1">
      <c r="A320" s="14"/>
      <c r="B320" s="15"/>
      <c r="C320" s="15"/>
      <c r="D320" s="33" t="s">
        <v>494</v>
      </c>
      <c r="E320" s="17"/>
      <c r="F320" s="9">
        <v>4.0</v>
      </c>
      <c r="G320" s="9"/>
      <c r="H320" s="305">
        <f>SUM(1*H313)</f>
        <v>130</v>
      </c>
      <c r="I320" s="9" t="s">
        <v>61</v>
      </c>
      <c r="J320" s="33">
        <v>2815.0</v>
      </c>
      <c r="K320" s="326">
        <f t="shared" si="108"/>
        <v>520</v>
      </c>
      <c r="L320" s="301">
        <f t="shared" si="114"/>
        <v>262.6</v>
      </c>
      <c r="M320" s="9"/>
      <c r="N320" s="9"/>
      <c r="O320" s="9"/>
      <c r="P320" s="9"/>
      <c r="Q320" s="9"/>
      <c r="R320" s="9"/>
      <c r="S320" s="6"/>
      <c r="T320" s="6"/>
      <c r="U320" s="6"/>
      <c r="V320" s="6"/>
      <c r="W320" s="6"/>
    </row>
    <row r="321" ht="12.0" customHeight="1">
      <c r="A321" s="14"/>
      <c r="B321" s="15"/>
      <c r="C321" s="15"/>
      <c r="D321" s="50" t="s">
        <v>495</v>
      </c>
      <c r="E321" s="21"/>
      <c r="F321" s="14">
        <v>6.0</v>
      </c>
      <c r="G321" s="14"/>
      <c r="H321" s="307">
        <f>SUM(1.29*H313)</f>
        <v>167.7</v>
      </c>
      <c r="I321" s="14" t="s">
        <v>61</v>
      </c>
      <c r="J321" s="50">
        <v>2816.0</v>
      </c>
      <c r="K321" s="314">
        <f t="shared" si="108"/>
        <v>1006.2</v>
      </c>
      <c r="L321" s="301">
        <f t="shared" si="114"/>
        <v>338.754</v>
      </c>
      <c r="M321" s="9"/>
      <c r="N321" s="9"/>
      <c r="O321" s="9"/>
      <c r="P321" s="9"/>
      <c r="Q321" s="9"/>
      <c r="R321" s="9"/>
      <c r="S321" s="6"/>
      <c r="T321" s="6"/>
      <c r="U321" s="6"/>
      <c r="V321" s="6"/>
      <c r="W321" s="6"/>
    </row>
    <row r="322" ht="12.0" customHeight="1">
      <c r="A322" s="14"/>
      <c r="B322" s="15"/>
      <c r="C322" s="15"/>
      <c r="D322" s="33" t="s">
        <v>496</v>
      </c>
      <c r="E322" s="17"/>
      <c r="F322" s="9">
        <v>2.0</v>
      </c>
      <c r="G322" s="9"/>
      <c r="H322" s="305">
        <f>SUM(1.29*H313)</f>
        <v>167.7</v>
      </c>
      <c r="I322" s="9" t="s">
        <v>61</v>
      </c>
      <c r="J322" s="33">
        <v>2818.0</v>
      </c>
      <c r="K322" s="326">
        <f t="shared" si="108"/>
        <v>335.4</v>
      </c>
      <c r="L322" s="301">
        <f t="shared" si="114"/>
        <v>338.754</v>
      </c>
      <c r="M322" s="9"/>
      <c r="N322" s="9"/>
      <c r="O322" s="9"/>
      <c r="P322" s="9"/>
      <c r="Q322" s="9"/>
      <c r="R322" s="9"/>
      <c r="S322" s="6"/>
      <c r="T322" s="6"/>
      <c r="U322" s="6"/>
      <c r="V322" s="6"/>
      <c r="W322" s="6"/>
    </row>
    <row r="323" ht="12.0" customHeight="1">
      <c r="A323" s="14"/>
      <c r="B323" s="15"/>
      <c r="C323" s="15"/>
      <c r="D323" s="50" t="s">
        <v>497</v>
      </c>
      <c r="E323" s="21"/>
      <c r="F323" s="14">
        <v>2.0</v>
      </c>
      <c r="G323" s="14"/>
      <c r="H323" s="307">
        <f>SUM(1.29*H313)</f>
        <v>167.7</v>
      </c>
      <c r="I323" s="14" t="s">
        <v>61</v>
      </c>
      <c r="J323" s="50">
        <v>2820.0</v>
      </c>
      <c r="K323" s="314">
        <f t="shared" si="108"/>
        <v>335.4</v>
      </c>
      <c r="L323" s="301">
        <f t="shared" si="114"/>
        <v>338.754</v>
      </c>
      <c r="M323" s="9"/>
      <c r="N323" s="9"/>
      <c r="O323" s="9"/>
      <c r="P323" s="9"/>
      <c r="Q323" s="9"/>
      <c r="R323" s="9"/>
      <c r="S323" s="6"/>
      <c r="T323" s="6"/>
      <c r="U323" s="6"/>
      <c r="V323" s="6"/>
      <c r="W323" s="6"/>
    </row>
    <row r="324" ht="12.0" customHeight="1">
      <c r="A324" s="14"/>
      <c r="B324" s="15"/>
      <c r="C324" s="15"/>
      <c r="D324" s="33" t="s">
        <v>498</v>
      </c>
      <c r="E324" s="17"/>
      <c r="F324" s="9">
        <v>6.0</v>
      </c>
      <c r="G324" s="9"/>
      <c r="H324" s="305">
        <f>SUM(1.86*H313)</f>
        <v>241.8</v>
      </c>
      <c r="I324" s="9" t="s">
        <v>61</v>
      </c>
      <c r="J324" s="33">
        <v>2822.0</v>
      </c>
      <c r="K324" s="326">
        <f t="shared" si="108"/>
        <v>1450.8</v>
      </c>
      <c r="L324" s="301">
        <f t="shared" si="114"/>
        <v>488.436</v>
      </c>
      <c r="M324" s="9"/>
      <c r="N324" s="9"/>
      <c r="O324" s="9"/>
      <c r="P324" s="9"/>
      <c r="Q324" s="9"/>
      <c r="R324" s="9"/>
      <c r="S324" s="6"/>
      <c r="T324" s="6"/>
      <c r="U324" s="6"/>
      <c r="V324" s="6"/>
      <c r="W324" s="6"/>
    </row>
    <row r="325" ht="12.0" customHeight="1">
      <c r="A325" s="14"/>
      <c r="B325" s="15"/>
      <c r="C325" s="15"/>
      <c r="D325" s="50" t="s">
        <v>499</v>
      </c>
      <c r="E325" s="21"/>
      <c r="F325" s="14">
        <v>1.0</v>
      </c>
      <c r="G325" s="14"/>
      <c r="H325" s="307">
        <f>SUM(0.8*H313)</f>
        <v>104</v>
      </c>
      <c r="I325" s="14" t="s">
        <v>61</v>
      </c>
      <c r="J325" s="50">
        <v>2824.0</v>
      </c>
      <c r="K325" s="314">
        <f t="shared" si="108"/>
        <v>104</v>
      </c>
      <c r="L325" s="301">
        <f t="shared" si="114"/>
        <v>210.08</v>
      </c>
      <c r="M325" s="9"/>
      <c r="N325" s="9"/>
      <c r="O325" s="9"/>
      <c r="P325" s="9"/>
      <c r="Q325" s="9"/>
      <c r="R325" s="9"/>
      <c r="S325" s="6"/>
      <c r="T325" s="6"/>
      <c r="U325" s="6"/>
      <c r="V325" s="6"/>
      <c r="W325" s="6"/>
    </row>
    <row r="326" ht="12.0" customHeight="1">
      <c r="A326" s="14"/>
      <c r="B326" s="15"/>
      <c r="C326" s="15"/>
      <c r="D326" s="33" t="s">
        <v>500</v>
      </c>
      <c r="E326" s="17"/>
      <c r="F326" s="9">
        <v>1.0</v>
      </c>
      <c r="G326" s="9"/>
      <c r="H326" s="305">
        <f>SUM(1.29*H313)</f>
        <v>167.7</v>
      </c>
      <c r="I326" s="9" t="s">
        <v>61</v>
      </c>
      <c r="J326" s="33">
        <v>2825.0</v>
      </c>
      <c r="K326" s="326">
        <f t="shared" si="108"/>
        <v>167.7</v>
      </c>
      <c r="L326" s="301">
        <f t="shared" si="114"/>
        <v>338.754</v>
      </c>
      <c r="M326" s="9"/>
      <c r="N326" s="9"/>
      <c r="O326" s="9"/>
      <c r="P326" s="9"/>
      <c r="Q326" s="9"/>
      <c r="R326" s="9"/>
      <c r="S326" s="6"/>
      <c r="T326" s="6"/>
      <c r="U326" s="6"/>
      <c r="V326" s="6"/>
      <c r="W326" s="6"/>
    </row>
    <row r="327" ht="12.0" customHeight="1">
      <c r="A327" s="14"/>
      <c r="B327" s="15"/>
      <c r="C327" s="15"/>
      <c r="D327" s="50" t="s">
        <v>501</v>
      </c>
      <c r="E327" s="21"/>
      <c r="F327" s="14">
        <v>6.0</v>
      </c>
      <c r="G327" s="14"/>
      <c r="H327" s="307">
        <f>SUM(2.58*H313)</f>
        <v>335.4</v>
      </c>
      <c r="I327" s="14" t="s">
        <v>61</v>
      </c>
      <c r="J327" s="50">
        <v>2828.0</v>
      </c>
      <c r="K327" s="314">
        <f t="shared" si="108"/>
        <v>2012.4</v>
      </c>
      <c r="L327" s="301">
        <f>H327*1.7</f>
        <v>570.18</v>
      </c>
      <c r="M327" s="9"/>
      <c r="N327" s="9"/>
      <c r="O327" s="9"/>
      <c r="P327" s="9"/>
      <c r="Q327" s="9"/>
      <c r="R327" s="9"/>
      <c r="S327" s="6"/>
      <c r="T327" s="6"/>
      <c r="U327" s="6"/>
      <c r="V327" s="6"/>
      <c r="W327" s="6"/>
    </row>
    <row r="328" ht="12.0" customHeight="1">
      <c r="A328" s="14"/>
      <c r="B328" s="15"/>
      <c r="C328" s="15"/>
      <c r="D328" s="33" t="s">
        <v>502</v>
      </c>
      <c r="E328" s="17"/>
      <c r="F328" s="9">
        <v>2.0</v>
      </c>
      <c r="G328" s="9"/>
      <c r="H328" s="305">
        <f>SUM(1.4*H313)</f>
        <v>182</v>
      </c>
      <c r="I328" s="9" t="s">
        <v>61</v>
      </c>
      <c r="J328" s="33">
        <v>2835.0</v>
      </c>
      <c r="K328" s="326">
        <f t="shared" si="108"/>
        <v>364</v>
      </c>
      <c r="L328" s="301">
        <f t="shared" ref="L328:L337" si="115">H328*2.02</f>
        <v>367.64</v>
      </c>
      <c r="M328" s="9"/>
      <c r="N328" s="9"/>
      <c r="O328" s="9"/>
      <c r="P328" s="9"/>
      <c r="Q328" s="9"/>
      <c r="R328" s="9"/>
      <c r="S328" s="6"/>
      <c r="T328" s="6"/>
      <c r="U328" s="6"/>
      <c r="V328" s="6"/>
      <c r="W328" s="6"/>
    </row>
    <row r="329" ht="12.0" customHeight="1">
      <c r="A329" s="14"/>
      <c r="B329" s="15"/>
      <c r="C329" s="15"/>
      <c r="D329" s="50" t="s">
        <v>503</v>
      </c>
      <c r="E329" s="21"/>
      <c r="F329" s="14">
        <v>4.0</v>
      </c>
      <c r="G329" s="14"/>
      <c r="H329" s="307">
        <f>SUM(0.7*H313)</f>
        <v>91</v>
      </c>
      <c r="I329" s="14" t="s">
        <v>61</v>
      </c>
      <c r="J329" s="50">
        <v>2836.0</v>
      </c>
      <c r="K329" s="314">
        <f t="shared" si="108"/>
        <v>364</v>
      </c>
      <c r="L329" s="301">
        <f t="shared" si="115"/>
        <v>183.82</v>
      </c>
      <c r="M329" s="9"/>
      <c r="N329" s="9"/>
      <c r="O329" s="9"/>
      <c r="P329" s="9"/>
      <c r="Q329" s="9"/>
      <c r="R329" s="9"/>
      <c r="S329" s="6"/>
      <c r="T329" s="6"/>
      <c r="U329" s="6"/>
      <c r="V329" s="6"/>
      <c r="W329" s="6"/>
    </row>
    <row r="330" ht="12.0" customHeight="1">
      <c r="A330" s="14"/>
      <c r="B330" s="15"/>
      <c r="C330" s="15"/>
      <c r="D330" s="33" t="s">
        <v>504</v>
      </c>
      <c r="E330" s="17"/>
      <c r="F330" s="9">
        <v>1.0</v>
      </c>
      <c r="G330" s="9"/>
      <c r="H330" s="305">
        <f>SUM(0.9*H313)</f>
        <v>117</v>
      </c>
      <c r="I330" s="9" t="s">
        <v>61</v>
      </c>
      <c r="J330" s="33">
        <v>2837.0</v>
      </c>
      <c r="K330" s="326">
        <f t="shared" si="108"/>
        <v>117</v>
      </c>
      <c r="L330" s="301">
        <f t="shared" si="115"/>
        <v>236.34</v>
      </c>
      <c r="M330" s="9"/>
      <c r="N330" s="9"/>
      <c r="O330" s="9"/>
      <c r="P330" s="9"/>
      <c r="Q330" s="9"/>
      <c r="R330" s="9"/>
      <c r="S330" s="6"/>
      <c r="T330" s="6"/>
      <c r="U330" s="6"/>
      <c r="V330" s="6"/>
      <c r="W330" s="6"/>
    </row>
    <row r="331" ht="12.0" customHeight="1">
      <c r="A331" s="14"/>
      <c r="B331" s="15"/>
      <c r="C331" s="15"/>
      <c r="D331" s="50" t="s">
        <v>505</v>
      </c>
      <c r="E331" s="21"/>
      <c r="F331" s="14">
        <v>6.0</v>
      </c>
      <c r="G331" s="14"/>
      <c r="H331" s="307">
        <f>SUM(0.9*H313)</f>
        <v>117</v>
      </c>
      <c r="I331" s="14" t="s">
        <v>61</v>
      </c>
      <c r="J331" s="50">
        <v>2838.0</v>
      </c>
      <c r="K331" s="314">
        <f t="shared" si="108"/>
        <v>702</v>
      </c>
      <c r="L331" s="301">
        <f t="shared" si="115"/>
        <v>236.34</v>
      </c>
      <c r="M331" s="9"/>
      <c r="N331" s="9"/>
      <c r="O331" s="9"/>
      <c r="P331" s="9"/>
      <c r="Q331" s="9"/>
      <c r="R331" s="9"/>
      <c r="S331" s="6"/>
      <c r="T331" s="6"/>
      <c r="U331" s="6"/>
      <c r="V331" s="6"/>
      <c r="W331" s="6"/>
    </row>
    <row r="332" ht="12.0" customHeight="1">
      <c r="A332" s="14"/>
      <c r="B332" s="15"/>
      <c r="C332" s="15"/>
      <c r="D332" s="33" t="s">
        <v>506</v>
      </c>
      <c r="E332" s="17"/>
      <c r="F332" s="9">
        <v>6.0</v>
      </c>
      <c r="G332" s="9"/>
      <c r="H332" s="305">
        <f>SUM(0.85*H313)</f>
        <v>110.5</v>
      </c>
      <c r="I332" s="9" t="s">
        <v>61</v>
      </c>
      <c r="J332" s="33">
        <v>2839.0</v>
      </c>
      <c r="K332" s="326">
        <f t="shared" si="108"/>
        <v>663</v>
      </c>
      <c r="L332" s="301">
        <f t="shared" si="115"/>
        <v>223.21</v>
      </c>
      <c r="M332" s="9"/>
      <c r="N332" s="9"/>
      <c r="O332" s="9"/>
      <c r="P332" s="9"/>
      <c r="Q332" s="9"/>
      <c r="R332" s="9"/>
      <c r="S332" s="6"/>
      <c r="T332" s="6"/>
      <c r="U332" s="6"/>
      <c r="V332" s="6"/>
      <c r="W332" s="6"/>
    </row>
    <row r="333" ht="12.0" customHeight="1">
      <c r="A333" s="14"/>
      <c r="B333" s="15"/>
      <c r="C333" s="15"/>
      <c r="D333" s="50" t="s">
        <v>507</v>
      </c>
      <c r="E333" s="21"/>
      <c r="F333" s="14">
        <v>6.0</v>
      </c>
      <c r="G333" s="14"/>
      <c r="H333" s="307">
        <f>SUM(0.85*H313)</f>
        <v>110.5</v>
      </c>
      <c r="I333" s="14" t="s">
        <v>61</v>
      </c>
      <c r="J333" s="50">
        <v>2840.0</v>
      </c>
      <c r="K333" s="314">
        <f t="shared" si="108"/>
        <v>663</v>
      </c>
      <c r="L333" s="301">
        <f t="shared" si="115"/>
        <v>223.21</v>
      </c>
      <c r="M333" s="9"/>
      <c r="N333" s="9"/>
      <c r="O333" s="9"/>
      <c r="P333" s="9"/>
      <c r="Q333" s="9"/>
      <c r="R333" s="9"/>
      <c r="S333" s="6"/>
      <c r="T333" s="6"/>
      <c r="U333" s="6"/>
      <c r="V333" s="6"/>
      <c r="W333" s="6"/>
    </row>
    <row r="334" ht="12.0" customHeight="1">
      <c r="A334" s="14"/>
      <c r="B334" s="15"/>
      <c r="C334" s="15"/>
      <c r="D334" s="36" t="s">
        <v>508</v>
      </c>
      <c r="E334" s="17"/>
      <c r="F334" s="9">
        <v>6.0</v>
      </c>
      <c r="G334" s="9"/>
      <c r="H334" s="404">
        <f>SUM(3.6*H313)</f>
        <v>468</v>
      </c>
      <c r="I334" s="9" t="s">
        <v>61</v>
      </c>
      <c r="J334" s="36">
        <v>2846.0</v>
      </c>
      <c r="K334" s="326">
        <f t="shared" si="108"/>
        <v>2808</v>
      </c>
      <c r="L334" s="301">
        <f t="shared" si="115"/>
        <v>945.36</v>
      </c>
      <c r="M334" s="9"/>
      <c r="N334" s="9"/>
      <c r="O334" s="9"/>
      <c r="P334" s="9"/>
      <c r="Q334" s="9"/>
      <c r="R334" s="9"/>
      <c r="S334" s="6"/>
      <c r="T334" s="6"/>
      <c r="U334" s="6"/>
      <c r="V334" s="6"/>
      <c r="W334" s="6"/>
    </row>
    <row r="335" ht="12.0" customHeight="1">
      <c r="A335" s="14"/>
      <c r="B335" s="15"/>
      <c r="C335" s="15"/>
      <c r="D335" s="168" t="s">
        <v>509</v>
      </c>
      <c r="E335" s="21"/>
      <c r="F335" s="14">
        <v>6.0</v>
      </c>
      <c r="G335" s="14"/>
      <c r="H335" s="405">
        <f>SUM(2.23*H313)</f>
        <v>289.9</v>
      </c>
      <c r="I335" s="14" t="s">
        <v>61</v>
      </c>
      <c r="J335" s="168">
        <v>2847.0</v>
      </c>
      <c r="K335" s="314">
        <f t="shared" si="108"/>
        <v>1739.4</v>
      </c>
      <c r="L335" s="301">
        <f t="shared" si="115"/>
        <v>585.598</v>
      </c>
      <c r="M335" s="9"/>
      <c r="N335" s="9"/>
      <c r="O335" s="9"/>
      <c r="P335" s="9"/>
      <c r="Q335" s="9"/>
      <c r="R335" s="9"/>
      <c r="S335" s="6"/>
      <c r="T335" s="6"/>
      <c r="U335" s="6"/>
      <c r="V335" s="6"/>
      <c r="W335" s="6"/>
    </row>
    <row r="336" ht="12.0" customHeight="1">
      <c r="A336" s="14"/>
      <c r="B336" s="15"/>
      <c r="C336" s="15"/>
      <c r="D336" s="116" t="s">
        <v>510</v>
      </c>
      <c r="E336" s="117"/>
      <c r="F336" s="116">
        <v>0.0</v>
      </c>
      <c r="G336" s="116"/>
      <c r="H336" s="399">
        <v>19.2</v>
      </c>
      <c r="I336" s="116" t="s">
        <v>61</v>
      </c>
      <c r="J336" s="116">
        <v>2861.0</v>
      </c>
      <c r="K336" s="400">
        <f t="shared" si="108"/>
        <v>0</v>
      </c>
      <c r="L336" s="401">
        <f t="shared" si="115"/>
        <v>38.784</v>
      </c>
      <c r="M336" s="9"/>
      <c r="N336" s="9"/>
      <c r="O336" s="9"/>
      <c r="P336" s="9"/>
      <c r="Q336" s="9"/>
      <c r="R336" s="9"/>
      <c r="S336" s="6"/>
      <c r="T336" s="6"/>
      <c r="U336" s="6"/>
      <c r="V336" s="6"/>
      <c r="W336" s="6"/>
    </row>
    <row r="337" ht="12.0" customHeight="1">
      <c r="A337" s="14"/>
      <c r="B337" s="15"/>
      <c r="C337" s="15"/>
      <c r="D337" s="50" t="s">
        <v>511</v>
      </c>
      <c r="E337" s="21"/>
      <c r="F337" s="14">
        <v>6.0</v>
      </c>
      <c r="G337" s="14"/>
      <c r="H337" s="307">
        <f>SUM(0.9*H313)</f>
        <v>117</v>
      </c>
      <c r="I337" s="14" t="s">
        <v>61</v>
      </c>
      <c r="J337" s="50">
        <v>2862.0</v>
      </c>
      <c r="K337" s="314">
        <f t="shared" si="108"/>
        <v>702</v>
      </c>
      <c r="L337" s="301">
        <f t="shared" si="115"/>
        <v>236.34</v>
      </c>
      <c r="M337" s="9"/>
      <c r="N337" s="9"/>
      <c r="O337" s="9"/>
      <c r="P337" s="9"/>
      <c r="Q337" s="9"/>
      <c r="R337" s="9"/>
      <c r="S337" s="6"/>
      <c r="T337" s="6"/>
      <c r="U337" s="6"/>
      <c r="V337" s="6"/>
      <c r="W337" s="6"/>
    </row>
    <row r="338" ht="12.0" customHeight="1">
      <c r="A338" s="14"/>
      <c r="B338" s="15"/>
      <c r="C338" s="15"/>
      <c r="D338" s="33" t="s">
        <v>512</v>
      </c>
      <c r="E338" s="17"/>
      <c r="F338" s="9">
        <v>6.0</v>
      </c>
      <c r="G338" s="9"/>
      <c r="H338" s="305">
        <f>SUM(2.43*H313)</f>
        <v>315.9</v>
      </c>
      <c r="I338" s="9" t="s">
        <v>61</v>
      </c>
      <c r="J338" s="33">
        <v>2863.0</v>
      </c>
      <c r="K338" s="326">
        <f t="shared" si="108"/>
        <v>1895.4</v>
      </c>
      <c r="L338" s="301">
        <f t="shared" ref="L338:L339" si="116">H338*1.7</f>
        <v>537.03</v>
      </c>
      <c r="M338" s="9"/>
      <c r="N338" s="9"/>
      <c r="O338" s="9"/>
      <c r="P338" s="9"/>
      <c r="Q338" s="9"/>
      <c r="R338" s="9"/>
      <c r="S338" s="6"/>
      <c r="T338" s="6"/>
      <c r="U338" s="6"/>
      <c r="V338" s="6"/>
      <c r="W338" s="6"/>
    </row>
    <row r="339" ht="12.0" customHeight="1">
      <c r="A339" s="14"/>
      <c r="B339" s="15"/>
      <c r="C339" s="15"/>
      <c r="D339" s="50" t="s">
        <v>513</v>
      </c>
      <c r="E339" s="21"/>
      <c r="F339" s="14">
        <v>2.0</v>
      </c>
      <c r="G339" s="14"/>
      <c r="H339" s="307">
        <f>SUM(2.69*H313)</f>
        <v>349.7</v>
      </c>
      <c r="I339" s="14" t="s">
        <v>61</v>
      </c>
      <c r="J339" s="50">
        <v>2864.0</v>
      </c>
      <c r="K339" s="314">
        <f t="shared" si="108"/>
        <v>699.4</v>
      </c>
      <c r="L339" s="301">
        <f t="shared" si="116"/>
        <v>594.49</v>
      </c>
      <c r="M339" s="9"/>
      <c r="N339" s="9"/>
      <c r="O339" s="9"/>
      <c r="P339" s="9"/>
      <c r="Q339" s="9"/>
      <c r="R339" s="9"/>
      <c r="S339" s="6"/>
      <c r="T339" s="6"/>
      <c r="U339" s="6"/>
      <c r="V339" s="6"/>
      <c r="W339" s="6"/>
    </row>
    <row r="340" ht="12.0" customHeight="1">
      <c r="A340" s="14"/>
      <c r="B340" s="15"/>
      <c r="C340" s="15"/>
      <c r="D340" s="116" t="s">
        <v>514</v>
      </c>
      <c r="E340" s="117"/>
      <c r="F340" s="116">
        <v>0.0</v>
      </c>
      <c r="G340" s="116"/>
      <c r="H340" s="399">
        <v>11.54</v>
      </c>
      <c r="I340" s="116" t="s">
        <v>61</v>
      </c>
      <c r="J340" s="116">
        <v>2865.0</v>
      </c>
      <c r="K340" s="400">
        <f t="shared" si="108"/>
        <v>0</v>
      </c>
      <c r="L340" s="401">
        <f t="shared" ref="L340:L341" si="117">H340*2.02</f>
        <v>23.3108</v>
      </c>
      <c r="M340" s="9"/>
      <c r="N340" s="9"/>
      <c r="O340" s="9"/>
      <c r="P340" s="9"/>
      <c r="Q340" s="9"/>
      <c r="R340" s="9"/>
      <c r="S340" s="6"/>
      <c r="T340" s="6"/>
      <c r="U340" s="6"/>
      <c r="V340" s="6"/>
      <c r="W340" s="6"/>
    </row>
    <row r="341" ht="12.0" customHeight="1">
      <c r="A341" s="14"/>
      <c r="B341" s="15"/>
      <c r="C341" s="15"/>
      <c r="D341" s="50" t="s">
        <v>515</v>
      </c>
      <c r="E341" s="21"/>
      <c r="F341" s="14">
        <v>6.0</v>
      </c>
      <c r="G341" s="14"/>
      <c r="H341" s="307">
        <f>SUM(2*H313)</f>
        <v>260</v>
      </c>
      <c r="I341" s="14" t="s">
        <v>61</v>
      </c>
      <c r="J341" s="50">
        <v>2867.0</v>
      </c>
      <c r="K341" s="314">
        <f t="shared" si="108"/>
        <v>1560</v>
      </c>
      <c r="L341" s="301">
        <f t="shared" si="117"/>
        <v>525.2</v>
      </c>
      <c r="M341" s="9"/>
      <c r="N341" s="9"/>
      <c r="O341" s="9"/>
      <c r="P341" s="9"/>
      <c r="Q341" s="9"/>
      <c r="R341" s="9"/>
      <c r="S341" s="6"/>
      <c r="T341" s="6"/>
      <c r="U341" s="6"/>
      <c r="V341" s="6"/>
      <c r="W341" s="6"/>
    </row>
    <row r="342" ht="12.0" customHeight="1">
      <c r="A342" s="14"/>
      <c r="B342" s="15"/>
      <c r="C342" s="15"/>
      <c r="D342" s="116" t="s">
        <v>516</v>
      </c>
      <c r="E342" s="117"/>
      <c r="F342" s="116">
        <v>0.0</v>
      </c>
      <c r="G342" s="116"/>
      <c r="H342" s="399">
        <v>25.97</v>
      </c>
      <c r="I342" s="116" t="s">
        <v>61</v>
      </c>
      <c r="J342" s="116">
        <v>2873.0</v>
      </c>
      <c r="K342" s="400">
        <f t="shared" si="108"/>
        <v>0</v>
      </c>
      <c r="L342" s="401">
        <f>H342*1.7</f>
        <v>44.149</v>
      </c>
      <c r="M342" s="9"/>
      <c r="N342" s="9"/>
      <c r="O342" s="9"/>
      <c r="P342" s="9"/>
      <c r="Q342" s="9"/>
      <c r="R342" s="9"/>
      <c r="S342" s="6"/>
      <c r="T342" s="6"/>
      <c r="U342" s="6"/>
      <c r="V342" s="6"/>
      <c r="W342" s="6"/>
    </row>
    <row r="343" ht="12.0" customHeight="1">
      <c r="A343" s="14"/>
      <c r="B343" s="79"/>
      <c r="C343" s="79"/>
      <c r="D343" s="15" t="s">
        <v>517</v>
      </c>
      <c r="E343" s="21"/>
      <c r="F343" s="14">
        <v>31.0</v>
      </c>
      <c r="G343" s="14"/>
      <c r="H343" s="344">
        <v>464.0</v>
      </c>
      <c r="I343" s="14" t="s">
        <v>61</v>
      </c>
      <c r="J343" s="50">
        <v>1220.0</v>
      </c>
      <c r="K343" s="308">
        <f t="shared" ref="K343:K344" si="118">H343*F343</f>
        <v>14384</v>
      </c>
      <c r="L343" s="301">
        <f>H343*1.55</f>
        <v>719.2</v>
      </c>
      <c r="M343" s="406"/>
      <c r="N343" s="9"/>
      <c r="O343" s="9"/>
      <c r="P343" s="353" t="s">
        <v>999</v>
      </c>
      <c r="Q343" s="9" t="s">
        <v>1000</v>
      </c>
      <c r="R343" s="9"/>
      <c r="S343" s="6"/>
      <c r="T343" s="6"/>
      <c r="U343" s="6"/>
      <c r="V343" s="6"/>
      <c r="W343" s="6"/>
    </row>
    <row r="344" ht="12.0" customHeight="1">
      <c r="A344" s="14"/>
      <c r="B344" s="15"/>
      <c r="C344" s="169"/>
      <c r="D344" s="39" t="s">
        <v>518</v>
      </c>
      <c r="E344" s="40" t="s">
        <v>250</v>
      </c>
      <c r="F344" s="41">
        <v>0.0</v>
      </c>
      <c r="G344" s="41"/>
      <c r="H344" s="319">
        <v>80.0</v>
      </c>
      <c r="I344" s="41"/>
      <c r="J344" s="81"/>
      <c r="K344" s="320">
        <f t="shared" si="118"/>
        <v>0</v>
      </c>
      <c r="L344" s="317">
        <f t="shared" ref="L344:L345" si="119">H344*1.82</f>
        <v>145.6</v>
      </c>
      <c r="M344" s="9"/>
      <c r="N344" s="9"/>
      <c r="O344" s="9"/>
      <c r="P344" s="9"/>
      <c r="Q344" s="9"/>
      <c r="R344" s="9"/>
      <c r="S344" s="6"/>
      <c r="T344" s="6"/>
      <c r="U344" s="6"/>
      <c r="V344" s="6"/>
      <c r="W344" s="6"/>
    </row>
    <row r="345" ht="12.0" customHeight="1">
      <c r="A345" s="14"/>
      <c r="B345" s="15"/>
      <c r="C345" s="15"/>
      <c r="D345" s="25" t="s">
        <v>518</v>
      </c>
      <c r="E345" s="26" t="s">
        <v>519</v>
      </c>
      <c r="F345" s="27">
        <v>0.0</v>
      </c>
      <c r="G345" s="27"/>
      <c r="H345" s="315">
        <v>28.0</v>
      </c>
      <c r="I345" s="27"/>
      <c r="J345" s="103"/>
      <c r="K345" s="316">
        <f>(F345*H345)</f>
        <v>0</v>
      </c>
      <c r="L345" s="317">
        <f t="shared" si="119"/>
        <v>50.96</v>
      </c>
      <c r="M345" s="9"/>
      <c r="N345" s="9"/>
      <c r="O345" s="9"/>
      <c r="P345" s="9"/>
      <c r="Q345" s="9"/>
      <c r="R345" s="9"/>
      <c r="S345" s="6"/>
      <c r="T345" s="6"/>
      <c r="U345" s="6"/>
      <c r="V345" s="6"/>
      <c r="W345" s="6"/>
    </row>
    <row r="346" ht="12.0" customHeight="1">
      <c r="A346" s="14"/>
      <c r="B346" s="15" t="s">
        <v>5</v>
      </c>
      <c r="C346" s="15"/>
      <c r="D346" s="170" t="s">
        <v>520</v>
      </c>
      <c r="E346" s="171" t="s">
        <v>521</v>
      </c>
      <c r="F346" s="172"/>
      <c r="G346" s="172"/>
      <c r="H346" s="407"/>
      <c r="I346" s="172"/>
      <c r="J346" s="408"/>
      <c r="K346" s="409"/>
      <c r="L346" s="301"/>
      <c r="M346" s="172"/>
      <c r="N346" s="172"/>
      <c r="O346" s="172"/>
      <c r="P346" s="172"/>
      <c r="Q346" s="172"/>
      <c r="R346" s="172"/>
      <c r="S346" s="6"/>
      <c r="T346" s="6"/>
      <c r="U346" s="6"/>
      <c r="V346" s="6"/>
      <c r="W346" s="6"/>
    </row>
    <row r="347" ht="12.0" customHeight="1">
      <c r="A347" s="14"/>
      <c r="B347" s="128"/>
      <c r="C347" s="128"/>
      <c r="D347" s="16" t="s">
        <v>522</v>
      </c>
      <c r="E347" s="17" t="s">
        <v>523</v>
      </c>
      <c r="F347" s="9">
        <v>9.0</v>
      </c>
      <c r="G347" s="9"/>
      <c r="H347" s="345">
        <f>SUM(M347+O347)</f>
        <v>125.84</v>
      </c>
      <c r="I347" s="361" t="s">
        <v>17</v>
      </c>
      <c r="J347" s="24">
        <v>4183.0</v>
      </c>
      <c r="K347" s="306">
        <f t="shared" ref="K347:K363" si="120">H347*F347</f>
        <v>1132.56</v>
      </c>
      <c r="L347" s="301">
        <f>H347*2.2</f>
        <v>276.848</v>
      </c>
      <c r="M347" s="310">
        <v>104.0</v>
      </c>
      <c r="N347" s="311">
        <v>0.21</v>
      </c>
      <c r="O347" s="310">
        <f>SUM(M347*N347)</f>
        <v>21.84</v>
      </c>
      <c r="P347" s="326"/>
      <c r="Q347" s="9"/>
      <c r="R347" s="9"/>
      <c r="S347" s="6"/>
      <c r="T347" s="6"/>
      <c r="U347" s="6"/>
      <c r="V347" s="6"/>
      <c r="W347" s="6"/>
    </row>
    <row r="348" ht="12.0" customHeight="1">
      <c r="A348" s="14"/>
      <c r="B348" s="128"/>
      <c r="C348" s="128"/>
      <c r="D348" s="15" t="s">
        <v>524</v>
      </c>
      <c r="E348" s="21" t="s">
        <v>525</v>
      </c>
      <c r="F348" s="14">
        <v>6.0</v>
      </c>
      <c r="G348" s="14"/>
      <c r="H348" s="344">
        <v>212.0</v>
      </c>
      <c r="I348" s="14" t="s">
        <v>61</v>
      </c>
      <c r="J348" s="51">
        <v>5515.0</v>
      </c>
      <c r="K348" s="308">
        <f t="shared" si="120"/>
        <v>1272</v>
      </c>
      <c r="L348" s="301">
        <f t="shared" ref="L348:L349" si="121">H348*2</f>
        <v>424</v>
      </c>
      <c r="M348" s="14"/>
      <c r="N348" s="14"/>
      <c r="O348" s="14"/>
      <c r="P348" s="394" t="s">
        <v>1001</v>
      </c>
      <c r="Q348" s="14"/>
      <c r="R348" s="14"/>
      <c r="S348" s="6"/>
      <c r="T348" s="6"/>
      <c r="U348" s="6"/>
      <c r="V348" s="6"/>
      <c r="W348" s="6"/>
    </row>
    <row r="349" ht="12.0" customHeight="1">
      <c r="A349" s="14"/>
      <c r="B349" s="128"/>
      <c r="C349" s="128"/>
      <c r="D349" s="15" t="s">
        <v>524</v>
      </c>
      <c r="E349" s="21" t="s">
        <v>526</v>
      </c>
      <c r="F349" s="14">
        <v>2.0</v>
      </c>
      <c r="G349" s="14"/>
      <c r="H349" s="365">
        <f>SUM(M349+O349)</f>
        <v>208.12</v>
      </c>
      <c r="I349" s="363" t="s">
        <v>17</v>
      </c>
      <c r="J349" s="51">
        <v>4179.0</v>
      </c>
      <c r="K349" s="308">
        <f t="shared" si="120"/>
        <v>416.24</v>
      </c>
      <c r="L349" s="301">
        <f t="shared" si="121"/>
        <v>416.24</v>
      </c>
      <c r="M349" s="312">
        <v>172.0</v>
      </c>
      <c r="N349" s="313">
        <v>0.21</v>
      </c>
      <c r="O349" s="312">
        <f>SUM(M349*N349)</f>
        <v>36.12</v>
      </c>
      <c r="P349" s="14"/>
      <c r="Q349" s="14"/>
      <c r="R349" s="14"/>
      <c r="S349" s="6"/>
      <c r="T349" s="6"/>
      <c r="U349" s="6"/>
      <c r="V349" s="6"/>
      <c r="W349" s="6"/>
    </row>
    <row r="350" ht="12.0" customHeight="1">
      <c r="A350" s="52"/>
      <c r="B350" s="128"/>
      <c r="C350" s="128"/>
      <c r="D350" s="16" t="s">
        <v>527</v>
      </c>
      <c r="E350" s="17" t="s">
        <v>528</v>
      </c>
      <c r="F350" s="9">
        <v>2.0</v>
      </c>
      <c r="G350" s="9"/>
      <c r="H350" s="341">
        <v>495.0</v>
      </c>
      <c r="I350" s="9" t="s">
        <v>61</v>
      </c>
      <c r="J350" s="24">
        <v>5516.0</v>
      </c>
      <c r="K350" s="306">
        <f t="shared" si="120"/>
        <v>990</v>
      </c>
      <c r="L350" s="301">
        <f>H350*1.85</f>
        <v>915.75</v>
      </c>
      <c r="M350" s="9"/>
      <c r="N350" s="9"/>
      <c r="O350" s="9"/>
      <c r="P350" s="353" t="s">
        <v>1002</v>
      </c>
      <c r="Q350" s="9"/>
      <c r="R350" s="9"/>
      <c r="S350" s="6"/>
      <c r="T350" s="6"/>
      <c r="U350" s="6"/>
      <c r="V350" s="6"/>
      <c r="W350" s="6"/>
    </row>
    <row r="351" ht="12.0" customHeight="1">
      <c r="A351" s="52"/>
      <c r="B351" s="128"/>
      <c r="C351" s="128"/>
      <c r="D351" s="15" t="s">
        <v>529</v>
      </c>
      <c r="E351" s="21" t="s">
        <v>530</v>
      </c>
      <c r="F351" s="50">
        <v>3.0</v>
      </c>
      <c r="G351" s="14"/>
      <c r="H351" s="365">
        <f>SUM(M351+O351)</f>
        <v>605</v>
      </c>
      <c r="I351" s="14" t="s">
        <v>17</v>
      </c>
      <c r="J351" s="51">
        <v>5050.0</v>
      </c>
      <c r="K351" s="308">
        <f t="shared" si="120"/>
        <v>1815</v>
      </c>
      <c r="L351" s="301">
        <f t="shared" ref="L351:L354" si="122">H351*1.6</f>
        <v>968</v>
      </c>
      <c r="M351" s="312">
        <v>500.0</v>
      </c>
      <c r="N351" s="313">
        <v>0.21</v>
      </c>
      <c r="O351" s="312">
        <f>SUM(M351*N351)</f>
        <v>105</v>
      </c>
      <c r="P351" s="353"/>
      <c r="Q351" s="9"/>
      <c r="R351" s="9"/>
      <c r="S351" s="6"/>
      <c r="T351" s="6"/>
      <c r="U351" s="6"/>
      <c r="V351" s="6"/>
      <c r="W351" s="6"/>
    </row>
    <row r="352" ht="12.0" customHeight="1">
      <c r="A352" s="52"/>
      <c r="B352" s="128"/>
      <c r="C352" s="128"/>
      <c r="D352" s="15" t="s">
        <v>531</v>
      </c>
      <c r="E352" s="21" t="s">
        <v>530</v>
      </c>
      <c r="F352" s="50">
        <v>2.0</v>
      </c>
      <c r="G352" s="14"/>
      <c r="H352" s="365">
        <v>856.0</v>
      </c>
      <c r="I352" s="14" t="s">
        <v>61</v>
      </c>
      <c r="J352" s="51">
        <v>5518.0</v>
      </c>
      <c r="K352" s="308">
        <f t="shared" si="120"/>
        <v>1712</v>
      </c>
      <c r="L352" s="301">
        <f t="shared" si="122"/>
        <v>1369.6</v>
      </c>
      <c r="M352" s="312"/>
      <c r="N352" s="313"/>
      <c r="O352" s="312"/>
      <c r="P352" s="394" t="s">
        <v>1003</v>
      </c>
      <c r="Q352" s="14"/>
      <c r="R352" s="14"/>
      <c r="S352" s="6"/>
      <c r="T352" s="6"/>
      <c r="U352" s="6"/>
      <c r="V352" s="6"/>
      <c r="W352" s="6"/>
    </row>
    <row r="353" ht="12.0" customHeight="1">
      <c r="A353" s="52"/>
      <c r="B353" s="128"/>
      <c r="C353" s="128"/>
      <c r="D353" s="15" t="s">
        <v>532</v>
      </c>
      <c r="E353" s="21" t="s">
        <v>1004</v>
      </c>
      <c r="F353" s="50">
        <v>4.0</v>
      </c>
      <c r="G353" s="14"/>
      <c r="H353" s="365">
        <f t="shared" ref="H353:H354" si="123">SUM(M353+O353)</f>
        <v>920.81</v>
      </c>
      <c r="I353" s="50" t="s">
        <v>17</v>
      </c>
      <c r="J353" s="51">
        <v>5068.0</v>
      </c>
      <c r="K353" s="308">
        <f t="shared" si="120"/>
        <v>3683.24</v>
      </c>
      <c r="L353" s="301">
        <f t="shared" si="122"/>
        <v>1473.296</v>
      </c>
      <c r="M353" s="312">
        <v>761.0</v>
      </c>
      <c r="N353" s="313">
        <v>0.21</v>
      </c>
      <c r="O353" s="312">
        <f t="shared" ref="O353:O354" si="124">SUM(M353*N353)</f>
        <v>159.81</v>
      </c>
      <c r="P353" s="394"/>
      <c r="Q353" s="14"/>
      <c r="R353" s="14"/>
      <c r="S353" s="6"/>
      <c r="T353" s="6"/>
      <c r="U353" s="6"/>
      <c r="V353" s="6"/>
      <c r="W353" s="6"/>
    </row>
    <row r="354" ht="12.0" customHeight="1">
      <c r="A354" s="52"/>
      <c r="B354" s="128"/>
      <c r="C354" s="128"/>
      <c r="D354" s="55" t="s">
        <v>534</v>
      </c>
      <c r="E354" s="57" t="s">
        <v>528</v>
      </c>
      <c r="F354" s="33">
        <v>4.0</v>
      </c>
      <c r="G354" s="33"/>
      <c r="H354" s="345">
        <f t="shared" si="123"/>
        <v>1187.01</v>
      </c>
      <c r="I354" s="33" t="s">
        <v>17</v>
      </c>
      <c r="J354" s="59">
        <v>5049.0</v>
      </c>
      <c r="K354" s="323">
        <f t="shared" si="120"/>
        <v>4748.04</v>
      </c>
      <c r="L354" s="346">
        <f t="shared" si="122"/>
        <v>1899.216</v>
      </c>
      <c r="M354" s="310">
        <v>981.0</v>
      </c>
      <c r="N354" s="311">
        <v>0.21</v>
      </c>
      <c r="O354" s="310">
        <f t="shared" si="124"/>
        <v>206.01</v>
      </c>
      <c r="P354" s="353" t="s">
        <v>1005</v>
      </c>
      <c r="Q354" s="9"/>
      <c r="R354" s="9"/>
      <c r="S354" s="6"/>
      <c r="T354" s="6"/>
      <c r="U354" s="6"/>
      <c r="V354" s="6"/>
      <c r="W354" s="6"/>
    </row>
    <row r="355" ht="12.0" customHeight="1">
      <c r="A355" s="14"/>
      <c r="B355" s="128"/>
      <c r="C355" s="128"/>
      <c r="D355" s="175" t="s">
        <v>535</v>
      </c>
      <c r="E355" s="176" t="s">
        <v>528</v>
      </c>
      <c r="F355" s="41">
        <v>0.0</v>
      </c>
      <c r="G355" s="41"/>
      <c r="H355" s="319">
        <v>118.0</v>
      </c>
      <c r="I355" s="41" t="s">
        <v>154</v>
      </c>
      <c r="J355" s="81">
        <v>2227.0</v>
      </c>
      <c r="K355" s="320">
        <f t="shared" si="120"/>
        <v>0</v>
      </c>
      <c r="L355" s="317">
        <f>H355*1.8</f>
        <v>212.4</v>
      </c>
      <c r="M355" s="14"/>
      <c r="N355" s="14"/>
      <c r="O355" s="14"/>
      <c r="P355" s="14"/>
      <c r="Q355" s="14"/>
      <c r="R355" s="14"/>
      <c r="S355" s="6"/>
      <c r="T355" s="6"/>
      <c r="U355" s="6"/>
      <c r="V355" s="6"/>
      <c r="W355" s="6"/>
    </row>
    <row r="356" ht="12.0" customHeight="1">
      <c r="A356" s="52"/>
      <c r="B356" s="128"/>
      <c r="C356" s="128"/>
      <c r="D356" s="90" t="s">
        <v>536</v>
      </c>
      <c r="E356" s="91" t="s">
        <v>528</v>
      </c>
      <c r="F356" s="9">
        <v>6.0</v>
      </c>
      <c r="G356" s="9"/>
      <c r="H356" s="345">
        <v>1165.0</v>
      </c>
      <c r="I356" s="361" t="s">
        <v>61</v>
      </c>
      <c r="J356" s="33">
        <v>5500.0</v>
      </c>
      <c r="K356" s="306">
        <f t="shared" si="120"/>
        <v>6990</v>
      </c>
      <c r="L356" s="301">
        <f>H356*1.6</f>
        <v>1864</v>
      </c>
      <c r="M356" s="310"/>
      <c r="N356" s="311"/>
      <c r="O356" s="310"/>
      <c r="P356" s="353" t="s">
        <v>1006</v>
      </c>
      <c r="Q356" s="9"/>
      <c r="R356" s="9"/>
      <c r="S356" s="6"/>
      <c r="T356" s="6"/>
      <c r="U356" s="6"/>
      <c r="V356" s="6"/>
      <c r="W356" s="6"/>
    </row>
    <row r="357" ht="12.0" customHeight="1">
      <c r="A357" s="14"/>
      <c r="B357" s="128"/>
      <c r="C357" s="128"/>
      <c r="D357" s="54" t="s">
        <v>537</v>
      </c>
      <c r="E357" s="56" t="s">
        <v>525</v>
      </c>
      <c r="F357" s="50">
        <v>3.0</v>
      </c>
      <c r="G357" s="50"/>
      <c r="H357" s="365">
        <f>SUM(M357+O357)</f>
        <v>556.6</v>
      </c>
      <c r="I357" s="50" t="s">
        <v>17</v>
      </c>
      <c r="J357" s="179">
        <v>4187.0</v>
      </c>
      <c r="K357" s="322">
        <f t="shared" si="120"/>
        <v>1669.8</v>
      </c>
      <c r="L357" s="346">
        <f>H357*1.7</f>
        <v>946.22</v>
      </c>
      <c r="M357" s="312">
        <v>460.0</v>
      </c>
      <c r="N357" s="313">
        <v>0.21</v>
      </c>
      <c r="O357" s="312">
        <f>SUM(M357*N357)</f>
        <v>96.6</v>
      </c>
      <c r="P357" s="14"/>
      <c r="Q357" s="14"/>
      <c r="R357" s="14"/>
      <c r="S357" s="6"/>
      <c r="T357" s="6"/>
      <c r="U357" s="6"/>
      <c r="V357" s="6"/>
      <c r="W357" s="6"/>
    </row>
    <row r="358" ht="12.0" customHeight="1">
      <c r="A358" s="14"/>
      <c r="B358" s="128"/>
      <c r="C358" s="128"/>
      <c r="D358" s="16" t="s">
        <v>538</v>
      </c>
      <c r="E358" s="9" t="s">
        <v>539</v>
      </c>
      <c r="F358" s="9">
        <v>22.0</v>
      </c>
      <c r="G358" s="9"/>
      <c r="H358" s="336">
        <v>123.0</v>
      </c>
      <c r="I358" s="9" t="s">
        <v>540</v>
      </c>
      <c r="J358" s="9"/>
      <c r="K358" s="9">
        <f t="shared" si="120"/>
        <v>2706</v>
      </c>
      <c r="L358" s="410">
        <f>SUM(H358*1.8)</f>
        <v>221.4</v>
      </c>
      <c r="M358" s="9"/>
      <c r="N358" s="9"/>
      <c r="O358" s="9"/>
      <c r="P358" s="9"/>
      <c r="Q358" s="9"/>
      <c r="R358" s="9"/>
      <c r="S358" s="6"/>
      <c r="T358" s="6"/>
      <c r="U358" s="6"/>
      <c r="V358" s="6"/>
      <c r="W358" s="6"/>
    </row>
    <row r="359" ht="12.0" customHeight="1">
      <c r="A359" s="14"/>
      <c r="B359" s="128"/>
      <c r="C359" s="128"/>
      <c r="D359" s="15" t="s">
        <v>538</v>
      </c>
      <c r="E359" s="14" t="s">
        <v>541</v>
      </c>
      <c r="F359" s="14">
        <v>2.0</v>
      </c>
      <c r="G359" s="14"/>
      <c r="H359" s="307">
        <f>SUM(1.1*H358)</f>
        <v>135.3</v>
      </c>
      <c r="I359" s="14" t="s">
        <v>540</v>
      </c>
      <c r="J359" s="14"/>
      <c r="K359" s="14">
        <f t="shared" si="120"/>
        <v>270.6</v>
      </c>
      <c r="L359" s="410">
        <f t="shared" ref="L359:L360" si="125">SUM(H359*1.6)</f>
        <v>216.48</v>
      </c>
      <c r="M359" s="14"/>
      <c r="N359" s="14"/>
      <c r="O359" s="14"/>
      <c r="P359" s="14"/>
      <c r="Q359" s="14"/>
      <c r="R359" s="14"/>
      <c r="S359" s="6"/>
      <c r="T359" s="6"/>
      <c r="U359" s="6"/>
      <c r="V359" s="6"/>
      <c r="W359" s="6"/>
    </row>
    <row r="360" ht="12.0" customHeight="1">
      <c r="A360" s="14"/>
      <c r="B360" s="128"/>
      <c r="C360" s="128"/>
      <c r="D360" s="15" t="s">
        <v>538</v>
      </c>
      <c r="E360" s="14" t="s">
        <v>542</v>
      </c>
      <c r="F360" s="14">
        <v>2.0</v>
      </c>
      <c r="G360" s="14"/>
      <c r="H360" s="307">
        <f>SUM(1.45*H358)</f>
        <v>178.35</v>
      </c>
      <c r="I360" s="14" t="s">
        <v>540</v>
      </c>
      <c r="J360" s="14"/>
      <c r="K360" s="14">
        <f t="shared" si="120"/>
        <v>356.7</v>
      </c>
      <c r="L360" s="410">
        <f t="shared" si="125"/>
        <v>285.36</v>
      </c>
      <c r="M360" s="14"/>
      <c r="N360" s="14"/>
      <c r="O360" s="14"/>
      <c r="P360" s="14"/>
      <c r="Q360" s="14"/>
      <c r="R360" s="14"/>
      <c r="S360" s="6"/>
      <c r="T360" s="6"/>
      <c r="U360" s="6"/>
      <c r="V360" s="6"/>
      <c r="W360" s="6"/>
    </row>
    <row r="361" ht="12.0" customHeight="1">
      <c r="A361" s="52"/>
      <c r="B361" s="15"/>
      <c r="C361" s="15"/>
      <c r="D361" s="90" t="s">
        <v>543</v>
      </c>
      <c r="E361" s="91"/>
      <c r="F361" s="9">
        <v>5.0</v>
      </c>
      <c r="G361" s="9"/>
      <c r="H361" s="345">
        <f>SUM(M361+O361)</f>
        <v>1017.61</v>
      </c>
      <c r="I361" s="361" t="s">
        <v>17</v>
      </c>
      <c r="J361" s="33">
        <v>6502.0</v>
      </c>
      <c r="K361" s="306">
        <f t="shared" si="120"/>
        <v>5088.05</v>
      </c>
      <c r="L361" s="301">
        <f>H361*1.65</f>
        <v>1679.0565</v>
      </c>
      <c r="M361" s="310">
        <v>841.0</v>
      </c>
      <c r="N361" s="311">
        <v>0.21</v>
      </c>
      <c r="O361" s="310">
        <f>SUM(M361*N361)</f>
        <v>176.61</v>
      </c>
      <c r="P361" s="326">
        <f>SUM(M361+O361)</f>
        <v>1017.61</v>
      </c>
      <c r="Q361" s="9"/>
      <c r="R361" s="9"/>
      <c r="S361" s="6"/>
      <c r="T361" s="6"/>
      <c r="U361" s="6"/>
      <c r="V361" s="6"/>
      <c r="W361" s="6"/>
    </row>
    <row r="362" ht="12.0" customHeight="1">
      <c r="A362" s="14"/>
      <c r="B362" s="79"/>
      <c r="C362" s="79"/>
      <c r="D362" s="15" t="s">
        <v>544</v>
      </c>
      <c r="E362" s="47" t="s">
        <v>545</v>
      </c>
      <c r="F362" s="50">
        <v>1200.0</v>
      </c>
      <c r="G362" s="50"/>
      <c r="H362" s="307">
        <f>SUM(0.23*H365)</f>
        <v>1.789469</v>
      </c>
      <c r="I362" s="14" t="s">
        <v>17</v>
      </c>
      <c r="J362" s="60">
        <v>4516.0</v>
      </c>
      <c r="K362" s="308">
        <f t="shared" si="120"/>
        <v>2147.3628</v>
      </c>
      <c r="L362" s="301">
        <f t="shared" ref="L362:L363" si="126">H362*3</f>
        <v>5.368407</v>
      </c>
      <c r="M362" s="312"/>
      <c r="N362" s="313"/>
      <c r="O362" s="312"/>
      <c r="P362" s="314"/>
      <c r="Q362" s="314"/>
      <c r="R362" s="314"/>
      <c r="S362" s="3">
        <f t="shared" ref="S362:S364" si="127">SUM(H362*175)</f>
        <v>313.157075</v>
      </c>
      <c r="T362" s="411" t="s">
        <v>546</v>
      </c>
      <c r="U362" s="6"/>
      <c r="V362" s="6"/>
      <c r="W362" s="6"/>
    </row>
    <row r="363" ht="12.0" customHeight="1">
      <c r="A363" s="14"/>
      <c r="B363" s="79"/>
      <c r="C363" s="79"/>
      <c r="D363" s="16" t="s">
        <v>544</v>
      </c>
      <c r="E363" s="32" t="s">
        <v>547</v>
      </c>
      <c r="F363" s="33">
        <v>400.0</v>
      </c>
      <c r="G363" s="33"/>
      <c r="H363" s="305">
        <f>SUM(0.56*H365)</f>
        <v>4.356968</v>
      </c>
      <c r="I363" s="9" t="s">
        <v>17</v>
      </c>
      <c r="J363" s="59">
        <v>4518.0</v>
      </c>
      <c r="K363" s="306">
        <f t="shared" si="120"/>
        <v>1742.7872</v>
      </c>
      <c r="L363" s="301">
        <f t="shared" si="126"/>
        <v>13.070904</v>
      </c>
      <c r="M363" s="310"/>
      <c r="N363" s="311"/>
      <c r="O363" s="310"/>
      <c r="P363" s="326"/>
      <c r="Q363" s="326"/>
      <c r="R363" s="326"/>
      <c r="S363" s="3">
        <f t="shared" si="127"/>
        <v>762.4694</v>
      </c>
      <c r="T363" s="411" t="s">
        <v>546</v>
      </c>
      <c r="U363" s="6"/>
      <c r="V363" s="6"/>
      <c r="W363" s="6"/>
    </row>
    <row r="364" ht="12.0" customHeight="1">
      <c r="A364" s="14"/>
      <c r="B364" s="79"/>
      <c r="C364" s="79"/>
      <c r="D364" s="15" t="s">
        <v>544</v>
      </c>
      <c r="E364" s="21" t="s">
        <v>548</v>
      </c>
      <c r="F364" s="14">
        <v>500.0</v>
      </c>
      <c r="G364" s="14"/>
      <c r="H364" s="307">
        <f>SUM(0.76*H365)</f>
        <v>5.913028</v>
      </c>
      <c r="I364" s="14" t="s">
        <v>17</v>
      </c>
      <c r="J364" s="60">
        <v>4520.0</v>
      </c>
      <c r="K364" s="308">
        <f t="shared" ref="K364:K366" si="128">(F364*H364)</f>
        <v>2956.514</v>
      </c>
      <c r="L364" s="301">
        <f t="shared" ref="L364:L366" si="129">H364*2.02</f>
        <v>11.94431656</v>
      </c>
      <c r="M364" s="312"/>
      <c r="N364" s="313"/>
      <c r="O364" s="312"/>
      <c r="P364" s="314"/>
      <c r="Q364" s="314"/>
      <c r="R364" s="314"/>
      <c r="S364" s="3">
        <f t="shared" si="127"/>
        <v>1034.7799</v>
      </c>
      <c r="T364" s="411" t="s">
        <v>546</v>
      </c>
      <c r="U364" s="6"/>
      <c r="V364" s="6"/>
      <c r="W364" s="6"/>
    </row>
    <row r="365" ht="12.0" customHeight="1">
      <c r="A365" s="14"/>
      <c r="B365" s="79"/>
      <c r="C365" s="79"/>
      <c r="D365" s="16" t="s">
        <v>544</v>
      </c>
      <c r="E365" s="17" t="s">
        <v>549</v>
      </c>
      <c r="F365" s="9">
        <v>400.0</v>
      </c>
      <c r="G365" s="9"/>
      <c r="H365" s="387">
        <f>SUM(P365/100)</f>
        <v>7.7803</v>
      </c>
      <c r="I365" s="9" t="s">
        <v>17</v>
      </c>
      <c r="J365" s="59">
        <v>4522.0</v>
      </c>
      <c r="K365" s="306">
        <f t="shared" si="128"/>
        <v>3112.12</v>
      </c>
      <c r="L365" s="301">
        <f t="shared" si="129"/>
        <v>15.716206</v>
      </c>
      <c r="M365" s="352">
        <v>643.0</v>
      </c>
      <c r="N365" s="311">
        <v>0.21</v>
      </c>
      <c r="O365" s="310">
        <f>SUM(M365*N365)</f>
        <v>135.03</v>
      </c>
      <c r="P365" s="326">
        <f>SUM(M365+O365)</f>
        <v>778.03</v>
      </c>
      <c r="Q365" s="326"/>
      <c r="R365" s="326"/>
      <c r="S365" s="3">
        <f t="shared" ref="S365:S366" si="130">SUM(H365*165)</f>
        <v>1283.7495</v>
      </c>
      <c r="T365" s="411" t="s">
        <v>546</v>
      </c>
      <c r="U365" s="6"/>
      <c r="V365" s="6"/>
      <c r="W365" s="6"/>
    </row>
    <row r="366" ht="12.0" customHeight="1">
      <c r="A366" s="14"/>
      <c r="B366" s="79"/>
      <c r="C366" s="79"/>
      <c r="D366" s="15" t="s">
        <v>544</v>
      </c>
      <c r="E366" s="21" t="s">
        <v>550</v>
      </c>
      <c r="F366" s="14">
        <v>100.0</v>
      </c>
      <c r="G366" s="14"/>
      <c r="H366" s="307">
        <f>SUM(1*H365)</f>
        <v>7.7803</v>
      </c>
      <c r="I366" s="14" t="s">
        <v>17</v>
      </c>
      <c r="J366" s="60">
        <v>4528.0</v>
      </c>
      <c r="K366" s="308">
        <f t="shared" si="128"/>
        <v>778.03</v>
      </c>
      <c r="L366" s="301">
        <f t="shared" si="129"/>
        <v>15.716206</v>
      </c>
      <c r="M366" s="312"/>
      <c r="N366" s="313"/>
      <c r="O366" s="312"/>
      <c r="P366" s="314"/>
      <c r="Q366" s="314"/>
      <c r="R366" s="314"/>
      <c r="S366" s="3">
        <f t="shared" si="130"/>
        <v>1283.7495</v>
      </c>
      <c r="T366" s="411" t="s">
        <v>546</v>
      </c>
      <c r="U366" s="6"/>
      <c r="V366" s="6"/>
      <c r="W366" s="6"/>
    </row>
    <row r="367" ht="12.0" customHeight="1">
      <c r="A367" s="14"/>
      <c r="B367" s="79"/>
      <c r="C367" s="79"/>
      <c r="D367" s="16" t="s">
        <v>544</v>
      </c>
      <c r="E367" s="17" t="s">
        <v>551</v>
      </c>
      <c r="F367" s="9">
        <v>0.0</v>
      </c>
      <c r="G367" s="9"/>
      <c r="H367" s="305">
        <f>SUM(1.46*H365)</f>
        <v>11.359238</v>
      </c>
      <c r="I367" s="9" t="s">
        <v>119</v>
      </c>
      <c r="J367" s="59" t="s">
        <v>552</v>
      </c>
      <c r="K367" s="306">
        <f t="shared" ref="K367:K371" si="131">H367*F367</f>
        <v>0</v>
      </c>
      <c r="L367" s="301">
        <f>H367*2</f>
        <v>22.718476</v>
      </c>
      <c r="M367" s="326"/>
      <c r="N367" s="326"/>
      <c r="O367" s="326"/>
      <c r="P367" s="326"/>
      <c r="Q367" s="326"/>
      <c r="R367" s="326"/>
      <c r="S367" s="3">
        <v>712.0</v>
      </c>
      <c r="T367" s="411" t="s">
        <v>546</v>
      </c>
      <c r="U367" s="6"/>
      <c r="V367" s="6"/>
      <c r="W367" s="6"/>
    </row>
    <row r="368" ht="12.0" customHeight="1">
      <c r="A368" s="14"/>
      <c r="B368" s="16"/>
      <c r="C368" s="16"/>
      <c r="D368" s="15" t="s">
        <v>553</v>
      </c>
      <c r="E368" s="21" t="s">
        <v>548</v>
      </c>
      <c r="F368" s="14">
        <v>400.0</v>
      </c>
      <c r="G368" s="14"/>
      <c r="H368" s="307">
        <f>SUM(1*H365)</f>
        <v>7.7803</v>
      </c>
      <c r="I368" s="14" t="s">
        <v>17</v>
      </c>
      <c r="J368" s="51">
        <v>4519.0</v>
      </c>
      <c r="K368" s="308">
        <f t="shared" si="131"/>
        <v>3112.12</v>
      </c>
      <c r="L368" s="301">
        <f>H368*2.02</f>
        <v>15.716206</v>
      </c>
      <c r="M368" s="312"/>
      <c r="N368" s="313"/>
      <c r="O368" s="312"/>
      <c r="P368" s="314"/>
      <c r="Q368" s="14"/>
      <c r="R368" s="14"/>
      <c r="S368" s="3">
        <f>SUM(H368*165)</f>
        <v>1283.7495</v>
      </c>
      <c r="T368" s="411" t="s">
        <v>546</v>
      </c>
      <c r="U368" s="6"/>
      <c r="V368" s="6"/>
      <c r="W368" s="6"/>
    </row>
    <row r="369" ht="12.0" customHeight="1">
      <c r="A369" s="14"/>
      <c r="B369" s="15"/>
      <c r="C369" s="15"/>
      <c r="D369" s="16" t="s">
        <v>554</v>
      </c>
      <c r="E369" s="17" t="s">
        <v>555</v>
      </c>
      <c r="F369" s="33">
        <v>5.0</v>
      </c>
      <c r="G369" s="9"/>
      <c r="H369" s="341">
        <v>320.0</v>
      </c>
      <c r="I369" s="9" t="s">
        <v>61</v>
      </c>
      <c r="J369" s="24">
        <v>772.0</v>
      </c>
      <c r="K369" s="306">
        <f t="shared" si="131"/>
        <v>1600</v>
      </c>
      <c r="L369" s="301">
        <f t="shared" ref="L369:L371" si="132">H369*1.7</f>
        <v>544</v>
      </c>
      <c r="M369" s="9"/>
      <c r="N369" s="9"/>
      <c r="O369" s="9"/>
      <c r="P369" s="9"/>
      <c r="Q369" s="9"/>
      <c r="R369" s="9"/>
      <c r="S369" s="6"/>
      <c r="T369" s="6"/>
      <c r="U369" s="6"/>
      <c r="V369" s="6"/>
      <c r="W369" s="6"/>
    </row>
    <row r="370" ht="12.0" customHeight="1">
      <c r="A370" s="14"/>
      <c r="B370" s="15"/>
      <c r="C370" s="15"/>
      <c r="D370" s="15" t="s">
        <v>556</v>
      </c>
      <c r="E370" s="21" t="s">
        <v>557</v>
      </c>
      <c r="F370" s="50">
        <v>2.0</v>
      </c>
      <c r="G370" s="14"/>
      <c r="H370" s="344">
        <v>420.0</v>
      </c>
      <c r="I370" s="14" t="s">
        <v>61</v>
      </c>
      <c r="J370" s="51">
        <v>774.0</v>
      </c>
      <c r="K370" s="308">
        <f t="shared" si="131"/>
        <v>840</v>
      </c>
      <c r="L370" s="301">
        <f t="shared" si="132"/>
        <v>714</v>
      </c>
      <c r="M370" s="14"/>
      <c r="N370" s="14"/>
      <c r="O370" s="14"/>
      <c r="P370" s="14"/>
      <c r="Q370" s="14"/>
      <c r="R370" s="14"/>
      <c r="S370" s="6"/>
      <c r="T370" s="6"/>
      <c r="U370" s="6"/>
      <c r="V370" s="6"/>
      <c r="W370" s="6"/>
    </row>
    <row r="371" ht="12.0" customHeight="1">
      <c r="A371" s="14"/>
      <c r="B371" s="15"/>
      <c r="C371" s="15"/>
      <c r="D371" s="16" t="s">
        <v>554</v>
      </c>
      <c r="E371" s="17" t="s">
        <v>558</v>
      </c>
      <c r="F371" s="33">
        <v>5.0</v>
      </c>
      <c r="G371" s="9"/>
      <c r="H371" s="341">
        <v>480.0</v>
      </c>
      <c r="I371" s="9" t="s">
        <v>17</v>
      </c>
      <c r="J371" s="24">
        <v>7328.0</v>
      </c>
      <c r="K371" s="306">
        <f t="shared" si="131"/>
        <v>2400</v>
      </c>
      <c r="L371" s="301">
        <f t="shared" si="132"/>
        <v>816</v>
      </c>
      <c r="M371" s="9"/>
      <c r="N371" s="9"/>
      <c r="O371" s="9"/>
      <c r="P371" s="9"/>
      <c r="Q371" s="9"/>
      <c r="R371" s="9"/>
      <c r="S371" s="6"/>
      <c r="T371" s="6"/>
      <c r="U371" s="6"/>
      <c r="V371" s="6"/>
      <c r="W371" s="6"/>
    </row>
    <row r="372" ht="12.0" customHeight="1">
      <c r="A372" s="14"/>
      <c r="B372" s="10" t="s">
        <v>5</v>
      </c>
      <c r="C372" s="10"/>
      <c r="D372" s="185" t="s">
        <v>559</v>
      </c>
      <c r="E372" s="11" t="s">
        <v>560</v>
      </c>
      <c r="F372" s="12"/>
      <c r="G372" s="12"/>
      <c r="H372" s="302"/>
      <c r="I372" s="12"/>
      <c r="J372" s="412"/>
      <c r="K372" s="413"/>
      <c r="L372" s="301"/>
      <c r="M372" s="414"/>
      <c r="N372" s="12"/>
      <c r="O372" s="12"/>
      <c r="P372" s="12"/>
      <c r="Q372" s="12"/>
      <c r="R372" s="12"/>
      <c r="S372" s="6"/>
      <c r="T372" s="6"/>
      <c r="U372" s="6"/>
      <c r="V372" s="6"/>
      <c r="W372" s="6"/>
    </row>
    <row r="373" ht="12.0" customHeight="1">
      <c r="A373" s="14"/>
      <c r="B373" s="15"/>
      <c r="C373" s="15"/>
      <c r="D373" s="187" t="s">
        <v>561</v>
      </c>
      <c r="E373" s="188" t="s">
        <v>562</v>
      </c>
      <c r="F373" s="415"/>
      <c r="G373" s="172"/>
      <c r="H373" s="416"/>
      <c r="I373" s="172"/>
      <c r="J373" s="408"/>
      <c r="K373" s="409"/>
      <c r="L373" s="301"/>
      <c r="M373" s="417"/>
      <c r="N373" s="417"/>
      <c r="O373" s="417"/>
      <c r="P373" s="417"/>
      <c r="Q373" s="417"/>
      <c r="R373" s="417"/>
      <c r="S373" s="6"/>
      <c r="T373" s="6"/>
      <c r="U373" s="6"/>
      <c r="V373" s="6"/>
      <c r="W373" s="6"/>
    </row>
    <row r="374" ht="12.0" customHeight="1">
      <c r="A374" s="14"/>
      <c r="B374" s="15"/>
      <c r="C374" s="189"/>
      <c r="D374" s="46" t="s">
        <v>1007</v>
      </c>
      <c r="E374" s="21" t="s">
        <v>308</v>
      </c>
      <c r="F374" s="14">
        <v>12.0</v>
      </c>
      <c r="G374" s="14"/>
      <c r="H374" s="365">
        <f>(P374-R374)</f>
        <v>391.0599</v>
      </c>
      <c r="I374" s="14" t="s">
        <v>119</v>
      </c>
      <c r="J374" s="418" t="s">
        <v>565</v>
      </c>
      <c r="K374" s="308">
        <f t="shared" ref="K374:K383" si="133">H374*F374</f>
        <v>4692.7188</v>
      </c>
      <c r="L374" s="301">
        <f>H374*1.7</f>
        <v>664.80183</v>
      </c>
      <c r="M374" s="314">
        <v>513.0</v>
      </c>
      <c r="N374" s="314">
        <v>0.21</v>
      </c>
      <c r="O374" s="314">
        <f>M374*N374</f>
        <v>107.73</v>
      </c>
      <c r="P374" s="314">
        <f>SUM(M374+O374)</f>
        <v>620.73</v>
      </c>
      <c r="Q374" s="314">
        <v>0.37</v>
      </c>
      <c r="R374" s="314">
        <f>P374*Q374</f>
        <v>229.6701</v>
      </c>
      <c r="S374" s="353" t="s">
        <v>1008</v>
      </c>
      <c r="T374" s="6"/>
      <c r="U374" s="6"/>
      <c r="V374" s="6"/>
      <c r="W374" s="6"/>
    </row>
    <row r="375" ht="12.0" customHeight="1">
      <c r="A375" s="14"/>
      <c r="B375" s="15"/>
      <c r="C375" s="78"/>
      <c r="D375" s="46" t="s">
        <v>570</v>
      </c>
      <c r="E375" s="47" t="s">
        <v>308</v>
      </c>
      <c r="F375" s="50">
        <v>6.0</v>
      </c>
      <c r="G375" s="14" t="s">
        <v>567</v>
      </c>
      <c r="H375" s="365">
        <v>805.0</v>
      </c>
      <c r="I375" s="14" t="s">
        <v>576</v>
      </c>
      <c r="J375" s="51" t="s">
        <v>568</v>
      </c>
      <c r="K375" s="308">
        <f t="shared" si="133"/>
        <v>4830</v>
      </c>
      <c r="L375" s="301">
        <f t="shared" ref="L375:L378" si="134">H375*1.65</f>
        <v>1328.25</v>
      </c>
      <c r="M375" s="314"/>
      <c r="N375" s="314"/>
      <c r="O375" s="314"/>
      <c r="P375" s="314"/>
      <c r="Q375" s="314"/>
      <c r="R375" s="314"/>
      <c r="S375" s="350"/>
      <c r="T375" s="6"/>
      <c r="U375" s="6"/>
      <c r="V375" s="6"/>
      <c r="W375" s="6"/>
    </row>
    <row r="376" ht="12.0" customHeight="1">
      <c r="A376" s="52"/>
      <c r="B376" s="71"/>
      <c r="C376" s="128"/>
      <c r="D376" s="31" t="s">
        <v>569</v>
      </c>
      <c r="E376" s="191" t="s">
        <v>308</v>
      </c>
      <c r="F376" s="33">
        <v>2.0</v>
      </c>
      <c r="G376" s="33"/>
      <c r="H376" s="345">
        <f>SUM(M376+O376)</f>
        <v>2030.38</v>
      </c>
      <c r="I376" s="9" t="s">
        <v>17</v>
      </c>
      <c r="J376" s="24">
        <v>4331.0</v>
      </c>
      <c r="K376" s="306">
        <f t="shared" si="133"/>
        <v>4060.76</v>
      </c>
      <c r="L376" s="301">
        <f t="shared" si="134"/>
        <v>3350.127</v>
      </c>
      <c r="M376" s="310">
        <v>1678.0</v>
      </c>
      <c r="N376" s="311">
        <v>0.21</v>
      </c>
      <c r="O376" s="310">
        <f>SUM(M376*N376)</f>
        <v>352.38</v>
      </c>
      <c r="P376" s="326"/>
      <c r="Q376" s="9"/>
      <c r="R376" s="9"/>
      <c r="S376" s="6"/>
      <c r="T376" s="6"/>
      <c r="U376" s="6"/>
      <c r="V376" s="6"/>
      <c r="W376" s="6"/>
    </row>
    <row r="377" ht="12.0" customHeight="1">
      <c r="A377" s="52"/>
      <c r="B377" s="15"/>
      <c r="C377" s="192"/>
      <c r="D377" s="46" t="s">
        <v>570</v>
      </c>
      <c r="E377" s="47" t="s">
        <v>308</v>
      </c>
      <c r="F377" s="50">
        <v>9.0</v>
      </c>
      <c r="G377" s="14" t="s">
        <v>571</v>
      </c>
      <c r="H377" s="365">
        <f>(P377-R377)</f>
        <v>1190.7126</v>
      </c>
      <c r="I377" s="14" t="s">
        <v>119</v>
      </c>
      <c r="J377" s="51" t="s">
        <v>572</v>
      </c>
      <c r="K377" s="308">
        <f t="shared" si="133"/>
        <v>10716.4134</v>
      </c>
      <c r="L377" s="301">
        <f t="shared" si="134"/>
        <v>1964.67579</v>
      </c>
      <c r="M377" s="314">
        <v>1562.0</v>
      </c>
      <c r="N377" s="314">
        <v>0.21</v>
      </c>
      <c r="O377" s="314">
        <f>M377*N377</f>
        <v>328.02</v>
      </c>
      <c r="P377" s="314">
        <f>SUM(M377+O377)</f>
        <v>1890.02</v>
      </c>
      <c r="Q377" s="314">
        <v>0.37</v>
      </c>
      <c r="R377" s="314">
        <f>P377*Q377</f>
        <v>699.3074</v>
      </c>
      <c r="S377" s="6"/>
      <c r="T377" s="6"/>
      <c r="U377" s="6"/>
      <c r="V377" s="6"/>
      <c r="W377" s="6"/>
    </row>
    <row r="378" ht="12.0" customHeight="1">
      <c r="A378" s="14"/>
      <c r="B378" s="1"/>
      <c r="C378" s="193"/>
      <c r="D378" s="31" t="s">
        <v>573</v>
      </c>
      <c r="E378" s="32" t="s">
        <v>308</v>
      </c>
      <c r="F378" s="33">
        <v>4.0</v>
      </c>
      <c r="G378" s="9" t="s">
        <v>574</v>
      </c>
      <c r="H378" s="345">
        <v>1251.0</v>
      </c>
      <c r="I378" s="9" t="s">
        <v>576</v>
      </c>
      <c r="J378" s="194" t="s">
        <v>575</v>
      </c>
      <c r="K378" s="306">
        <f t="shared" si="133"/>
        <v>5004</v>
      </c>
      <c r="L378" s="301">
        <f t="shared" si="134"/>
        <v>2064.15</v>
      </c>
      <c r="M378" s="310"/>
      <c r="N378" s="311"/>
      <c r="O378" s="310"/>
      <c r="P378" s="326"/>
      <c r="Q378" s="326"/>
      <c r="R378" s="326"/>
      <c r="S378" s="6"/>
      <c r="T378" s="6"/>
      <c r="U378" s="6"/>
      <c r="V378" s="6"/>
      <c r="W378" s="6"/>
    </row>
    <row r="379" ht="12.0" customHeight="1">
      <c r="A379" s="14"/>
      <c r="B379" s="15"/>
      <c r="C379" s="189"/>
      <c r="D379" s="195" t="s">
        <v>577</v>
      </c>
      <c r="E379" s="132" t="s">
        <v>309</v>
      </c>
      <c r="F379" s="14">
        <v>4.0</v>
      </c>
      <c r="G379" s="14" t="s">
        <v>564</v>
      </c>
      <c r="H379" s="365">
        <f>SUM(M379+O379)</f>
        <v>523.93</v>
      </c>
      <c r="I379" s="14" t="s">
        <v>17</v>
      </c>
      <c r="J379" s="51">
        <v>4352.0</v>
      </c>
      <c r="K379" s="314">
        <f t="shared" si="133"/>
        <v>2095.72</v>
      </c>
      <c r="L379" s="301">
        <f>H379*1.7</f>
        <v>890.681</v>
      </c>
      <c r="M379" s="312">
        <v>433.0</v>
      </c>
      <c r="N379" s="313">
        <v>0.21</v>
      </c>
      <c r="O379" s="312">
        <f>SUM(M379*N379)</f>
        <v>90.93</v>
      </c>
      <c r="P379" s="314"/>
      <c r="Q379" s="314"/>
      <c r="R379" s="314"/>
      <c r="S379" s="350" t="s">
        <v>1009</v>
      </c>
      <c r="T379" s="6"/>
      <c r="U379" s="6"/>
      <c r="V379" s="6"/>
      <c r="W379" s="6"/>
    </row>
    <row r="380" ht="12.0" customHeight="1">
      <c r="A380" s="52"/>
      <c r="B380" s="15"/>
      <c r="C380" s="79"/>
      <c r="D380" s="197" t="s">
        <v>578</v>
      </c>
      <c r="E380" s="131" t="s">
        <v>309</v>
      </c>
      <c r="F380" s="9">
        <v>13.0</v>
      </c>
      <c r="G380" s="9"/>
      <c r="H380" s="345">
        <v>1010.0</v>
      </c>
      <c r="I380" s="9" t="s">
        <v>576</v>
      </c>
      <c r="J380" s="24" t="s">
        <v>579</v>
      </c>
      <c r="K380" s="306">
        <f t="shared" si="133"/>
        <v>13130</v>
      </c>
      <c r="L380" s="301">
        <f>H380*1.65</f>
        <v>1666.5</v>
      </c>
      <c r="M380" s="310"/>
      <c r="N380" s="311"/>
      <c r="O380" s="310"/>
      <c r="P380" s="326"/>
      <c r="Q380" s="326"/>
      <c r="R380" s="326"/>
      <c r="S380" s="350"/>
      <c r="T380" s="6"/>
      <c r="U380" s="6"/>
      <c r="V380" s="6"/>
      <c r="W380" s="6"/>
    </row>
    <row r="381" ht="12.0" customHeight="1">
      <c r="A381" s="52"/>
      <c r="B381" s="15"/>
      <c r="C381" s="71"/>
      <c r="D381" s="195" t="s">
        <v>580</v>
      </c>
      <c r="E381" s="132" t="s">
        <v>309</v>
      </c>
      <c r="F381" s="14">
        <v>0.0</v>
      </c>
      <c r="G381" s="14" t="s">
        <v>571</v>
      </c>
      <c r="H381" s="365">
        <f t="shared" ref="H381:H383" si="135">(P381-R381)</f>
        <v>1725.0849</v>
      </c>
      <c r="I381" s="14" t="s">
        <v>119</v>
      </c>
      <c r="J381" s="51" t="s">
        <v>581</v>
      </c>
      <c r="K381" s="314">
        <f t="shared" si="133"/>
        <v>0</v>
      </c>
      <c r="L381" s="301">
        <f t="shared" ref="L381:L382" si="136">H381*1.7</f>
        <v>2932.64433</v>
      </c>
      <c r="M381" s="314">
        <v>2263.0</v>
      </c>
      <c r="N381" s="314">
        <v>0.21</v>
      </c>
      <c r="O381" s="314">
        <f t="shared" ref="O381:O383" si="137">M381*N381</f>
        <v>475.23</v>
      </c>
      <c r="P381" s="314">
        <f t="shared" ref="P381:P383" si="138">SUM(M381+O381)</f>
        <v>2738.23</v>
      </c>
      <c r="Q381" s="314">
        <v>0.37</v>
      </c>
      <c r="R381" s="314">
        <f t="shared" ref="R381:R383" si="139">P381*Q381</f>
        <v>1013.1451</v>
      </c>
      <c r="S381" s="6"/>
      <c r="T381" s="6"/>
      <c r="U381" s="6"/>
      <c r="V381" s="6"/>
      <c r="W381" s="6"/>
    </row>
    <row r="382" ht="12.0" customHeight="1">
      <c r="A382" s="52"/>
      <c r="B382" s="15"/>
      <c r="C382" s="15"/>
      <c r="D382" s="198" t="s">
        <v>582</v>
      </c>
      <c r="E382" s="199" t="s">
        <v>423</v>
      </c>
      <c r="F382" s="9">
        <v>4.0</v>
      </c>
      <c r="G382" s="9" t="s">
        <v>564</v>
      </c>
      <c r="H382" s="345">
        <f t="shared" si="135"/>
        <v>837.0054</v>
      </c>
      <c r="I382" s="9" t="s">
        <v>119</v>
      </c>
      <c r="J382" s="24" t="s">
        <v>583</v>
      </c>
      <c r="K382" s="326">
        <f t="shared" si="133"/>
        <v>3348.0216</v>
      </c>
      <c r="L382" s="301">
        <f t="shared" si="136"/>
        <v>1422.90918</v>
      </c>
      <c r="M382" s="326">
        <v>1098.0</v>
      </c>
      <c r="N382" s="326">
        <v>0.21</v>
      </c>
      <c r="O382" s="326">
        <f t="shared" si="137"/>
        <v>230.58</v>
      </c>
      <c r="P382" s="326">
        <f t="shared" si="138"/>
        <v>1328.58</v>
      </c>
      <c r="Q382" s="326">
        <v>0.37</v>
      </c>
      <c r="R382" s="326">
        <f t="shared" si="139"/>
        <v>491.5746</v>
      </c>
      <c r="S382" s="321" t="s">
        <v>1010</v>
      </c>
      <c r="T382" s="6"/>
      <c r="U382" s="6"/>
      <c r="V382" s="6"/>
      <c r="W382" s="6"/>
    </row>
    <row r="383" ht="12.0" customHeight="1">
      <c r="A383" s="52"/>
      <c r="B383" s="15"/>
      <c r="C383" s="15"/>
      <c r="D383" s="200" t="s">
        <v>584</v>
      </c>
      <c r="E383" s="201" t="s">
        <v>423</v>
      </c>
      <c r="F383" s="14">
        <v>3.0</v>
      </c>
      <c r="G383" s="14"/>
      <c r="H383" s="365">
        <f t="shared" si="135"/>
        <v>1804.3641</v>
      </c>
      <c r="I383" s="14" t="s">
        <v>119</v>
      </c>
      <c r="J383" s="60" t="s">
        <v>585</v>
      </c>
      <c r="K383" s="314">
        <f t="shared" si="133"/>
        <v>5413.0923</v>
      </c>
      <c r="L383" s="301">
        <f>H383*1.6</f>
        <v>2886.98256</v>
      </c>
      <c r="M383" s="314">
        <v>2367.0</v>
      </c>
      <c r="N383" s="314">
        <v>0.21</v>
      </c>
      <c r="O383" s="314">
        <f t="shared" si="137"/>
        <v>497.07</v>
      </c>
      <c r="P383" s="314">
        <f t="shared" si="138"/>
        <v>2864.07</v>
      </c>
      <c r="Q383" s="314">
        <v>0.37</v>
      </c>
      <c r="R383" s="314">
        <f t="shared" si="139"/>
        <v>1059.7059</v>
      </c>
      <c r="S383" s="6"/>
      <c r="T383" s="6"/>
      <c r="U383" s="6"/>
      <c r="V383" s="6"/>
      <c r="W383" s="6"/>
    </row>
    <row r="384" ht="12.0" customHeight="1">
      <c r="A384" s="52"/>
      <c r="B384" s="15"/>
      <c r="C384" s="15"/>
      <c r="D384" s="27" t="s">
        <v>586</v>
      </c>
      <c r="E384" s="26" t="s">
        <v>423</v>
      </c>
      <c r="F384" s="27">
        <v>0.0</v>
      </c>
      <c r="G384" s="27" t="s">
        <v>574</v>
      </c>
      <c r="H384" s="315">
        <f>SUM(M384+O384)</f>
        <v>189.992</v>
      </c>
      <c r="I384" s="27" t="s">
        <v>576</v>
      </c>
      <c r="J384" s="27" t="s">
        <v>587</v>
      </c>
      <c r="K384" s="27">
        <f>SUM(F384*H384)</f>
        <v>0</v>
      </c>
      <c r="L384" s="317">
        <f>H384*1.75</f>
        <v>332.486</v>
      </c>
      <c r="M384" s="331">
        <v>149.6</v>
      </c>
      <c r="N384" s="332">
        <v>0.27</v>
      </c>
      <c r="O384" s="331">
        <f>SUM(M384*N384)</f>
        <v>40.392</v>
      </c>
      <c r="P384" s="326"/>
      <c r="Q384" s="326"/>
      <c r="R384" s="326"/>
      <c r="S384" s="6"/>
      <c r="T384" s="6"/>
      <c r="U384" s="6"/>
      <c r="V384" s="6"/>
      <c r="W384" s="6"/>
    </row>
    <row r="385" ht="12.0" customHeight="1">
      <c r="A385" s="52"/>
      <c r="B385" s="67"/>
      <c r="C385" s="82"/>
      <c r="D385" s="33" t="s">
        <v>1011</v>
      </c>
      <c r="E385" s="32" t="s">
        <v>589</v>
      </c>
      <c r="F385" s="33">
        <v>6.0</v>
      </c>
      <c r="G385" s="33" t="s">
        <v>624</v>
      </c>
      <c r="H385" s="351">
        <v>410.0</v>
      </c>
      <c r="I385" s="33" t="s">
        <v>576</v>
      </c>
      <c r="J385" s="33" t="s">
        <v>590</v>
      </c>
      <c r="K385" s="326">
        <f t="shared" ref="K385:K425" si="140">H385*F385</f>
        <v>2460</v>
      </c>
      <c r="L385" s="301">
        <f t="shared" ref="L385:L387" si="141">H385*1.7</f>
        <v>697</v>
      </c>
      <c r="M385" s="310"/>
      <c r="N385" s="311"/>
      <c r="O385" s="310"/>
      <c r="P385" s="310"/>
      <c r="Q385" s="310"/>
      <c r="R385" s="310"/>
      <c r="S385" s="6"/>
      <c r="T385" s="6"/>
      <c r="U385" s="6"/>
      <c r="V385" s="6"/>
      <c r="W385" s="6"/>
    </row>
    <row r="386" ht="12.0" customHeight="1">
      <c r="A386" s="52"/>
      <c r="B386" s="67"/>
      <c r="C386" s="82"/>
      <c r="D386" s="33" t="s">
        <v>591</v>
      </c>
      <c r="E386" s="32" t="s">
        <v>592</v>
      </c>
      <c r="F386" s="33">
        <v>4.0</v>
      </c>
      <c r="G386" s="33" t="s">
        <v>624</v>
      </c>
      <c r="H386" s="305">
        <f>SUM(1.65*H385)</f>
        <v>676.5</v>
      </c>
      <c r="I386" s="33" t="s">
        <v>576</v>
      </c>
      <c r="J386" s="33" t="s">
        <v>593</v>
      </c>
      <c r="K386" s="326">
        <f t="shared" si="140"/>
        <v>2706</v>
      </c>
      <c r="L386" s="301">
        <f t="shared" si="141"/>
        <v>1150.05</v>
      </c>
      <c r="M386" s="310"/>
      <c r="N386" s="311"/>
      <c r="O386" s="310"/>
      <c r="P386" s="310"/>
      <c r="Q386" s="310"/>
      <c r="R386" s="310"/>
      <c r="S386" s="6"/>
      <c r="T386" s="6"/>
      <c r="U386" s="6"/>
      <c r="V386" s="6"/>
      <c r="W386" s="6"/>
    </row>
    <row r="387" ht="12.0" customHeight="1">
      <c r="A387" s="52"/>
      <c r="B387" s="67"/>
      <c r="C387" s="82"/>
      <c r="D387" s="33" t="s">
        <v>594</v>
      </c>
      <c r="E387" s="32" t="s">
        <v>595</v>
      </c>
      <c r="F387" s="33">
        <v>1.0</v>
      </c>
      <c r="G387" s="33" t="s">
        <v>624</v>
      </c>
      <c r="H387" s="305">
        <f>SUM(2.55*H385)</f>
        <v>1045.5</v>
      </c>
      <c r="I387" s="33" t="s">
        <v>576</v>
      </c>
      <c r="J387" s="33" t="s">
        <v>596</v>
      </c>
      <c r="K387" s="326">
        <f t="shared" si="140"/>
        <v>1045.5</v>
      </c>
      <c r="L387" s="301">
        <f t="shared" si="141"/>
        <v>1777.35</v>
      </c>
      <c r="M387" s="310"/>
      <c r="N387" s="311"/>
      <c r="O387" s="310"/>
      <c r="P387" s="310"/>
      <c r="Q387" s="310"/>
      <c r="R387" s="310"/>
      <c r="S387" s="6"/>
      <c r="T387" s="6"/>
      <c r="U387" s="6"/>
      <c r="V387" s="6"/>
      <c r="W387" s="6"/>
    </row>
    <row r="388" ht="12.0" customHeight="1">
      <c r="A388" s="52"/>
      <c r="B388" s="82"/>
      <c r="C388" s="82"/>
      <c r="D388" s="50" t="s">
        <v>597</v>
      </c>
      <c r="E388" s="202" t="s">
        <v>74</v>
      </c>
      <c r="F388" s="50">
        <v>3.0</v>
      </c>
      <c r="G388" s="14"/>
      <c r="H388" s="365">
        <f t="shared" ref="H388:H389" si="142">(P388-R388)</f>
        <v>1860.012</v>
      </c>
      <c r="I388" s="14" t="s">
        <v>119</v>
      </c>
      <c r="J388" s="60" t="s">
        <v>598</v>
      </c>
      <c r="K388" s="314">
        <f t="shared" si="140"/>
        <v>5580.036</v>
      </c>
      <c r="L388" s="301">
        <f t="shared" ref="L388:L389" si="143">H388*1.5</f>
        <v>2790.018</v>
      </c>
      <c r="M388" s="314">
        <v>2440.0</v>
      </c>
      <c r="N388" s="314">
        <v>0.21</v>
      </c>
      <c r="O388" s="314">
        <f t="shared" ref="O388:O389" si="144">M388*N388</f>
        <v>512.4</v>
      </c>
      <c r="P388" s="314">
        <f t="shared" ref="P388:P389" si="145">SUM(M388+O388)</f>
        <v>2952.4</v>
      </c>
      <c r="Q388" s="314">
        <v>0.37</v>
      </c>
      <c r="R388" s="314">
        <f t="shared" ref="R388:R389" si="146">P388*Q388</f>
        <v>1092.388</v>
      </c>
      <c r="S388" s="321" t="s">
        <v>1012</v>
      </c>
      <c r="T388" s="6"/>
      <c r="U388" s="6"/>
      <c r="V388" s="6"/>
      <c r="W388" s="6"/>
    </row>
    <row r="389" ht="12.0" customHeight="1">
      <c r="A389" s="52"/>
      <c r="B389" s="82"/>
      <c r="C389" s="82"/>
      <c r="D389" s="33" t="s">
        <v>599</v>
      </c>
      <c r="E389" s="191" t="s">
        <v>482</v>
      </c>
      <c r="F389" s="33">
        <v>2.0</v>
      </c>
      <c r="G389" s="9"/>
      <c r="H389" s="345">
        <f t="shared" si="142"/>
        <v>1915.6599</v>
      </c>
      <c r="I389" s="9" t="s">
        <v>119</v>
      </c>
      <c r="J389" s="59" t="s">
        <v>600</v>
      </c>
      <c r="K389" s="326">
        <f t="shared" si="140"/>
        <v>3831.3198</v>
      </c>
      <c r="L389" s="301">
        <f t="shared" si="143"/>
        <v>2873.48985</v>
      </c>
      <c r="M389" s="326">
        <v>2513.0</v>
      </c>
      <c r="N389" s="326">
        <v>0.21</v>
      </c>
      <c r="O389" s="326">
        <f t="shared" si="144"/>
        <v>527.73</v>
      </c>
      <c r="P389" s="326">
        <f t="shared" si="145"/>
        <v>3040.73</v>
      </c>
      <c r="Q389" s="326">
        <v>0.37</v>
      </c>
      <c r="R389" s="326">
        <f t="shared" si="146"/>
        <v>1125.0701</v>
      </c>
      <c r="S389" s="6"/>
      <c r="T389" s="6"/>
      <c r="U389" s="6"/>
      <c r="V389" s="6"/>
      <c r="W389" s="6"/>
    </row>
    <row r="390" ht="12.0" customHeight="1">
      <c r="A390" s="52"/>
      <c r="B390" s="78"/>
      <c r="C390" s="82"/>
      <c r="D390" s="27" t="s">
        <v>601</v>
      </c>
      <c r="E390" s="203" t="s">
        <v>482</v>
      </c>
      <c r="F390" s="27">
        <v>0.0</v>
      </c>
      <c r="G390" s="27"/>
      <c r="H390" s="315">
        <v>1142.0</v>
      </c>
      <c r="I390" s="27" t="s">
        <v>576</v>
      </c>
      <c r="J390" s="103" t="s">
        <v>602</v>
      </c>
      <c r="K390" s="331">
        <f t="shared" si="140"/>
        <v>0</v>
      </c>
      <c r="L390" s="317">
        <f t="shared" ref="L390:L391" si="147">H390*1.6</f>
        <v>1827.2</v>
      </c>
      <c r="M390" s="326"/>
      <c r="N390" s="326"/>
      <c r="O390" s="326"/>
      <c r="P390" s="326"/>
      <c r="Q390" s="326"/>
      <c r="R390" s="326"/>
      <c r="S390" s="6"/>
      <c r="T390" s="6"/>
      <c r="U390" s="6"/>
      <c r="V390" s="6"/>
      <c r="W390" s="6"/>
    </row>
    <row r="391" ht="12.0" customHeight="1">
      <c r="A391" s="52"/>
      <c r="B391" s="82"/>
      <c r="C391" s="82"/>
      <c r="D391" s="33" t="s">
        <v>603</v>
      </c>
      <c r="E391" s="191" t="s">
        <v>482</v>
      </c>
      <c r="F391" s="33">
        <v>2.0</v>
      </c>
      <c r="G391" s="9"/>
      <c r="H391" s="345">
        <v>2150.0</v>
      </c>
      <c r="I391" s="9" t="s">
        <v>576</v>
      </c>
      <c r="J391" s="59" t="s">
        <v>604</v>
      </c>
      <c r="K391" s="326">
        <f t="shared" si="140"/>
        <v>4300</v>
      </c>
      <c r="L391" s="301">
        <f t="shared" si="147"/>
        <v>3440</v>
      </c>
      <c r="M391" s="326"/>
      <c r="N391" s="326"/>
      <c r="O391" s="326"/>
      <c r="P391" s="326"/>
      <c r="Q391" s="326"/>
      <c r="R391" s="326"/>
      <c r="S391" s="6"/>
      <c r="T391" s="6"/>
      <c r="U391" s="6"/>
      <c r="V391" s="6"/>
      <c r="W391" s="6"/>
    </row>
    <row r="392" ht="12.0" customHeight="1">
      <c r="A392" s="52"/>
      <c r="B392" s="78"/>
      <c r="C392" s="78"/>
      <c r="D392" s="50" t="s">
        <v>605</v>
      </c>
      <c r="E392" s="202"/>
      <c r="F392" s="50">
        <v>2.0</v>
      </c>
      <c r="G392" s="14"/>
      <c r="H392" s="365">
        <f t="shared" ref="H392:H396" si="148">(P392-R392)</f>
        <v>456.6177</v>
      </c>
      <c r="I392" s="14" t="s">
        <v>119</v>
      </c>
      <c r="J392" s="60">
        <v>1046.0</v>
      </c>
      <c r="K392" s="314">
        <f t="shared" si="140"/>
        <v>913.2354</v>
      </c>
      <c r="L392" s="301">
        <f>H392*1.8</f>
        <v>821.91186</v>
      </c>
      <c r="M392" s="314">
        <v>599.0</v>
      </c>
      <c r="N392" s="314">
        <v>0.21</v>
      </c>
      <c r="O392" s="314">
        <f t="shared" ref="O392:O397" si="149">M392*N392</f>
        <v>125.79</v>
      </c>
      <c r="P392" s="314">
        <f t="shared" ref="P392:P397" si="150">SUM(M392+O392)</f>
        <v>724.79</v>
      </c>
      <c r="Q392" s="314">
        <v>0.37</v>
      </c>
      <c r="R392" s="314">
        <f t="shared" ref="R392:R397" si="151">P392*Q392</f>
        <v>268.1723</v>
      </c>
      <c r="S392" s="6"/>
      <c r="T392" s="6"/>
      <c r="U392" s="6"/>
      <c r="V392" s="6"/>
      <c r="W392" s="6"/>
    </row>
    <row r="393" ht="12.0" customHeight="1">
      <c r="A393" s="52"/>
      <c r="B393" s="15"/>
      <c r="C393" s="15"/>
      <c r="D393" s="33" t="s">
        <v>606</v>
      </c>
      <c r="E393" s="17" t="s">
        <v>309</v>
      </c>
      <c r="F393" s="33">
        <v>2.0</v>
      </c>
      <c r="G393" s="9" t="s">
        <v>607</v>
      </c>
      <c r="H393" s="345">
        <f t="shared" si="148"/>
        <v>718.0866</v>
      </c>
      <c r="I393" s="9" t="s">
        <v>119</v>
      </c>
      <c r="J393" s="59" t="s">
        <v>608</v>
      </c>
      <c r="K393" s="326">
        <f t="shared" si="140"/>
        <v>1436.1732</v>
      </c>
      <c r="L393" s="301">
        <f>H393*1.87</f>
        <v>1342.821942</v>
      </c>
      <c r="M393" s="326">
        <v>942.0</v>
      </c>
      <c r="N393" s="326">
        <v>0.21</v>
      </c>
      <c r="O393" s="326">
        <f t="shared" si="149"/>
        <v>197.82</v>
      </c>
      <c r="P393" s="326">
        <f t="shared" si="150"/>
        <v>1139.82</v>
      </c>
      <c r="Q393" s="326">
        <v>0.37</v>
      </c>
      <c r="R393" s="326">
        <f t="shared" si="151"/>
        <v>421.7334</v>
      </c>
      <c r="S393" s="321" t="s">
        <v>1013</v>
      </c>
      <c r="T393" s="6"/>
      <c r="U393" s="6"/>
      <c r="V393" s="6"/>
      <c r="W393" s="6"/>
    </row>
    <row r="394" ht="12.0" customHeight="1">
      <c r="A394" s="52"/>
      <c r="B394" s="15"/>
      <c r="C394" s="15"/>
      <c r="D394" s="50" t="s">
        <v>606</v>
      </c>
      <c r="E394" s="50" t="s">
        <v>423</v>
      </c>
      <c r="F394" s="50">
        <v>2.0</v>
      </c>
      <c r="G394" s="50" t="s">
        <v>607</v>
      </c>
      <c r="H394" s="365">
        <f t="shared" si="148"/>
        <v>823.284</v>
      </c>
      <c r="I394" s="50" t="s">
        <v>119</v>
      </c>
      <c r="J394" s="60" t="s">
        <v>609</v>
      </c>
      <c r="K394" s="314">
        <f t="shared" si="140"/>
        <v>1646.568</v>
      </c>
      <c r="L394" s="301">
        <f t="shared" ref="L394:L396" si="152">H394*1.85</f>
        <v>1523.0754</v>
      </c>
      <c r="M394" s="314">
        <v>1080.0</v>
      </c>
      <c r="N394" s="314">
        <v>0.21</v>
      </c>
      <c r="O394" s="314">
        <f t="shared" si="149"/>
        <v>226.8</v>
      </c>
      <c r="P394" s="314">
        <f t="shared" si="150"/>
        <v>1306.8</v>
      </c>
      <c r="Q394" s="314">
        <v>0.37</v>
      </c>
      <c r="R394" s="314">
        <f t="shared" si="151"/>
        <v>483.516</v>
      </c>
      <c r="S394" s="321" t="s">
        <v>1014</v>
      </c>
      <c r="T394" s="6"/>
      <c r="U394" s="6"/>
      <c r="V394" s="6"/>
      <c r="W394" s="6"/>
    </row>
    <row r="395" ht="12.0" customHeight="1">
      <c r="A395" s="52"/>
      <c r="B395" s="15"/>
      <c r="C395" s="15"/>
      <c r="D395" s="33" t="s">
        <v>610</v>
      </c>
      <c r="E395" s="17" t="s">
        <v>309</v>
      </c>
      <c r="F395" s="33">
        <v>4.0</v>
      </c>
      <c r="G395" s="33"/>
      <c r="H395" s="345">
        <f t="shared" si="148"/>
        <v>105.9597</v>
      </c>
      <c r="I395" s="33" t="s">
        <v>119</v>
      </c>
      <c r="J395" s="136" t="s">
        <v>611</v>
      </c>
      <c r="K395" s="326">
        <f t="shared" si="140"/>
        <v>423.8388</v>
      </c>
      <c r="L395" s="301">
        <f t="shared" si="152"/>
        <v>196.025445</v>
      </c>
      <c r="M395" s="326">
        <v>139.0</v>
      </c>
      <c r="N395" s="326">
        <v>0.21</v>
      </c>
      <c r="O395" s="326">
        <f t="shared" si="149"/>
        <v>29.19</v>
      </c>
      <c r="P395" s="326">
        <f t="shared" si="150"/>
        <v>168.19</v>
      </c>
      <c r="Q395" s="326">
        <v>0.37</v>
      </c>
      <c r="R395" s="326">
        <f t="shared" si="151"/>
        <v>62.2303</v>
      </c>
      <c r="S395" s="6"/>
      <c r="T395" s="6"/>
      <c r="U395" s="6"/>
      <c r="V395" s="6"/>
      <c r="W395" s="6"/>
    </row>
    <row r="396" ht="12.0" customHeight="1">
      <c r="A396" s="52"/>
      <c r="B396" s="15"/>
      <c r="C396" s="15"/>
      <c r="D396" s="50" t="s">
        <v>612</v>
      </c>
      <c r="E396" s="50" t="s">
        <v>423</v>
      </c>
      <c r="F396" s="50">
        <v>4.0</v>
      </c>
      <c r="G396" s="50"/>
      <c r="H396" s="365">
        <f t="shared" si="148"/>
        <v>187.5258</v>
      </c>
      <c r="I396" s="50" t="s">
        <v>119</v>
      </c>
      <c r="J396" s="51" t="s">
        <v>613</v>
      </c>
      <c r="K396" s="314">
        <f t="shared" si="140"/>
        <v>750.1032</v>
      </c>
      <c r="L396" s="301">
        <f t="shared" si="152"/>
        <v>346.92273</v>
      </c>
      <c r="M396" s="314">
        <v>246.0</v>
      </c>
      <c r="N396" s="314">
        <v>0.21</v>
      </c>
      <c r="O396" s="314">
        <f t="shared" si="149"/>
        <v>51.66</v>
      </c>
      <c r="P396" s="314">
        <f t="shared" si="150"/>
        <v>297.66</v>
      </c>
      <c r="Q396" s="314">
        <v>0.37</v>
      </c>
      <c r="R396" s="314">
        <f t="shared" si="151"/>
        <v>110.1342</v>
      </c>
      <c r="S396" s="6"/>
      <c r="T396" s="6"/>
      <c r="U396" s="6"/>
      <c r="V396" s="6"/>
      <c r="W396" s="6"/>
    </row>
    <row r="397" ht="12.0" customHeight="1">
      <c r="A397" s="14"/>
      <c r="B397" s="189"/>
      <c r="C397" s="189"/>
      <c r="D397" s="33" t="s">
        <v>614</v>
      </c>
      <c r="E397" s="33" t="s">
        <v>309</v>
      </c>
      <c r="F397" s="33">
        <v>3.0</v>
      </c>
      <c r="G397" s="33"/>
      <c r="H397" s="345">
        <v>300.0</v>
      </c>
      <c r="I397" s="33" t="s">
        <v>119</v>
      </c>
      <c r="J397" s="24" t="s">
        <v>615</v>
      </c>
      <c r="K397" s="326">
        <f t="shared" si="140"/>
        <v>900</v>
      </c>
      <c r="L397" s="301">
        <f>H397*1.87</f>
        <v>561</v>
      </c>
      <c r="M397" s="326">
        <v>290.0</v>
      </c>
      <c r="N397" s="326">
        <v>0.21</v>
      </c>
      <c r="O397" s="326">
        <f t="shared" si="149"/>
        <v>60.9</v>
      </c>
      <c r="P397" s="326">
        <f t="shared" si="150"/>
        <v>350.9</v>
      </c>
      <c r="Q397" s="326">
        <v>0.37</v>
      </c>
      <c r="R397" s="326">
        <f t="shared" si="151"/>
        <v>129.833</v>
      </c>
      <c r="S397" s="6"/>
      <c r="T397" s="6"/>
      <c r="U397" s="6"/>
      <c r="V397" s="6"/>
      <c r="W397" s="6"/>
    </row>
    <row r="398" ht="12.0" customHeight="1">
      <c r="A398" s="14"/>
      <c r="B398" s="16"/>
      <c r="C398" s="16"/>
      <c r="D398" s="39" t="s">
        <v>616</v>
      </c>
      <c r="E398" s="40" t="s">
        <v>308</v>
      </c>
      <c r="F398" s="41">
        <v>0.0</v>
      </c>
      <c r="G398" s="41"/>
      <c r="H398" s="319">
        <v>110.0</v>
      </c>
      <c r="I398" s="41" t="s">
        <v>576</v>
      </c>
      <c r="J398" s="419" t="s">
        <v>617</v>
      </c>
      <c r="K398" s="320">
        <f t="shared" si="140"/>
        <v>0</v>
      </c>
      <c r="L398" s="317">
        <f>H398*1.9</f>
        <v>209</v>
      </c>
      <c r="M398" s="312"/>
      <c r="N398" s="313"/>
      <c r="O398" s="312"/>
      <c r="P398" s="314"/>
      <c r="Q398" s="14"/>
      <c r="R398" s="14"/>
      <c r="S398" s="6"/>
      <c r="T398" s="6"/>
      <c r="U398" s="6"/>
      <c r="V398" s="6"/>
      <c r="W398" s="6"/>
    </row>
    <row r="399" ht="12.0" customHeight="1">
      <c r="A399" s="14"/>
      <c r="B399" s="16"/>
      <c r="C399" s="66"/>
      <c r="D399" s="31" t="s">
        <v>618</v>
      </c>
      <c r="E399" s="32" t="s">
        <v>308</v>
      </c>
      <c r="F399" s="33">
        <v>15.0</v>
      </c>
      <c r="G399" s="33" t="s">
        <v>564</v>
      </c>
      <c r="H399" s="345">
        <v>305.0</v>
      </c>
      <c r="I399" s="33" t="s">
        <v>576</v>
      </c>
      <c r="J399" s="59" t="s">
        <v>619</v>
      </c>
      <c r="K399" s="323">
        <f t="shared" si="140"/>
        <v>4575</v>
      </c>
      <c r="L399" s="346">
        <f>H399*1.8</f>
        <v>549</v>
      </c>
      <c r="M399" s="310"/>
      <c r="N399" s="326"/>
      <c r="O399" s="326"/>
      <c r="P399" s="326"/>
      <c r="Q399" s="326"/>
      <c r="R399" s="326"/>
      <c r="S399" s="321" t="s">
        <v>1015</v>
      </c>
      <c r="T399" s="6"/>
      <c r="U399" s="6"/>
      <c r="V399" s="6"/>
      <c r="W399" s="6"/>
    </row>
    <row r="400" ht="12.0" customHeight="1">
      <c r="A400" s="14"/>
      <c r="B400" s="78"/>
      <c r="C400" s="79"/>
      <c r="D400" s="31" t="s">
        <v>620</v>
      </c>
      <c r="E400" s="32" t="s">
        <v>308</v>
      </c>
      <c r="F400" s="33">
        <v>10.0</v>
      </c>
      <c r="G400" s="33"/>
      <c r="H400" s="345">
        <v>815.0</v>
      </c>
      <c r="I400" s="33" t="s">
        <v>576</v>
      </c>
      <c r="J400" s="194" t="s">
        <v>621</v>
      </c>
      <c r="K400" s="323">
        <f t="shared" si="140"/>
        <v>8150</v>
      </c>
      <c r="L400" s="346">
        <f t="shared" ref="L400:L401" si="153">H400*1.7</f>
        <v>1385.5</v>
      </c>
      <c r="M400" s="310"/>
      <c r="N400" s="311"/>
      <c r="O400" s="310"/>
      <c r="P400" s="326"/>
      <c r="Q400" s="326"/>
      <c r="R400" s="326"/>
      <c r="S400" s="321"/>
      <c r="T400" s="6"/>
      <c r="U400" s="6"/>
      <c r="V400" s="6"/>
      <c r="W400" s="6"/>
    </row>
    <row r="401" ht="12.0" customHeight="1">
      <c r="A401" s="14"/>
      <c r="B401" s="78"/>
      <c r="C401" s="206"/>
      <c r="D401" s="50" t="s">
        <v>622</v>
      </c>
      <c r="E401" s="21" t="s">
        <v>308</v>
      </c>
      <c r="F401" s="14">
        <v>5.0</v>
      </c>
      <c r="G401" s="14" t="s">
        <v>571</v>
      </c>
      <c r="H401" s="365">
        <f t="shared" ref="H401:H402" si="154">(P401-R401)</f>
        <v>968.121</v>
      </c>
      <c r="I401" s="50" t="s">
        <v>119</v>
      </c>
      <c r="J401" s="60" t="s">
        <v>623</v>
      </c>
      <c r="K401" s="322">
        <f t="shared" si="140"/>
        <v>4840.605</v>
      </c>
      <c r="L401" s="346">
        <f t="shared" si="153"/>
        <v>1645.8057</v>
      </c>
      <c r="M401" s="312">
        <v>1270.0</v>
      </c>
      <c r="N401" s="312">
        <v>0.21</v>
      </c>
      <c r="O401" s="312">
        <f t="shared" ref="O401:O402" si="155">M401*N401</f>
        <v>266.7</v>
      </c>
      <c r="P401" s="312">
        <f t="shared" ref="P401:P402" si="156">SUM(M401+O401)</f>
        <v>1536.7</v>
      </c>
      <c r="Q401" s="312">
        <v>0.37</v>
      </c>
      <c r="R401" s="312">
        <f t="shared" ref="R401:R402" si="157">P401*Q401</f>
        <v>568.579</v>
      </c>
      <c r="S401" s="6" t="s">
        <v>1016</v>
      </c>
      <c r="T401" s="6"/>
      <c r="U401" s="6"/>
      <c r="V401" s="6"/>
      <c r="W401" s="6"/>
    </row>
    <row r="402" ht="12.0" customHeight="1">
      <c r="A402" s="14"/>
      <c r="B402" s="78"/>
      <c r="C402" s="71"/>
      <c r="D402" s="31" t="s">
        <v>620</v>
      </c>
      <c r="E402" s="32" t="s">
        <v>308</v>
      </c>
      <c r="F402" s="33">
        <v>3.0</v>
      </c>
      <c r="G402" s="33" t="s">
        <v>624</v>
      </c>
      <c r="H402" s="345">
        <f t="shared" si="154"/>
        <v>1747.9539</v>
      </c>
      <c r="I402" s="33" t="s">
        <v>119</v>
      </c>
      <c r="J402" s="59" t="s">
        <v>625</v>
      </c>
      <c r="K402" s="323">
        <f t="shared" si="140"/>
        <v>5243.8617</v>
      </c>
      <c r="L402" s="346">
        <f>H402*1.65</f>
        <v>2884.123935</v>
      </c>
      <c r="M402" s="310">
        <v>2293.0</v>
      </c>
      <c r="N402" s="310">
        <v>0.21</v>
      </c>
      <c r="O402" s="310">
        <f t="shared" si="155"/>
        <v>481.53</v>
      </c>
      <c r="P402" s="310">
        <f t="shared" si="156"/>
        <v>2774.53</v>
      </c>
      <c r="Q402" s="310">
        <v>0.37</v>
      </c>
      <c r="R402" s="310">
        <f t="shared" si="157"/>
        <v>1026.5761</v>
      </c>
      <c r="S402" s="6"/>
      <c r="T402" s="6"/>
      <c r="U402" s="6"/>
      <c r="V402" s="6"/>
      <c r="W402" s="6"/>
    </row>
    <row r="403" ht="12.0" customHeight="1">
      <c r="A403" s="14"/>
      <c r="B403" s="78"/>
      <c r="C403" s="193"/>
      <c r="D403" s="31" t="s">
        <v>626</v>
      </c>
      <c r="E403" s="32" t="s">
        <v>308</v>
      </c>
      <c r="F403" s="33">
        <v>4.0</v>
      </c>
      <c r="G403" s="33" t="s">
        <v>574</v>
      </c>
      <c r="H403" s="387">
        <v>1850.0</v>
      </c>
      <c r="I403" s="33" t="s">
        <v>576</v>
      </c>
      <c r="J403" s="194" t="s">
        <v>627</v>
      </c>
      <c r="K403" s="306">
        <f t="shared" si="140"/>
        <v>7400</v>
      </c>
      <c r="L403" s="301">
        <f t="shared" ref="L403:L404" si="158">H403*1.45</f>
        <v>2682.5</v>
      </c>
      <c r="M403" s="310"/>
      <c r="N403" s="310"/>
      <c r="O403" s="310"/>
      <c r="P403" s="310"/>
      <c r="Q403" s="310"/>
      <c r="R403" s="310"/>
      <c r="S403" s="6"/>
      <c r="T403" s="6"/>
      <c r="U403" s="6"/>
      <c r="V403" s="6"/>
      <c r="W403" s="6"/>
    </row>
    <row r="404" ht="12.0" customHeight="1">
      <c r="A404" s="52"/>
      <c r="B404" s="67"/>
      <c r="C404" s="67"/>
      <c r="D404" s="46" t="s">
        <v>628</v>
      </c>
      <c r="E404" s="21" t="s">
        <v>308</v>
      </c>
      <c r="F404" s="14">
        <v>4.0</v>
      </c>
      <c r="G404" s="14"/>
      <c r="H404" s="307">
        <f>SUM(0.85*H403)</f>
        <v>1572.5</v>
      </c>
      <c r="I404" s="14" t="s">
        <v>17</v>
      </c>
      <c r="J404" s="50">
        <v>3657.0</v>
      </c>
      <c r="K404" s="314">
        <f t="shared" si="140"/>
        <v>6290</v>
      </c>
      <c r="L404" s="301">
        <f t="shared" si="158"/>
        <v>2280.125</v>
      </c>
      <c r="M404" s="312"/>
      <c r="N404" s="313"/>
      <c r="O404" s="312"/>
      <c r="P404" s="314"/>
      <c r="Q404" s="14"/>
      <c r="R404" s="14"/>
      <c r="S404" s="6"/>
      <c r="T404" s="6"/>
      <c r="U404" s="6"/>
      <c r="V404" s="6"/>
      <c r="W404" s="6"/>
    </row>
    <row r="405" ht="12.0" customHeight="1">
      <c r="A405" s="52"/>
      <c r="B405" s="67"/>
      <c r="C405" s="67"/>
      <c r="D405" s="25" t="s">
        <v>629</v>
      </c>
      <c r="E405" s="26" t="s">
        <v>308</v>
      </c>
      <c r="F405" s="27">
        <v>0.0</v>
      </c>
      <c r="G405" s="27"/>
      <c r="H405" s="315">
        <v>209.0</v>
      </c>
      <c r="I405" s="27" t="s">
        <v>293</v>
      </c>
      <c r="J405" s="27"/>
      <c r="K405" s="331">
        <f t="shared" si="140"/>
        <v>0</v>
      </c>
      <c r="L405" s="317">
        <f>H405*1.75</f>
        <v>365.75</v>
      </c>
      <c r="M405" s="310"/>
      <c r="N405" s="311"/>
      <c r="O405" s="310"/>
      <c r="P405" s="326"/>
      <c r="Q405" s="9"/>
      <c r="R405" s="9"/>
      <c r="S405" s="6"/>
      <c r="T405" s="6"/>
      <c r="U405" s="6"/>
      <c r="V405" s="6"/>
      <c r="W405" s="6"/>
    </row>
    <row r="406" ht="12.0" customHeight="1">
      <c r="A406" s="52"/>
      <c r="B406" s="16"/>
      <c r="C406" s="16"/>
      <c r="D406" s="46" t="s">
        <v>630</v>
      </c>
      <c r="E406" s="62" t="s">
        <v>308</v>
      </c>
      <c r="F406" s="50">
        <v>2.0</v>
      </c>
      <c r="G406" s="14" t="s">
        <v>564</v>
      </c>
      <c r="H406" s="365">
        <v>699.0</v>
      </c>
      <c r="I406" s="14" t="s">
        <v>576</v>
      </c>
      <c r="J406" s="51" t="s">
        <v>631</v>
      </c>
      <c r="K406" s="308">
        <f t="shared" si="140"/>
        <v>1398</v>
      </c>
      <c r="L406" s="301">
        <f t="shared" ref="L406:L407" si="159">H406*1.7</f>
        <v>1188.3</v>
      </c>
      <c r="M406" s="312"/>
      <c r="N406" s="313"/>
      <c r="O406" s="312"/>
      <c r="P406" s="314"/>
      <c r="Q406" s="314"/>
      <c r="R406" s="314"/>
      <c r="S406" s="6"/>
      <c r="T406" s="6"/>
      <c r="U406" s="6"/>
      <c r="V406" s="6"/>
      <c r="W406" s="6"/>
    </row>
    <row r="407" ht="12.0" customHeight="1">
      <c r="A407" s="52"/>
      <c r="B407" s="78"/>
      <c r="C407" s="78"/>
      <c r="D407" s="46" t="s">
        <v>632</v>
      </c>
      <c r="E407" s="202" t="s">
        <v>308</v>
      </c>
      <c r="F407" s="50">
        <v>2.0</v>
      </c>
      <c r="G407" s="14" t="s">
        <v>633</v>
      </c>
      <c r="H407" s="365">
        <v>1710.0</v>
      </c>
      <c r="I407" s="14" t="s">
        <v>576</v>
      </c>
      <c r="J407" s="420" t="s">
        <v>1017</v>
      </c>
      <c r="K407" s="308">
        <f t="shared" si="140"/>
        <v>3420</v>
      </c>
      <c r="L407" s="301">
        <f t="shared" si="159"/>
        <v>2907</v>
      </c>
      <c r="M407" s="312"/>
      <c r="N407" s="313"/>
      <c r="O407" s="312"/>
      <c r="P407" s="314"/>
      <c r="Q407" s="314"/>
      <c r="R407" s="314"/>
      <c r="S407" s="6"/>
      <c r="T407" s="6"/>
      <c r="U407" s="6"/>
      <c r="V407" s="6"/>
      <c r="W407" s="6"/>
    </row>
    <row r="408" ht="12.0" customHeight="1">
      <c r="A408" s="52"/>
      <c r="B408" s="78"/>
      <c r="C408" s="193"/>
      <c r="D408" s="31" t="s">
        <v>634</v>
      </c>
      <c r="E408" s="191" t="s">
        <v>308</v>
      </c>
      <c r="F408" s="33">
        <v>1.0</v>
      </c>
      <c r="G408" s="33" t="s">
        <v>574</v>
      </c>
      <c r="H408" s="345">
        <v>3326.0</v>
      </c>
      <c r="I408" s="33" t="s">
        <v>576</v>
      </c>
      <c r="J408" s="59" t="s">
        <v>635</v>
      </c>
      <c r="K408" s="323">
        <f t="shared" si="140"/>
        <v>3326</v>
      </c>
      <c r="L408" s="346">
        <f>H408*1.65</f>
        <v>5487.9</v>
      </c>
      <c r="M408" s="310"/>
      <c r="N408" s="310"/>
      <c r="O408" s="310"/>
      <c r="P408" s="310"/>
      <c r="Q408" s="310"/>
      <c r="R408" s="310"/>
      <c r="S408" s="6"/>
      <c r="T408" s="6"/>
      <c r="U408" s="6"/>
      <c r="V408" s="6"/>
      <c r="W408" s="6"/>
    </row>
    <row r="409" ht="12.0" customHeight="1">
      <c r="A409" s="52"/>
      <c r="B409" s="189"/>
      <c r="C409" s="192"/>
      <c r="D409" s="195" t="s">
        <v>636</v>
      </c>
      <c r="E409" s="132" t="s">
        <v>309</v>
      </c>
      <c r="F409" s="50">
        <v>1.0</v>
      </c>
      <c r="G409" s="14" t="s">
        <v>571</v>
      </c>
      <c r="H409" s="377">
        <v>1346.0</v>
      </c>
      <c r="I409" s="14" t="s">
        <v>576</v>
      </c>
      <c r="J409" s="51" t="s">
        <v>637</v>
      </c>
      <c r="K409" s="314">
        <f t="shared" si="140"/>
        <v>1346</v>
      </c>
      <c r="L409" s="301">
        <f>H409*1.75</f>
        <v>2355.5</v>
      </c>
      <c r="M409" s="314"/>
      <c r="N409" s="314"/>
      <c r="O409" s="314"/>
      <c r="P409" s="314"/>
      <c r="Q409" s="314"/>
      <c r="R409" s="314"/>
      <c r="S409" s="6"/>
      <c r="T409" s="6"/>
      <c r="U409" s="6"/>
      <c r="V409" s="6"/>
      <c r="W409" s="6"/>
    </row>
    <row r="410" ht="12.0" customHeight="1">
      <c r="A410" s="52"/>
      <c r="B410" s="16"/>
      <c r="C410" s="79"/>
      <c r="D410" s="197" t="s">
        <v>1018</v>
      </c>
      <c r="E410" s="131" t="s">
        <v>309</v>
      </c>
      <c r="F410" s="9">
        <v>1.0</v>
      </c>
      <c r="G410" s="9"/>
      <c r="H410" s="305">
        <f>SUM(1*H409)</f>
        <v>1346</v>
      </c>
      <c r="I410" s="9" t="s">
        <v>119</v>
      </c>
      <c r="J410" s="136" t="s">
        <v>639</v>
      </c>
      <c r="K410" s="326">
        <f t="shared" si="140"/>
        <v>1346</v>
      </c>
      <c r="L410" s="301">
        <f>H410*2.02</f>
        <v>2718.92</v>
      </c>
      <c r="M410" s="310"/>
      <c r="N410" s="310"/>
      <c r="O410" s="310"/>
      <c r="P410" s="310"/>
      <c r="Q410" s="310"/>
      <c r="R410" s="310"/>
      <c r="S410" s="6"/>
      <c r="T410" s="6"/>
      <c r="U410" s="6"/>
      <c r="V410" s="6"/>
      <c r="W410" s="6"/>
    </row>
    <row r="411" ht="12.0" customHeight="1">
      <c r="A411" s="52"/>
      <c r="B411" s="15"/>
      <c r="C411" s="15"/>
      <c r="D411" s="31" t="s">
        <v>640</v>
      </c>
      <c r="E411" s="208"/>
      <c r="F411" s="33">
        <v>2.0</v>
      </c>
      <c r="G411" s="9" t="s">
        <v>624</v>
      </c>
      <c r="H411" s="345">
        <f t="shared" ref="H411:H413" si="160">(P411-R411)</f>
        <v>4146.912</v>
      </c>
      <c r="I411" s="9" t="s">
        <v>119</v>
      </c>
      <c r="J411" s="59" t="s">
        <v>641</v>
      </c>
      <c r="K411" s="306">
        <f t="shared" si="140"/>
        <v>8293.824</v>
      </c>
      <c r="L411" s="301">
        <f>H411*1.73</f>
        <v>7174.15776</v>
      </c>
      <c r="M411" s="326">
        <v>5440.0</v>
      </c>
      <c r="N411" s="326">
        <v>0.21</v>
      </c>
      <c r="O411" s="326">
        <f t="shared" ref="O411:O413" si="161">M411*N411</f>
        <v>1142.4</v>
      </c>
      <c r="P411" s="326">
        <f t="shared" ref="P411:P413" si="162">SUM(M411+O411)</f>
        <v>6582.4</v>
      </c>
      <c r="Q411" s="326">
        <v>0.37</v>
      </c>
      <c r="R411" s="326">
        <f t="shared" ref="R411:R413" si="163">P411*Q411</f>
        <v>2435.488</v>
      </c>
      <c r="S411" s="6"/>
      <c r="T411" s="6"/>
      <c r="U411" s="6"/>
      <c r="V411" s="6"/>
      <c r="W411" s="6"/>
    </row>
    <row r="412" ht="12.0" customHeight="1">
      <c r="A412" s="52"/>
      <c r="B412" s="15"/>
      <c r="C412" s="15"/>
      <c r="D412" s="46" t="s">
        <v>642</v>
      </c>
      <c r="E412" s="202"/>
      <c r="F412" s="50">
        <v>1.0</v>
      </c>
      <c r="G412" s="50"/>
      <c r="H412" s="365">
        <f t="shared" si="160"/>
        <v>11108.2356</v>
      </c>
      <c r="I412" s="50" t="s">
        <v>119</v>
      </c>
      <c r="J412" s="48" t="s">
        <v>643</v>
      </c>
      <c r="K412" s="322">
        <f t="shared" si="140"/>
        <v>11108.2356</v>
      </c>
      <c r="L412" s="346">
        <f t="shared" ref="L412:L414" si="164">H412*1.55</f>
        <v>17217.76518</v>
      </c>
      <c r="M412" s="312">
        <v>14572.0</v>
      </c>
      <c r="N412" s="312">
        <v>0.21</v>
      </c>
      <c r="O412" s="312">
        <f t="shared" si="161"/>
        <v>3060.12</v>
      </c>
      <c r="P412" s="312">
        <f t="shared" si="162"/>
        <v>17632.12</v>
      </c>
      <c r="Q412" s="312">
        <v>0.37</v>
      </c>
      <c r="R412" s="312">
        <f t="shared" si="163"/>
        <v>6523.8844</v>
      </c>
      <c r="S412" s="6"/>
      <c r="T412" s="6"/>
      <c r="U412" s="6"/>
      <c r="V412" s="6"/>
      <c r="W412" s="6"/>
    </row>
    <row r="413" ht="12.0" customHeight="1">
      <c r="A413" s="52"/>
      <c r="B413" s="15"/>
      <c r="C413" s="15"/>
      <c r="D413" s="46" t="s">
        <v>644</v>
      </c>
      <c r="E413" s="202"/>
      <c r="F413" s="50">
        <v>0.0</v>
      </c>
      <c r="G413" s="50"/>
      <c r="H413" s="365">
        <f t="shared" si="160"/>
        <v>9833.67</v>
      </c>
      <c r="I413" s="50" t="s">
        <v>119</v>
      </c>
      <c r="J413" s="179" t="s">
        <v>645</v>
      </c>
      <c r="K413" s="322">
        <f t="shared" si="140"/>
        <v>0</v>
      </c>
      <c r="L413" s="346">
        <f t="shared" si="164"/>
        <v>15242.1885</v>
      </c>
      <c r="M413" s="312">
        <v>12900.0</v>
      </c>
      <c r="N413" s="312">
        <v>0.21</v>
      </c>
      <c r="O413" s="312">
        <f t="shared" si="161"/>
        <v>2709</v>
      </c>
      <c r="P413" s="312">
        <f t="shared" si="162"/>
        <v>15609</v>
      </c>
      <c r="Q413" s="312">
        <v>0.37</v>
      </c>
      <c r="R413" s="312">
        <f t="shared" si="163"/>
        <v>5775.33</v>
      </c>
      <c r="S413" s="6"/>
      <c r="T413" s="6"/>
      <c r="U413" s="6"/>
      <c r="V413" s="6"/>
      <c r="W413" s="6"/>
    </row>
    <row r="414" ht="12.0" customHeight="1">
      <c r="A414" s="52"/>
      <c r="B414" s="15"/>
      <c r="C414" s="15"/>
      <c r="D414" s="46" t="s">
        <v>646</v>
      </c>
      <c r="E414" s="202"/>
      <c r="F414" s="50">
        <v>5.0</v>
      </c>
      <c r="G414" s="50"/>
      <c r="H414" s="365">
        <v>506.0</v>
      </c>
      <c r="I414" s="50" t="s">
        <v>576</v>
      </c>
      <c r="J414" s="209" t="s">
        <v>647</v>
      </c>
      <c r="K414" s="322">
        <f t="shared" si="140"/>
        <v>2530</v>
      </c>
      <c r="L414" s="346">
        <f t="shared" si="164"/>
        <v>784.3</v>
      </c>
      <c r="M414" s="312"/>
      <c r="N414" s="312"/>
      <c r="O414" s="312"/>
      <c r="P414" s="312"/>
      <c r="Q414" s="312"/>
      <c r="R414" s="312"/>
      <c r="S414" s="6"/>
      <c r="T414" s="6"/>
      <c r="U414" s="6"/>
      <c r="V414" s="6"/>
      <c r="W414" s="6"/>
    </row>
    <row r="415" ht="12.0" customHeight="1">
      <c r="A415" s="52"/>
      <c r="B415" s="15"/>
      <c r="C415" s="15"/>
      <c r="D415" s="31" t="s">
        <v>648</v>
      </c>
      <c r="E415" s="191"/>
      <c r="F415" s="33">
        <v>0.0</v>
      </c>
      <c r="G415" s="33" t="s">
        <v>624</v>
      </c>
      <c r="H415" s="345">
        <f>(P415-R415)</f>
        <v>828.6201</v>
      </c>
      <c r="I415" s="33" t="s">
        <v>119</v>
      </c>
      <c r="J415" s="34" t="s">
        <v>649</v>
      </c>
      <c r="K415" s="323">
        <f t="shared" si="140"/>
        <v>0</v>
      </c>
      <c r="L415" s="346">
        <f t="shared" ref="L415:L416" si="165">H415*1.71</f>
        <v>1416.940371</v>
      </c>
      <c r="M415" s="310">
        <v>1087.0</v>
      </c>
      <c r="N415" s="310">
        <v>0.21</v>
      </c>
      <c r="O415" s="310">
        <f>M415*N415</f>
        <v>228.27</v>
      </c>
      <c r="P415" s="310">
        <f>SUM(M415+O415)</f>
        <v>1315.27</v>
      </c>
      <c r="Q415" s="310">
        <v>0.37</v>
      </c>
      <c r="R415" s="310">
        <f>P415*Q415</f>
        <v>486.6499</v>
      </c>
      <c r="S415" s="6"/>
      <c r="T415" s="6"/>
      <c r="U415" s="6"/>
      <c r="V415" s="6"/>
      <c r="W415" s="6"/>
    </row>
    <row r="416" ht="12.0" customHeight="1">
      <c r="A416" s="52"/>
      <c r="B416" s="15"/>
      <c r="C416" s="15"/>
      <c r="D416" s="31" t="s">
        <v>650</v>
      </c>
      <c r="E416" s="191"/>
      <c r="F416" s="33">
        <v>4.0</v>
      </c>
      <c r="G416" s="33"/>
      <c r="H416" s="345">
        <v>567.0</v>
      </c>
      <c r="I416" s="33" t="s">
        <v>576</v>
      </c>
      <c r="J416" s="34" t="s">
        <v>651</v>
      </c>
      <c r="K416" s="323">
        <f t="shared" si="140"/>
        <v>2268</v>
      </c>
      <c r="L416" s="346">
        <f t="shared" si="165"/>
        <v>969.57</v>
      </c>
      <c r="M416" s="310"/>
      <c r="N416" s="310"/>
      <c r="O416" s="310"/>
      <c r="P416" s="310"/>
      <c r="Q416" s="310"/>
      <c r="R416" s="310"/>
      <c r="S416" s="6"/>
      <c r="T416" s="6"/>
      <c r="U416" s="6"/>
      <c r="V416" s="6"/>
      <c r="W416" s="6"/>
    </row>
    <row r="417" ht="12.0" customHeight="1">
      <c r="A417" s="52"/>
      <c r="B417" s="15"/>
      <c r="C417" s="15"/>
      <c r="D417" s="15" t="s">
        <v>652</v>
      </c>
      <c r="E417" s="202"/>
      <c r="F417" s="50">
        <v>0.0</v>
      </c>
      <c r="G417" s="50" t="s">
        <v>624</v>
      </c>
      <c r="H417" s="365">
        <f t="shared" ref="H417:H418" si="166">(P417-R417)</f>
        <v>1411.7796</v>
      </c>
      <c r="I417" s="14" t="s">
        <v>119</v>
      </c>
      <c r="J417" s="48" t="s">
        <v>653</v>
      </c>
      <c r="K417" s="308">
        <f t="shared" si="140"/>
        <v>0</v>
      </c>
      <c r="L417" s="301">
        <f>H417*1.8</f>
        <v>2541.20328</v>
      </c>
      <c r="M417" s="314">
        <v>1852.0</v>
      </c>
      <c r="N417" s="314">
        <v>0.21</v>
      </c>
      <c r="O417" s="314">
        <f t="shared" ref="O417:O418" si="167">M417*N417</f>
        <v>388.92</v>
      </c>
      <c r="P417" s="314">
        <f t="shared" ref="P417:P418" si="168">SUM(M417+O417)</f>
        <v>2240.92</v>
      </c>
      <c r="Q417" s="314">
        <v>0.37</v>
      </c>
      <c r="R417" s="314">
        <f t="shared" ref="R417:R418" si="169">P417*Q417</f>
        <v>829.1404</v>
      </c>
      <c r="S417" s="6"/>
      <c r="T417" s="6"/>
      <c r="U417" s="6"/>
      <c r="V417" s="6"/>
      <c r="W417" s="6"/>
    </row>
    <row r="418" ht="12.0" customHeight="1">
      <c r="A418" s="52"/>
      <c r="B418" s="15"/>
      <c r="C418" s="15"/>
      <c r="D418" s="16" t="s">
        <v>654</v>
      </c>
      <c r="E418" s="191"/>
      <c r="F418" s="33">
        <v>2.0</v>
      </c>
      <c r="G418" s="33" t="s">
        <v>655</v>
      </c>
      <c r="H418" s="345">
        <f t="shared" si="166"/>
        <v>2270.8917</v>
      </c>
      <c r="I418" s="9" t="s">
        <v>119</v>
      </c>
      <c r="J418" s="59" t="s">
        <v>656</v>
      </c>
      <c r="K418" s="323">
        <f t="shared" si="140"/>
        <v>4541.7834</v>
      </c>
      <c r="L418" s="301">
        <f t="shared" ref="L418:L419" si="170">H418*1.65</f>
        <v>3746.971305</v>
      </c>
      <c r="M418" s="310">
        <v>2979.0</v>
      </c>
      <c r="N418" s="310">
        <v>0.21</v>
      </c>
      <c r="O418" s="310">
        <f t="shared" si="167"/>
        <v>625.59</v>
      </c>
      <c r="P418" s="310">
        <f t="shared" si="168"/>
        <v>3604.59</v>
      </c>
      <c r="Q418" s="310">
        <v>0.37</v>
      </c>
      <c r="R418" s="310">
        <f t="shared" si="169"/>
        <v>1333.6983</v>
      </c>
      <c r="S418" s="6"/>
      <c r="T418" s="6"/>
      <c r="U418" s="6"/>
      <c r="V418" s="6"/>
      <c r="W418" s="6"/>
    </row>
    <row r="419" ht="12.0" customHeight="1">
      <c r="A419" s="52"/>
      <c r="B419" s="15"/>
      <c r="C419" s="15"/>
      <c r="D419" s="16" t="s">
        <v>657</v>
      </c>
      <c r="E419" s="191" t="s">
        <v>658</v>
      </c>
      <c r="F419" s="33">
        <v>1.0</v>
      </c>
      <c r="G419" s="33"/>
      <c r="H419" s="345">
        <v>1270.0</v>
      </c>
      <c r="I419" s="9" t="s">
        <v>576</v>
      </c>
      <c r="J419" s="59" t="s">
        <v>659</v>
      </c>
      <c r="K419" s="323">
        <f t="shared" si="140"/>
        <v>1270</v>
      </c>
      <c r="L419" s="301">
        <f t="shared" si="170"/>
        <v>2095.5</v>
      </c>
      <c r="M419" s="310"/>
      <c r="N419" s="310"/>
      <c r="O419" s="310"/>
      <c r="P419" s="310"/>
      <c r="Q419" s="310"/>
      <c r="R419" s="310"/>
      <c r="S419" s="6"/>
      <c r="T419" s="6"/>
      <c r="U419" s="6"/>
      <c r="V419" s="6"/>
      <c r="W419" s="6"/>
    </row>
    <row r="420" ht="12.0" customHeight="1">
      <c r="A420" s="52"/>
      <c r="B420" s="15"/>
      <c r="C420" s="15"/>
      <c r="D420" s="31" t="s">
        <v>660</v>
      </c>
      <c r="E420" s="191"/>
      <c r="F420" s="33">
        <v>4.0</v>
      </c>
      <c r="G420" s="33"/>
      <c r="H420" s="387">
        <v>400.0</v>
      </c>
      <c r="I420" s="9" t="s">
        <v>61</v>
      </c>
      <c r="J420" s="9">
        <v>3982.0</v>
      </c>
      <c r="K420" s="323">
        <f t="shared" si="140"/>
        <v>1600</v>
      </c>
      <c r="L420" s="301">
        <f t="shared" ref="L420:L421" si="171">H420*1.8</f>
        <v>720</v>
      </c>
      <c r="M420" s="310"/>
      <c r="N420" s="310"/>
      <c r="O420" s="310"/>
      <c r="P420" s="310"/>
      <c r="Q420" s="310"/>
      <c r="R420" s="310"/>
      <c r="S420" s="321" t="s">
        <v>1019</v>
      </c>
      <c r="T420" s="6"/>
      <c r="U420" s="6"/>
      <c r="V420" s="6"/>
      <c r="W420" s="6"/>
    </row>
    <row r="421" ht="12.0" customHeight="1">
      <c r="A421" s="52"/>
      <c r="B421" s="15"/>
      <c r="C421" s="15"/>
      <c r="D421" s="31" t="s">
        <v>661</v>
      </c>
      <c r="E421" s="191"/>
      <c r="F421" s="33">
        <v>2.0</v>
      </c>
      <c r="G421" s="33"/>
      <c r="H421" s="305">
        <f>SUM(1*H420)</f>
        <v>400</v>
      </c>
      <c r="I421" s="9" t="s">
        <v>61</v>
      </c>
      <c r="J421" s="24">
        <v>3983.0</v>
      </c>
      <c r="K421" s="323">
        <f t="shared" si="140"/>
        <v>800</v>
      </c>
      <c r="L421" s="301">
        <f t="shared" si="171"/>
        <v>720</v>
      </c>
      <c r="M421" s="310"/>
      <c r="N421" s="310"/>
      <c r="O421" s="310"/>
      <c r="P421" s="310"/>
      <c r="Q421" s="310"/>
      <c r="R421" s="310"/>
      <c r="S421" s="6"/>
      <c r="T421" s="6"/>
      <c r="U421" s="6"/>
      <c r="V421" s="6"/>
      <c r="W421" s="6"/>
    </row>
    <row r="422" ht="12.0" customHeight="1">
      <c r="A422" s="14"/>
      <c r="B422" s="15"/>
      <c r="C422" s="15"/>
      <c r="D422" s="15" t="s">
        <v>662</v>
      </c>
      <c r="E422" s="202"/>
      <c r="F422" s="50">
        <v>2.0</v>
      </c>
      <c r="G422" s="50"/>
      <c r="H422" s="365">
        <f t="shared" ref="H422:H425" si="172">(P422-R422)</f>
        <v>414.6912</v>
      </c>
      <c r="I422" s="14" t="s">
        <v>119</v>
      </c>
      <c r="J422" s="421" t="s">
        <v>663</v>
      </c>
      <c r="K422" s="308">
        <f t="shared" si="140"/>
        <v>829.3824</v>
      </c>
      <c r="L422" s="301">
        <f t="shared" ref="L422:L425" si="173">H422*1.7</f>
        <v>704.97504</v>
      </c>
      <c r="M422" s="314">
        <v>544.0</v>
      </c>
      <c r="N422" s="314">
        <v>0.21</v>
      </c>
      <c r="O422" s="314">
        <f t="shared" ref="O422:O425" si="174">M422*N422</f>
        <v>114.24</v>
      </c>
      <c r="P422" s="314">
        <f t="shared" ref="P422:P425" si="175">SUM(M422+O422)</f>
        <v>658.24</v>
      </c>
      <c r="Q422" s="314">
        <v>0.37</v>
      </c>
      <c r="R422" s="314">
        <f t="shared" ref="R422:R425" si="176">P422*Q422</f>
        <v>243.5488</v>
      </c>
      <c r="S422" s="6"/>
      <c r="T422" s="6"/>
      <c r="U422" s="6"/>
      <c r="V422" s="6"/>
      <c r="W422" s="6"/>
    </row>
    <row r="423" ht="12.0" customHeight="1">
      <c r="A423" s="14"/>
      <c r="B423" s="15"/>
      <c r="C423" s="15"/>
      <c r="D423" s="15" t="s">
        <v>664</v>
      </c>
      <c r="E423" s="21" t="s">
        <v>665</v>
      </c>
      <c r="F423" s="14">
        <v>2.0</v>
      </c>
      <c r="G423" s="14"/>
      <c r="H423" s="384">
        <f t="shared" si="172"/>
        <v>452.8062</v>
      </c>
      <c r="I423" s="14" t="s">
        <v>119</v>
      </c>
      <c r="J423" s="51" t="s">
        <v>666</v>
      </c>
      <c r="K423" s="308">
        <f t="shared" si="140"/>
        <v>905.6124</v>
      </c>
      <c r="L423" s="301">
        <f t="shared" si="173"/>
        <v>769.77054</v>
      </c>
      <c r="M423" s="383">
        <v>594.0</v>
      </c>
      <c r="N423" s="314">
        <v>0.21</v>
      </c>
      <c r="O423" s="314">
        <f t="shared" si="174"/>
        <v>124.74</v>
      </c>
      <c r="P423" s="314">
        <f t="shared" si="175"/>
        <v>718.74</v>
      </c>
      <c r="Q423" s="314">
        <v>0.37</v>
      </c>
      <c r="R423" s="314">
        <f t="shared" si="176"/>
        <v>265.9338</v>
      </c>
      <c r="S423" s="6"/>
      <c r="T423" s="6"/>
      <c r="U423" s="6"/>
      <c r="V423" s="6"/>
      <c r="W423" s="6"/>
    </row>
    <row r="424" ht="12.0" customHeight="1">
      <c r="A424" s="14"/>
      <c r="B424" s="15"/>
      <c r="C424" s="15"/>
      <c r="D424" s="16" t="s">
        <v>664</v>
      </c>
      <c r="E424" s="17" t="s">
        <v>667</v>
      </c>
      <c r="F424" s="9">
        <v>3.0</v>
      </c>
      <c r="G424" s="9"/>
      <c r="H424" s="305">
        <f t="shared" si="172"/>
        <v>743.9605866</v>
      </c>
      <c r="I424" s="9" t="s">
        <v>119</v>
      </c>
      <c r="J424" s="24" t="s">
        <v>668</v>
      </c>
      <c r="K424" s="306">
        <f t="shared" si="140"/>
        <v>2231.88176</v>
      </c>
      <c r="L424" s="301">
        <f t="shared" si="173"/>
        <v>1264.732997</v>
      </c>
      <c r="M424" s="422">
        <f>SUM(M423*1.643)</f>
        <v>975.942</v>
      </c>
      <c r="N424" s="326">
        <v>0.21</v>
      </c>
      <c r="O424" s="326">
        <f t="shared" si="174"/>
        <v>204.94782</v>
      </c>
      <c r="P424" s="326">
        <f t="shared" si="175"/>
        <v>1180.88982</v>
      </c>
      <c r="Q424" s="326">
        <v>0.37</v>
      </c>
      <c r="R424" s="326">
        <f t="shared" si="176"/>
        <v>436.9292334</v>
      </c>
      <c r="S424" s="6"/>
      <c r="T424" s="6"/>
      <c r="U424" s="6"/>
      <c r="V424" s="6"/>
      <c r="W424" s="6"/>
    </row>
    <row r="425" ht="12.0" customHeight="1">
      <c r="A425" s="14"/>
      <c r="B425" s="15"/>
      <c r="C425" s="15"/>
      <c r="D425" s="15" t="s">
        <v>664</v>
      </c>
      <c r="E425" s="21" t="s">
        <v>669</v>
      </c>
      <c r="F425" s="14">
        <v>2.0</v>
      </c>
      <c r="G425" s="14"/>
      <c r="H425" s="307">
        <f t="shared" si="172"/>
        <v>1005.229764</v>
      </c>
      <c r="I425" s="14" t="s">
        <v>119</v>
      </c>
      <c r="J425" s="51" t="s">
        <v>670</v>
      </c>
      <c r="K425" s="308">
        <f t="shared" si="140"/>
        <v>2010.459528</v>
      </c>
      <c r="L425" s="301">
        <f t="shared" si="173"/>
        <v>1708.890599</v>
      </c>
      <c r="M425" s="386">
        <f>SUM(M423*2.22)</f>
        <v>1318.68</v>
      </c>
      <c r="N425" s="314">
        <v>0.21</v>
      </c>
      <c r="O425" s="314">
        <f t="shared" si="174"/>
        <v>276.9228</v>
      </c>
      <c r="P425" s="314">
        <f t="shared" si="175"/>
        <v>1595.6028</v>
      </c>
      <c r="Q425" s="314">
        <v>0.37</v>
      </c>
      <c r="R425" s="314">
        <f t="shared" si="176"/>
        <v>590.373036</v>
      </c>
      <c r="S425" s="6"/>
      <c r="T425" s="6"/>
      <c r="U425" s="6"/>
      <c r="V425" s="6"/>
      <c r="W425" s="6"/>
    </row>
    <row r="426" ht="12.0" customHeight="1">
      <c r="A426" s="14"/>
      <c r="B426" s="15"/>
      <c r="C426" s="15"/>
      <c r="D426" s="46" t="s">
        <v>674</v>
      </c>
      <c r="E426" s="47" t="s">
        <v>308</v>
      </c>
      <c r="F426" s="50">
        <v>10.0</v>
      </c>
      <c r="G426" s="14"/>
      <c r="H426" s="365">
        <f>SUM(M426+O426)</f>
        <v>44.77</v>
      </c>
      <c r="I426" s="14" t="s">
        <v>17</v>
      </c>
      <c r="J426" s="60">
        <v>4400.0</v>
      </c>
      <c r="K426" s="312">
        <f t="shared" ref="K426:K457" si="177">F426*H426</f>
        <v>447.7</v>
      </c>
      <c r="L426" s="301">
        <f>H426*2</f>
        <v>89.54</v>
      </c>
      <c r="M426" s="312">
        <v>37.0</v>
      </c>
      <c r="N426" s="313">
        <v>0.21</v>
      </c>
      <c r="O426" s="312">
        <f>SUM(M426*N426)</f>
        <v>7.77</v>
      </c>
      <c r="P426" s="314"/>
      <c r="Q426" s="314"/>
      <c r="R426" s="314"/>
      <c r="S426" s="6"/>
      <c r="T426" s="6"/>
      <c r="U426" s="6"/>
      <c r="V426" s="6"/>
      <c r="W426" s="6"/>
    </row>
    <row r="427" ht="12.0" customHeight="1">
      <c r="A427" s="14"/>
      <c r="B427" s="15"/>
      <c r="C427" s="15"/>
      <c r="D427" s="31" t="s">
        <v>1020</v>
      </c>
      <c r="E427" s="191" t="s">
        <v>308</v>
      </c>
      <c r="F427" s="33">
        <v>4.0</v>
      </c>
      <c r="G427" s="9" t="s">
        <v>571</v>
      </c>
      <c r="H427" s="345">
        <f>(P427-R427)</f>
        <v>261.4689</v>
      </c>
      <c r="I427" s="9" t="s">
        <v>119</v>
      </c>
      <c r="J427" s="59" t="s">
        <v>673</v>
      </c>
      <c r="K427" s="310">
        <f t="shared" si="177"/>
        <v>1045.8756</v>
      </c>
      <c r="L427" s="301">
        <f>H427*1.856</f>
        <v>485.2862784</v>
      </c>
      <c r="M427" s="326">
        <v>343.0</v>
      </c>
      <c r="N427" s="326">
        <v>0.21</v>
      </c>
      <c r="O427" s="326">
        <f>M427*N427</f>
        <v>72.03</v>
      </c>
      <c r="P427" s="326">
        <f>SUM(M427+O427)</f>
        <v>415.03</v>
      </c>
      <c r="Q427" s="326">
        <v>0.37</v>
      </c>
      <c r="R427" s="326">
        <f>P427*Q427</f>
        <v>153.5611</v>
      </c>
      <c r="S427" s="6"/>
      <c r="T427" s="6"/>
      <c r="U427" s="6"/>
      <c r="V427" s="6"/>
      <c r="W427" s="6"/>
    </row>
    <row r="428" ht="12.0" customHeight="1">
      <c r="A428" s="14"/>
      <c r="B428" s="15"/>
      <c r="C428" s="15"/>
      <c r="D428" s="195" t="s">
        <v>674</v>
      </c>
      <c r="E428" s="211" t="s">
        <v>309</v>
      </c>
      <c r="F428" s="50">
        <v>4.0</v>
      </c>
      <c r="G428" s="14"/>
      <c r="H428" s="365">
        <v>73.0</v>
      </c>
      <c r="I428" s="14" t="s">
        <v>576</v>
      </c>
      <c r="J428" s="60" t="s">
        <v>675</v>
      </c>
      <c r="K428" s="312">
        <f t="shared" si="177"/>
        <v>292</v>
      </c>
      <c r="L428" s="301">
        <f>H428*2</f>
        <v>146</v>
      </c>
      <c r="M428" s="326"/>
      <c r="N428" s="326"/>
      <c r="O428" s="326"/>
      <c r="P428" s="326"/>
      <c r="Q428" s="326"/>
      <c r="R428" s="326"/>
      <c r="S428" s="6"/>
      <c r="T428" s="6"/>
      <c r="U428" s="6"/>
      <c r="V428" s="6"/>
      <c r="W428" s="6"/>
    </row>
    <row r="429" ht="12.0" customHeight="1">
      <c r="A429" s="14"/>
      <c r="B429" s="16"/>
      <c r="C429" s="16"/>
      <c r="D429" s="31" t="s">
        <v>676</v>
      </c>
      <c r="E429" s="191" t="s">
        <v>308</v>
      </c>
      <c r="F429" s="33">
        <v>50.0</v>
      </c>
      <c r="G429" s="9"/>
      <c r="H429" s="345">
        <f t="shared" ref="H429:H431" si="178">(P429-R429)</f>
        <v>10.092852</v>
      </c>
      <c r="I429" s="9" t="s">
        <v>119</v>
      </c>
      <c r="J429" s="59" t="s">
        <v>677</v>
      </c>
      <c r="K429" s="310">
        <f t="shared" si="177"/>
        <v>504.6426</v>
      </c>
      <c r="L429" s="301">
        <f t="shared" ref="L429:L430" si="179">H429*3</f>
        <v>30.278556</v>
      </c>
      <c r="M429" s="326">
        <f t="shared" ref="M429:M430" si="180">SUM(S429/25)</f>
        <v>13.24</v>
      </c>
      <c r="N429" s="326">
        <v>0.21</v>
      </c>
      <c r="O429" s="326">
        <f t="shared" ref="O429:O431" si="181">M429*N429</f>
        <v>2.7804</v>
      </c>
      <c r="P429" s="326">
        <f t="shared" ref="P429:P431" si="182">SUM(M429+O429)</f>
        <v>16.0204</v>
      </c>
      <c r="Q429" s="326">
        <v>0.37</v>
      </c>
      <c r="R429" s="326">
        <f t="shared" ref="R429:R431" si="183">P429*Q429</f>
        <v>5.927548</v>
      </c>
      <c r="S429" s="6">
        <v>331.0</v>
      </c>
      <c r="T429" s="6"/>
      <c r="U429" s="6"/>
      <c r="V429" s="6"/>
      <c r="W429" s="6"/>
    </row>
    <row r="430" ht="12.0" customHeight="1">
      <c r="A430" s="14"/>
      <c r="B430" s="212"/>
      <c r="C430" s="16"/>
      <c r="D430" s="46" t="s">
        <v>676</v>
      </c>
      <c r="E430" s="47" t="s">
        <v>309</v>
      </c>
      <c r="F430" s="50">
        <v>25.0</v>
      </c>
      <c r="G430" s="14"/>
      <c r="H430" s="365">
        <f t="shared" si="178"/>
        <v>11.89188</v>
      </c>
      <c r="I430" s="14" t="s">
        <v>119</v>
      </c>
      <c r="J430" s="60" t="s">
        <v>678</v>
      </c>
      <c r="K430" s="312">
        <f t="shared" si="177"/>
        <v>297.297</v>
      </c>
      <c r="L430" s="301">
        <f t="shared" si="179"/>
        <v>35.67564</v>
      </c>
      <c r="M430" s="314">
        <f t="shared" si="180"/>
        <v>15.6</v>
      </c>
      <c r="N430" s="314">
        <v>0.21</v>
      </c>
      <c r="O430" s="314">
        <f t="shared" si="181"/>
        <v>3.276</v>
      </c>
      <c r="P430" s="314">
        <f t="shared" si="182"/>
        <v>18.876</v>
      </c>
      <c r="Q430" s="314">
        <v>0.37</v>
      </c>
      <c r="R430" s="314">
        <f t="shared" si="183"/>
        <v>6.98412</v>
      </c>
      <c r="S430" s="6">
        <v>390.0</v>
      </c>
      <c r="T430" s="6"/>
      <c r="U430" s="6"/>
      <c r="V430" s="6"/>
      <c r="W430" s="6"/>
    </row>
    <row r="431" ht="12.0" customHeight="1">
      <c r="A431" s="14"/>
      <c r="B431" s="15"/>
      <c r="C431" s="15"/>
      <c r="D431" s="31" t="s">
        <v>681</v>
      </c>
      <c r="E431" s="32" t="s">
        <v>308</v>
      </c>
      <c r="F431" s="33">
        <v>160.0</v>
      </c>
      <c r="G431" s="9"/>
      <c r="H431" s="345">
        <f t="shared" si="178"/>
        <v>8.735958</v>
      </c>
      <c r="I431" s="9" t="s">
        <v>119</v>
      </c>
      <c r="J431" s="59" t="s">
        <v>680</v>
      </c>
      <c r="K431" s="310">
        <f t="shared" si="177"/>
        <v>1397.75328</v>
      </c>
      <c r="L431" s="301">
        <f t="shared" ref="L431:L432" si="184">H431*2.12</f>
        <v>18.52023096</v>
      </c>
      <c r="M431" s="326">
        <f>SUM(S431/100)</f>
        <v>11.46</v>
      </c>
      <c r="N431" s="326">
        <v>0.21</v>
      </c>
      <c r="O431" s="326">
        <f t="shared" si="181"/>
        <v>2.4066</v>
      </c>
      <c r="P431" s="326">
        <f t="shared" si="182"/>
        <v>13.8666</v>
      </c>
      <c r="Q431" s="326">
        <v>0.37</v>
      </c>
      <c r="R431" s="326">
        <f t="shared" si="183"/>
        <v>5.130642</v>
      </c>
      <c r="S431" s="423">
        <v>1146.0</v>
      </c>
      <c r="T431" s="6"/>
      <c r="U431" s="6"/>
      <c r="V431" s="6"/>
      <c r="W431" s="6"/>
    </row>
    <row r="432" ht="12.0" customHeight="1">
      <c r="A432" s="14"/>
      <c r="B432" s="79"/>
      <c r="C432" s="79"/>
      <c r="D432" s="31" t="s">
        <v>681</v>
      </c>
      <c r="E432" s="32" t="s">
        <v>308</v>
      </c>
      <c r="F432" s="33">
        <v>100.0</v>
      </c>
      <c r="G432" s="9"/>
      <c r="H432" s="305">
        <f>SUM(1*H431)</f>
        <v>8.735958</v>
      </c>
      <c r="I432" s="9" t="s">
        <v>576</v>
      </c>
      <c r="J432" s="59" t="s">
        <v>682</v>
      </c>
      <c r="K432" s="323">
        <f t="shared" si="177"/>
        <v>873.5958</v>
      </c>
      <c r="L432" s="301">
        <f t="shared" si="184"/>
        <v>18.52023096</v>
      </c>
      <c r="M432" s="326"/>
      <c r="N432" s="326"/>
      <c r="O432" s="326"/>
      <c r="P432" s="326"/>
      <c r="Q432" s="326"/>
      <c r="R432" s="326"/>
      <c r="S432" s="6"/>
      <c r="T432" s="6"/>
      <c r="U432" s="6"/>
      <c r="V432" s="6"/>
      <c r="W432" s="6"/>
    </row>
    <row r="433" ht="12.0" customHeight="1">
      <c r="A433" s="14"/>
      <c r="B433" s="79"/>
      <c r="C433" s="79"/>
      <c r="D433" s="46" t="s">
        <v>683</v>
      </c>
      <c r="E433" s="47" t="s">
        <v>308</v>
      </c>
      <c r="F433" s="50">
        <v>250.0</v>
      </c>
      <c r="G433" s="14"/>
      <c r="H433" s="365">
        <f t="shared" ref="H433:H436" si="185">(P433-R433)</f>
        <v>13.774761</v>
      </c>
      <c r="I433" s="14" t="s">
        <v>119</v>
      </c>
      <c r="J433" s="60" t="s">
        <v>684</v>
      </c>
      <c r="K433" s="322">
        <f t="shared" si="177"/>
        <v>3443.69025</v>
      </c>
      <c r="L433" s="301">
        <f t="shared" ref="L433:L437" si="186">H433*2</f>
        <v>27.549522</v>
      </c>
      <c r="M433" s="314">
        <f t="shared" ref="M433:M434" si="187">SUM(S433/100)</f>
        <v>18.07</v>
      </c>
      <c r="N433" s="314">
        <v>0.21</v>
      </c>
      <c r="O433" s="314">
        <f t="shared" ref="O433:O436" si="188">M433*N433</f>
        <v>3.7947</v>
      </c>
      <c r="P433" s="314">
        <f t="shared" ref="P433:P436" si="189">SUM(M433+O433)</f>
        <v>21.8647</v>
      </c>
      <c r="Q433" s="314">
        <v>0.37</v>
      </c>
      <c r="R433" s="314">
        <f t="shared" ref="R433:R436" si="190">P433*Q433</f>
        <v>8.089939</v>
      </c>
      <c r="S433" s="6">
        <v>1807.0</v>
      </c>
      <c r="T433" s="6"/>
      <c r="U433" s="6"/>
      <c r="V433" s="6"/>
      <c r="W433" s="6"/>
    </row>
    <row r="434" ht="12.0" customHeight="1">
      <c r="A434" s="14"/>
      <c r="B434" s="79"/>
      <c r="C434" s="79"/>
      <c r="D434" s="31" t="s">
        <v>683</v>
      </c>
      <c r="E434" s="32" t="s">
        <v>309</v>
      </c>
      <c r="F434" s="33">
        <v>100.0</v>
      </c>
      <c r="G434" s="9"/>
      <c r="H434" s="345">
        <f t="shared" si="185"/>
        <v>25.315983</v>
      </c>
      <c r="I434" s="9" t="s">
        <v>119</v>
      </c>
      <c r="J434" s="136" t="s">
        <v>685</v>
      </c>
      <c r="K434" s="323">
        <f t="shared" si="177"/>
        <v>2531.5983</v>
      </c>
      <c r="L434" s="301">
        <f t="shared" si="186"/>
        <v>50.631966</v>
      </c>
      <c r="M434" s="326">
        <f t="shared" si="187"/>
        <v>33.21</v>
      </c>
      <c r="N434" s="326">
        <v>0.21</v>
      </c>
      <c r="O434" s="326">
        <f t="shared" si="188"/>
        <v>6.9741</v>
      </c>
      <c r="P434" s="326">
        <f t="shared" si="189"/>
        <v>40.1841</v>
      </c>
      <c r="Q434" s="326">
        <v>0.37</v>
      </c>
      <c r="R434" s="326">
        <f t="shared" si="190"/>
        <v>14.868117</v>
      </c>
      <c r="S434" s="6">
        <v>3321.0</v>
      </c>
      <c r="T434" s="6"/>
      <c r="U434" s="6"/>
      <c r="V434" s="6"/>
      <c r="W434" s="6"/>
    </row>
    <row r="435" ht="12.0" customHeight="1">
      <c r="A435" s="14"/>
      <c r="B435" s="16"/>
      <c r="C435" s="16"/>
      <c r="D435" s="50" t="s">
        <v>686</v>
      </c>
      <c r="E435" s="47" t="s">
        <v>308</v>
      </c>
      <c r="F435" s="50">
        <v>120.0</v>
      </c>
      <c r="G435" s="14"/>
      <c r="H435" s="365">
        <f t="shared" si="185"/>
        <v>62.447616</v>
      </c>
      <c r="I435" s="14" t="s">
        <v>119</v>
      </c>
      <c r="J435" s="51" t="s">
        <v>687</v>
      </c>
      <c r="K435" s="312">
        <f t="shared" si="177"/>
        <v>7493.71392</v>
      </c>
      <c r="L435" s="301">
        <f t="shared" si="186"/>
        <v>124.895232</v>
      </c>
      <c r="M435" s="314">
        <f>SUM(S435/50)</f>
        <v>81.92</v>
      </c>
      <c r="N435" s="314">
        <v>0.21</v>
      </c>
      <c r="O435" s="314">
        <f t="shared" si="188"/>
        <v>17.2032</v>
      </c>
      <c r="P435" s="314">
        <f t="shared" si="189"/>
        <v>99.1232</v>
      </c>
      <c r="Q435" s="314">
        <v>0.37</v>
      </c>
      <c r="R435" s="314">
        <f t="shared" si="190"/>
        <v>36.675584</v>
      </c>
      <c r="S435" s="6">
        <v>4096.0</v>
      </c>
      <c r="T435" s="6"/>
      <c r="U435" s="6"/>
      <c r="V435" s="6"/>
      <c r="W435" s="6"/>
    </row>
    <row r="436" ht="12.0" customHeight="1">
      <c r="A436" s="14"/>
      <c r="B436" s="16"/>
      <c r="C436" s="16"/>
      <c r="D436" s="50" t="s">
        <v>688</v>
      </c>
      <c r="E436" s="132" t="s">
        <v>309</v>
      </c>
      <c r="F436" s="50">
        <v>22.0</v>
      </c>
      <c r="G436" s="14"/>
      <c r="H436" s="365">
        <f t="shared" si="185"/>
        <v>76.9923</v>
      </c>
      <c r="I436" s="14" t="s">
        <v>119</v>
      </c>
      <c r="J436" s="51" t="s">
        <v>689</v>
      </c>
      <c r="K436" s="312">
        <f t="shared" si="177"/>
        <v>1693.8306</v>
      </c>
      <c r="L436" s="301">
        <f t="shared" si="186"/>
        <v>153.9846</v>
      </c>
      <c r="M436" s="314">
        <v>101.0</v>
      </c>
      <c r="N436" s="314">
        <v>0.21</v>
      </c>
      <c r="O436" s="314">
        <f t="shared" si="188"/>
        <v>21.21</v>
      </c>
      <c r="P436" s="314">
        <f t="shared" si="189"/>
        <v>122.21</v>
      </c>
      <c r="Q436" s="314">
        <v>0.37</v>
      </c>
      <c r="R436" s="314">
        <f t="shared" si="190"/>
        <v>45.2177</v>
      </c>
      <c r="S436" s="6"/>
      <c r="T436" s="6"/>
      <c r="U436" s="6"/>
      <c r="V436" s="6"/>
      <c r="W436" s="6"/>
    </row>
    <row r="437" ht="12.0" customHeight="1">
      <c r="A437" s="14"/>
      <c r="B437" s="16"/>
      <c r="C437" s="16"/>
      <c r="D437" s="33" t="s">
        <v>690</v>
      </c>
      <c r="E437" s="32"/>
      <c r="F437" s="33">
        <v>11.0</v>
      </c>
      <c r="G437" s="9" t="s">
        <v>691</v>
      </c>
      <c r="H437" s="345">
        <f>SUM(M437+O437)</f>
        <v>55.66</v>
      </c>
      <c r="I437" s="9" t="s">
        <v>17</v>
      </c>
      <c r="J437" s="24">
        <v>4134.0</v>
      </c>
      <c r="K437" s="310">
        <f t="shared" si="177"/>
        <v>612.26</v>
      </c>
      <c r="L437" s="301">
        <f t="shared" si="186"/>
        <v>111.32</v>
      </c>
      <c r="M437" s="310">
        <v>46.0</v>
      </c>
      <c r="N437" s="311">
        <v>0.21</v>
      </c>
      <c r="O437" s="310">
        <f>SUM(M437*N437)</f>
        <v>9.66</v>
      </c>
      <c r="P437" s="326"/>
      <c r="Q437" s="326"/>
      <c r="R437" s="326"/>
      <c r="S437" s="6"/>
      <c r="T437" s="6"/>
      <c r="U437" s="6"/>
      <c r="V437" s="6"/>
      <c r="W437" s="6"/>
    </row>
    <row r="438" ht="12.0" customHeight="1">
      <c r="A438" s="14"/>
      <c r="B438" s="16"/>
      <c r="C438" s="16"/>
      <c r="D438" s="50" t="s">
        <v>692</v>
      </c>
      <c r="E438" s="47" t="s">
        <v>308</v>
      </c>
      <c r="F438" s="50">
        <v>20.0</v>
      </c>
      <c r="G438" s="14"/>
      <c r="H438" s="365">
        <f t="shared" ref="H438:H441" si="191">(P438-R438)</f>
        <v>14.4837</v>
      </c>
      <c r="I438" s="14" t="s">
        <v>119</v>
      </c>
      <c r="J438" s="218" t="s">
        <v>693</v>
      </c>
      <c r="K438" s="312">
        <f t="shared" si="177"/>
        <v>289.674</v>
      </c>
      <c r="L438" s="301">
        <f t="shared" ref="L438:L441" si="192">H438*3</f>
        <v>43.4511</v>
      </c>
      <c r="M438" s="314">
        <v>19.0</v>
      </c>
      <c r="N438" s="314">
        <v>0.21</v>
      </c>
      <c r="O438" s="314">
        <f t="shared" ref="O438:O441" si="193">M438*N438</f>
        <v>3.99</v>
      </c>
      <c r="P438" s="314">
        <f t="shared" ref="P438:P441" si="194">SUM(M438+O438)</f>
        <v>22.99</v>
      </c>
      <c r="Q438" s="314">
        <v>0.37</v>
      </c>
      <c r="R438" s="314">
        <f t="shared" ref="R438:R441" si="195">P438*Q438</f>
        <v>8.5063</v>
      </c>
      <c r="S438" s="6"/>
      <c r="T438" s="6"/>
      <c r="U438" s="6"/>
      <c r="V438" s="6"/>
      <c r="W438" s="6"/>
    </row>
    <row r="439" ht="12.0" customHeight="1">
      <c r="A439" s="14"/>
      <c r="B439" s="16"/>
      <c r="C439" s="16"/>
      <c r="D439" s="33" t="s">
        <v>694</v>
      </c>
      <c r="E439" s="191" t="s">
        <v>309</v>
      </c>
      <c r="F439" s="33">
        <v>20.0</v>
      </c>
      <c r="G439" s="9"/>
      <c r="H439" s="345">
        <f t="shared" si="191"/>
        <v>14.4837</v>
      </c>
      <c r="I439" s="9" t="s">
        <v>119</v>
      </c>
      <c r="J439" s="217" t="s">
        <v>695</v>
      </c>
      <c r="K439" s="310">
        <f t="shared" si="177"/>
        <v>289.674</v>
      </c>
      <c r="L439" s="301">
        <f t="shared" si="192"/>
        <v>43.4511</v>
      </c>
      <c r="M439" s="326">
        <v>19.0</v>
      </c>
      <c r="N439" s="326">
        <v>0.21</v>
      </c>
      <c r="O439" s="326">
        <f t="shared" si="193"/>
        <v>3.99</v>
      </c>
      <c r="P439" s="326">
        <f t="shared" si="194"/>
        <v>22.99</v>
      </c>
      <c r="Q439" s="326">
        <v>0.37</v>
      </c>
      <c r="R439" s="326">
        <f t="shared" si="195"/>
        <v>8.5063</v>
      </c>
      <c r="S439" s="6"/>
      <c r="T439" s="6"/>
      <c r="U439" s="6"/>
      <c r="V439" s="6"/>
      <c r="W439" s="6"/>
    </row>
    <row r="440" ht="12.0" customHeight="1">
      <c r="A440" s="14"/>
      <c r="B440" s="16"/>
      <c r="C440" s="16"/>
      <c r="D440" s="50" t="s">
        <v>696</v>
      </c>
      <c r="E440" s="47" t="s">
        <v>308</v>
      </c>
      <c r="F440" s="50">
        <v>10.0</v>
      </c>
      <c r="G440" s="14"/>
      <c r="H440" s="365">
        <f t="shared" si="191"/>
        <v>20.5821</v>
      </c>
      <c r="I440" s="14" t="s">
        <v>119</v>
      </c>
      <c r="J440" s="218" t="s">
        <v>697</v>
      </c>
      <c r="K440" s="312">
        <f t="shared" si="177"/>
        <v>205.821</v>
      </c>
      <c r="L440" s="301">
        <f t="shared" si="192"/>
        <v>61.7463</v>
      </c>
      <c r="M440" s="314">
        <v>27.0</v>
      </c>
      <c r="N440" s="314">
        <v>0.21</v>
      </c>
      <c r="O440" s="314">
        <f t="shared" si="193"/>
        <v>5.67</v>
      </c>
      <c r="P440" s="314">
        <f t="shared" si="194"/>
        <v>32.67</v>
      </c>
      <c r="Q440" s="314">
        <v>0.37</v>
      </c>
      <c r="R440" s="314">
        <f t="shared" si="195"/>
        <v>12.0879</v>
      </c>
      <c r="S440" s="6"/>
      <c r="T440" s="6"/>
      <c r="U440" s="6"/>
      <c r="V440" s="6"/>
      <c r="W440" s="6"/>
    </row>
    <row r="441" ht="12.0" customHeight="1">
      <c r="A441" s="14"/>
      <c r="B441" s="215"/>
      <c r="C441" s="215"/>
      <c r="D441" s="33" t="s">
        <v>698</v>
      </c>
      <c r="E441" s="32" t="s">
        <v>308</v>
      </c>
      <c r="F441" s="33">
        <v>30.0</v>
      </c>
      <c r="G441" s="9"/>
      <c r="H441" s="345">
        <f t="shared" si="191"/>
        <v>13.782384</v>
      </c>
      <c r="I441" s="9" t="s">
        <v>119</v>
      </c>
      <c r="J441" s="217" t="s">
        <v>699</v>
      </c>
      <c r="K441" s="310">
        <f t="shared" si="177"/>
        <v>413.47152</v>
      </c>
      <c r="L441" s="301">
        <f t="shared" si="192"/>
        <v>41.347152</v>
      </c>
      <c r="M441" s="326">
        <f>SUM(S441/25)</f>
        <v>18.08</v>
      </c>
      <c r="N441" s="326">
        <v>0.21</v>
      </c>
      <c r="O441" s="326">
        <f t="shared" si="193"/>
        <v>3.7968</v>
      </c>
      <c r="P441" s="326">
        <f t="shared" si="194"/>
        <v>21.8768</v>
      </c>
      <c r="Q441" s="326">
        <v>0.37</v>
      </c>
      <c r="R441" s="326">
        <f t="shared" si="195"/>
        <v>8.094416</v>
      </c>
      <c r="S441" s="6">
        <v>452.0</v>
      </c>
      <c r="T441" s="6"/>
      <c r="U441" s="6"/>
      <c r="V441" s="6"/>
      <c r="W441" s="6"/>
    </row>
    <row r="442" ht="12.0" customHeight="1">
      <c r="A442" s="14"/>
      <c r="B442" s="71"/>
      <c r="C442" s="71"/>
      <c r="D442" s="33" t="s">
        <v>1021</v>
      </c>
      <c r="E442" s="32" t="s">
        <v>308</v>
      </c>
      <c r="F442" s="33">
        <v>110.0</v>
      </c>
      <c r="G442" s="9"/>
      <c r="H442" s="345">
        <v>8.0</v>
      </c>
      <c r="I442" s="9" t="s">
        <v>576</v>
      </c>
      <c r="J442" s="216" t="s">
        <v>1022</v>
      </c>
      <c r="K442" s="310">
        <f t="shared" si="177"/>
        <v>880</v>
      </c>
      <c r="L442" s="301">
        <f t="shared" ref="L442:L457" si="196">H442*2</f>
        <v>16</v>
      </c>
      <c r="M442" s="326"/>
      <c r="N442" s="326"/>
      <c r="O442" s="326"/>
      <c r="P442" s="326"/>
      <c r="Q442" s="326"/>
      <c r="R442" s="326"/>
      <c r="S442" s="6"/>
      <c r="T442" s="6"/>
      <c r="U442" s="6"/>
      <c r="V442" s="6"/>
      <c r="W442" s="6"/>
    </row>
    <row r="443" ht="12.0" customHeight="1">
      <c r="A443" s="14"/>
      <c r="B443" s="79"/>
      <c r="C443" s="79"/>
      <c r="D443" s="50" t="s">
        <v>702</v>
      </c>
      <c r="E443" s="47" t="s">
        <v>235</v>
      </c>
      <c r="F443" s="50">
        <v>11.0</v>
      </c>
      <c r="G443" s="14"/>
      <c r="H443" s="365">
        <f>(P443-R443)</f>
        <v>64.0332</v>
      </c>
      <c r="I443" s="14" t="s">
        <v>119</v>
      </c>
      <c r="J443" s="218" t="s">
        <v>703</v>
      </c>
      <c r="K443" s="312">
        <f t="shared" si="177"/>
        <v>704.3652</v>
      </c>
      <c r="L443" s="301">
        <f t="shared" si="196"/>
        <v>128.0664</v>
      </c>
      <c r="M443" s="314">
        <v>84.0</v>
      </c>
      <c r="N443" s="314">
        <v>0.21</v>
      </c>
      <c r="O443" s="314">
        <f>M443*N443</f>
        <v>17.64</v>
      </c>
      <c r="P443" s="314">
        <f>SUM(M443+O443)</f>
        <v>101.64</v>
      </c>
      <c r="Q443" s="314">
        <v>0.37</v>
      </c>
      <c r="R443" s="314">
        <f>P443*Q443</f>
        <v>37.6068</v>
      </c>
      <c r="S443" s="6"/>
      <c r="T443" s="6"/>
      <c r="U443" s="6"/>
      <c r="V443" s="6"/>
      <c r="W443" s="6"/>
    </row>
    <row r="444" ht="12.0" customHeight="1">
      <c r="A444" s="14"/>
      <c r="B444" s="79"/>
      <c r="C444" s="79"/>
      <c r="D444" s="33" t="s">
        <v>704</v>
      </c>
      <c r="E444" s="32" t="s">
        <v>339</v>
      </c>
      <c r="F444" s="33">
        <v>10.0</v>
      </c>
      <c r="G444" s="9"/>
      <c r="H444" s="305">
        <f>SUM(0.95*H445)</f>
        <v>89.074755</v>
      </c>
      <c r="I444" s="9" t="s">
        <v>119</v>
      </c>
      <c r="J444" s="217" t="s">
        <v>705</v>
      </c>
      <c r="K444" s="310">
        <f t="shared" si="177"/>
        <v>890.74755</v>
      </c>
      <c r="L444" s="301">
        <f t="shared" si="196"/>
        <v>178.14951</v>
      </c>
      <c r="M444" s="326"/>
      <c r="N444" s="326"/>
      <c r="O444" s="326"/>
      <c r="P444" s="326"/>
      <c r="Q444" s="326"/>
      <c r="R444" s="326"/>
      <c r="S444" s="6"/>
      <c r="T444" s="6"/>
      <c r="U444" s="6"/>
      <c r="V444" s="6"/>
      <c r="W444" s="6"/>
    </row>
    <row r="445" ht="12.0" customHeight="1">
      <c r="A445" s="14"/>
      <c r="B445" s="79"/>
      <c r="C445" s="79"/>
      <c r="D445" s="50" t="s">
        <v>704</v>
      </c>
      <c r="E445" s="47" t="s">
        <v>235</v>
      </c>
      <c r="F445" s="50">
        <v>10.0</v>
      </c>
      <c r="G445" s="14"/>
      <c r="H445" s="384">
        <f>(P445-R445)</f>
        <v>93.7629</v>
      </c>
      <c r="I445" s="14" t="s">
        <v>119</v>
      </c>
      <c r="J445" s="218" t="s">
        <v>706</v>
      </c>
      <c r="K445" s="312">
        <f t="shared" si="177"/>
        <v>937.629</v>
      </c>
      <c r="L445" s="301">
        <f t="shared" si="196"/>
        <v>187.5258</v>
      </c>
      <c r="M445" s="383">
        <v>123.0</v>
      </c>
      <c r="N445" s="314">
        <v>0.21</v>
      </c>
      <c r="O445" s="314">
        <f>M445*N445</f>
        <v>25.83</v>
      </c>
      <c r="P445" s="314">
        <f>SUM(M445+O445)</f>
        <v>148.83</v>
      </c>
      <c r="Q445" s="314">
        <v>0.37</v>
      </c>
      <c r="R445" s="314">
        <f>P445*Q445</f>
        <v>55.0671</v>
      </c>
      <c r="S445" s="6"/>
      <c r="T445" s="6"/>
      <c r="U445" s="6"/>
      <c r="V445" s="6"/>
      <c r="W445" s="6"/>
    </row>
    <row r="446" ht="12.0" customHeight="1">
      <c r="A446" s="14"/>
      <c r="B446" s="79"/>
      <c r="C446" s="79"/>
      <c r="D446" s="33" t="s">
        <v>707</v>
      </c>
      <c r="E446" s="32" t="s">
        <v>308</v>
      </c>
      <c r="F446" s="33">
        <v>10.0</v>
      </c>
      <c r="G446" s="9"/>
      <c r="H446" s="305">
        <f>0.6*H445</f>
        <v>56.25774</v>
      </c>
      <c r="I446" s="9" t="s">
        <v>576</v>
      </c>
      <c r="J446" s="217" t="s">
        <v>708</v>
      </c>
      <c r="K446" s="310">
        <f t="shared" si="177"/>
        <v>562.5774</v>
      </c>
      <c r="L446" s="301">
        <f t="shared" si="196"/>
        <v>112.51548</v>
      </c>
      <c r="M446" s="380"/>
      <c r="N446" s="326"/>
      <c r="O446" s="326"/>
      <c r="P446" s="326"/>
      <c r="Q446" s="326"/>
      <c r="R446" s="326"/>
      <c r="S446" s="6"/>
      <c r="T446" s="6"/>
      <c r="U446" s="6"/>
      <c r="V446" s="6"/>
      <c r="W446" s="6"/>
    </row>
    <row r="447" ht="12.0" customHeight="1">
      <c r="A447" s="14"/>
      <c r="B447" s="79"/>
      <c r="C447" s="79"/>
      <c r="D447" s="50" t="s">
        <v>707</v>
      </c>
      <c r="E447" s="47" t="s">
        <v>309</v>
      </c>
      <c r="F447" s="50">
        <v>10.0</v>
      </c>
      <c r="G447" s="14"/>
      <c r="H447" s="307">
        <f>0.6*H445</f>
        <v>56.25774</v>
      </c>
      <c r="I447" s="14" t="s">
        <v>576</v>
      </c>
      <c r="J447" s="218" t="s">
        <v>709</v>
      </c>
      <c r="K447" s="312">
        <f t="shared" si="177"/>
        <v>562.5774</v>
      </c>
      <c r="L447" s="301">
        <f t="shared" si="196"/>
        <v>112.51548</v>
      </c>
      <c r="M447" s="383"/>
      <c r="N447" s="314"/>
      <c r="O447" s="314"/>
      <c r="P447" s="314"/>
      <c r="Q447" s="314"/>
      <c r="R447" s="314"/>
      <c r="S447" s="6"/>
      <c r="T447" s="6"/>
      <c r="U447" s="6"/>
      <c r="V447" s="6"/>
      <c r="W447" s="6"/>
    </row>
    <row r="448" ht="12.0" customHeight="1">
      <c r="A448" s="14"/>
      <c r="B448" s="79"/>
      <c r="C448" s="79"/>
      <c r="D448" s="33" t="s">
        <v>707</v>
      </c>
      <c r="E448" s="32" t="s">
        <v>423</v>
      </c>
      <c r="F448" s="33">
        <v>10.0</v>
      </c>
      <c r="G448" s="9"/>
      <c r="H448" s="305">
        <f>0.8*H445</f>
        <v>75.01032</v>
      </c>
      <c r="I448" s="9" t="s">
        <v>576</v>
      </c>
      <c r="J448" s="217" t="s">
        <v>710</v>
      </c>
      <c r="K448" s="310">
        <f t="shared" si="177"/>
        <v>750.1032</v>
      </c>
      <c r="L448" s="301">
        <f t="shared" si="196"/>
        <v>150.02064</v>
      </c>
      <c r="M448" s="380"/>
      <c r="N448" s="326"/>
      <c r="O448" s="326"/>
      <c r="P448" s="326"/>
      <c r="Q448" s="326"/>
      <c r="R448" s="326"/>
      <c r="S448" s="6"/>
      <c r="T448" s="6"/>
      <c r="U448" s="6"/>
      <c r="V448" s="6"/>
      <c r="W448" s="6"/>
    </row>
    <row r="449" ht="12.0" customHeight="1">
      <c r="A449" s="14"/>
      <c r="B449" s="79"/>
      <c r="C449" s="79"/>
      <c r="D449" s="50" t="s">
        <v>707</v>
      </c>
      <c r="E449" s="47" t="s">
        <v>407</v>
      </c>
      <c r="F449" s="50">
        <v>10.0</v>
      </c>
      <c r="G449" s="14"/>
      <c r="H449" s="307">
        <f>1*H445</f>
        <v>93.7629</v>
      </c>
      <c r="I449" s="14" t="s">
        <v>576</v>
      </c>
      <c r="J449" s="218" t="s">
        <v>711</v>
      </c>
      <c r="K449" s="312">
        <f t="shared" si="177"/>
        <v>937.629</v>
      </c>
      <c r="L449" s="301">
        <f t="shared" si="196"/>
        <v>187.5258</v>
      </c>
      <c r="M449" s="383"/>
      <c r="N449" s="314"/>
      <c r="O449" s="314"/>
      <c r="P449" s="314"/>
      <c r="Q449" s="314"/>
      <c r="R449" s="314"/>
      <c r="S449" s="6"/>
      <c r="T449" s="6"/>
      <c r="U449" s="6"/>
      <c r="V449" s="6"/>
      <c r="W449" s="6"/>
    </row>
    <row r="450" ht="12.0" customHeight="1">
      <c r="A450" s="14"/>
      <c r="B450" s="79"/>
      <c r="C450" s="79"/>
      <c r="D450" s="50" t="s">
        <v>707</v>
      </c>
      <c r="E450" s="47" t="s">
        <v>408</v>
      </c>
      <c r="F450" s="50">
        <v>10.0</v>
      </c>
      <c r="G450" s="14"/>
      <c r="H450" s="307">
        <f>SUM(1*H445)</f>
        <v>93.7629</v>
      </c>
      <c r="I450" s="14" t="s">
        <v>576</v>
      </c>
      <c r="J450" s="218" t="s">
        <v>712</v>
      </c>
      <c r="K450" s="312">
        <f t="shared" si="177"/>
        <v>937.629</v>
      </c>
      <c r="L450" s="301">
        <f t="shared" si="196"/>
        <v>187.5258</v>
      </c>
      <c r="M450" s="314"/>
      <c r="N450" s="314"/>
      <c r="O450" s="314"/>
      <c r="P450" s="314"/>
      <c r="Q450" s="314"/>
      <c r="R450" s="314"/>
      <c r="S450" s="6"/>
      <c r="T450" s="6"/>
      <c r="U450" s="6"/>
      <c r="V450" s="6"/>
      <c r="W450" s="6"/>
    </row>
    <row r="451" ht="12.0" customHeight="1">
      <c r="A451" s="14"/>
      <c r="B451" s="79"/>
      <c r="C451" s="79"/>
      <c r="D451" s="33" t="s">
        <v>713</v>
      </c>
      <c r="E451" s="33"/>
      <c r="F451" s="33">
        <v>40.0</v>
      </c>
      <c r="G451" s="33"/>
      <c r="H451" s="387">
        <f>SUM(S451/50)</f>
        <v>9.72</v>
      </c>
      <c r="I451" s="33" t="s">
        <v>61</v>
      </c>
      <c r="J451" s="33">
        <v>6811.0</v>
      </c>
      <c r="K451" s="310">
        <f t="shared" si="177"/>
        <v>388.8</v>
      </c>
      <c r="L451" s="301">
        <f t="shared" si="196"/>
        <v>19.44</v>
      </c>
      <c r="M451" s="9"/>
      <c r="N451" s="326"/>
      <c r="O451" s="326"/>
      <c r="P451" s="326"/>
      <c r="Q451" s="326"/>
      <c r="R451" s="326"/>
      <c r="S451" s="423">
        <v>486.0</v>
      </c>
      <c r="T451" s="326" t="s">
        <v>112</v>
      </c>
      <c r="U451" s="6"/>
      <c r="V451" s="6"/>
      <c r="W451" s="6"/>
    </row>
    <row r="452" ht="12.0" customHeight="1">
      <c r="A452" s="14"/>
      <c r="B452" s="79"/>
      <c r="C452" s="79"/>
      <c r="D452" s="50" t="s">
        <v>714</v>
      </c>
      <c r="E452" s="50"/>
      <c r="F452" s="50">
        <v>40.0</v>
      </c>
      <c r="G452" s="50"/>
      <c r="H452" s="307">
        <f t="shared" ref="H452:H454" si="197">SUM(1*H451)</f>
        <v>9.72</v>
      </c>
      <c r="I452" s="50" t="s">
        <v>61</v>
      </c>
      <c r="J452" s="50">
        <v>6812.0</v>
      </c>
      <c r="K452" s="312">
        <f t="shared" si="177"/>
        <v>388.8</v>
      </c>
      <c r="L452" s="301">
        <f t="shared" si="196"/>
        <v>19.44</v>
      </c>
      <c r="M452" s="14"/>
      <c r="N452" s="314"/>
      <c r="O452" s="314"/>
      <c r="P452" s="314"/>
      <c r="Q452" s="314"/>
      <c r="R452" s="314"/>
      <c r="S452" s="6"/>
      <c r="T452" s="314" t="s">
        <v>112</v>
      </c>
      <c r="U452" s="6"/>
      <c r="V452" s="6"/>
      <c r="W452" s="6"/>
    </row>
    <row r="453" ht="12.0" customHeight="1">
      <c r="A453" s="14"/>
      <c r="B453" s="79"/>
      <c r="C453" s="79"/>
      <c r="D453" s="33" t="s">
        <v>715</v>
      </c>
      <c r="E453" s="33"/>
      <c r="F453" s="33">
        <v>40.0</v>
      </c>
      <c r="G453" s="33"/>
      <c r="H453" s="305">
        <f t="shared" si="197"/>
        <v>9.72</v>
      </c>
      <c r="I453" s="33" t="s">
        <v>61</v>
      </c>
      <c r="J453" s="33">
        <v>6813.0</v>
      </c>
      <c r="K453" s="310">
        <f t="shared" si="177"/>
        <v>388.8</v>
      </c>
      <c r="L453" s="301">
        <f t="shared" si="196"/>
        <v>19.44</v>
      </c>
      <c r="M453" s="9"/>
      <c r="N453" s="326"/>
      <c r="O453" s="326"/>
      <c r="P453" s="326"/>
      <c r="Q453" s="326"/>
      <c r="R453" s="326"/>
      <c r="S453" s="6"/>
      <c r="T453" s="326" t="s">
        <v>112</v>
      </c>
      <c r="U453" s="6"/>
      <c r="V453" s="6"/>
      <c r="W453" s="6"/>
    </row>
    <row r="454" ht="12.0" customHeight="1">
      <c r="A454" s="14"/>
      <c r="B454" s="79"/>
      <c r="C454" s="79"/>
      <c r="D454" s="50" t="s">
        <v>716</v>
      </c>
      <c r="E454" s="50"/>
      <c r="F454" s="50">
        <v>40.0</v>
      </c>
      <c r="G454" s="50"/>
      <c r="H454" s="307">
        <f t="shared" si="197"/>
        <v>9.72</v>
      </c>
      <c r="I454" s="50" t="s">
        <v>61</v>
      </c>
      <c r="J454" s="50">
        <v>6814.0</v>
      </c>
      <c r="K454" s="312">
        <f t="shared" si="177"/>
        <v>388.8</v>
      </c>
      <c r="L454" s="301">
        <f t="shared" si="196"/>
        <v>19.44</v>
      </c>
      <c r="M454" s="14"/>
      <c r="N454" s="314"/>
      <c r="O454" s="314"/>
      <c r="P454" s="314"/>
      <c r="Q454" s="314"/>
      <c r="R454" s="314"/>
      <c r="S454" s="6"/>
      <c r="T454" s="314" t="s">
        <v>112</v>
      </c>
      <c r="U454" s="6"/>
      <c r="V454" s="6"/>
      <c r="W454" s="6"/>
    </row>
    <row r="455" ht="12.0" customHeight="1">
      <c r="A455" s="14"/>
      <c r="B455" s="79"/>
      <c r="C455" s="79"/>
      <c r="D455" s="50" t="s">
        <v>717</v>
      </c>
      <c r="E455" s="50" t="s">
        <v>718</v>
      </c>
      <c r="F455" s="50">
        <v>10.0</v>
      </c>
      <c r="G455" s="50"/>
      <c r="H455" s="307">
        <f>SUM(2.77*H453)</f>
        <v>26.9244</v>
      </c>
      <c r="I455" s="50" t="s">
        <v>576</v>
      </c>
      <c r="J455" s="50" t="s">
        <v>719</v>
      </c>
      <c r="K455" s="312">
        <f t="shared" si="177"/>
        <v>269.244</v>
      </c>
      <c r="L455" s="301">
        <f t="shared" si="196"/>
        <v>53.8488</v>
      </c>
      <c r="M455" s="14"/>
      <c r="N455" s="314"/>
      <c r="O455" s="314"/>
      <c r="P455" s="314"/>
      <c r="Q455" s="314"/>
      <c r="R455" s="314"/>
      <c r="S455" s="6"/>
      <c r="T455" s="424"/>
      <c r="U455" s="6"/>
      <c r="V455" s="6"/>
      <c r="W455" s="6"/>
    </row>
    <row r="456" ht="12.0" customHeight="1">
      <c r="A456" s="14"/>
      <c r="B456" s="79"/>
      <c r="C456" s="79"/>
      <c r="D456" s="50" t="s">
        <v>717</v>
      </c>
      <c r="E456" s="50" t="s">
        <v>720</v>
      </c>
      <c r="F456" s="50">
        <v>10.0</v>
      </c>
      <c r="G456" s="50"/>
      <c r="H456" s="307">
        <f>SUM(3.44*H453)</f>
        <v>33.4368</v>
      </c>
      <c r="I456" s="50" t="s">
        <v>576</v>
      </c>
      <c r="J456" s="50" t="s">
        <v>721</v>
      </c>
      <c r="K456" s="312">
        <f t="shared" si="177"/>
        <v>334.368</v>
      </c>
      <c r="L456" s="301">
        <f t="shared" si="196"/>
        <v>66.8736</v>
      </c>
      <c r="M456" s="14"/>
      <c r="N456" s="314"/>
      <c r="O456" s="314"/>
      <c r="P456" s="314"/>
      <c r="Q456" s="314"/>
      <c r="R456" s="314"/>
      <c r="S456" s="6"/>
      <c r="T456" s="424"/>
      <c r="U456" s="6"/>
      <c r="V456" s="6"/>
      <c r="W456" s="6"/>
    </row>
    <row r="457" ht="12.0" customHeight="1">
      <c r="A457" s="14"/>
      <c r="B457" s="79"/>
      <c r="C457" s="79"/>
      <c r="D457" s="50" t="s">
        <v>717</v>
      </c>
      <c r="E457" s="50" t="s">
        <v>722</v>
      </c>
      <c r="F457" s="50">
        <v>10.0</v>
      </c>
      <c r="G457" s="50"/>
      <c r="H457" s="307">
        <f>SUM(5.17*H453)</f>
        <v>50.2524</v>
      </c>
      <c r="I457" s="50" t="s">
        <v>576</v>
      </c>
      <c r="J457" s="50" t="s">
        <v>723</v>
      </c>
      <c r="K457" s="312">
        <f t="shared" si="177"/>
        <v>502.524</v>
      </c>
      <c r="L457" s="301">
        <f t="shared" si="196"/>
        <v>100.5048</v>
      </c>
      <c r="M457" s="14"/>
      <c r="N457" s="314"/>
      <c r="O457" s="314"/>
      <c r="P457" s="314"/>
      <c r="Q457" s="314"/>
      <c r="R457" s="314"/>
      <c r="S457" s="6"/>
      <c r="T457" s="424"/>
      <c r="U457" s="6"/>
      <c r="V457" s="6"/>
      <c r="W457" s="6"/>
    </row>
    <row r="458" ht="12.0" customHeight="1">
      <c r="A458" s="14"/>
      <c r="B458" s="15"/>
      <c r="C458" s="15"/>
      <c r="D458" s="25" t="s">
        <v>724</v>
      </c>
      <c r="E458" s="26" t="s">
        <v>725</v>
      </c>
      <c r="F458" s="27">
        <v>0.0</v>
      </c>
      <c r="G458" s="27"/>
      <c r="H458" s="315">
        <f t="shared" ref="H458:H459" si="198">SUM(M458+O458)</f>
        <v>63.3314</v>
      </c>
      <c r="I458" s="27" t="s">
        <v>17</v>
      </c>
      <c r="J458" s="103">
        <v>1890.0</v>
      </c>
      <c r="K458" s="316">
        <f t="shared" ref="K458:K468" si="199">H458*F458</f>
        <v>0</v>
      </c>
      <c r="L458" s="317">
        <f>H458*1.9</f>
        <v>120.32966</v>
      </c>
      <c r="M458" s="331">
        <f t="shared" ref="M458:M459" si="200">SUM(S458/50)</f>
        <v>52.34</v>
      </c>
      <c r="N458" s="332">
        <v>0.21</v>
      </c>
      <c r="O458" s="331">
        <f t="shared" ref="O458:O459" si="201">SUM(M458*N458)</f>
        <v>10.9914</v>
      </c>
      <c r="P458" s="326"/>
      <c r="Q458" s="326"/>
      <c r="R458" s="326"/>
      <c r="S458" s="6">
        <v>2617.0</v>
      </c>
      <c r="T458" s="424"/>
      <c r="U458" s="6"/>
      <c r="V458" s="6"/>
      <c r="W458" s="6"/>
    </row>
    <row r="459" ht="12.0" customHeight="1">
      <c r="A459" s="14"/>
      <c r="B459" s="15"/>
      <c r="C459" s="15"/>
      <c r="D459" s="31" t="s">
        <v>724</v>
      </c>
      <c r="E459" s="32" t="s">
        <v>726</v>
      </c>
      <c r="F459" s="33">
        <v>60.0</v>
      </c>
      <c r="G459" s="33"/>
      <c r="H459" s="345">
        <f t="shared" si="198"/>
        <v>96.8</v>
      </c>
      <c r="I459" s="33" t="s">
        <v>17</v>
      </c>
      <c r="J459" s="59">
        <v>1892.0</v>
      </c>
      <c r="K459" s="323">
        <f t="shared" si="199"/>
        <v>5808</v>
      </c>
      <c r="L459" s="346">
        <f>H459*1.7</f>
        <v>164.56</v>
      </c>
      <c r="M459" s="310">
        <f t="shared" si="200"/>
        <v>80</v>
      </c>
      <c r="N459" s="311">
        <v>0.21</v>
      </c>
      <c r="O459" s="310">
        <f t="shared" si="201"/>
        <v>16.8</v>
      </c>
      <c r="P459" s="326"/>
      <c r="Q459" s="326"/>
      <c r="R459" s="326"/>
      <c r="S459" s="6">
        <v>4000.0</v>
      </c>
      <c r="T459" s="350"/>
      <c r="U459" s="6"/>
      <c r="V459" s="6"/>
      <c r="W459" s="6"/>
    </row>
    <row r="460" ht="12.0" customHeight="1">
      <c r="A460" s="14"/>
      <c r="B460" s="15"/>
      <c r="C460" s="15"/>
      <c r="D460" s="25" t="s">
        <v>727</v>
      </c>
      <c r="E460" s="221" t="s">
        <v>725</v>
      </c>
      <c r="F460" s="222">
        <v>0.0</v>
      </c>
      <c r="G460" s="222"/>
      <c r="H460" s="375">
        <v>5.4</v>
      </c>
      <c r="I460" s="43" t="s">
        <v>61</v>
      </c>
      <c r="J460" s="425">
        <v>645.0</v>
      </c>
      <c r="K460" s="316">
        <f t="shared" si="199"/>
        <v>0</v>
      </c>
      <c r="L460" s="317">
        <f>H460*2.06</f>
        <v>11.124</v>
      </c>
      <c r="M460" s="9"/>
      <c r="N460" s="9"/>
      <c r="O460" s="326"/>
      <c r="P460" s="326"/>
      <c r="Q460" s="326"/>
      <c r="R460" s="9"/>
      <c r="S460" s="350" t="s">
        <v>1023</v>
      </c>
      <c r="T460" s="382" t="s">
        <v>728</v>
      </c>
      <c r="U460" s="6"/>
      <c r="V460" s="6"/>
      <c r="W460" s="6"/>
    </row>
    <row r="461" ht="12.0" customHeight="1">
      <c r="A461" s="14"/>
      <c r="B461" s="79"/>
      <c r="C461" s="79"/>
      <c r="D461" s="15" t="s">
        <v>1024</v>
      </c>
      <c r="E461" s="21"/>
      <c r="F461" s="14">
        <v>32.0</v>
      </c>
      <c r="G461" s="14"/>
      <c r="H461" s="365">
        <v>152.0</v>
      </c>
      <c r="I461" s="14" t="s">
        <v>576</v>
      </c>
      <c r="J461" s="51" t="s">
        <v>1025</v>
      </c>
      <c r="K461" s="308">
        <f t="shared" si="199"/>
        <v>4864</v>
      </c>
      <c r="L461" s="301">
        <f>H461*1.8</f>
        <v>273.6</v>
      </c>
      <c r="M461" s="314"/>
      <c r="N461" s="314"/>
      <c r="O461" s="314"/>
      <c r="P461" s="314"/>
      <c r="Q461" s="314"/>
      <c r="R461" s="314"/>
      <c r="S461" s="350" t="s">
        <v>1026</v>
      </c>
      <c r="T461" s="6"/>
      <c r="U461" s="6"/>
      <c r="V461" s="6"/>
      <c r="W461" s="6"/>
    </row>
    <row r="462" ht="12.0" customHeight="1">
      <c r="A462" s="14"/>
      <c r="B462" s="16"/>
      <c r="C462" s="224"/>
      <c r="D462" s="31" t="s">
        <v>731</v>
      </c>
      <c r="E462" s="32" t="s">
        <v>732</v>
      </c>
      <c r="F462" s="33">
        <v>2.0</v>
      </c>
      <c r="G462" s="33"/>
      <c r="H462" s="345">
        <v>980.0</v>
      </c>
      <c r="I462" s="33" t="s">
        <v>576</v>
      </c>
      <c r="J462" s="32" t="s">
        <v>733</v>
      </c>
      <c r="K462" s="323">
        <f t="shared" si="199"/>
        <v>1960</v>
      </c>
      <c r="L462" s="346">
        <f t="shared" ref="L462:L463" si="202">H462*1.6</f>
        <v>1568</v>
      </c>
      <c r="M462" s="331"/>
      <c r="N462" s="331"/>
      <c r="O462" s="331"/>
      <c r="P462" s="331"/>
      <c r="Q462" s="331"/>
      <c r="R462" s="331"/>
      <c r="S462" s="6"/>
      <c r="T462" s="6"/>
      <c r="U462" s="6"/>
      <c r="V462" s="6"/>
      <c r="W462" s="6"/>
    </row>
    <row r="463" ht="12.0" customHeight="1">
      <c r="A463" s="14"/>
      <c r="B463" s="225"/>
      <c r="C463" s="71"/>
      <c r="D463" s="46" t="s">
        <v>734</v>
      </c>
      <c r="E463" s="47" t="s">
        <v>732</v>
      </c>
      <c r="F463" s="50">
        <v>2.0</v>
      </c>
      <c r="G463" s="50"/>
      <c r="H463" s="365">
        <v>1220.0</v>
      </c>
      <c r="I463" s="50" t="s">
        <v>576</v>
      </c>
      <c r="J463" s="60" t="s">
        <v>1027</v>
      </c>
      <c r="K463" s="322">
        <f t="shared" si="199"/>
        <v>2440</v>
      </c>
      <c r="L463" s="346">
        <f t="shared" si="202"/>
        <v>1952</v>
      </c>
      <c r="M463" s="314"/>
      <c r="N463" s="314"/>
      <c r="O463" s="314"/>
      <c r="P463" s="314"/>
      <c r="Q463" s="314"/>
      <c r="R463" s="314"/>
      <c r="S463" s="353" t="s">
        <v>1028</v>
      </c>
      <c r="T463" s="6"/>
      <c r="U463" s="6"/>
      <c r="V463" s="6"/>
      <c r="W463" s="6"/>
    </row>
    <row r="464" ht="12.0" customHeight="1">
      <c r="A464" s="14"/>
      <c r="B464" s="82"/>
      <c r="C464" s="82"/>
      <c r="D464" s="16" t="s">
        <v>736</v>
      </c>
      <c r="E464" s="17" t="s">
        <v>732</v>
      </c>
      <c r="F464" s="9">
        <v>1.0</v>
      </c>
      <c r="G464" s="9" t="s">
        <v>737</v>
      </c>
      <c r="H464" s="345">
        <f>SUM(M464+O464)</f>
        <v>3775.2</v>
      </c>
      <c r="I464" s="33" t="s">
        <v>17</v>
      </c>
      <c r="J464" s="59">
        <v>11120.0</v>
      </c>
      <c r="K464" s="323">
        <f t="shared" si="199"/>
        <v>3775.2</v>
      </c>
      <c r="L464" s="346">
        <f t="shared" ref="L464:L465" si="203">H464*1.45</f>
        <v>5474.04</v>
      </c>
      <c r="M464" s="310">
        <v>3120.0</v>
      </c>
      <c r="N464" s="311">
        <v>0.21</v>
      </c>
      <c r="O464" s="310">
        <f>SUM(M464*N464)</f>
        <v>655.2</v>
      </c>
      <c r="P464" s="314"/>
      <c r="Q464" s="314"/>
      <c r="R464" s="314"/>
      <c r="S464" s="350"/>
      <c r="T464" s="6"/>
      <c r="U464" s="6"/>
      <c r="V464" s="6"/>
      <c r="W464" s="6"/>
    </row>
    <row r="465" ht="12.0" customHeight="1">
      <c r="A465" s="52"/>
      <c r="B465" s="82"/>
      <c r="C465" s="82"/>
      <c r="D465" s="31" t="s">
        <v>736</v>
      </c>
      <c r="E465" s="32" t="s">
        <v>738</v>
      </c>
      <c r="F465" s="33">
        <v>1.0</v>
      </c>
      <c r="G465" s="33" t="s">
        <v>739</v>
      </c>
      <c r="H465" s="345">
        <v>4130.0</v>
      </c>
      <c r="I465" s="33" t="s">
        <v>576</v>
      </c>
      <c r="J465" s="59" t="s">
        <v>740</v>
      </c>
      <c r="K465" s="323">
        <f t="shared" si="199"/>
        <v>4130</v>
      </c>
      <c r="L465" s="346">
        <f t="shared" si="203"/>
        <v>5988.5</v>
      </c>
      <c r="M465" s="310"/>
      <c r="N465" s="311"/>
      <c r="O465" s="310"/>
      <c r="P465" s="326"/>
      <c r="Q465" s="310"/>
      <c r="R465" s="310"/>
      <c r="S465" s="6"/>
      <c r="T465" s="6"/>
      <c r="U465" s="6"/>
      <c r="V465" s="6"/>
      <c r="W465" s="6"/>
    </row>
    <row r="466" ht="12.0" customHeight="1">
      <c r="A466" s="50"/>
      <c r="B466" s="426"/>
      <c r="C466" s="426"/>
      <c r="D466" s="46" t="s">
        <v>741</v>
      </c>
      <c r="E466" s="47" t="s">
        <v>732</v>
      </c>
      <c r="F466" s="50">
        <v>2.0</v>
      </c>
      <c r="G466" s="50"/>
      <c r="H466" s="365">
        <v>1389.0</v>
      </c>
      <c r="I466" s="50" t="s">
        <v>576</v>
      </c>
      <c r="J466" s="60" t="s">
        <v>742</v>
      </c>
      <c r="K466" s="322">
        <f t="shared" si="199"/>
        <v>2778</v>
      </c>
      <c r="L466" s="346">
        <f>H466*1.63</f>
        <v>2264.07</v>
      </c>
      <c r="M466" s="312"/>
      <c r="N466" s="312"/>
      <c r="O466" s="342"/>
      <c r="P466" s="342"/>
      <c r="Q466" s="342"/>
      <c r="R466" s="342"/>
      <c r="S466" s="6"/>
      <c r="T466" s="6"/>
      <c r="U466" s="6"/>
      <c r="V466" s="6"/>
      <c r="W466" s="6"/>
    </row>
    <row r="467" ht="12.0" customHeight="1">
      <c r="A467" s="14"/>
      <c r="B467" s="15"/>
      <c r="C467" s="15"/>
      <c r="D467" s="197" t="s">
        <v>743</v>
      </c>
      <c r="E467" s="229" t="s">
        <v>744</v>
      </c>
      <c r="F467" s="33">
        <v>1.0</v>
      </c>
      <c r="G467" s="33"/>
      <c r="H467" s="345">
        <v>3400.0</v>
      </c>
      <c r="I467" s="33" t="s">
        <v>576</v>
      </c>
      <c r="J467" s="33" t="s">
        <v>1029</v>
      </c>
      <c r="K467" s="323">
        <f t="shared" si="199"/>
        <v>3400</v>
      </c>
      <c r="L467" s="346">
        <f>H467*1.5</f>
        <v>5100</v>
      </c>
      <c r="M467" s="310"/>
      <c r="N467" s="311"/>
      <c r="O467" s="310"/>
      <c r="P467" s="310"/>
      <c r="Q467" s="310"/>
      <c r="R467" s="310"/>
      <c r="S467" s="6"/>
      <c r="T467" s="6"/>
      <c r="U467" s="6"/>
      <c r="V467" s="6"/>
      <c r="W467" s="6"/>
    </row>
    <row r="468" ht="12.0" customHeight="1">
      <c r="A468" s="52"/>
      <c r="B468" s="212"/>
      <c r="C468" s="212"/>
      <c r="D468" s="31" t="s">
        <v>745</v>
      </c>
      <c r="E468" s="17" t="s">
        <v>308</v>
      </c>
      <c r="F468" s="33">
        <v>10.0</v>
      </c>
      <c r="G468" s="9"/>
      <c r="H468" s="345">
        <f>(P468-R468)</f>
        <v>899.514</v>
      </c>
      <c r="I468" s="9" t="s">
        <v>119</v>
      </c>
      <c r="J468" s="59" t="s">
        <v>1030</v>
      </c>
      <c r="K468" s="306">
        <f t="shared" si="199"/>
        <v>8995.14</v>
      </c>
      <c r="L468" s="301">
        <f>H468*1.6</f>
        <v>1439.2224</v>
      </c>
      <c r="M468" s="326">
        <v>1180.0</v>
      </c>
      <c r="N468" s="326">
        <v>0.21</v>
      </c>
      <c r="O468" s="326">
        <f>M468*N468</f>
        <v>247.8</v>
      </c>
      <c r="P468" s="326">
        <f>SUM(M468+O468)</f>
        <v>1427.8</v>
      </c>
      <c r="Q468" s="326">
        <v>0.37</v>
      </c>
      <c r="R468" s="326">
        <f>P468*Q468</f>
        <v>528.286</v>
      </c>
      <c r="S468" s="353" t="s">
        <v>1031</v>
      </c>
      <c r="T468" s="6"/>
      <c r="U468" s="6"/>
      <c r="V468" s="6"/>
      <c r="W468" s="6"/>
    </row>
    <row r="469" ht="3.75" customHeight="1">
      <c r="A469" s="14"/>
      <c r="B469" s="15"/>
      <c r="C469" s="15"/>
      <c r="D469" s="31"/>
      <c r="E469" s="17"/>
      <c r="F469" s="33"/>
      <c r="G469" s="9"/>
      <c r="H469" s="345"/>
      <c r="I469" s="163"/>
      <c r="J469" s="163"/>
      <c r="K469" s="306"/>
      <c r="L469" s="301"/>
      <c r="M469" s="326"/>
      <c r="N469" s="326"/>
      <c r="O469" s="326"/>
      <c r="P469" s="326"/>
      <c r="Q469" s="326"/>
      <c r="R469" s="326"/>
      <c r="S469" s="6"/>
      <c r="T469" s="6"/>
      <c r="U469" s="6"/>
      <c r="V469" s="6"/>
      <c r="W469" s="6"/>
    </row>
    <row r="470" ht="12.0" customHeight="1">
      <c r="A470" s="52"/>
      <c r="B470" s="212"/>
      <c r="C470" s="212"/>
      <c r="D470" s="15" t="s">
        <v>747</v>
      </c>
      <c r="E470" s="21" t="s">
        <v>308</v>
      </c>
      <c r="F470" s="50">
        <v>4.0</v>
      </c>
      <c r="G470" s="14"/>
      <c r="H470" s="365">
        <f>(P470-R470)</f>
        <v>1067.22</v>
      </c>
      <c r="I470" s="14" t="s">
        <v>119</v>
      </c>
      <c r="J470" s="51" t="s">
        <v>748</v>
      </c>
      <c r="K470" s="308">
        <f>H470*F470</f>
        <v>4268.88</v>
      </c>
      <c r="L470" s="301">
        <f>H470*1.5</f>
        <v>1600.83</v>
      </c>
      <c r="M470" s="314">
        <v>1400.0</v>
      </c>
      <c r="N470" s="314">
        <v>0.21</v>
      </c>
      <c r="O470" s="314">
        <f>M470*N470</f>
        <v>294</v>
      </c>
      <c r="P470" s="314">
        <f>SUM(M470+O470)</f>
        <v>1694</v>
      </c>
      <c r="Q470" s="314">
        <v>0.37</v>
      </c>
      <c r="R470" s="314">
        <f>P470*Q470</f>
        <v>626.78</v>
      </c>
      <c r="S470" s="353" t="s">
        <v>1032</v>
      </c>
      <c r="T470" s="6"/>
      <c r="U470" s="6"/>
      <c r="V470" s="6"/>
      <c r="W470" s="6"/>
    </row>
    <row r="471" ht="3.75" customHeight="1">
      <c r="A471" s="14"/>
      <c r="B471" s="15"/>
      <c r="C471" s="15"/>
      <c r="D471" s="15"/>
      <c r="E471" s="21"/>
      <c r="F471" s="50"/>
      <c r="G471" s="14"/>
      <c r="H471" s="365"/>
      <c r="I471" s="149"/>
      <c r="J471" s="166"/>
      <c r="K471" s="308"/>
      <c r="L471" s="301"/>
      <c r="M471" s="314"/>
      <c r="N471" s="314"/>
      <c r="O471" s="314"/>
      <c r="P471" s="314"/>
      <c r="Q471" s="314"/>
      <c r="R471" s="314"/>
      <c r="S471" s="6"/>
      <c r="T471" s="6"/>
      <c r="U471" s="6"/>
      <c r="V471" s="6"/>
      <c r="W471" s="6"/>
    </row>
    <row r="472" ht="11.25" customHeight="1">
      <c r="A472" s="52"/>
      <c r="B472" s="212"/>
      <c r="C472" s="212"/>
      <c r="D472" s="31" t="s">
        <v>749</v>
      </c>
      <c r="E472" s="17" t="s">
        <v>308</v>
      </c>
      <c r="F472" s="33">
        <v>1.0</v>
      </c>
      <c r="G472" s="9"/>
      <c r="H472" s="345">
        <f>(P472-R472)</f>
        <v>1898.127</v>
      </c>
      <c r="I472" s="9" t="s">
        <v>119</v>
      </c>
      <c r="J472" s="59" t="s">
        <v>751</v>
      </c>
      <c r="K472" s="306">
        <f>H472*F472</f>
        <v>1898.127</v>
      </c>
      <c r="L472" s="301">
        <f>H472*1.5</f>
        <v>2847.1905</v>
      </c>
      <c r="M472" s="326">
        <v>2490.0</v>
      </c>
      <c r="N472" s="326">
        <v>0.21</v>
      </c>
      <c r="O472" s="326">
        <f>M472*N472</f>
        <v>522.9</v>
      </c>
      <c r="P472" s="326">
        <f>SUM(M472+O472)</f>
        <v>3012.9</v>
      </c>
      <c r="Q472" s="326">
        <v>0.37</v>
      </c>
      <c r="R472" s="326">
        <f>P472*Q472</f>
        <v>1114.773</v>
      </c>
      <c r="S472" s="6"/>
      <c r="T472" s="6"/>
      <c r="U472" s="6"/>
      <c r="V472" s="6"/>
      <c r="W472" s="6"/>
    </row>
    <row r="473" ht="3.75" customHeight="1">
      <c r="A473" s="14"/>
      <c r="B473" s="15"/>
      <c r="C473" s="15"/>
      <c r="D473" s="15"/>
      <c r="E473" s="21"/>
      <c r="F473" s="50"/>
      <c r="G473" s="14"/>
      <c r="H473" s="365"/>
      <c r="I473" s="149"/>
      <c r="J473" s="166"/>
      <c r="K473" s="308"/>
      <c r="L473" s="301"/>
      <c r="M473" s="314"/>
      <c r="N473" s="314"/>
      <c r="O473" s="314"/>
      <c r="P473" s="314"/>
      <c r="Q473" s="314"/>
      <c r="R473" s="314"/>
      <c r="S473" s="6"/>
      <c r="T473" s="6"/>
      <c r="U473" s="6"/>
      <c r="V473" s="6"/>
      <c r="W473" s="6"/>
    </row>
    <row r="474" ht="12.0" customHeight="1">
      <c r="A474" s="52"/>
      <c r="B474" s="212"/>
      <c r="C474" s="212"/>
      <c r="D474" s="197" t="s">
        <v>752</v>
      </c>
      <c r="E474" s="229" t="s">
        <v>309</v>
      </c>
      <c r="F474" s="9">
        <v>5.0</v>
      </c>
      <c r="G474" s="9"/>
      <c r="H474" s="345">
        <f>(P474-R474)</f>
        <v>1218.1554</v>
      </c>
      <c r="I474" s="163" t="s">
        <v>119</v>
      </c>
      <c r="J474" s="136" t="s">
        <v>753</v>
      </c>
      <c r="K474" s="306">
        <f>H474*F474</f>
        <v>6090.777</v>
      </c>
      <c r="L474" s="301">
        <f>H474*1.5</f>
        <v>1827.2331</v>
      </c>
      <c r="M474" s="326">
        <v>1598.0</v>
      </c>
      <c r="N474" s="326">
        <v>0.21</v>
      </c>
      <c r="O474" s="326">
        <f>M474*N474</f>
        <v>335.58</v>
      </c>
      <c r="P474" s="326">
        <f>SUM(M474+O474)</f>
        <v>1933.58</v>
      </c>
      <c r="Q474" s="326">
        <v>0.37</v>
      </c>
      <c r="R474" s="326">
        <f>P474*Q474</f>
        <v>715.4246</v>
      </c>
      <c r="S474" s="353" t="s">
        <v>1033</v>
      </c>
      <c r="T474" s="6"/>
      <c r="U474" s="6"/>
      <c r="V474" s="6"/>
      <c r="W474" s="6"/>
    </row>
    <row r="475" ht="3.75" customHeight="1">
      <c r="A475" s="14"/>
      <c r="B475" s="15"/>
      <c r="C475" s="15"/>
      <c r="D475" s="197"/>
      <c r="E475" s="229"/>
      <c r="F475" s="9"/>
      <c r="G475" s="9"/>
      <c r="H475" s="345"/>
      <c r="I475" s="163"/>
      <c r="J475" s="163"/>
      <c r="K475" s="306"/>
      <c r="L475" s="301"/>
      <c r="M475" s="326"/>
      <c r="N475" s="326"/>
      <c r="O475" s="326"/>
      <c r="P475" s="326"/>
      <c r="Q475" s="326"/>
      <c r="R475" s="326"/>
      <c r="S475" s="6"/>
      <c r="T475" s="6"/>
      <c r="U475" s="6"/>
      <c r="V475" s="6"/>
      <c r="W475" s="6"/>
    </row>
    <row r="476" ht="12.0" customHeight="1">
      <c r="A476" s="52"/>
      <c r="B476" s="212"/>
      <c r="C476" s="212"/>
      <c r="D476" s="195" t="s">
        <v>754</v>
      </c>
      <c r="E476" s="211" t="s">
        <v>309</v>
      </c>
      <c r="F476" s="50">
        <v>5.0</v>
      </c>
      <c r="G476" s="14"/>
      <c r="H476" s="365">
        <f>(P476-R476)</f>
        <v>2103.948</v>
      </c>
      <c r="I476" s="14" t="s">
        <v>119</v>
      </c>
      <c r="J476" s="51" t="s">
        <v>755</v>
      </c>
      <c r="K476" s="308">
        <f>H476*F476</f>
        <v>10519.74</v>
      </c>
      <c r="L476" s="301">
        <f>H476*1.5</f>
        <v>3155.922</v>
      </c>
      <c r="M476" s="314">
        <v>2760.0</v>
      </c>
      <c r="N476" s="314">
        <v>0.21</v>
      </c>
      <c r="O476" s="314">
        <f>M476*N476</f>
        <v>579.6</v>
      </c>
      <c r="P476" s="314">
        <f>SUM(M476+O476)</f>
        <v>3339.6</v>
      </c>
      <c r="Q476" s="314">
        <v>0.37</v>
      </c>
      <c r="R476" s="314">
        <f>P476*Q476</f>
        <v>1235.652</v>
      </c>
      <c r="S476" s="6"/>
      <c r="T476" s="6"/>
      <c r="U476" s="6"/>
      <c r="V476" s="6"/>
      <c r="W476" s="6"/>
    </row>
    <row r="477" ht="3.75" customHeight="1">
      <c r="A477" s="52"/>
      <c r="B477" s="212"/>
      <c r="C477" s="212"/>
      <c r="D477" s="195"/>
      <c r="E477" s="211"/>
      <c r="F477" s="50"/>
      <c r="G477" s="14"/>
      <c r="H477" s="365"/>
      <c r="I477" s="14"/>
      <c r="J477" s="51"/>
      <c r="K477" s="308"/>
      <c r="L477" s="301"/>
      <c r="M477" s="314"/>
      <c r="N477" s="314"/>
      <c r="O477" s="314"/>
      <c r="P477" s="314"/>
      <c r="Q477" s="314"/>
      <c r="R477" s="314"/>
      <c r="S477" s="6"/>
      <c r="T477" s="6"/>
      <c r="U477" s="6"/>
      <c r="V477" s="6"/>
      <c r="W477" s="6"/>
    </row>
    <row r="478" ht="12.0" customHeight="1">
      <c r="A478" s="52"/>
      <c r="B478" s="212"/>
      <c r="C478" s="212"/>
      <c r="D478" s="197" t="s">
        <v>749</v>
      </c>
      <c r="E478" s="229" t="s">
        <v>309</v>
      </c>
      <c r="F478" s="33">
        <v>2.0</v>
      </c>
      <c r="G478" s="9"/>
      <c r="H478" s="345">
        <f>(P478-R478)</f>
        <v>2714.5503</v>
      </c>
      <c r="I478" s="9" t="s">
        <v>119</v>
      </c>
      <c r="J478" s="59" t="s">
        <v>756</v>
      </c>
      <c r="K478" s="306">
        <f>H478*F478</f>
        <v>5429.1006</v>
      </c>
      <c r="L478" s="301">
        <f>H478*1.5</f>
        <v>4071.82545</v>
      </c>
      <c r="M478" s="326">
        <v>3561.0</v>
      </c>
      <c r="N478" s="326">
        <v>0.21</v>
      </c>
      <c r="O478" s="326">
        <f>M478*N478</f>
        <v>747.81</v>
      </c>
      <c r="P478" s="326">
        <f>SUM(M478+O478)</f>
        <v>4308.81</v>
      </c>
      <c r="Q478" s="326">
        <v>0.37</v>
      </c>
      <c r="R478" s="326">
        <f>P478*Q478</f>
        <v>1594.2597</v>
      </c>
      <c r="S478" s="6"/>
      <c r="T478" s="6"/>
      <c r="U478" s="6"/>
      <c r="V478" s="6"/>
      <c r="W478" s="6"/>
    </row>
    <row r="479" ht="3.0" customHeight="1">
      <c r="A479" s="52"/>
      <c r="B479" s="212"/>
      <c r="C479" s="212"/>
      <c r="D479" s="195"/>
      <c r="E479" s="211"/>
      <c r="F479" s="50"/>
      <c r="G479" s="14"/>
      <c r="H479" s="365"/>
      <c r="I479" s="14"/>
      <c r="J479" s="51"/>
      <c r="K479" s="308"/>
      <c r="L479" s="301"/>
      <c r="M479" s="314"/>
      <c r="N479" s="314"/>
      <c r="O479" s="314"/>
      <c r="P479" s="314"/>
      <c r="Q479" s="314"/>
      <c r="R479" s="314"/>
      <c r="S479" s="6"/>
      <c r="T479" s="6"/>
      <c r="U479" s="6"/>
      <c r="V479" s="6"/>
      <c r="W479" s="6"/>
    </row>
    <row r="480" ht="12.0" customHeight="1">
      <c r="A480" s="52"/>
      <c r="B480" s="212"/>
      <c r="C480" s="212"/>
      <c r="D480" s="231" t="s">
        <v>757</v>
      </c>
      <c r="E480" s="232" t="s">
        <v>423</v>
      </c>
      <c r="F480" s="50">
        <v>1.0</v>
      </c>
      <c r="G480" s="14"/>
      <c r="H480" s="365">
        <v>1893.0</v>
      </c>
      <c r="I480" s="14" t="s">
        <v>119</v>
      </c>
      <c r="J480" s="51" t="s">
        <v>758</v>
      </c>
      <c r="K480" s="308">
        <f t="shared" ref="K480:K490" si="204">H480*F480</f>
        <v>1893</v>
      </c>
      <c r="L480" s="301">
        <f>H480*1.6</f>
        <v>3028.8</v>
      </c>
      <c r="M480" s="314">
        <v>2400.0</v>
      </c>
      <c r="N480" s="314">
        <v>0.21</v>
      </c>
      <c r="O480" s="314">
        <f t="shared" ref="O480:O482" si="205">M480*N480</f>
        <v>504</v>
      </c>
      <c r="P480" s="314">
        <f t="shared" ref="P480:P482" si="206">SUM(M480+O480)</f>
        <v>2904</v>
      </c>
      <c r="Q480" s="314">
        <v>0.37</v>
      </c>
      <c r="R480" s="314">
        <f t="shared" ref="R480:R482" si="207">P480*Q480</f>
        <v>1074.48</v>
      </c>
      <c r="S480" s="350" t="s">
        <v>1034</v>
      </c>
      <c r="T480" s="6"/>
      <c r="U480" s="6"/>
      <c r="V480" s="6"/>
      <c r="W480" s="6"/>
    </row>
    <row r="481" ht="12.0" customHeight="1">
      <c r="A481" s="52"/>
      <c r="B481" s="82"/>
      <c r="C481" s="82"/>
      <c r="D481" s="46" t="s">
        <v>759</v>
      </c>
      <c r="E481" s="202" t="s">
        <v>74</v>
      </c>
      <c r="F481" s="50">
        <v>14.0</v>
      </c>
      <c r="G481" s="14" t="s">
        <v>760</v>
      </c>
      <c r="H481" s="365">
        <f t="shared" ref="H481:H482" si="208">(P481-R481)</f>
        <v>754.677</v>
      </c>
      <c r="I481" s="14" t="s">
        <v>119</v>
      </c>
      <c r="J481" s="60">
        <v>460030.0</v>
      </c>
      <c r="K481" s="308">
        <f t="shared" si="204"/>
        <v>10565.478</v>
      </c>
      <c r="L481" s="301">
        <f>H481*1.5</f>
        <v>1132.0155</v>
      </c>
      <c r="M481" s="314">
        <v>990.0</v>
      </c>
      <c r="N481" s="314">
        <v>0.21</v>
      </c>
      <c r="O481" s="314">
        <f t="shared" si="205"/>
        <v>207.9</v>
      </c>
      <c r="P481" s="314">
        <f t="shared" si="206"/>
        <v>1197.9</v>
      </c>
      <c r="Q481" s="314">
        <v>0.37</v>
      </c>
      <c r="R481" s="314">
        <f t="shared" si="207"/>
        <v>443.223</v>
      </c>
      <c r="S481" s="350" t="s">
        <v>1035</v>
      </c>
      <c r="T481" s="329" t="s">
        <v>764</v>
      </c>
      <c r="U481" s="6"/>
      <c r="V481" s="6"/>
      <c r="W481" s="6"/>
    </row>
    <row r="482" ht="12.0" customHeight="1">
      <c r="A482" s="52"/>
      <c r="B482" s="82"/>
      <c r="C482" s="82"/>
      <c r="D482" s="31" t="s">
        <v>761</v>
      </c>
      <c r="E482" s="191" t="s">
        <v>482</v>
      </c>
      <c r="F482" s="33">
        <v>17.0</v>
      </c>
      <c r="G482" s="9" t="s">
        <v>760</v>
      </c>
      <c r="H482" s="345">
        <f t="shared" si="208"/>
        <v>1087.0398</v>
      </c>
      <c r="I482" s="9" t="s">
        <v>119</v>
      </c>
      <c r="J482" s="59">
        <v>460040.0</v>
      </c>
      <c r="K482" s="306">
        <f t="shared" si="204"/>
        <v>18479.6766</v>
      </c>
      <c r="L482" s="301">
        <f t="shared" ref="L482:L483" si="209">H482*1.55</f>
        <v>1684.91169</v>
      </c>
      <c r="M482" s="326">
        <v>1426.0</v>
      </c>
      <c r="N482" s="326">
        <v>0.21</v>
      </c>
      <c r="O482" s="326">
        <f t="shared" si="205"/>
        <v>299.46</v>
      </c>
      <c r="P482" s="326">
        <f t="shared" si="206"/>
        <v>1725.46</v>
      </c>
      <c r="Q482" s="326">
        <v>0.37</v>
      </c>
      <c r="R482" s="326">
        <f t="shared" si="207"/>
        <v>638.4202</v>
      </c>
      <c r="S482" s="350" t="s">
        <v>1036</v>
      </c>
      <c r="T482" s="398" t="s">
        <v>764</v>
      </c>
      <c r="U482" s="6"/>
      <c r="V482" s="6"/>
      <c r="W482" s="6"/>
    </row>
    <row r="483" ht="12.0" customHeight="1">
      <c r="A483" s="52"/>
      <c r="B483" s="82"/>
      <c r="C483" s="82"/>
      <c r="D483" s="31" t="s">
        <v>762</v>
      </c>
      <c r="E483" s="191" t="s">
        <v>482</v>
      </c>
      <c r="F483" s="33">
        <v>2.0</v>
      </c>
      <c r="G483" s="9" t="s">
        <v>763</v>
      </c>
      <c r="H483" s="345">
        <v>1510.0</v>
      </c>
      <c r="I483" s="9" t="s">
        <v>576</v>
      </c>
      <c r="J483" s="59" t="s">
        <v>1037</v>
      </c>
      <c r="K483" s="306">
        <f t="shared" si="204"/>
        <v>3020</v>
      </c>
      <c r="L483" s="301">
        <f t="shared" si="209"/>
        <v>2340.5</v>
      </c>
      <c r="M483" s="326"/>
      <c r="N483" s="326"/>
      <c r="O483" s="326"/>
      <c r="P483" s="326"/>
      <c r="Q483" s="326"/>
      <c r="R483" s="326"/>
      <c r="S483" s="6"/>
      <c r="T483" s="398"/>
      <c r="U483" s="6"/>
      <c r="V483" s="6"/>
      <c r="W483" s="6"/>
    </row>
    <row r="484" ht="12.0" customHeight="1">
      <c r="A484" s="52"/>
      <c r="B484" s="82"/>
      <c r="C484" s="82"/>
      <c r="D484" s="46" t="s">
        <v>765</v>
      </c>
      <c r="E484" s="202" t="s">
        <v>394</v>
      </c>
      <c r="F484" s="50">
        <v>13.0</v>
      </c>
      <c r="G484" s="14" t="s">
        <v>760</v>
      </c>
      <c r="H484" s="365">
        <f t="shared" ref="H484:H486" si="210">(P484-R484)</f>
        <v>1696.1175</v>
      </c>
      <c r="I484" s="14" t="s">
        <v>119</v>
      </c>
      <c r="J484" s="60">
        <v>460050.0</v>
      </c>
      <c r="K484" s="308">
        <f t="shared" si="204"/>
        <v>22049.5275</v>
      </c>
      <c r="L484" s="301">
        <f>H484*1.65</f>
        <v>2798.593875</v>
      </c>
      <c r="M484" s="314">
        <v>2225.0</v>
      </c>
      <c r="N484" s="314">
        <v>0.21</v>
      </c>
      <c r="O484" s="314">
        <f t="shared" ref="O484:O486" si="211">M484*N484</f>
        <v>467.25</v>
      </c>
      <c r="P484" s="314">
        <f t="shared" ref="P484:P486" si="212">SUM(M484+O484)</f>
        <v>2692.25</v>
      </c>
      <c r="Q484" s="314">
        <v>0.37</v>
      </c>
      <c r="R484" s="314">
        <f t="shared" ref="R484:R486" si="213">P484*Q484</f>
        <v>996.1325</v>
      </c>
      <c r="S484" s="6"/>
      <c r="T484" s="398" t="s">
        <v>764</v>
      </c>
      <c r="U484" s="6"/>
      <c r="V484" s="6"/>
      <c r="W484" s="6"/>
    </row>
    <row r="485" ht="12.0" customHeight="1">
      <c r="A485" s="52"/>
      <c r="B485" s="67"/>
      <c r="C485" s="67"/>
      <c r="D485" s="427" t="s">
        <v>766</v>
      </c>
      <c r="E485" s="428"/>
      <c r="F485" s="427">
        <v>0.0</v>
      </c>
      <c r="G485" s="429"/>
      <c r="H485" s="345">
        <f t="shared" si="210"/>
        <v>470.3391</v>
      </c>
      <c r="I485" s="429" t="s">
        <v>119</v>
      </c>
      <c r="J485" s="276" t="s">
        <v>767</v>
      </c>
      <c r="K485" s="306">
        <f t="shared" si="204"/>
        <v>0</v>
      </c>
      <c r="L485" s="301">
        <f t="shared" ref="L485:L487" si="214">H485*1.7</f>
        <v>799.57647</v>
      </c>
      <c r="M485" s="326">
        <v>617.0</v>
      </c>
      <c r="N485" s="326">
        <v>0.21</v>
      </c>
      <c r="O485" s="326">
        <f t="shared" si="211"/>
        <v>129.57</v>
      </c>
      <c r="P485" s="326">
        <f t="shared" si="212"/>
        <v>746.57</v>
      </c>
      <c r="Q485" s="326">
        <v>0.37</v>
      </c>
      <c r="R485" s="326">
        <f t="shared" si="213"/>
        <v>276.2309</v>
      </c>
      <c r="S485" s="6"/>
      <c r="T485" s="321"/>
      <c r="U485" s="6"/>
      <c r="V485" s="6"/>
      <c r="W485" s="6"/>
    </row>
    <row r="486" ht="12.0" customHeight="1">
      <c r="A486" s="14"/>
      <c r="B486" s="79"/>
      <c r="C486" s="79"/>
      <c r="D486" s="162" t="s">
        <v>1038</v>
      </c>
      <c r="E486" s="70" t="s">
        <v>769</v>
      </c>
      <c r="F486" s="163">
        <v>200.0</v>
      </c>
      <c r="G486" s="33"/>
      <c r="H486" s="339">
        <f t="shared" si="210"/>
        <v>51.0741</v>
      </c>
      <c r="I486" s="163" t="s">
        <v>119</v>
      </c>
      <c r="J486" s="136" t="s">
        <v>770</v>
      </c>
      <c r="K486" s="323">
        <f t="shared" si="204"/>
        <v>10214.82</v>
      </c>
      <c r="L486" s="346">
        <f t="shared" si="214"/>
        <v>86.82597</v>
      </c>
      <c r="M486" s="310">
        <v>67.0</v>
      </c>
      <c r="N486" s="310">
        <v>0.21</v>
      </c>
      <c r="O486" s="310">
        <f t="shared" si="211"/>
        <v>14.07</v>
      </c>
      <c r="P486" s="310">
        <f t="shared" si="212"/>
        <v>81.07</v>
      </c>
      <c r="Q486" s="310">
        <v>0.37</v>
      </c>
      <c r="R486" s="310">
        <f t="shared" si="213"/>
        <v>29.9959</v>
      </c>
      <c r="S486" s="353" t="s">
        <v>1039</v>
      </c>
      <c r="T486" s="6"/>
      <c r="U486" s="6"/>
      <c r="V486" s="6"/>
      <c r="W486" s="6"/>
    </row>
    <row r="487" ht="12.0" customHeight="1">
      <c r="A487" s="14"/>
      <c r="B487" s="79"/>
      <c r="C487" s="79"/>
      <c r="D487" s="162" t="s">
        <v>1038</v>
      </c>
      <c r="E487" s="70" t="s">
        <v>771</v>
      </c>
      <c r="F487" s="163">
        <v>100.0</v>
      </c>
      <c r="G487" s="33"/>
      <c r="H487" s="339">
        <v>52.0</v>
      </c>
      <c r="I487" s="163" t="s">
        <v>576</v>
      </c>
      <c r="J487" s="136" t="s">
        <v>1040</v>
      </c>
      <c r="K487" s="323">
        <f t="shared" si="204"/>
        <v>5200</v>
      </c>
      <c r="L487" s="346">
        <f t="shared" si="214"/>
        <v>88.4</v>
      </c>
      <c r="M487" s="310"/>
      <c r="N487" s="310"/>
      <c r="O487" s="310"/>
      <c r="P487" s="310"/>
      <c r="Q487" s="310"/>
      <c r="R487" s="310"/>
      <c r="S487" s="6"/>
      <c r="T487" s="6"/>
      <c r="U487" s="6"/>
      <c r="V487" s="6"/>
      <c r="W487" s="6"/>
    </row>
    <row r="488" ht="12.0" customHeight="1">
      <c r="A488" s="14"/>
      <c r="B488" s="79"/>
      <c r="C488" s="79"/>
      <c r="D488" s="195" t="s">
        <v>772</v>
      </c>
      <c r="E488" s="132" t="s">
        <v>773</v>
      </c>
      <c r="F488" s="14">
        <v>200.0</v>
      </c>
      <c r="G488" s="14"/>
      <c r="H488" s="365">
        <f t="shared" ref="H488:H490" si="215">(P488-R488)</f>
        <v>70.8939</v>
      </c>
      <c r="I488" s="14" t="s">
        <v>119</v>
      </c>
      <c r="J488" s="51" t="s">
        <v>774</v>
      </c>
      <c r="K488" s="308">
        <f t="shared" si="204"/>
        <v>14178.78</v>
      </c>
      <c r="L488" s="301">
        <f t="shared" ref="L488:L489" si="216">H488*1.75</f>
        <v>124.064325</v>
      </c>
      <c r="M488" s="314">
        <v>93.0</v>
      </c>
      <c r="N488" s="314">
        <v>0.21</v>
      </c>
      <c r="O488" s="314">
        <f t="shared" ref="O488:O490" si="217">M488*N488</f>
        <v>19.53</v>
      </c>
      <c r="P488" s="314">
        <f t="shared" ref="P488:P490" si="218">SUM(M488+O488)</f>
        <v>112.53</v>
      </c>
      <c r="Q488" s="314">
        <v>0.37</v>
      </c>
      <c r="R488" s="314">
        <f t="shared" ref="R488:R490" si="219">P488*Q488</f>
        <v>41.6361</v>
      </c>
      <c r="S488" s="353" t="s">
        <v>1041</v>
      </c>
      <c r="T488" s="6"/>
      <c r="U488" s="6"/>
      <c r="V488" s="6"/>
      <c r="W488" s="6"/>
    </row>
    <row r="489" ht="12.0" customHeight="1">
      <c r="A489" s="14"/>
      <c r="B489" s="79"/>
      <c r="C489" s="79"/>
      <c r="D489" s="39" t="s">
        <v>775</v>
      </c>
      <c r="E489" s="40" t="s">
        <v>776</v>
      </c>
      <c r="F489" s="41">
        <v>0.0</v>
      </c>
      <c r="G489" s="41"/>
      <c r="H489" s="319">
        <f t="shared" si="215"/>
        <v>76.23</v>
      </c>
      <c r="I489" s="41" t="s">
        <v>119</v>
      </c>
      <c r="J489" s="430" t="s">
        <v>777</v>
      </c>
      <c r="K489" s="320">
        <f t="shared" si="204"/>
        <v>0</v>
      </c>
      <c r="L489" s="317">
        <f t="shared" si="216"/>
        <v>133.4025</v>
      </c>
      <c r="M489" s="342">
        <v>100.0</v>
      </c>
      <c r="N489" s="342">
        <v>0.21</v>
      </c>
      <c r="O489" s="342">
        <f t="shared" si="217"/>
        <v>21</v>
      </c>
      <c r="P489" s="342">
        <f t="shared" si="218"/>
        <v>121</v>
      </c>
      <c r="Q489" s="342">
        <v>0.37</v>
      </c>
      <c r="R489" s="342">
        <f t="shared" si="219"/>
        <v>44.77</v>
      </c>
      <c r="S489" s="6"/>
      <c r="T489" s="6"/>
      <c r="U489" s="6"/>
      <c r="V489" s="6"/>
      <c r="W489" s="6"/>
    </row>
    <row r="490" ht="12.0" customHeight="1">
      <c r="A490" s="14"/>
      <c r="B490" s="79"/>
      <c r="C490" s="79"/>
      <c r="D490" s="241" t="s">
        <v>1042</v>
      </c>
      <c r="E490" s="242" t="s">
        <v>779</v>
      </c>
      <c r="F490" s="9">
        <v>110.0</v>
      </c>
      <c r="G490" s="9"/>
      <c r="H490" s="345">
        <f t="shared" si="215"/>
        <v>114.345</v>
      </c>
      <c r="I490" s="9" t="s">
        <v>119</v>
      </c>
      <c r="J490" s="59" t="s">
        <v>780</v>
      </c>
      <c r="K490" s="306">
        <f t="shared" si="204"/>
        <v>12577.95</v>
      </c>
      <c r="L490" s="301">
        <f>H490*1.65</f>
        <v>188.66925</v>
      </c>
      <c r="M490" s="326">
        <v>150.0</v>
      </c>
      <c r="N490" s="326">
        <v>0.21</v>
      </c>
      <c r="O490" s="326">
        <f t="shared" si="217"/>
        <v>31.5</v>
      </c>
      <c r="P490" s="326">
        <f t="shared" si="218"/>
        <v>181.5</v>
      </c>
      <c r="Q490" s="326">
        <v>0.37</v>
      </c>
      <c r="R490" s="326">
        <f t="shared" si="219"/>
        <v>67.155</v>
      </c>
      <c r="S490" s="353" t="s">
        <v>1043</v>
      </c>
      <c r="T490" s="6"/>
      <c r="U490" s="6"/>
      <c r="V490" s="6"/>
      <c r="W490" s="6"/>
    </row>
    <row r="491" ht="12.0" customHeight="1">
      <c r="A491" s="14"/>
      <c r="B491" s="212"/>
      <c r="C491" s="212"/>
      <c r="D491" s="170" t="s">
        <v>781</v>
      </c>
      <c r="E491" s="188" t="s">
        <v>782</v>
      </c>
      <c r="F491" s="172"/>
      <c r="G491" s="172"/>
      <c r="H491" s="407"/>
      <c r="I491" s="172"/>
      <c r="J491" s="408"/>
      <c r="K491" s="409"/>
      <c r="L491" s="301"/>
      <c r="M491" s="431"/>
      <c r="N491" s="417"/>
      <c r="O491" s="417"/>
      <c r="P491" s="417"/>
      <c r="Q491" s="172"/>
      <c r="R491" s="172"/>
      <c r="S491" s="6"/>
      <c r="T491" s="6"/>
      <c r="U491" s="6"/>
      <c r="V491" s="6"/>
      <c r="W491" s="6"/>
    </row>
    <row r="492" ht="12.0" customHeight="1">
      <c r="A492" s="14"/>
      <c r="B492" s="212"/>
      <c r="C492" s="212"/>
      <c r="D492" s="245" t="s">
        <v>1044</v>
      </c>
      <c r="E492" s="243" t="s">
        <v>308</v>
      </c>
      <c r="F492" s="50">
        <v>75.0</v>
      </c>
      <c r="G492" s="14" t="s">
        <v>784</v>
      </c>
      <c r="H492" s="365">
        <f>SUM(M492+O492)</f>
        <v>29.04</v>
      </c>
      <c r="I492" s="14" t="s">
        <v>17</v>
      </c>
      <c r="J492" s="60">
        <v>351.0</v>
      </c>
      <c r="K492" s="308">
        <f t="shared" ref="K492:K520" si="220">H492*F492</f>
        <v>2178</v>
      </c>
      <c r="L492" s="301">
        <f>H492*1.8</f>
        <v>52.272</v>
      </c>
      <c r="M492" s="312">
        <v>24.0</v>
      </c>
      <c r="N492" s="313">
        <v>0.21</v>
      </c>
      <c r="O492" s="312">
        <f>SUM(M492*N492)</f>
        <v>5.04</v>
      </c>
      <c r="P492" s="314"/>
      <c r="Q492" s="14"/>
      <c r="R492" s="14"/>
      <c r="S492" s="350" t="s">
        <v>1045</v>
      </c>
      <c r="T492" s="6"/>
      <c r="U492" s="6"/>
      <c r="V492" s="6"/>
      <c r="W492" s="6"/>
    </row>
    <row r="493" ht="12.0" customHeight="1">
      <c r="A493" s="14"/>
      <c r="B493" s="212"/>
      <c r="C493" s="212"/>
      <c r="D493" s="106" t="s">
        <v>1046</v>
      </c>
      <c r="E493" s="244" t="s">
        <v>308</v>
      </c>
      <c r="F493" s="9">
        <v>50.0</v>
      </c>
      <c r="G493" s="9"/>
      <c r="H493" s="345">
        <f t="shared" ref="H493:H494" si="221">(P493-R493)</f>
        <v>48.7872</v>
      </c>
      <c r="I493" s="9" t="s">
        <v>119</v>
      </c>
      <c r="J493" s="59" t="s">
        <v>786</v>
      </c>
      <c r="K493" s="306">
        <f t="shared" si="220"/>
        <v>2439.36</v>
      </c>
      <c r="L493" s="301">
        <f t="shared" ref="L493:L494" si="222">H493*1.9</f>
        <v>92.69568</v>
      </c>
      <c r="M493" s="326">
        <v>64.0</v>
      </c>
      <c r="N493" s="326">
        <v>0.21</v>
      </c>
      <c r="O493" s="326">
        <f t="shared" ref="O493:O494" si="223">M493*N493</f>
        <v>13.44</v>
      </c>
      <c r="P493" s="326">
        <f t="shared" ref="P493:P494" si="224">SUM(M493+O493)</f>
        <v>77.44</v>
      </c>
      <c r="Q493" s="326">
        <v>0.37</v>
      </c>
      <c r="R493" s="326">
        <f t="shared" ref="R493:R494" si="225">P493*Q493</f>
        <v>28.6528</v>
      </c>
      <c r="S493" s="6"/>
      <c r="T493" s="6"/>
      <c r="U493" s="6"/>
      <c r="V493" s="6"/>
      <c r="W493" s="6"/>
    </row>
    <row r="494" ht="12.0" customHeight="1">
      <c r="A494" s="14"/>
      <c r="B494" s="212"/>
      <c r="C494" s="212"/>
      <c r="D494" s="245" t="s">
        <v>1047</v>
      </c>
      <c r="E494" s="243" t="s">
        <v>308</v>
      </c>
      <c r="F494" s="14">
        <v>25.0</v>
      </c>
      <c r="G494" s="14"/>
      <c r="H494" s="365">
        <f t="shared" si="221"/>
        <v>68.607</v>
      </c>
      <c r="I494" s="14" t="s">
        <v>119</v>
      </c>
      <c r="J494" s="246" t="s">
        <v>788</v>
      </c>
      <c r="K494" s="308">
        <f t="shared" si="220"/>
        <v>1715.175</v>
      </c>
      <c r="L494" s="301">
        <f t="shared" si="222"/>
        <v>130.3533</v>
      </c>
      <c r="M494" s="314">
        <v>90.0</v>
      </c>
      <c r="N494" s="314">
        <v>0.21</v>
      </c>
      <c r="O494" s="314">
        <f t="shared" si="223"/>
        <v>18.9</v>
      </c>
      <c r="P494" s="314">
        <f t="shared" si="224"/>
        <v>108.9</v>
      </c>
      <c r="Q494" s="314">
        <v>0.37</v>
      </c>
      <c r="R494" s="314">
        <f t="shared" si="225"/>
        <v>40.293</v>
      </c>
      <c r="S494" s="6"/>
      <c r="T494" s="6"/>
      <c r="U494" s="6"/>
      <c r="V494" s="6"/>
      <c r="W494" s="6"/>
    </row>
    <row r="495" ht="12.0" customHeight="1">
      <c r="A495" s="14"/>
      <c r="B495" s="212"/>
      <c r="C495" s="212"/>
      <c r="D495" s="106" t="s">
        <v>1048</v>
      </c>
      <c r="E495" s="244" t="s">
        <v>308</v>
      </c>
      <c r="F495" s="9">
        <v>60.0</v>
      </c>
      <c r="G495" s="9" t="s">
        <v>784</v>
      </c>
      <c r="H495" s="345">
        <f t="shared" ref="H495:H496" si="226">SUM(M495+O495)</f>
        <v>52.03</v>
      </c>
      <c r="I495" s="9" t="s">
        <v>17</v>
      </c>
      <c r="J495" s="432">
        <v>381.0</v>
      </c>
      <c r="K495" s="306">
        <f t="shared" si="220"/>
        <v>3121.8</v>
      </c>
      <c r="L495" s="301">
        <f>H495*1.8</f>
        <v>93.654</v>
      </c>
      <c r="M495" s="310">
        <v>43.0</v>
      </c>
      <c r="N495" s="311">
        <v>0.21</v>
      </c>
      <c r="O495" s="310">
        <f t="shared" ref="O495:O496" si="227">SUM(M495*N495)</f>
        <v>9.03</v>
      </c>
      <c r="P495" s="326"/>
      <c r="Q495" s="326"/>
      <c r="R495" s="326"/>
      <c r="S495" s="353" t="s">
        <v>1049</v>
      </c>
      <c r="T495" s="6"/>
      <c r="U495" s="6"/>
      <c r="V495" s="6"/>
      <c r="W495" s="6"/>
    </row>
    <row r="496" ht="12.0" customHeight="1">
      <c r="A496" s="14"/>
      <c r="B496" s="212"/>
      <c r="C496" s="212"/>
      <c r="D496" s="245" t="s">
        <v>1050</v>
      </c>
      <c r="E496" s="243" t="s">
        <v>308</v>
      </c>
      <c r="F496" s="14">
        <v>80.0</v>
      </c>
      <c r="G496" s="14"/>
      <c r="H496" s="384">
        <f t="shared" si="226"/>
        <v>18.15</v>
      </c>
      <c r="I496" s="14" t="s">
        <v>17</v>
      </c>
      <c r="J496" s="60">
        <v>451.0</v>
      </c>
      <c r="K496" s="308">
        <f t="shared" si="220"/>
        <v>1452</v>
      </c>
      <c r="L496" s="301">
        <f>H496*2</f>
        <v>36.3</v>
      </c>
      <c r="M496" s="385">
        <v>15.0</v>
      </c>
      <c r="N496" s="313">
        <v>0.21</v>
      </c>
      <c r="O496" s="312">
        <f t="shared" si="227"/>
        <v>3.15</v>
      </c>
      <c r="P496" s="314"/>
      <c r="Q496" s="314"/>
      <c r="R496" s="314"/>
      <c r="S496" s="353" t="s">
        <v>1051</v>
      </c>
      <c r="T496" s="6"/>
      <c r="U496" s="6"/>
      <c r="V496" s="6"/>
      <c r="W496" s="6"/>
    </row>
    <row r="497" ht="12.0" customHeight="1">
      <c r="A497" s="14"/>
      <c r="B497" s="212"/>
      <c r="C497" s="212"/>
      <c r="D497" s="106" t="s">
        <v>1052</v>
      </c>
      <c r="E497" s="244" t="s">
        <v>308</v>
      </c>
      <c r="F497" s="9">
        <v>40.0</v>
      </c>
      <c r="G497" s="9" t="s">
        <v>763</v>
      </c>
      <c r="H497" s="345">
        <v>25.0</v>
      </c>
      <c r="I497" s="9" t="s">
        <v>576</v>
      </c>
      <c r="J497" s="24" t="s">
        <v>1053</v>
      </c>
      <c r="K497" s="306">
        <f t="shared" si="220"/>
        <v>1000</v>
      </c>
      <c r="L497" s="301">
        <f>H497*1.9</f>
        <v>47.5</v>
      </c>
      <c r="M497" s="326"/>
      <c r="N497" s="326"/>
      <c r="O497" s="326"/>
      <c r="P497" s="326"/>
      <c r="Q497" s="326"/>
      <c r="R497" s="326"/>
      <c r="S497" s="6"/>
      <c r="T497" s="6"/>
      <c r="U497" s="6"/>
      <c r="V497" s="6"/>
      <c r="W497" s="6"/>
    </row>
    <row r="498" ht="12.0" customHeight="1">
      <c r="A498" s="14"/>
      <c r="B498" s="212"/>
      <c r="C498" s="212"/>
      <c r="D498" s="245" t="s">
        <v>1054</v>
      </c>
      <c r="E498" s="243" t="s">
        <v>308</v>
      </c>
      <c r="F498" s="14">
        <v>70.0</v>
      </c>
      <c r="G498" s="14"/>
      <c r="H498" s="307">
        <f>SUM(1*H496)</f>
        <v>18.15</v>
      </c>
      <c r="I498" s="14" t="s">
        <v>17</v>
      </c>
      <c r="J498" s="60">
        <v>441.0</v>
      </c>
      <c r="K498" s="308">
        <f t="shared" si="220"/>
        <v>1270.5</v>
      </c>
      <c r="L498" s="301">
        <f>H498*2</f>
        <v>36.3</v>
      </c>
      <c r="M498" s="312"/>
      <c r="N498" s="313"/>
      <c r="O498" s="312"/>
      <c r="P498" s="314"/>
      <c r="Q498" s="314"/>
      <c r="R498" s="314"/>
      <c r="S498" s="398" t="s">
        <v>1055</v>
      </c>
      <c r="T498" s="6"/>
      <c r="U498" s="6"/>
      <c r="V498" s="6"/>
      <c r="W498" s="6"/>
    </row>
    <row r="499" ht="12.0" customHeight="1">
      <c r="A499" s="14"/>
      <c r="B499" s="212"/>
      <c r="C499" s="212"/>
      <c r="D499" s="106" t="s">
        <v>1056</v>
      </c>
      <c r="E499" s="244" t="s">
        <v>308</v>
      </c>
      <c r="F499" s="9">
        <v>70.0</v>
      </c>
      <c r="G499" s="9"/>
      <c r="H499" s="345">
        <f t="shared" ref="H499:H502" si="228">(P499-R499)</f>
        <v>33.5412</v>
      </c>
      <c r="I499" s="9" t="s">
        <v>119</v>
      </c>
      <c r="J499" s="59" t="s">
        <v>795</v>
      </c>
      <c r="K499" s="306">
        <f t="shared" si="220"/>
        <v>2347.884</v>
      </c>
      <c r="L499" s="301">
        <f>H499*1.9</f>
        <v>63.72828</v>
      </c>
      <c r="M499" s="326">
        <v>44.0</v>
      </c>
      <c r="N499" s="326">
        <v>0.21</v>
      </c>
      <c r="O499" s="326">
        <f t="shared" ref="O499:O502" si="229">M499*N499</f>
        <v>9.24</v>
      </c>
      <c r="P499" s="326">
        <f t="shared" ref="P499:P502" si="230">SUM(M499+O499)</f>
        <v>53.24</v>
      </c>
      <c r="Q499" s="326">
        <v>0.37</v>
      </c>
      <c r="R499" s="326">
        <f t="shared" ref="R499:R502" si="231">P499*Q499</f>
        <v>19.6988</v>
      </c>
      <c r="S499" s="353" t="s">
        <v>1057</v>
      </c>
      <c r="T499" s="6"/>
      <c r="U499" s="6"/>
      <c r="V499" s="6"/>
      <c r="W499" s="6"/>
    </row>
    <row r="500" ht="12.0" customHeight="1">
      <c r="A500" s="14"/>
      <c r="B500" s="212"/>
      <c r="C500" s="212"/>
      <c r="D500" s="245" t="s">
        <v>1058</v>
      </c>
      <c r="E500" s="243" t="s">
        <v>308</v>
      </c>
      <c r="F500" s="14">
        <v>25.0</v>
      </c>
      <c r="G500" s="14"/>
      <c r="H500" s="365">
        <f t="shared" si="228"/>
        <v>48.0249</v>
      </c>
      <c r="I500" s="14" t="s">
        <v>119</v>
      </c>
      <c r="J500" s="60" t="s">
        <v>797</v>
      </c>
      <c r="K500" s="308">
        <f t="shared" si="220"/>
        <v>1200.6225</v>
      </c>
      <c r="L500" s="301">
        <f>H500*1.8</f>
        <v>86.44482</v>
      </c>
      <c r="M500" s="314">
        <v>63.0</v>
      </c>
      <c r="N500" s="314">
        <v>0.21</v>
      </c>
      <c r="O500" s="314">
        <f t="shared" si="229"/>
        <v>13.23</v>
      </c>
      <c r="P500" s="314">
        <f t="shared" si="230"/>
        <v>76.23</v>
      </c>
      <c r="Q500" s="314">
        <v>0.37</v>
      </c>
      <c r="R500" s="314">
        <f t="shared" si="231"/>
        <v>28.2051</v>
      </c>
      <c r="S500" s="6"/>
      <c r="T500" s="6"/>
      <c r="U500" s="6"/>
      <c r="V500" s="6"/>
      <c r="W500" s="6"/>
    </row>
    <row r="501" ht="12.0" customHeight="1">
      <c r="A501" s="14"/>
      <c r="B501" s="212"/>
      <c r="C501" s="212"/>
      <c r="D501" s="106" t="s">
        <v>1059</v>
      </c>
      <c r="E501" s="244" t="s">
        <v>799</v>
      </c>
      <c r="F501" s="9">
        <v>15.0</v>
      </c>
      <c r="G501" s="9" t="s">
        <v>763</v>
      </c>
      <c r="H501" s="345">
        <f t="shared" si="228"/>
        <v>56.4102</v>
      </c>
      <c r="I501" s="9" t="s">
        <v>119</v>
      </c>
      <c r="J501" s="59" t="s">
        <v>800</v>
      </c>
      <c r="K501" s="306">
        <f t="shared" si="220"/>
        <v>846.153</v>
      </c>
      <c r="L501" s="301">
        <f>H501*1.9</f>
        <v>107.17938</v>
      </c>
      <c r="M501" s="326">
        <v>74.0</v>
      </c>
      <c r="N501" s="326">
        <v>0.21</v>
      </c>
      <c r="O501" s="326">
        <f t="shared" si="229"/>
        <v>15.54</v>
      </c>
      <c r="P501" s="326">
        <f t="shared" si="230"/>
        <v>89.54</v>
      </c>
      <c r="Q501" s="326">
        <v>0.37</v>
      </c>
      <c r="R501" s="326">
        <f t="shared" si="231"/>
        <v>33.1298</v>
      </c>
      <c r="S501" s="6"/>
      <c r="T501" s="6"/>
      <c r="U501" s="6"/>
      <c r="V501" s="6"/>
      <c r="W501" s="6"/>
    </row>
    <row r="502" ht="12.0" customHeight="1">
      <c r="A502" s="14"/>
      <c r="B502" s="212"/>
      <c r="C502" s="16"/>
      <c r="D502" s="248" t="s">
        <v>1060</v>
      </c>
      <c r="E502" s="249" t="s">
        <v>308</v>
      </c>
      <c r="F502" s="157">
        <v>18.0</v>
      </c>
      <c r="G502" s="157"/>
      <c r="H502" s="365">
        <f t="shared" si="228"/>
        <v>157.7961</v>
      </c>
      <c r="I502" s="433" t="s">
        <v>119</v>
      </c>
      <c r="J502" s="60" t="s">
        <v>802</v>
      </c>
      <c r="K502" s="434">
        <f t="shared" si="220"/>
        <v>2840.3298</v>
      </c>
      <c r="L502" s="435">
        <f>H502*1.7</f>
        <v>268.25337</v>
      </c>
      <c r="M502" s="312">
        <v>207.0</v>
      </c>
      <c r="N502" s="312">
        <v>0.21</v>
      </c>
      <c r="O502" s="312">
        <f t="shared" si="229"/>
        <v>43.47</v>
      </c>
      <c r="P502" s="312">
        <f t="shared" si="230"/>
        <v>250.47</v>
      </c>
      <c r="Q502" s="312">
        <v>0.37</v>
      </c>
      <c r="R502" s="312">
        <f t="shared" si="231"/>
        <v>92.6739</v>
      </c>
      <c r="S502" s="350" t="s">
        <v>1061</v>
      </c>
      <c r="T502" s="6"/>
      <c r="U502" s="6"/>
      <c r="V502" s="6"/>
      <c r="W502" s="6"/>
    </row>
    <row r="503" ht="12.0" customHeight="1">
      <c r="A503" s="14"/>
      <c r="B503" s="212"/>
      <c r="C503" s="212"/>
      <c r="D503" s="102" t="s">
        <v>1062</v>
      </c>
      <c r="E503" s="251" t="s">
        <v>308</v>
      </c>
      <c r="F503" s="27">
        <v>0.0</v>
      </c>
      <c r="G503" s="27" t="s">
        <v>804</v>
      </c>
      <c r="H503" s="315">
        <f t="shared" ref="H503:H504" si="232">SUM(M503+O503)</f>
        <v>29.04</v>
      </c>
      <c r="I503" s="27" t="s">
        <v>17</v>
      </c>
      <c r="J503" s="103">
        <v>491.0</v>
      </c>
      <c r="K503" s="316">
        <f t="shared" si="220"/>
        <v>0</v>
      </c>
      <c r="L503" s="436">
        <f>H503*2.1</f>
        <v>60.984</v>
      </c>
      <c r="M503" s="331">
        <v>24.0</v>
      </c>
      <c r="N503" s="332">
        <v>0.21</v>
      </c>
      <c r="O503" s="331">
        <f t="shared" ref="O503:O504" si="233">SUM(M503*N503)</f>
        <v>5.04</v>
      </c>
      <c r="P503" s="326"/>
      <c r="Q503" s="9"/>
      <c r="R503" s="9"/>
      <c r="S503" s="6"/>
      <c r="T503" s="6"/>
      <c r="U503" s="6"/>
      <c r="V503" s="6"/>
      <c r="W503" s="6"/>
    </row>
    <row r="504" ht="12.0" customHeight="1">
      <c r="A504" s="14"/>
      <c r="B504" s="212"/>
      <c r="C504" s="212"/>
      <c r="D504" s="245" t="s">
        <v>805</v>
      </c>
      <c r="E504" s="157" t="s">
        <v>308</v>
      </c>
      <c r="F504" s="157">
        <v>6.0</v>
      </c>
      <c r="G504" s="157"/>
      <c r="H504" s="365">
        <f t="shared" si="232"/>
        <v>290.4</v>
      </c>
      <c r="I504" s="157" t="s">
        <v>17</v>
      </c>
      <c r="J504" s="157">
        <v>501.0</v>
      </c>
      <c r="K504" s="308">
        <f t="shared" si="220"/>
        <v>1742.4</v>
      </c>
      <c r="L504" s="301">
        <f>H504*1.8</f>
        <v>522.72</v>
      </c>
      <c r="M504" s="312">
        <v>240.0</v>
      </c>
      <c r="N504" s="313">
        <v>0.21</v>
      </c>
      <c r="O504" s="312">
        <f t="shared" si="233"/>
        <v>50.4</v>
      </c>
      <c r="P504" s="314"/>
      <c r="Q504" s="14"/>
      <c r="R504" s="14"/>
      <c r="S504" s="321" t="s">
        <v>1063</v>
      </c>
      <c r="T504" s="6"/>
      <c r="U504" s="6"/>
      <c r="V504" s="6"/>
      <c r="W504" s="6"/>
    </row>
    <row r="505" ht="12.0" customHeight="1">
      <c r="A505" s="14"/>
      <c r="B505" s="212"/>
      <c r="C505" s="212"/>
      <c r="D505" s="106" t="s">
        <v>1064</v>
      </c>
      <c r="E505" s="252" t="s">
        <v>308</v>
      </c>
      <c r="F505" s="33">
        <v>20.0</v>
      </c>
      <c r="G505" s="32"/>
      <c r="H505" s="305">
        <f>SUM(2*H496)</f>
        <v>36.3</v>
      </c>
      <c r="I505" s="32" t="s">
        <v>17</v>
      </c>
      <c r="J505" s="59">
        <v>691.0</v>
      </c>
      <c r="K505" s="306">
        <f t="shared" si="220"/>
        <v>726</v>
      </c>
      <c r="L505" s="301">
        <f>H505*2.1</f>
        <v>76.23</v>
      </c>
      <c r="M505" s="310"/>
      <c r="N505" s="311"/>
      <c r="O505" s="310"/>
      <c r="P505" s="326"/>
      <c r="Q505" s="326"/>
      <c r="R505" s="326"/>
      <c r="S505" s="321" t="s">
        <v>1065</v>
      </c>
      <c r="T505" s="6"/>
      <c r="U505" s="6"/>
      <c r="V505" s="6"/>
      <c r="W505" s="6"/>
    </row>
    <row r="506" ht="12.0" customHeight="1">
      <c r="A506" s="14"/>
      <c r="B506" s="212"/>
      <c r="C506" s="212"/>
      <c r="D506" s="245" t="s">
        <v>1066</v>
      </c>
      <c r="E506" s="243" t="s">
        <v>308</v>
      </c>
      <c r="F506" s="14">
        <v>21.0</v>
      </c>
      <c r="G506" s="14" t="s">
        <v>804</v>
      </c>
      <c r="H506" s="307">
        <f>SUM(2.1*H496)</f>
        <v>38.115</v>
      </c>
      <c r="I506" s="14" t="s">
        <v>17</v>
      </c>
      <c r="J506" s="418">
        <v>701.0</v>
      </c>
      <c r="K506" s="308">
        <f t="shared" si="220"/>
        <v>800.415</v>
      </c>
      <c r="L506" s="301">
        <f t="shared" ref="L506:L507" si="234">H506*2.2</f>
        <v>83.853</v>
      </c>
      <c r="M506" s="312"/>
      <c r="N506" s="313"/>
      <c r="O506" s="312"/>
      <c r="P506" s="314"/>
      <c r="Q506" s="314"/>
      <c r="R506" s="314"/>
      <c r="S506" s="6"/>
      <c r="T506" s="6"/>
      <c r="U506" s="6"/>
      <c r="V506" s="6"/>
      <c r="W506" s="6"/>
    </row>
    <row r="507" ht="12.0" customHeight="1">
      <c r="A507" s="14"/>
      <c r="B507" s="212"/>
      <c r="C507" s="212"/>
      <c r="D507" s="106" t="s">
        <v>1067</v>
      </c>
      <c r="E507" s="244" t="s">
        <v>308</v>
      </c>
      <c r="F507" s="9">
        <v>21.0</v>
      </c>
      <c r="G507" s="9" t="s">
        <v>804</v>
      </c>
      <c r="H507" s="305">
        <f>SUM(3.7*H496)</f>
        <v>67.155</v>
      </c>
      <c r="I507" s="9" t="s">
        <v>17</v>
      </c>
      <c r="J507" s="432">
        <v>711.0</v>
      </c>
      <c r="K507" s="306">
        <f t="shared" si="220"/>
        <v>1410.255</v>
      </c>
      <c r="L507" s="301">
        <f t="shared" si="234"/>
        <v>147.741</v>
      </c>
      <c r="M507" s="310"/>
      <c r="N507" s="311"/>
      <c r="O507" s="310"/>
      <c r="P507" s="326"/>
      <c r="Q507" s="326"/>
      <c r="R507" s="326"/>
      <c r="S507" s="321" t="s">
        <v>1068</v>
      </c>
      <c r="T507" s="6"/>
      <c r="U507" s="6"/>
      <c r="V507" s="6"/>
      <c r="W507" s="6"/>
    </row>
    <row r="508" ht="12.0" customHeight="1">
      <c r="A508" s="14"/>
      <c r="B508" s="212"/>
      <c r="C508" s="212"/>
      <c r="D508" s="245" t="s">
        <v>1069</v>
      </c>
      <c r="E508" s="243" t="s">
        <v>308</v>
      </c>
      <c r="F508" s="14">
        <v>22.0</v>
      </c>
      <c r="G508" s="14" t="s">
        <v>804</v>
      </c>
      <c r="H508" s="307">
        <f>SUM(4.4*H496)</f>
        <v>79.86</v>
      </c>
      <c r="I508" s="14" t="s">
        <v>17</v>
      </c>
      <c r="J508" s="418">
        <v>721.0</v>
      </c>
      <c r="K508" s="308">
        <f t="shared" si="220"/>
        <v>1756.92</v>
      </c>
      <c r="L508" s="301">
        <f t="shared" ref="L508:L509" si="235">H508*2.1</f>
        <v>167.706</v>
      </c>
      <c r="M508" s="312"/>
      <c r="N508" s="313"/>
      <c r="O508" s="312"/>
      <c r="P508" s="314"/>
      <c r="Q508" s="314"/>
      <c r="R508" s="314"/>
      <c r="S508" s="6"/>
      <c r="T508" s="6"/>
      <c r="U508" s="6"/>
      <c r="V508" s="6"/>
      <c r="W508" s="6"/>
    </row>
    <row r="509" ht="12.0" customHeight="1">
      <c r="A509" s="14"/>
      <c r="B509" s="212"/>
      <c r="C509" s="212"/>
      <c r="D509" s="106" t="s">
        <v>1070</v>
      </c>
      <c r="E509" s="244" t="s">
        <v>308</v>
      </c>
      <c r="F509" s="9">
        <v>20.0</v>
      </c>
      <c r="G509" s="9" t="s">
        <v>804</v>
      </c>
      <c r="H509" s="305">
        <f>SUM(4.8*H496)</f>
        <v>87.12</v>
      </c>
      <c r="I509" s="9" t="s">
        <v>17</v>
      </c>
      <c r="J509" s="432">
        <v>731.0</v>
      </c>
      <c r="K509" s="306">
        <f t="shared" si="220"/>
        <v>1742.4</v>
      </c>
      <c r="L509" s="301">
        <f t="shared" si="235"/>
        <v>182.952</v>
      </c>
      <c r="M509" s="310"/>
      <c r="N509" s="311"/>
      <c r="O509" s="310"/>
      <c r="P509" s="326"/>
      <c r="Q509" s="326"/>
      <c r="R509" s="326"/>
      <c r="S509" s="353" t="s">
        <v>1071</v>
      </c>
      <c r="T509" s="6"/>
      <c r="U509" s="6"/>
      <c r="V509" s="6"/>
      <c r="W509" s="6"/>
    </row>
    <row r="510" ht="12.0" customHeight="1">
      <c r="A510" s="14"/>
      <c r="B510" s="212"/>
      <c r="C510" s="212"/>
      <c r="D510" s="245" t="s">
        <v>1072</v>
      </c>
      <c r="E510" s="243" t="s">
        <v>308</v>
      </c>
      <c r="F510" s="14">
        <v>5.0</v>
      </c>
      <c r="G510" s="14"/>
      <c r="H510" s="307">
        <f>SUM(6.25*H496)</f>
        <v>113.4375</v>
      </c>
      <c r="I510" s="437" t="s">
        <v>119</v>
      </c>
      <c r="J510" s="60" t="s">
        <v>812</v>
      </c>
      <c r="K510" s="308">
        <f t="shared" si="220"/>
        <v>567.1875</v>
      </c>
      <c r="L510" s="301">
        <f>H510*1.9</f>
        <v>215.53125</v>
      </c>
      <c r="M510" s="314"/>
      <c r="N510" s="314"/>
      <c r="O510" s="314"/>
      <c r="P510" s="314"/>
      <c r="Q510" s="314"/>
      <c r="R510" s="314"/>
      <c r="S510" s="353" t="s">
        <v>1073</v>
      </c>
      <c r="T510" s="6"/>
      <c r="U510" s="6"/>
      <c r="V510" s="6"/>
      <c r="W510" s="6"/>
    </row>
    <row r="511" ht="12.0" customHeight="1">
      <c r="A511" s="14"/>
      <c r="B511" s="212"/>
      <c r="C511" s="212"/>
      <c r="D511" s="129" t="s">
        <v>1074</v>
      </c>
      <c r="E511" s="244" t="s">
        <v>308</v>
      </c>
      <c r="F511" s="9">
        <v>7.0</v>
      </c>
      <c r="G511" s="9"/>
      <c r="H511" s="345">
        <f t="shared" ref="H511:H514" si="236">(P511-R511)</f>
        <v>269.8542</v>
      </c>
      <c r="I511" s="438" t="s">
        <v>119</v>
      </c>
      <c r="J511" s="59" t="s">
        <v>814</v>
      </c>
      <c r="K511" s="306">
        <f t="shared" si="220"/>
        <v>1888.9794</v>
      </c>
      <c r="L511" s="301">
        <f>H511*1.8</f>
        <v>485.73756</v>
      </c>
      <c r="M511" s="326">
        <v>354.0</v>
      </c>
      <c r="N511" s="326">
        <v>0.21</v>
      </c>
      <c r="O511" s="326">
        <f t="shared" ref="O511:O514" si="237">M511*N511</f>
        <v>74.34</v>
      </c>
      <c r="P511" s="326">
        <f t="shared" ref="P511:P514" si="238">SUM(M511+O511)</f>
        <v>428.34</v>
      </c>
      <c r="Q511" s="326">
        <v>0.37</v>
      </c>
      <c r="R511" s="326">
        <f t="shared" ref="R511:R514" si="239">P511*Q511</f>
        <v>158.4858</v>
      </c>
      <c r="S511" s="350" t="s">
        <v>1075</v>
      </c>
      <c r="T511" s="6"/>
      <c r="U511" s="6"/>
      <c r="V511" s="6"/>
      <c r="W511" s="6"/>
    </row>
    <row r="512" ht="12.0" customHeight="1">
      <c r="A512" s="14"/>
      <c r="B512" s="212"/>
      <c r="C512" s="212"/>
      <c r="D512" s="245" t="s">
        <v>1076</v>
      </c>
      <c r="E512" s="243" t="s">
        <v>799</v>
      </c>
      <c r="F512" s="14">
        <v>20.0</v>
      </c>
      <c r="G512" s="14"/>
      <c r="H512" s="365">
        <f t="shared" si="236"/>
        <v>33.5412</v>
      </c>
      <c r="I512" s="14" t="s">
        <v>119</v>
      </c>
      <c r="J512" s="60" t="s">
        <v>1077</v>
      </c>
      <c r="K512" s="308">
        <f t="shared" si="220"/>
        <v>670.824</v>
      </c>
      <c r="L512" s="301">
        <f>H512*1.9</f>
        <v>63.72828</v>
      </c>
      <c r="M512" s="314">
        <v>44.0</v>
      </c>
      <c r="N512" s="314">
        <v>0.21</v>
      </c>
      <c r="O512" s="314">
        <f t="shared" si="237"/>
        <v>9.24</v>
      </c>
      <c r="P512" s="314">
        <f t="shared" si="238"/>
        <v>53.24</v>
      </c>
      <c r="Q512" s="314">
        <v>0.37</v>
      </c>
      <c r="R512" s="314">
        <f t="shared" si="239"/>
        <v>19.6988</v>
      </c>
      <c r="S512" s="6"/>
      <c r="T512" s="6"/>
      <c r="U512" s="6"/>
      <c r="V512" s="6"/>
      <c r="W512" s="6"/>
    </row>
    <row r="513" ht="12.0" customHeight="1">
      <c r="A513" s="14"/>
      <c r="B513" s="212"/>
      <c r="C513" s="212"/>
      <c r="D513" s="106" t="s">
        <v>816</v>
      </c>
      <c r="E513" s="244" t="s">
        <v>308</v>
      </c>
      <c r="F513" s="9">
        <v>2.0</v>
      </c>
      <c r="G513" s="9"/>
      <c r="H513" s="345">
        <f t="shared" si="236"/>
        <v>173.8044</v>
      </c>
      <c r="I513" s="9" t="s">
        <v>119</v>
      </c>
      <c r="J513" s="34" t="s">
        <v>817</v>
      </c>
      <c r="K513" s="306">
        <f t="shared" si="220"/>
        <v>347.6088</v>
      </c>
      <c r="L513" s="301">
        <f>H513*1.75</f>
        <v>304.1577</v>
      </c>
      <c r="M513" s="326">
        <v>228.0</v>
      </c>
      <c r="N513" s="326">
        <v>0.21</v>
      </c>
      <c r="O513" s="326">
        <f t="shared" si="237"/>
        <v>47.88</v>
      </c>
      <c r="P513" s="326">
        <f t="shared" si="238"/>
        <v>275.88</v>
      </c>
      <c r="Q513" s="326">
        <v>0.37</v>
      </c>
      <c r="R513" s="326">
        <f t="shared" si="239"/>
        <v>102.0756</v>
      </c>
      <c r="S513" s="6"/>
      <c r="T513" s="6"/>
      <c r="U513" s="6"/>
      <c r="V513" s="6"/>
      <c r="W513" s="6"/>
    </row>
    <row r="514" ht="12.0" customHeight="1">
      <c r="A514" s="14"/>
      <c r="B514" s="212"/>
      <c r="C514" s="212"/>
      <c r="D514" s="256" t="s">
        <v>818</v>
      </c>
      <c r="E514" s="21" t="s">
        <v>308</v>
      </c>
      <c r="F514" s="14">
        <v>30.0</v>
      </c>
      <c r="G514" s="14"/>
      <c r="H514" s="365">
        <f t="shared" si="236"/>
        <v>45.738</v>
      </c>
      <c r="I514" s="14" t="s">
        <v>119</v>
      </c>
      <c r="J514" s="22" t="s">
        <v>819</v>
      </c>
      <c r="K514" s="308">
        <f t="shared" si="220"/>
        <v>1372.14</v>
      </c>
      <c r="L514" s="301">
        <f>H514*1.7</f>
        <v>77.7546</v>
      </c>
      <c r="M514" s="314">
        <v>60.0</v>
      </c>
      <c r="N514" s="314">
        <v>0.21</v>
      </c>
      <c r="O514" s="314">
        <f t="shared" si="237"/>
        <v>12.6</v>
      </c>
      <c r="P514" s="314">
        <f t="shared" si="238"/>
        <v>72.6</v>
      </c>
      <c r="Q514" s="314">
        <v>0.37</v>
      </c>
      <c r="R514" s="314">
        <f t="shared" si="239"/>
        <v>26.862</v>
      </c>
      <c r="S514" s="350" t="s">
        <v>1078</v>
      </c>
      <c r="T514" s="6"/>
      <c r="U514" s="6"/>
      <c r="V514" s="6"/>
      <c r="W514" s="6"/>
    </row>
    <row r="515" ht="12.0" customHeight="1">
      <c r="A515" s="14"/>
      <c r="B515" s="212"/>
      <c r="C515" s="212"/>
      <c r="D515" s="256" t="s">
        <v>820</v>
      </c>
      <c r="E515" s="21" t="s">
        <v>308</v>
      </c>
      <c r="F515" s="14">
        <v>6.0</v>
      </c>
      <c r="G515" s="14"/>
      <c r="H515" s="365">
        <v>65.0</v>
      </c>
      <c r="I515" s="14" t="s">
        <v>576</v>
      </c>
      <c r="J515" s="22" t="s">
        <v>821</v>
      </c>
      <c r="K515" s="308">
        <f t="shared" si="220"/>
        <v>390</v>
      </c>
      <c r="L515" s="301">
        <f>H515*1.8</f>
        <v>117</v>
      </c>
      <c r="M515" s="314"/>
      <c r="N515" s="314"/>
      <c r="O515" s="314"/>
      <c r="P515" s="314"/>
      <c r="Q515" s="314"/>
      <c r="R515" s="314"/>
      <c r="S515" s="6"/>
      <c r="T515" s="6"/>
      <c r="U515" s="6"/>
      <c r="V515" s="6"/>
      <c r="W515" s="6"/>
    </row>
    <row r="516" ht="12.0" customHeight="1">
      <c r="A516" s="14"/>
      <c r="B516" s="212"/>
      <c r="C516" s="212"/>
      <c r="D516" s="257" t="s">
        <v>822</v>
      </c>
      <c r="E516" s="258" t="s">
        <v>823</v>
      </c>
      <c r="F516" s="9">
        <v>30.0</v>
      </c>
      <c r="G516" s="9"/>
      <c r="H516" s="345">
        <f>(P516-R516)</f>
        <v>43.4511</v>
      </c>
      <c r="I516" s="9" t="s">
        <v>119</v>
      </c>
      <c r="J516" s="362" t="s">
        <v>1079</v>
      </c>
      <c r="K516" s="306">
        <f t="shared" si="220"/>
        <v>1303.533</v>
      </c>
      <c r="L516" s="301">
        <f>H516*1.7</f>
        <v>73.86687</v>
      </c>
      <c r="M516" s="326">
        <v>57.0</v>
      </c>
      <c r="N516" s="326">
        <v>0.21</v>
      </c>
      <c r="O516" s="326">
        <f>M516*N516</f>
        <v>11.97</v>
      </c>
      <c r="P516" s="326">
        <f>SUM(M516+O516)</f>
        <v>68.97</v>
      </c>
      <c r="Q516" s="326">
        <v>0.37</v>
      </c>
      <c r="R516" s="326">
        <f>P516*Q516</f>
        <v>25.5189</v>
      </c>
      <c r="S516" s="321"/>
      <c r="T516" s="6"/>
      <c r="U516" s="6"/>
      <c r="V516" s="6"/>
      <c r="W516" s="6"/>
    </row>
    <row r="517" ht="12.0" customHeight="1">
      <c r="A517" s="14"/>
      <c r="B517" s="212"/>
      <c r="C517" s="212"/>
      <c r="D517" s="257" t="s">
        <v>824</v>
      </c>
      <c r="E517" s="258" t="s">
        <v>823</v>
      </c>
      <c r="F517" s="9">
        <v>10.0</v>
      </c>
      <c r="G517" s="9"/>
      <c r="H517" s="345">
        <v>110.0</v>
      </c>
      <c r="I517" s="9" t="s">
        <v>576</v>
      </c>
      <c r="J517" s="362" t="s">
        <v>1080</v>
      </c>
      <c r="K517" s="306">
        <f t="shared" si="220"/>
        <v>1100</v>
      </c>
      <c r="L517" s="301">
        <f>H517*1.6</f>
        <v>176</v>
      </c>
      <c r="M517" s="326"/>
      <c r="N517" s="326"/>
      <c r="O517" s="326"/>
      <c r="P517" s="326"/>
      <c r="Q517" s="326"/>
      <c r="R517" s="326"/>
      <c r="S517" s="321"/>
      <c r="T517" s="6"/>
      <c r="U517" s="6"/>
      <c r="V517" s="6"/>
      <c r="W517" s="6"/>
    </row>
    <row r="518" ht="12.0" customHeight="1">
      <c r="A518" s="14"/>
      <c r="B518" s="212"/>
      <c r="C518" s="212"/>
      <c r="D518" s="259" t="s">
        <v>825</v>
      </c>
      <c r="E518" s="260" t="s">
        <v>826</v>
      </c>
      <c r="F518" s="14">
        <v>55.0</v>
      </c>
      <c r="G518" s="14" t="s">
        <v>804</v>
      </c>
      <c r="H518" s="307">
        <f>SUM(1.7*H496)</f>
        <v>30.855</v>
      </c>
      <c r="I518" s="14" t="s">
        <v>17</v>
      </c>
      <c r="J518" s="51">
        <v>422.0</v>
      </c>
      <c r="K518" s="308">
        <f t="shared" si="220"/>
        <v>1697.025</v>
      </c>
      <c r="L518" s="301">
        <f>H518*2.1</f>
        <v>64.7955</v>
      </c>
      <c r="M518" s="312"/>
      <c r="N518" s="313"/>
      <c r="O518" s="312"/>
      <c r="P518" s="314"/>
      <c r="Q518" s="314"/>
      <c r="R518" s="314"/>
      <c r="S518" s="321" t="s">
        <v>1081</v>
      </c>
      <c r="T518" s="6"/>
      <c r="U518" s="6"/>
      <c r="V518" s="6"/>
      <c r="W518" s="6"/>
    </row>
    <row r="519" ht="12.0" customHeight="1">
      <c r="A519" s="14"/>
      <c r="B519" s="212"/>
      <c r="C519" s="212"/>
      <c r="D519" s="257" t="s">
        <v>825</v>
      </c>
      <c r="E519" s="258" t="s">
        <v>827</v>
      </c>
      <c r="F519" s="9">
        <v>20.0</v>
      </c>
      <c r="G519" s="9" t="s">
        <v>804</v>
      </c>
      <c r="H519" s="305">
        <f>SUM(2.3*H496)</f>
        <v>41.745</v>
      </c>
      <c r="I519" s="9" t="s">
        <v>17</v>
      </c>
      <c r="J519" s="24">
        <v>423.0</v>
      </c>
      <c r="K519" s="306">
        <f t="shared" si="220"/>
        <v>834.9</v>
      </c>
      <c r="L519" s="301">
        <f t="shared" ref="L519:L520" si="240">H519*2</f>
        <v>83.49</v>
      </c>
      <c r="M519" s="310"/>
      <c r="N519" s="311"/>
      <c r="O519" s="310"/>
      <c r="P519" s="326"/>
      <c r="Q519" s="326"/>
      <c r="R519" s="326"/>
      <c r="S519" s="321" t="s">
        <v>1082</v>
      </c>
      <c r="T519" s="6"/>
      <c r="U519" s="6"/>
      <c r="V519" s="6"/>
      <c r="W519" s="6"/>
    </row>
    <row r="520" ht="12.0" customHeight="1">
      <c r="A520" s="14"/>
      <c r="B520" s="212"/>
      <c r="C520" s="212"/>
      <c r="D520" s="259" t="s">
        <v>828</v>
      </c>
      <c r="E520" s="260" t="s">
        <v>826</v>
      </c>
      <c r="F520" s="14">
        <v>40.0</v>
      </c>
      <c r="G520" s="14" t="s">
        <v>804</v>
      </c>
      <c r="H520" s="307">
        <f>SUM(1.7*H496)</f>
        <v>30.855</v>
      </c>
      <c r="I520" s="14" t="s">
        <v>17</v>
      </c>
      <c r="J520" s="51">
        <v>444.0</v>
      </c>
      <c r="K520" s="308">
        <f t="shared" si="220"/>
        <v>1234.2</v>
      </c>
      <c r="L520" s="301">
        <f t="shared" si="240"/>
        <v>61.71</v>
      </c>
      <c r="M520" s="312"/>
      <c r="N520" s="313"/>
      <c r="O520" s="312"/>
      <c r="P520" s="314"/>
      <c r="Q520" s="314"/>
      <c r="R520" s="314"/>
      <c r="S520" s="6"/>
      <c r="T520" s="6"/>
      <c r="U520" s="6"/>
      <c r="V520" s="6"/>
      <c r="W520" s="6"/>
    </row>
    <row r="521" ht="12.0" customHeight="1">
      <c r="A521" s="14"/>
      <c r="B521" s="212"/>
      <c r="C521" s="212"/>
      <c r="D521" s="261" t="s">
        <v>1083</v>
      </c>
      <c r="E521" s="262" t="s">
        <v>309</v>
      </c>
      <c r="F521" s="33">
        <v>100.0</v>
      </c>
      <c r="G521" s="9" t="s">
        <v>804</v>
      </c>
      <c r="H521" s="305">
        <f>SUM(1.25*H496)</f>
        <v>22.6875</v>
      </c>
      <c r="I521" s="9" t="s">
        <v>17</v>
      </c>
      <c r="J521" s="24">
        <v>442.0</v>
      </c>
      <c r="K521" s="310">
        <f>(F521*H521)</f>
        <v>2268.75</v>
      </c>
      <c r="L521" s="301">
        <f>H521*2.1</f>
        <v>47.64375</v>
      </c>
      <c r="M521" s="310"/>
      <c r="N521" s="311"/>
      <c r="O521" s="310"/>
      <c r="P521" s="326"/>
      <c r="Q521" s="326"/>
      <c r="R521" s="326"/>
      <c r="S521" s="6"/>
      <c r="T521" s="6"/>
      <c r="U521" s="6"/>
      <c r="V521" s="6"/>
      <c r="W521" s="6"/>
    </row>
    <row r="522" ht="12.0" customHeight="1">
      <c r="A522" s="14"/>
      <c r="B522" s="212"/>
      <c r="C522" s="212"/>
      <c r="D522" s="259" t="s">
        <v>1084</v>
      </c>
      <c r="E522" s="260" t="s">
        <v>309</v>
      </c>
      <c r="F522" s="14">
        <v>60.0</v>
      </c>
      <c r="G522" s="14" t="s">
        <v>804</v>
      </c>
      <c r="H522" s="307">
        <f>SUM(2.1*H496)</f>
        <v>38.115</v>
      </c>
      <c r="I522" s="14" t="s">
        <v>17</v>
      </c>
      <c r="J522" s="60">
        <v>352.0</v>
      </c>
      <c r="K522" s="308">
        <f t="shared" ref="K522:K541" si="241">H522*F522</f>
        <v>2286.9</v>
      </c>
      <c r="L522" s="301">
        <f t="shared" ref="L522:L523" si="242">H522*2</f>
        <v>76.23</v>
      </c>
      <c r="M522" s="312"/>
      <c r="N522" s="313"/>
      <c r="O522" s="312"/>
      <c r="P522" s="314"/>
      <c r="Q522" s="314"/>
      <c r="R522" s="314"/>
      <c r="S522" s="321" t="s">
        <v>1085</v>
      </c>
      <c r="T522" s="6"/>
      <c r="U522" s="6"/>
      <c r="V522" s="6"/>
      <c r="W522" s="6"/>
    </row>
    <row r="523" ht="12.0" customHeight="1">
      <c r="A523" s="14"/>
      <c r="B523" s="212"/>
      <c r="C523" s="212"/>
      <c r="D523" s="257" t="s">
        <v>1086</v>
      </c>
      <c r="E523" s="258" t="s">
        <v>309</v>
      </c>
      <c r="F523" s="9">
        <v>28.0</v>
      </c>
      <c r="G523" s="9" t="s">
        <v>804</v>
      </c>
      <c r="H523" s="305">
        <f>SUM(2.1*H496)</f>
        <v>38.115</v>
      </c>
      <c r="I523" s="9" t="s">
        <v>17</v>
      </c>
      <c r="J523" s="163">
        <v>372.0</v>
      </c>
      <c r="K523" s="306">
        <f t="shared" si="241"/>
        <v>1067.22</v>
      </c>
      <c r="L523" s="301">
        <f t="shared" si="242"/>
        <v>76.23</v>
      </c>
      <c r="M523" s="310"/>
      <c r="N523" s="311"/>
      <c r="O523" s="310"/>
      <c r="P523" s="326"/>
      <c r="Q523" s="326"/>
      <c r="R523" s="326"/>
      <c r="S523" s="6"/>
      <c r="T523" s="6"/>
      <c r="U523" s="6"/>
      <c r="V523" s="6"/>
      <c r="W523" s="6"/>
    </row>
    <row r="524" ht="12.0" customHeight="1">
      <c r="A524" s="14"/>
      <c r="B524" s="212"/>
      <c r="C524" s="212"/>
      <c r="D524" s="259" t="s">
        <v>832</v>
      </c>
      <c r="E524" s="260" t="s">
        <v>833</v>
      </c>
      <c r="F524" s="14">
        <v>25.0</v>
      </c>
      <c r="G524" s="14"/>
      <c r="H524" s="365">
        <f>(P524-R524)</f>
        <v>93.0006</v>
      </c>
      <c r="I524" s="14" t="s">
        <v>119</v>
      </c>
      <c r="J524" s="60" t="s">
        <v>834</v>
      </c>
      <c r="K524" s="308">
        <f t="shared" si="241"/>
        <v>2325.015</v>
      </c>
      <c r="L524" s="301">
        <f>H524*1.7</f>
        <v>158.10102</v>
      </c>
      <c r="M524" s="314">
        <v>122.0</v>
      </c>
      <c r="N524" s="314">
        <v>0.21</v>
      </c>
      <c r="O524" s="314">
        <f>M524*N524</f>
        <v>25.62</v>
      </c>
      <c r="P524" s="314">
        <f>SUM(M524+O524)</f>
        <v>147.62</v>
      </c>
      <c r="Q524" s="314">
        <v>0.37</v>
      </c>
      <c r="R524" s="314">
        <f>P524*Q524</f>
        <v>54.6194</v>
      </c>
      <c r="S524" s="6"/>
      <c r="T524" s="6"/>
      <c r="U524" s="6"/>
      <c r="V524" s="6"/>
      <c r="W524" s="6"/>
    </row>
    <row r="525" ht="12.0" customHeight="1">
      <c r="A525" s="14"/>
      <c r="B525" s="212"/>
      <c r="C525" s="212"/>
      <c r="D525" s="257" t="s">
        <v>1087</v>
      </c>
      <c r="E525" s="258" t="s">
        <v>309</v>
      </c>
      <c r="F525" s="9">
        <v>33.0</v>
      </c>
      <c r="G525" s="9" t="s">
        <v>804</v>
      </c>
      <c r="H525" s="345">
        <f>SUM(M525+O525)</f>
        <v>78.65</v>
      </c>
      <c r="I525" s="9" t="s">
        <v>17</v>
      </c>
      <c r="J525" s="59">
        <v>382.0</v>
      </c>
      <c r="K525" s="306">
        <f t="shared" si="241"/>
        <v>2595.45</v>
      </c>
      <c r="L525" s="301">
        <f>H525*1.85</f>
        <v>145.5025</v>
      </c>
      <c r="M525" s="310">
        <v>65.0</v>
      </c>
      <c r="N525" s="311">
        <v>0.21</v>
      </c>
      <c r="O525" s="310">
        <f>SUM(M525*N525)</f>
        <v>13.65</v>
      </c>
      <c r="P525" s="326"/>
      <c r="Q525" s="326"/>
      <c r="R525" s="326"/>
      <c r="S525" s="6"/>
      <c r="T525" s="6"/>
      <c r="U525" s="6"/>
      <c r="V525" s="6"/>
      <c r="W525" s="6"/>
    </row>
    <row r="526" ht="12.0" customHeight="1">
      <c r="A526" s="14"/>
      <c r="B526" s="212"/>
      <c r="C526" s="212"/>
      <c r="D526" s="259" t="s">
        <v>836</v>
      </c>
      <c r="E526" s="260" t="s">
        <v>833</v>
      </c>
      <c r="F526" s="14">
        <v>15.0</v>
      </c>
      <c r="G526" s="14"/>
      <c r="H526" s="365">
        <f t="shared" ref="H526:H527" si="243">(P526-R526)</f>
        <v>106.722</v>
      </c>
      <c r="I526" s="14" t="s">
        <v>119</v>
      </c>
      <c r="J526" s="51" t="s">
        <v>837</v>
      </c>
      <c r="K526" s="314">
        <f t="shared" si="241"/>
        <v>1600.83</v>
      </c>
      <c r="L526" s="301">
        <f>H526*1.8</f>
        <v>192.0996</v>
      </c>
      <c r="M526" s="326">
        <v>140.0</v>
      </c>
      <c r="N526" s="326">
        <v>0.21</v>
      </c>
      <c r="O526" s="326">
        <f t="shared" ref="O526:O527" si="244">M526*N526</f>
        <v>29.4</v>
      </c>
      <c r="P526" s="326">
        <f t="shared" ref="P526:P527" si="245">SUM(M526+O526)</f>
        <v>169.4</v>
      </c>
      <c r="Q526" s="326">
        <v>0.37</v>
      </c>
      <c r="R526" s="326">
        <f t="shared" ref="R526:R527" si="246">P526*Q526</f>
        <v>62.678</v>
      </c>
      <c r="S526" s="6"/>
      <c r="T526" s="6"/>
      <c r="U526" s="6"/>
      <c r="V526" s="6"/>
      <c r="W526" s="6"/>
    </row>
    <row r="527" ht="12.0" customHeight="1">
      <c r="A527" s="14"/>
      <c r="B527" s="212"/>
      <c r="C527" s="212"/>
      <c r="D527" s="257" t="s">
        <v>1088</v>
      </c>
      <c r="E527" s="258" t="s">
        <v>309</v>
      </c>
      <c r="F527" s="9">
        <v>40.0</v>
      </c>
      <c r="G527" s="9"/>
      <c r="H527" s="345">
        <f t="shared" si="243"/>
        <v>45.738</v>
      </c>
      <c r="I527" s="9" t="s">
        <v>119</v>
      </c>
      <c r="J527" s="263" t="s">
        <v>839</v>
      </c>
      <c r="K527" s="306">
        <f t="shared" si="241"/>
        <v>1829.52</v>
      </c>
      <c r="L527" s="301">
        <f>H527*1.7</f>
        <v>77.7546</v>
      </c>
      <c r="M527" s="326">
        <v>60.0</v>
      </c>
      <c r="N527" s="326">
        <v>0.21</v>
      </c>
      <c r="O527" s="326">
        <f t="shared" si="244"/>
        <v>12.6</v>
      </c>
      <c r="P527" s="326">
        <f t="shared" si="245"/>
        <v>72.6</v>
      </c>
      <c r="Q527" s="326">
        <v>0.37</v>
      </c>
      <c r="R527" s="326">
        <f t="shared" si="246"/>
        <v>26.862</v>
      </c>
      <c r="S527" s="6"/>
      <c r="T527" s="6"/>
      <c r="U527" s="6"/>
      <c r="V527" s="6"/>
      <c r="W527" s="6"/>
    </row>
    <row r="528" ht="12.0" customHeight="1">
      <c r="A528" s="14"/>
      <c r="B528" s="212"/>
      <c r="C528" s="212"/>
      <c r="D528" s="259" t="s">
        <v>840</v>
      </c>
      <c r="E528" s="260" t="s">
        <v>309</v>
      </c>
      <c r="F528" s="50">
        <v>60.0</v>
      </c>
      <c r="G528" s="14"/>
      <c r="H528" s="307">
        <f>SUM(1.2*H496)</f>
        <v>21.78</v>
      </c>
      <c r="I528" s="14" t="s">
        <v>17</v>
      </c>
      <c r="J528" s="60">
        <v>452.0</v>
      </c>
      <c r="K528" s="308">
        <f t="shared" si="241"/>
        <v>1306.8</v>
      </c>
      <c r="L528" s="301">
        <f>H528*2.7</f>
        <v>58.806</v>
      </c>
      <c r="M528" s="310"/>
      <c r="N528" s="311"/>
      <c r="O528" s="310"/>
      <c r="P528" s="326"/>
      <c r="Q528" s="326"/>
      <c r="R528" s="326"/>
      <c r="S528" s="6"/>
      <c r="T528" s="6"/>
      <c r="U528" s="6"/>
      <c r="V528" s="6"/>
      <c r="W528" s="6"/>
    </row>
    <row r="529" ht="12.0" customHeight="1">
      <c r="A529" s="14"/>
      <c r="B529" s="212"/>
      <c r="C529" s="212"/>
      <c r="D529" s="261" t="s">
        <v>1089</v>
      </c>
      <c r="E529" s="258" t="s">
        <v>309</v>
      </c>
      <c r="F529" s="9">
        <v>30.0</v>
      </c>
      <c r="G529" s="9"/>
      <c r="H529" s="305">
        <f>SUM(1.7*H496)</f>
        <v>30.855</v>
      </c>
      <c r="I529" s="9" t="s">
        <v>17</v>
      </c>
      <c r="J529" s="24">
        <v>462.0</v>
      </c>
      <c r="K529" s="326">
        <f t="shared" si="241"/>
        <v>925.65</v>
      </c>
      <c r="L529" s="301">
        <f>H529*1.95</f>
        <v>60.16725</v>
      </c>
      <c r="M529" s="310"/>
      <c r="N529" s="311"/>
      <c r="O529" s="310"/>
      <c r="P529" s="326"/>
      <c r="Q529" s="326"/>
      <c r="R529" s="326"/>
      <c r="S529" s="6"/>
      <c r="T529" s="6"/>
      <c r="U529" s="6"/>
      <c r="V529" s="6"/>
      <c r="W529" s="6"/>
    </row>
    <row r="530" ht="12.0" customHeight="1">
      <c r="A530" s="14"/>
      <c r="B530" s="212"/>
      <c r="C530" s="212"/>
      <c r="D530" s="102" t="s">
        <v>842</v>
      </c>
      <c r="E530" s="251" t="s">
        <v>309</v>
      </c>
      <c r="F530" s="27">
        <v>0.0</v>
      </c>
      <c r="G530" s="27"/>
      <c r="H530" s="315">
        <f>SUM(M530+O530)</f>
        <v>30.25</v>
      </c>
      <c r="I530" s="27" t="s">
        <v>17</v>
      </c>
      <c r="J530" s="103">
        <v>492.0</v>
      </c>
      <c r="K530" s="331">
        <f t="shared" si="241"/>
        <v>0</v>
      </c>
      <c r="L530" s="317">
        <f>H530*2</f>
        <v>60.5</v>
      </c>
      <c r="M530" s="331">
        <v>25.0</v>
      </c>
      <c r="N530" s="332">
        <v>0.21</v>
      </c>
      <c r="O530" s="331">
        <f>SUM(M530*N530)</f>
        <v>5.25</v>
      </c>
      <c r="P530" s="326"/>
      <c r="Q530" s="9"/>
      <c r="R530" s="9"/>
      <c r="S530" s="350" t="s">
        <v>1075</v>
      </c>
      <c r="T530" s="6"/>
      <c r="U530" s="6"/>
      <c r="V530" s="6"/>
      <c r="W530" s="6"/>
    </row>
    <row r="531" ht="12.0" customHeight="1">
      <c r="A531" s="14"/>
      <c r="B531" s="212"/>
      <c r="C531" s="212"/>
      <c r="D531" s="264" t="s">
        <v>842</v>
      </c>
      <c r="E531" s="260" t="s">
        <v>309</v>
      </c>
      <c r="F531" s="14">
        <v>13.0</v>
      </c>
      <c r="G531" s="14"/>
      <c r="H531" s="365">
        <f>(P531-R531)</f>
        <v>221.8293</v>
      </c>
      <c r="I531" s="14" t="s">
        <v>119</v>
      </c>
      <c r="J531" s="51" t="s">
        <v>843</v>
      </c>
      <c r="K531" s="314">
        <f t="shared" si="241"/>
        <v>2883.7809</v>
      </c>
      <c r="L531" s="301">
        <f>H531*1.7</f>
        <v>377.10981</v>
      </c>
      <c r="M531" s="326">
        <v>291.0</v>
      </c>
      <c r="N531" s="326">
        <v>0.21</v>
      </c>
      <c r="O531" s="326">
        <f>M531*N531</f>
        <v>61.11</v>
      </c>
      <c r="P531" s="326">
        <f>SUM(M531+O531)</f>
        <v>352.11</v>
      </c>
      <c r="Q531" s="326">
        <v>0.37</v>
      </c>
      <c r="R531" s="326">
        <f>P531*Q531</f>
        <v>130.2807</v>
      </c>
      <c r="S531" s="350" t="s">
        <v>1075</v>
      </c>
      <c r="T531" s="6"/>
      <c r="U531" s="6"/>
      <c r="V531" s="6"/>
      <c r="W531" s="6"/>
    </row>
    <row r="532" ht="12.0" customHeight="1">
      <c r="A532" s="14"/>
      <c r="B532" s="212"/>
      <c r="C532" s="212"/>
      <c r="D532" s="261" t="s">
        <v>844</v>
      </c>
      <c r="E532" s="258" t="s">
        <v>309</v>
      </c>
      <c r="F532" s="9">
        <v>6.0</v>
      </c>
      <c r="G532" s="9"/>
      <c r="H532" s="345">
        <f>SUM(M532+O532)</f>
        <v>302.5</v>
      </c>
      <c r="I532" s="9" t="s">
        <v>17</v>
      </c>
      <c r="J532" s="24">
        <v>502.0</v>
      </c>
      <c r="K532" s="326">
        <f t="shared" si="241"/>
        <v>1815</v>
      </c>
      <c r="L532" s="301">
        <f>H532*1.8</f>
        <v>544.5</v>
      </c>
      <c r="M532" s="310">
        <v>250.0</v>
      </c>
      <c r="N532" s="311">
        <v>0.21</v>
      </c>
      <c r="O532" s="310">
        <f>SUM(M532*N532)</f>
        <v>52.5</v>
      </c>
      <c r="P532" s="326"/>
      <c r="Q532" s="326"/>
      <c r="R532" s="326"/>
      <c r="S532" s="321" t="s">
        <v>1090</v>
      </c>
      <c r="T532" s="6"/>
      <c r="U532" s="6"/>
      <c r="V532" s="6"/>
      <c r="W532" s="6"/>
    </row>
    <row r="533" ht="12.0" customHeight="1">
      <c r="A533" s="14"/>
      <c r="B533" s="212"/>
      <c r="C533" s="212"/>
      <c r="D533" s="264" t="s">
        <v>1091</v>
      </c>
      <c r="E533" s="265" t="s">
        <v>309</v>
      </c>
      <c r="F533" s="50">
        <v>7.0</v>
      </c>
      <c r="G533" s="14"/>
      <c r="H533" s="365">
        <f t="shared" ref="H533:H539" si="247">(P533-R533)</f>
        <v>336.1743</v>
      </c>
      <c r="I533" s="14" t="s">
        <v>119</v>
      </c>
      <c r="J533" s="48" t="s">
        <v>846</v>
      </c>
      <c r="K533" s="314">
        <f t="shared" si="241"/>
        <v>2353.2201</v>
      </c>
      <c r="L533" s="301">
        <f t="shared" ref="L533:L538" si="248">H533*1.75</f>
        <v>588.305025</v>
      </c>
      <c r="M533" s="326">
        <v>441.0</v>
      </c>
      <c r="N533" s="326">
        <v>0.21</v>
      </c>
      <c r="O533" s="326">
        <f t="shared" ref="O533:O539" si="249">M533*N533</f>
        <v>92.61</v>
      </c>
      <c r="P533" s="326">
        <f t="shared" ref="P533:P539" si="250">SUM(M533+O533)</f>
        <v>533.61</v>
      </c>
      <c r="Q533" s="326">
        <v>0.37</v>
      </c>
      <c r="R533" s="326">
        <f t="shared" ref="R533:R539" si="251">P533*Q533</f>
        <v>197.4357</v>
      </c>
      <c r="S533" s="350"/>
      <c r="T533" s="6"/>
      <c r="U533" s="6"/>
      <c r="V533" s="6"/>
      <c r="W533" s="6"/>
    </row>
    <row r="534" ht="12.0" customHeight="1">
      <c r="A534" s="14"/>
      <c r="B534" s="212"/>
      <c r="C534" s="212"/>
      <c r="D534" s="261" t="s">
        <v>847</v>
      </c>
      <c r="E534" s="262" t="s">
        <v>309</v>
      </c>
      <c r="F534" s="33">
        <v>20.0</v>
      </c>
      <c r="G534" s="9" t="s">
        <v>763</v>
      </c>
      <c r="H534" s="345">
        <f t="shared" si="247"/>
        <v>44.9757</v>
      </c>
      <c r="I534" s="9" t="s">
        <v>119</v>
      </c>
      <c r="J534" s="24" t="s">
        <v>848</v>
      </c>
      <c r="K534" s="326">
        <f t="shared" si="241"/>
        <v>899.514</v>
      </c>
      <c r="L534" s="301">
        <f t="shared" si="248"/>
        <v>78.707475</v>
      </c>
      <c r="M534" s="326">
        <v>59.0</v>
      </c>
      <c r="N534" s="326">
        <v>0.21</v>
      </c>
      <c r="O534" s="326">
        <f t="shared" si="249"/>
        <v>12.39</v>
      </c>
      <c r="P534" s="326">
        <f t="shared" si="250"/>
        <v>71.39</v>
      </c>
      <c r="Q534" s="326">
        <v>0.37</v>
      </c>
      <c r="R534" s="326">
        <f t="shared" si="251"/>
        <v>26.4143</v>
      </c>
      <c r="S534" s="6"/>
      <c r="T534" s="6"/>
      <c r="U534" s="6"/>
      <c r="V534" s="6"/>
      <c r="W534" s="6"/>
    </row>
    <row r="535" ht="12.0" customHeight="1">
      <c r="A535" s="14"/>
      <c r="B535" s="212"/>
      <c r="C535" s="212"/>
      <c r="D535" s="264" t="s">
        <v>849</v>
      </c>
      <c r="E535" s="265" t="s">
        <v>309</v>
      </c>
      <c r="F535" s="50">
        <v>18.0</v>
      </c>
      <c r="G535" s="14" t="s">
        <v>763</v>
      </c>
      <c r="H535" s="365">
        <f t="shared" si="247"/>
        <v>70.8939</v>
      </c>
      <c r="I535" s="14" t="s">
        <v>119</v>
      </c>
      <c r="J535" s="51" t="s">
        <v>850</v>
      </c>
      <c r="K535" s="314">
        <f t="shared" si="241"/>
        <v>1276.0902</v>
      </c>
      <c r="L535" s="301">
        <f t="shared" si="248"/>
        <v>124.064325</v>
      </c>
      <c r="M535" s="314">
        <v>93.0</v>
      </c>
      <c r="N535" s="314">
        <v>0.21</v>
      </c>
      <c r="O535" s="314">
        <f t="shared" si="249"/>
        <v>19.53</v>
      </c>
      <c r="P535" s="314">
        <f t="shared" si="250"/>
        <v>112.53</v>
      </c>
      <c r="Q535" s="314">
        <v>0.37</v>
      </c>
      <c r="R535" s="314">
        <f t="shared" si="251"/>
        <v>41.6361</v>
      </c>
      <c r="S535" s="6"/>
      <c r="T535" s="6"/>
      <c r="U535" s="6"/>
      <c r="V535" s="6"/>
      <c r="W535" s="6"/>
    </row>
    <row r="536" ht="12.0" customHeight="1">
      <c r="A536" s="14"/>
      <c r="B536" s="212"/>
      <c r="C536" s="212"/>
      <c r="D536" s="261" t="s">
        <v>851</v>
      </c>
      <c r="E536" s="262" t="s">
        <v>309</v>
      </c>
      <c r="F536" s="33">
        <v>20.0</v>
      </c>
      <c r="G536" s="9"/>
      <c r="H536" s="345">
        <f t="shared" si="247"/>
        <v>64.7955</v>
      </c>
      <c r="I536" s="9" t="s">
        <v>119</v>
      </c>
      <c r="J536" s="24" t="s">
        <v>852</v>
      </c>
      <c r="K536" s="326">
        <f t="shared" si="241"/>
        <v>1295.91</v>
      </c>
      <c r="L536" s="301">
        <f t="shared" si="248"/>
        <v>113.392125</v>
      </c>
      <c r="M536" s="326">
        <v>85.0</v>
      </c>
      <c r="N536" s="326">
        <v>0.21</v>
      </c>
      <c r="O536" s="326">
        <f t="shared" si="249"/>
        <v>17.85</v>
      </c>
      <c r="P536" s="326">
        <f t="shared" si="250"/>
        <v>102.85</v>
      </c>
      <c r="Q536" s="326">
        <v>0.37</v>
      </c>
      <c r="R536" s="326">
        <f t="shared" si="251"/>
        <v>38.0545</v>
      </c>
      <c r="S536" s="6"/>
      <c r="T536" s="6"/>
      <c r="U536" s="6"/>
      <c r="V536" s="6"/>
      <c r="W536" s="6"/>
    </row>
    <row r="537" ht="12.0" customHeight="1">
      <c r="A537" s="14"/>
      <c r="B537" s="212"/>
      <c r="C537" s="212"/>
      <c r="D537" s="259" t="s">
        <v>853</v>
      </c>
      <c r="E537" s="265" t="s">
        <v>309</v>
      </c>
      <c r="F537" s="14">
        <v>5.0</v>
      </c>
      <c r="G537" s="14"/>
      <c r="H537" s="365">
        <f t="shared" si="247"/>
        <v>105.9597</v>
      </c>
      <c r="I537" s="437" t="s">
        <v>119</v>
      </c>
      <c r="J537" s="60" t="s">
        <v>854</v>
      </c>
      <c r="K537" s="308">
        <f t="shared" si="241"/>
        <v>529.7985</v>
      </c>
      <c r="L537" s="301">
        <f t="shared" si="248"/>
        <v>185.429475</v>
      </c>
      <c r="M537" s="314">
        <v>139.0</v>
      </c>
      <c r="N537" s="314">
        <v>0.21</v>
      </c>
      <c r="O537" s="314">
        <f t="shared" si="249"/>
        <v>29.19</v>
      </c>
      <c r="P537" s="314">
        <f t="shared" si="250"/>
        <v>168.19</v>
      </c>
      <c r="Q537" s="314">
        <v>0.37</v>
      </c>
      <c r="R537" s="314">
        <f t="shared" si="251"/>
        <v>62.2303</v>
      </c>
      <c r="S537" s="6"/>
      <c r="T537" s="6"/>
      <c r="U537" s="6"/>
      <c r="V537" s="6"/>
      <c r="W537" s="6"/>
    </row>
    <row r="538" ht="12.0" customHeight="1">
      <c r="A538" s="14"/>
      <c r="B538" s="212"/>
      <c r="C538" s="212"/>
      <c r="D538" s="261" t="s">
        <v>816</v>
      </c>
      <c r="E538" s="262" t="s">
        <v>309</v>
      </c>
      <c r="F538" s="33">
        <v>3.0</v>
      </c>
      <c r="G538" s="9"/>
      <c r="H538" s="345">
        <f t="shared" si="247"/>
        <v>312.543</v>
      </c>
      <c r="I538" s="9" t="s">
        <v>119</v>
      </c>
      <c r="J538" s="34" t="s">
        <v>855</v>
      </c>
      <c r="K538" s="326">
        <f t="shared" si="241"/>
        <v>937.629</v>
      </c>
      <c r="L538" s="301">
        <f t="shared" si="248"/>
        <v>546.95025</v>
      </c>
      <c r="M538" s="326">
        <v>410.0</v>
      </c>
      <c r="N538" s="326">
        <v>0.21</v>
      </c>
      <c r="O538" s="326">
        <f t="shared" si="249"/>
        <v>86.1</v>
      </c>
      <c r="P538" s="326">
        <f t="shared" si="250"/>
        <v>496.1</v>
      </c>
      <c r="Q538" s="326">
        <v>0.37</v>
      </c>
      <c r="R538" s="326">
        <f t="shared" si="251"/>
        <v>183.557</v>
      </c>
      <c r="S538" s="6"/>
      <c r="T538" s="6"/>
      <c r="U538" s="6"/>
      <c r="V538" s="6"/>
      <c r="W538" s="6"/>
    </row>
    <row r="539" ht="12.0" customHeight="1">
      <c r="A539" s="14"/>
      <c r="B539" s="212"/>
      <c r="C539" s="212"/>
      <c r="D539" s="259" t="s">
        <v>856</v>
      </c>
      <c r="E539" s="265" t="s">
        <v>309</v>
      </c>
      <c r="F539" s="50">
        <v>20.0</v>
      </c>
      <c r="G539" s="14"/>
      <c r="H539" s="365">
        <f t="shared" si="247"/>
        <v>28.9674</v>
      </c>
      <c r="I539" s="437" t="s">
        <v>119</v>
      </c>
      <c r="J539" s="60" t="s">
        <v>857</v>
      </c>
      <c r="K539" s="308">
        <f t="shared" si="241"/>
        <v>579.348</v>
      </c>
      <c r="L539" s="301">
        <f>H539*1.95</f>
        <v>56.48643</v>
      </c>
      <c r="M539" s="314">
        <v>38.0</v>
      </c>
      <c r="N539" s="314">
        <v>0.21</v>
      </c>
      <c r="O539" s="314">
        <f t="shared" si="249"/>
        <v>7.98</v>
      </c>
      <c r="P539" s="314">
        <f t="shared" si="250"/>
        <v>45.98</v>
      </c>
      <c r="Q539" s="314">
        <v>0.37</v>
      </c>
      <c r="R539" s="314">
        <f t="shared" si="251"/>
        <v>17.0126</v>
      </c>
      <c r="S539" s="6"/>
      <c r="T539" s="6"/>
      <c r="U539" s="6"/>
      <c r="V539" s="6"/>
      <c r="W539" s="6"/>
    </row>
    <row r="540" ht="12.0" customHeight="1">
      <c r="A540" s="14"/>
      <c r="B540" s="212"/>
      <c r="C540" s="212"/>
      <c r="D540" s="241" t="s">
        <v>1092</v>
      </c>
      <c r="E540" s="266" t="s">
        <v>423</v>
      </c>
      <c r="F540" s="33">
        <v>24.0</v>
      </c>
      <c r="G540" s="33" t="s">
        <v>784</v>
      </c>
      <c r="H540" s="345">
        <f t="shared" ref="H540:H541" si="252">SUM(M540+O540)</f>
        <v>47.19</v>
      </c>
      <c r="I540" s="33" t="s">
        <v>17</v>
      </c>
      <c r="J540" s="24">
        <v>433.0</v>
      </c>
      <c r="K540" s="326">
        <f t="shared" si="241"/>
        <v>1132.56</v>
      </c>
      <c r="L540" s="301">
        <f t="shared" ref="L540:L541" si="253">H540*1.9</f>
        <v>89.661</v>
      </c>
      <c r="M540" s="310">
        <v>39.0</v>
      </c>
      <c r="N540" s="311">
        <v>0.21</v>
      </c>
      <c r="O540" s="310">
        <f t="shared" ref="O540:O541" si="254">SUM(M540*N540)</f>
        <v>8.19</v>
      </c>
      <c r="P540" s="326"/>
      <c r="Q540" s="9"/>
      <c r="R540" s="9"/>
      <c r="S540" s="6"/>
      <c r="T540" s="6"/>
      <c r="U540" s="6"/>
      <c r="V540" s="6"/>
      <c r="W540" s="6"/>
    </row>
    <row r="541" ht="12.0" customHeight="1">
      <c r="A541" s="14"/>
      <c r="B541" s="212"/>
      <c r="C541" s="212"/>
      <c r="D541" s="267" t="s">
        <v>859</v>
      </c>
      <c r="E541" s="268" t="s">
        <v>423</v>
      </c>
      <c r="F541" s="160">
        <v>22.0</v>
      </c>
      <c r="G541" s="160" t="s">
        <v>784</v>
      </c>
      <c r="H541" s="365">
        <f t="shared" si="252"/>
        <v>84.7</v>
      </c>
      <c r="I541" s="160" t="s">
        <v>17</v>
      </c>
      <c r="J541" s="373">
        <v>353.0</v>
      </c>
      <c r="K541" s="439">
        <f t="shared" si="241"/>
        <v>1863.4</v>
      </c>
      <c r="L541" s="301">
        <f t="shared" si="253"/>
        <v>160.93</v>
      </c>
      <c r="M541" s="312">
        <v>70.0</v>
      </c>
      <c r="N541" s="313">
        <v>0.21</v>
      </c>
      <c r="O541" s="312">
        <f t="shared" si="254"/>
        <v>14.7</v>
      </c>
      <c r="P541" s="314"/>
      <c r="Q541" s="14"/>
      <c r="R541" s="14"/>
      <c r="S541" s="6"/>
      <c r="T541" s="6"/>
      <c r="U541" s="6"/>
      <c r="V541" s="6"/>
      <c r="W541" s="6"/>
    </row>
    <row r="542" ht="12.0" customHeight="1">
      <c r="A542" s="14"/>
      <c r="B542" s="212"/>
      <c r="C542" s="212"/>
      <c r="D542" s="241" t="s">
        <v>860</v>
      </c>
      <c r="E542" s="266" t="s">
        <v>423</v>
      </c>
      <c r="F542" s="33">
        <v>11.0</v>
      </c>
      <c r="G542" s="33"/>
      <c r="H542" s="345">
        <f t="shared" ref="H542:H544" si="255">(P542-R542)</f>
        <v>163.1322</v>
      </c>
      <c r="I542" s="9" t="s">
        <v>119</v>
      </c>
      <c r="J542" s="24" t="s">
        <v>861</v>
      </c>
      <c r="K542" s="310">
        <f t="shared" ref="K542:K543" si="256">(F542*H542)</f>
        <v>1794.4542</v>
      </c>
      <c r="L542" s="440">
        <f>H542*1.75</f>
        <v>285.48135</v>
      </c>
      <c r="M542" s="326">
        <v>214.0</v>
      </c>
      <c r="N542" s="326">
        <v>0.21</v>
      </c>
      <c r="O542" s="326">
        <f t="shared" ref="O542:O544" si="257">M542*N542</f>
        <v>44.94</v>
      </c>
      <c r="P542" s="326">
        <f t="shared" ref="P542:P544" si="258">SUM(M542+O542)</f>
        <v>258.94</v>
      </c>
      <c r="Q542" s="326">
        <v>0.37</v>
      </c>
      <c r="R542" s="326">
        <f t="shared" ref="R542:R544" si="259">P542*Q542</f>
        <v>95.8078</v>
      </c>
      <c r="S542" s="6"/>
      <c r="T542" s="6"/>
      <c r="U542" s="6"/>
      <c r="V542" s="6"/>
      <c r="W542" s="6"/>
    </row>
    <row r="543" ht="12.0" customHeight="1">
      <c r="A543" s="14"/>
      <c r="B543" s="212"/>
      <c r="C543" s="212"/>
      <c r="D543" s="269" t="s">
        <v>836</v>
      </c>
      <c r="E543" s="266" t="s">
        <v>862</v>
      </c>
      <c r="F543" s="163">
        <v>4.0</v>
      </c>
      <c r="G543" s="33"/>
      <c r="H543" s="345">
        <f t="shared" si="255"/>
        <v>232.5015</v>
      </c>
      <c r="I543" s="9" t="s">
        <v>119</v>
      </c>
      <c r="J543" s="59" t="s">
        <v>1093</v>
      </c>
      <c r="K543" s="310">
        <f t="shared" si="256"/>
        <v>930.006</v>
      </c>
      <c r="L543" s="440">
        <f t="shared" ref="L543:L544" si="260">H543*1.7</f>
        <v>395.25255</v>
      </c>
      <c r="M543" s="326">
        <v>305.0</v>
      </c>
      <c r="N543" s="326">
        <v>0.21</v>
      </c>
      <c r="O543" s="326">
        <f t="shared" si="257"/>
        <v>64.05</v>
      </c>
      <c r="P543" s="326">
        <f t="shared" si="258"/>
        <v>369.05</v>
      </c>
      <c r="Q543" s="326">
        <v>0.37</v>
      </c>
      <c r="R543" s="326">
        <f t="shared" si="259"/>
        <v>136.5485</v>
      </c>
      <c r="S543" s="6"/>
      <c r="T543" s="6"/>
      <c r="U543" s="6"/>
      <c r="V543" s="6"/>
      <c r="W543" s="6"/>
    </row>
    <row r="544" ht="12.0" customHeight="1">
      <c r="A544" s="14"/>
      <c r="B544" s="212"/>
      <c r="C544" s="212"/>
      <c r="D544" s="270" t="s">
        <v>863</v>
      </c>
      <c r="E544" s="271" t="s">
        <v>423</v>
      </c>
      <c r="F544" s="157">
        <v>7.0</v>
      </c>
      <c r="G544" s="14"/>
      <c r="H544" s="365">
        <f t="shared" si="255"/>
        <v>368.1909</v>
      </c>
      <c r="I544" s="437" t="s">
        <v>119</v>
      </c>
      <c r="J544" s="60" t="s">
        <v>864</v>
      </c>
      <c r="K544" s="308">
        <f>H544*F544</f>
        <v>2577.3363</v>
      </c>
      <c r="L544" s="301">
        <f t="shared" si="260"/>
        <v>625.92453</v>
      </c>
      <c r="M544" s="314">
        <v>483.0</v>
      </c>
      <c r="N544" s="314">
        <v>0.21</v>
      </c>
      <c r="O544" s="314">
        <f t="shared" si="257"/>
        <v>101.43</v>
      </c>
      <c r="P544" s="314">
        <f t="shared" si="258"/>
        <v>584.43</v>
      </c>
      <c r="Q544" s="314">
        <v>0.37</v>
      </c>
      <c r="R544" s="314">
        <f t="shared" si="259"/>
        <v>216.2391</v>
      </c>
      <c r="S544" s="6"/>
      <c r="T544" s="6"/>
      <c r="U544" s="6"/>
      <c r="V544" s="6"/>
      <c r="W544" s="6"/>
    </row>
    <row r="545" ht="12.0" customHeight="1">
      <c r="A545" s="14"/>
      <c r="B545" s="212"/>
      <c r="C545" s="212"/>
      <c r="D545" s="273" t="s">
        <v>1094</v>
      </c>
      <c r="E545" s="274" t="s">
        <v>423</v>
      </c>
      <c r="F545" s="163">
        <v>55.0</v>
      </c>
      <c r="G545" s="163"/>
      <c r="H545" s="345">
        <f>SUM(M545+O545)</f>
        <v>31.46</v>
      </c>
      <c r="I545" s="154" t="s">
        <v>17</v>
      </c>
      <c r="J545" s="263">
        <v>443.0</v>
      </c>
      <c r="K545" s="441">
        <f t="shared" ref="K545:K549" si="261">(F545*H545)</f>
        <v>1730.3</v>
      </c>
      <c r="L545" s="301">
        <f>H545*1.95</f>
        <v>61.347</v>
      </c>
      <c r="M545" s="310">
        <v>26.0</v>
      </c>
      <c r="N545" s="311">
        <v>0.21</v>
      </c>
      <c r="O545" s="310">
        <f>SUM(M545*N545)</f>
        <v>5.46</v>
      </c>
      <c r="P545" s="326"/>
      <c r="Q545" s="326"/>
      <c r="R545" s="326"/>
      <c r="S545" s="6"/>
      <c r="T545" s="6"/>
      <c r="U545" s="6"/>
      <c r="V545" s="6"/>
      <c r="W545" s="6"/>
    </row>
    <row r="546" ht="12.0" customHeight="1">
      <c r="A546" s="14"/>
      <c r="B546" s="212"/>
      <c r="C546" s="212"/>
      <c r="D546" s="270" t="s">
        <v>866</v>
      </c>
      <c r="E546" s="275" t="s">
        <v>423</v>
      </c>
      <c r="F546" s="157">
        <v>10.0</v>
      </c>
      <c r="G546" s="157"/>
      <c r="H546" s="365">
        <f t="shared" ref="H546:H547" si="262">(P546-R546)</f>
        <v>103.6728</v>
      </c>
      <c r="I546" s="149" t="s">
        <v>119</v>
      </c>
      <c r="J546" s="166" t="s">
        <v>867</v>
      </c>
      <c r="K546" s="442">
        <f t="shared" si="261"/>
        <v>1036.728</v>
      </c>
      <c r="L546" s="301">
        <f>H546*1.8</f>
        <v>186.61104</v>
      </c>
      <c r="M546" s="314">
        <v>136.0</v>
      </c>
      <c r="N546" s="314">
        <v>0.21</v>
      </c>
      <c r="O546" s="314">
        <f t="shared" ref="O546:O547" si="263">M546*N546</f>
        <v>28.56</v>
      </c>
      <c r="P546" s="314">
        <f t="shared" ref="P546:P547" si="264">SUM(M546+O546)</f>
        <v>164.56</v>
      </c>
      <c r="Q546" s="314">
        <v>0.37</v>
      </c>
      <c r="R546" s="314">
        <f t="shared" ref="R546:R547" si="265">P546*Q546</f>
        <v>60.8872</v>
      </c>
      <c r="S546" s="6"/>
      <c r="T546" s="6"/>
      <c r="U546" s="6"/>
      <c r="V546" s="6"/>
      <c r="W546" s="6"/>
    </row>
    <row r="547" ht="12.0" customHeight="1">
      <c r="A547" s="14"/>
      <c r="B547" s="212"/>
      <c r="C547" s="212"/>
      <c r="D547" s="273" t="s">
        <v>868</v>
      </c>
      <c r="E547" s="274" t="s">
        <v>423</v>
      </c>
      <c r="F547" s="163">
        <v>12.0</v>
      </c>
      <c r="G547" s="163"/>
      <c r="H547" s="345">
        <f t="shared" si="262"/>
        <v>33.5412</v>
      </c>
      <c r="I547" s="154" t="s">
        <v>119</v>
      </c>
      <c r="J547" s="276" t="s">
        <v>869</v>
      </c>
      <c r="K547" s="441">
        <f t="shared" si="261"/>
        <v>402.4944</v>
      </c>
      <c r="L547" s="301">
        <f t="shared" ref="L547:L548" si="266">H547*2</f>
        <v>67.0824</v>
      </c>
      <c r="M547" s="326">
        <v>44.0</v>
      </c>
      <c r="N547" s="326">
        <v>0.21</v>
      </c>
      <c r="O547" s="326">
        <f t="shared" si="263"/>
        <v>9.24</v>
      </c>
      <c r="P547" s="326">
        <f t="shared" si="264"/>
        <v>53.24</v>
      </c>
      <c r="Q547" s="326">
        <v>0.37</v>
      </c>
      <c r="R547" s="326">
        <f t="shared" si="265"/>
        <v>19.6988</v>
      </c>
      <c r="S547" s="321" t="s">
        <v>1095</v>
      </c>
      <c r="T547" s="6"/>
      <c r="U547" s="6"/>
      <c r="V547" s="6"/>
      <c r="W547" s="6"/>
    </row>
    <row r="548" ht="12.0" customHeight="1">
      <c r="A548" s="14"/>
      <c r="B548" s="212"/>
      <c r="C548" s="212"/>
      <c r="D548" s="270" t="s">
        <v>870</v>
      </c>
      <c r="E548" s="275" t="s">
        <v>423</v>
      </c>
      <c r="F548" s="157">
        <v>20.0</v>
      </c>
      <c r="G548" s="157"/>
      <c r="H548" s="365">
        <f t="shared" ref="H548:H549" si="267">SUM(M548+O548)</f>
        <v>35.09</v>
      </c>
      <c r="I548" s="149" t="s">
        <v>17</v>
      </c>
      <c r="J548" s="166">
        <v>463.0</v>
      </c>
      <c r="K548" s="442">
        <f t="shared" si="261"/>
        <v>701.8</v>
      </c>
      <c r="L548" s="440">
        <f t="shared" si="266"/>
        <v>70.18</v>
      </c>
      <c r="M548" s="312">
        <v>29.0</v>
      </c>
      <c r="N548" s="313">
        <v>0.21</v>
      </c>
      <c r="O548" s="312">
        <f t="shared" ref="O548:O549" si="268">SUM(M548*N548)</f>
        <v>6.09</v>
      </c>
      <c r="P548" s="314"/>
      <c r="Q548" s="314"/>
      <c r="R548" s="314"/>
      <c r="S548" s="6"/>
      <c r="T548" s="6"/>
      <c r="U548" s="6"/>
      <c r="V548" s="6"/>
      <c r="W548" s="6"/>
    </row>
    <row r="549" ht="12.0" customHeight="1">
      <c r="A549" s="14"/>
      <c r="B549" s="212"/>
      <c r="C549" s="212"/>
      <c r="D549" s="241" t="s">
        <v>871</v>
      </c>
      <c r="E549" s="266" t="s">
        <v>862</v>
      </c>
      <c r="F549" s="33">
        <v>10.0</v>
      </c>
      <c r="G549" s="9"/>
      <c r="H549" s="345">
        <f t="shared" si="267"/>
        <v>123.42</v>
      </c>
      <c r="I549" s="9" t="s">
        <v>17</v>
      </c>
      <c r="J549" s="24">
        <v>413.0</v>
      </c>
      <c r="K549" s="310">
        <f t="shared" si="261"/>
        <v>1234.2</v>
      </c>
      <c r="L549" s="301">
        <f>H549*1.8</f>
        <v>222.156</v>
      </c>
      <c r="M549" s="310">
        <v>102.0</v>
      </c>
      <c r="N549" s="311">
        <v>0.21</v>
      </c>
      <c r="O549" s="310">
        <f t="shared" si="268"/>
        <v>21.42</v>
      </c>
      <c r="P549" s="326"/>
      <c r="Q549" s="326"/>
      <c r="R549" s="326"/>
      <c r="S549" s="350" t="s">
        <v>1096</v>
      </c>
      <c r="T549" s="6"/>
      <c r="U549" s="6"/>
      <c r="V549" s="6"/>
      <c r="W549" s="6"/>
    </row>
    <row r="550" ht="12.0" customHeight="1">
      <c r="A550" s="14"/>
      <c r="B550" s="212"/>
      <c r="C550" s="212"/>
      <c r="D550" s="231" t="s">
        <v>825</v>
      </c>
      <c r="E550" s="271" t="s">
        <v>862</v>
      </c>
      <c r="F550" s="50">
        <v>25.0</v>
      </c>
      <c r="G550" s="50"/>
      <c r="H550" s="365">
        <f t="shared" ref="H550:H551" si="269">(P550-R550)</f>
        <v>41.9265</v>
      </c>
      <c r="I550" s="50" t="s">
        <v>119</v>
      </c>
      <c r="J550" s="51" t="s">
        <v>874</v>
      </c>
      <c r="K550" s="314">
        <f t="shared" ref="K550:K554" si="270">H550*F550</f>
        <v>1048.1625</v>
      </c>
      <c r="L550" s="301">
        <f t="shared" ref="L550:L551" si="271">H550*2.2</f>
        <v>92.2383</v>
      </c>
      <c r="M550" s="314">
        <v>55.0</v>
      </c>
      <c r="N550" s="314">
        <v>0.21</v>
      </c>
      <c r="O550" s="314">
        <f t="shared" ref="O550:O551" si="272">M550*N550</f>
        <v>11.55</v>
      </c>
      <c r="P550" s="314">
        <f t="shared" ref="P550:P551" si="273">SUM(M550+O550)</f>
        <v>66.55</v>
      </c>
      <c r="Q550" s="314">
        <v>0.37</v>
      </c>
      <c r="R550" s="314">
        <f t="shared" ref="R550:R551" si="274">P550*Q550</f>
        <v>24.6235</v>
      </c>
      <c r="S550" s="6"/>
      <c r="T550" s="6"/>
      <c r="U550" s="6"/>
      <c r="V550" s="6"/>
      <c r="W550" s="6"/>
    </row>
    <row r="551" ht="12.0" customHeight="1">
      <c r="A551" s="14"/>
      <c r="B551" s="212"/>
      <c r="C551" s="212"/>
      <c r="D551" s="241" t="s">
        <v>825</v>
      </c>
      <c r="E551" s="266" t="s">
        <v>875</v>
      </c>
      <c r="F551" s="33">
        <v>10.0</v>
      </c>
      <c r="G551" s="33" t="s">
        <v>763</v>
      </c>
      <c r="H551" s="345">
        <f t="shared" si="269"/>
        <v>60.2217</v>
      </c>
      <c r="I551" s="33" t="s">
        <v>119</v>
      </c>
      <c r="J551" s="24" t="s">
        <v>876</v>
      </c>
      <c r="K551" s="326">
        <f t="shared" si="270"/>
        <v>602.217</v>
      </c>
      <c r="L551" s="301">
        <f t="shared" si="271"/>
        <v>132.48774</v>
      </c>
      <c r="M551" s="326">
        <v>79.0</v>
      </c>
      <c r="N551" s="326">
        <v>0.21</v>
      </c>
      <c r="O551" s="326">
        <f t="shared" si="272"/>
        <v>16.59</v>
      </c>
      <c r="P551" s="326">
        <f t="shared" si="273"/>
        <v>95.59</v>
      </c>
      <c r="Q551" s="326">
        <v>0.37</v>
      </c>
      <c r="R551" s="326">
        <f t="shared" si="274"/>
        <v>35.3683</v>
      </c>
      <c r="S551" s="6"/>
      <c r="T551" s="6"/>
      <c r="U551" s="6"/>
      <c r="V551" s="6"/>
      <c r="W551" s="6"/>
    </row>
    <row r="552" ht="12.0" customHeight="1">
      <c r="A552" s="14"/>
      <c r="B552" s="212"/>
      <c r="C552" s="212"/>
      <c r="D552" s="241" t="s">
        <v>825</v>
      </c>
      <c r="E552" s="266" t="s">
        <v>875</v>
      </c>
      <c r="F552" s="33">
        <v>3.0</v>
      </c>
      <c r="G552" s="33"/>
      <c r="H552" s="345">
        <v>93.0</v>
      </c>
      <c r="I552" s="33" t="s">
        <v>576</v>
      </c>
      <c r="J552" s="24" t="s">
        <v>1097</v>
      </c>
      <c r="K552" s="326">
        <f t="shared" si="270"/>
        <v>279</v>
      </c>
      <c r="L552" s="301">
        <f>H552*1.9</f>
        <v>176.7</v>
      </c>
      <c r="M552" s="326"/>
      <c r="N552" s="326"/>
      <c r="O552" s="326"/>
      <c r="P552" s="326"/>
      <c r="Q552" s="326"/>
      <c r="R552" s="326"/>
      <c r="S552" s="6"/>
      <c r="T552" s="6"/>
      <c r="U552" s="6"/>
      <c r="V552" s="6"/>
      <c r="W552" s="6"/>
    </row>
    <row r="553" ht="12.0" customHeight="1">
      <c r="A553" s="14"/>
      <c r="B553" s="212"/>
      <c r="C553" s="212"/>
      <c r="D553" s="231" t="s">
        <v>825</v>
      </c>
      <c r="E553" s="271" t="s">
        <v>1098</v>
      </c>
      <c r="F553" s="50">
        <v>10.0</v>
      </c>
      <c r="G553" s="50"/>
      <c r="H553" s="365">
        <f t="shared" ref="H553:H556" si="275">(P553-R553)</f>
        <v>83.853</v>
      </c>
      <c r="I553" s="50" t="s">
        <v>119</v>
      </c>
      <c r="J553" s="51" t="s">
        <v>878</v>
      </c>
      <c r="K553" s="314">
        <f t="shared" si="270"/>
        <v>838.53</v>
      </c>
      <c r="L553" s="301">
        <f t="shared" ref="L553:L555" si="276">H553*1.7</f>
        <v>142.5501</v>
      </c>
      <c r="M553" s="314">
        <v>110.0</v>
      </c>
      <c r="N553" s="314">
        <v>0.21</v>
      </c>
      <c r="O553" s="314">
        <f t="shared" ref="O553:O556" si="277">M553*N553</f>
        <v>23.1</v>
      </c>
      <c r="P553" s="314">
        <f t="shared" ref="P553:P556" si="278">SUM(M553+O553)</f>
        <v>133.1</v>
      </c>
      <c r="Q553" s="314">
        <v>0.37</v>
      </c>
      <c r="R553" s="314">
        <f t="shared" ref="R553:R556" si="279">P553*Q553</f>
        <v>49.247</v>
      </c>
      <c r="S553" s="321" t="s">
        <v>1099</v>
      </c>
      <c r="T553" s="6"/>
      <c r="U553" s="6"/>
      <c r="V553" s="6"/>
      <c r="W553" s="6"/>
    </row>
    <row r="554" ht="12.0" customHeight="1">
      <c r="A554" s="14"/>
      <c r="B554" s="212"/>
      <c r="C554" s="212"/>
      <c r="D554" s="231" t="s">
        <v>825</v>
      </c>
      <c r="E554" s="271" t="s">
        <v>879</v>
      </c>
      <c r="F554" s="50">
        <v>5.0</v>
      </c>
      <c r="G554" s="50"/>
      <c r="H554" s="365">
        <f t="shared" si="275"/>
        <v>127.3041</v>
      </c>
      <c r="I554" s="50" t="s">
        <v>119</v>
      </c>
      <c r="J554" s="60" t="s">
        <v>880</v>
      </c>
      <c r="K554" s="314">
        <f t="shared" si="270"/>
        <v>636.5205</v>
      </c>
      <c r="L554" s="301">
        <f t="shared" si="276"/>
        <v>216.41697</v>
      </c>
      <c r="M554" s="314">
        <v>167.0</v>
      </c>
      <c r="N554" s="314">
        <v>0.21</v>
      </c>
      <c r="O554" s="314">
        <f t="shared" si="277"/>
        <v>35.07</v>
      </c>
      <c r="P554" s="314">
        <f t="shared" si="278"/>
        <v>202.07</v>
      </c>
      <c r="Q554" s="314">
        <v>0.37</v>
      </c>
      <c r="R554" s="314">
        <f t="shared" si="279"/>
        <v>74.7659</v>
      </c>
      <c r="S554" s="321" t="s">
        <v>1100</v>
      </c>
      <c r="T554" s="6"/>
      <c r="U554" s="6"/>
      <c r="V554" s="6"/>
      <c r="W554" s="6"/>
    </row>
    <row r="555" ht="12.0" customHeight="1">
      <c r="A555" s="14"/>
      <c r="B555" s="212"/>
      <c r="C555" s="212"/>
      <c r="D555" s="277" t="s">
        <v>844</v>
      </c>
      <c r="E555" s="278" t="s">
        <v>423</v>
      </c>
      <c r="F555" s="154">
        <v>5.0</v>
      </c>
      <c r="G555" s="154"/>
      <c r="H555" s="345">
        <f t="shared" si="275"/>
        <v>395.6337</v>
      </c>
      <c r="I555" s="154" t="s">
        <v>119</v>
      </c>
      <c r="J555" s="263" t="s">
        <v>881</v>
      </c>
      <c r="K555" s="441">
        <f t="shared" ref="K555:K561" si="280">(F555*H555)</f>
        <v>1978.1685</v>
      </c>
      <c r="L555" s="443">
        <f t="shared" si="276"/>
        <v>672.57729</v>
      </c>
      <c r="M555" s="326">
        <v>519.0</v>
      </c>
      <c r="N555" s="326">
        <v>0.21</v>
      </c>
      <c r="O555" s="326">
        <f t="shared" si="277"/>
        <v>108.99</v>
      </c>
      <c r="P555" s="326">
        <f t="shared" si="278"/>
        <v>627.99</v>
      </c>
      <c r="Q555" s="326">
        <v>0.37</v>
      </c>
      <c r="R555" s="326">
        <f t="shared" si="279"/>
        <v>232.3563</v>
      </c>
      <c r="S555" s="350" t="s">
        <v>1075</v>
      </c>
      <c r="T555" s="6"/>
      <c r="U555" s="6"/>
      <c r="V555" s="6"/>
      <c r="W555" s="6"/>
    </row>
    <row r="556" ht="12.0" customHeight="1">
      <c r="A556" s="52"/>
      <c r="B556" s="212"/>
      <c r="C556" s="212"/>
      <c r="D556" s="279" t="s">
        <v>882</v>
      </c>
      <c r="E556" s="280"/>
      <c r="F556" s="87">
        <v>0.0</v>
      </c>
      <c r="G556" s="87"/>
      <c r="H556" s="319">
        <f t="shared" si="275"/>
        <v>204.2964</v>
      </c>
      <c r="I556" s="87" t="s">
        <v>119</v>
      </c>
      <c r="J556" s="81" t="s">
        <v>883</v>
      </c>
      <c r="K556" s="444">
        <f t="shared" si="280"/>
        <v>0</v>
      </c>
      <c r="L556" s="436">
        <f t="shared" ref="L556:L557" si="281">H556*1.85</f>
        <v>377.94834</v>
      </c>
      <c r="M556" s="342">
        <v>268.0</v>
      </c>
      <c r="N556" s="342">
        <v>0.21</v>
      </c>
      <c r="O556" s="342">
        <f t="shared" si="277"/>
        <v>56.28</v>
      </c>
      <c r="P556" s="342">
        <f t="shared" si="278"/>
        <v>324.28</v>
      </c>
      <c r="Q556" s="342">
        <v>0.37</v>
      </c>
      <c r="R556" s="342">
        <f t="shared" si="279"/>
        <v>119.9836</v>
      </c>
      <c r="S556" s="6"/>
      <c r="T556" s="6"/>
      <c r="U556" s="6"/>
      <c r="V556" s="6"/>
      <c r="W556" s="6"/>
    </row>
    <row r="557" ht="12.0" customHeight="1">
      <c r="A557" s="52"/>
      <c r="B557" s="212"/>
      <c r="C557" s="212"/>
      <c r="D557" s="281" t="s">
        <v>820</v>
      </c>
      <c r="E557" s="275" t="s">
        <v>423</v>
      </c>
      <c r="F557" s="149">
        <v>2.0</v>
      </c>
      <c r="G557" s="149"/>
      <c r="H557" s="365">
        <v>92.0</v>
      </c>
      <c r="I557" s="149" t="s">
        <v>576</v>
      </c>
      <c r="J557" s="51" t="s">
        <v>884</v>
      </c>
      <c r="K557" s="442">
        <f t="shared" si="280"/>
        <v>184</v>
      </c>
      <c r="L557" s="443">
        <f t="shared" si="281"/>
        <v>170.2</v>
      </c>
      <c r="M557" s="314"/>
      <c r="N557" s="314"/>
      <c r="O557" s="314"/>
      <c r="P557" s="314"/>
      <c r="Q557" s="314"/>
      <c r="R557" s="314"/>
      <c r="S557" s="6"/>
      <c r="T557" s="6"/>
      <c r="U557" s="6"/>
      <c r="V557" s="6"/>
      <c r="W557" s="6"/>
    </row>
    <row r="558" ht="12.0" customHeight="1">
      <c r="A558" s="14"/>
      <c r="B558" s="212"/>
      <c r="C558" s="212"/>
      <c r="D558" s="101" t="s">
        <v>885</v>
      </c>
      <c r="E558" s="251" t="s">
        <v>886</v>
      </c>
      <c r="F558" s="27">
        <v>0.0</v>
      </c>
      <c r="G558" s="27"/>
      <c r="H558" s="315">
        <v>5.0</v>
      </c>
      <c r="I558" s="27" t="s">
        <v>119</v>
      </c>
      <c r="J558" s="103"/>
      <c r="K558" s="331">
        <f t="shared" si="280"/>
        <v>0</v>
      </c>
      <c r="L558" s="317">
        <v>9.0</v>
      </c>
      <c r="M558" s="9"/>
      <c r="N558" s="326"/>
      <c r="O558" s="326"/>
      <c r="P558" s="326"/>
      <c r="Q558" s="9"/>
      <c r="R558" s="9"/>
      <c r="S558" s="6"/>
      <c r="T558" s="6"/>
      <c r="U558" s="6"/>
      <c r="V558" s="6"/>
      <c r="W558" s="6"/>
    </row>
    <row r="559" ht="12.0" customHeight="1">
      <c r="A559" s="14"/>
      <c r="B559" s="212"/>
      <c r="C559" s="212"/>
      <c r="D559" s="231" t="s">
        <v>844</v>
      </c>
      <c r="E559" s="232" t="s">
        <v>886</v>
      </c>
      <c r="F559" s="14">
        <v>1.0</v>
      </c>
      <c r="G559" s="14"/>
      <c r="H559" s="365">
        <v>399.0</v>
      </c>
      <c r="I559" s="14" t="s">
        <v>576</v>
      </c>
      <c r="J559" s="51" t="s">
        <v>888</v>
      </c>
      <c r="K559" s="312">
        <f t="shared" si="280"/>
        <v>399</v>
      </c>
      <c r="L559" s="443">
        <f t="shared" ref="L559:L560" si="282">H559*1.7</f>
        <v>678.3</v>
      </c>
      <c r="M559" s="9"/>
      <c r="N559" s="326"/>
      <c r="O559" s="326"/>
      <c r="P559" s="326"/>
      <c r="Q559" s="9"/>
      <c r="R559" s="9"/>
      <c r="S559" s="6"/>
      <c r="T559" s="6"/>
      <c r="U559" s="6"/>
      <c r="V559" s="6"/>
      <c r="W559" s="6"/>
    </row>
    <row r="560" ht="12.0" customHeight="1">
      <c r="A560" s="14"/>
      <c r="B560" s="212"/>
      <c r="C560" s="212"/>
      <c r="D560" s="241" t="s">
        <v>844</v>
      </c>
      <c r="E560" s="242" t="s">
        <v>889</v>
      </c>
      <c r="F560" s="9">
        <v>1.0</v>
      </c>
      <c r="G560" s="9"/>
      <c r="H560" s="345">
        <v>550.0</v>
      </c>
      <c r="I560" s="9" t="s">
        <v>576</v>
      </c>
      <c r="J560" s="24" t="s">
        <v>890</v>
      </c>
      <c r="K560" s="310">
        <f t="shared" si="280"/>
        <v>550</v>
      </c>
      <c r="L560" s="443">
        <f t="shared" si="282"/>
        <v>935</v>
      </c>
      <c r="M560" s="9"/>
      <c r="N560" s="326"/>
      <c r="O560" s="326"/>
      <c r="P560" s="326"/>
      <c r="Q560" s="9"/>
      <c r="R560" s="9"/>
      <c r="S560" s="6"/>
      <c r="T560" s="6"/>
      <c r="U560" s="6"/>
      <c r="V560" s="6"/>
      <c r="W560" s="6"/>
    </row>
    <row r="561" ht="12.0" customHeight="1">
      <c r="A561" s="52"/>
      <c r="B561" s="212"/>
      <c r="C561" s="212"/>
      <c r="D561" s="231" t="s">
        <v>844</v>
      </c>
      <c r="E561" s="232" t="s">
        <v>408</v>
      </c>
      <c r="F561" s="14">
        <v>0.0</v>
      </c>
      <c r="G561" s="14"/>
      <c r="H561" s="365">
        <f>SUM(M561+O561)</f>
        <v>217.8</v>
      </c>
      <c r="I561" s="14" t="s">
        <v>17</v>
      </c>
      <c r="J561" s="51">
        <v>504.0</v>
      </c>
      <c r="K561" s="312">
        <f t="shared" si="280"/>
        <v>0</v>
      </c>
      <c r="L561" s="440">
        <f>H561*1.8</f>
        <v>392.04</v>
      </c>
      <c r="M561" s="312">
        <v>180.0</v>
      </c>
      <c r="N561" s="313">
        <v>0.21</v>
      </c>
      <c r="O561" s="312">
        <f>SUM(M561*N561)</f>
        <v>37.8</v>
      </c>
      <c r="P561" s="314"/>
      <c r="Q561" s="14"/>
      <c r="R561" s="14"/>
      <c r="S561" s="6"/>
      <c r="T561" s="6"/>
      <c r="U561" s="6"/>
      <c r="V561" s="6"/>
      <c r="W561" s="6"/>
    </row>
    <row r="562" ht="12.0" customHeight="1">
      <c r="A562" s="52"/>
      <c r="B562" s="212"/>
      <c r="C562" s="212"/>
      <c r="D562" s="241" t="s">
        <v>891</v>
      </c>
      <c r="E562" s="242" t="s">
        <v>886</v>
      </c>
      <c r="F562" s="33">
        <v>5.0</v>
      </c>
      <c r="G562" s="33"/>
      <c r="H562" s="345">
        <v>100.0</v>
      </c>
      <c r="I562" s="33" t="s">
        <v>576</v>
      </c>
      <c r="J562" s="24" t="s">
        <v>892</v>
      </c>
      <c r="K562" s="326">
        <f t="shared" ref="K562:K565" si="283">H562*F562</f>
        <v>500</v>
      </c>
      <c r="L562" s="301">
        <f t="shared" ref="L562:L563" si="284">H562*1.9</f>
        <v>190</v>
      </c>
      <c r="M562" s="312"/>
      <c r="N562" s="313"/>
      <c r="O562" s="312"/>
      <c r="P562" s="314"/>
      <c r="Q562" s="14"/>
      <c r="R562" s="14"/>
      <c r="S562" s="6"/>
      <c r="T562" s="6"/>
      <c r="U562" s="6"/>
      <c r="V562" s="6"/>
      <c r="W562" s="6"/>
    </row>
    <row r="563" ht="12.0" customHeight="1">
      <c r="A563" s="52"/>
      <c r="B563" s="212"/>
      <c r="C563" s="212"/>
      <c r="D563" s="273" t="s">
        <v>865</v>
      </c>
      <c r="E563" s="242" t="s">
        <v>886</v>
      </c>
      <c r="F563" s="33">
        <v>5.0</v>
      </c>
      <c r="G563" s="33"/>
      <c r="H563" s="345">
        <v>60.0</v>
      </c>
      <c r="I563" s="33" t="s">
        <v>576</v>
      </c>
      <c r="J563" s="24" t="s">
        <v>893</v>
      </c>
      <c r="K563" s="326">
        <f t="shared" si="283"/>
        <v>300</v>
      </c>
      <c r="L563" s="301">
        <f t="shared" si="284"/>
        <v>114</v>
      </c>
      <c r="M563" s="312"/>
      <c r="N563" s="313"/>
      <c r="O563" s="312"/>
      <c r="P563" s="314"/>
      <c r="Q563" s="14"/>
      <c r="R563" s="14"/>
      <c r="S563" s="6"/>
      <c r="T563" s="6"/>
      <c r="U563" s="6"/>
      <c r="V563" s="6"/>
      <c r="W563" s="6"/>
    </row>
    <row r="564" ht="12.0" customHeight="1">
      <c r="A564" s="52"/>
      <c r="B564" s="212"/>
      <c r="C564" s="212"/>
      <c r="D564" s="273" t="s">
        <v>865</v>
      </c>
      <c r="E564" s="242" t="s">
        <v>894</v>
      </c>
      <c r="F564" s="33">
        <v>1.0</v>
      </c>
      <c r="G564" s="33"/>
      <c r="H564" s="345">
        <v>269.0</v>
      </c>
      <c r="I564" s="33" t="s">
        <v>576</v>
      </c>
      <c r="J564" s="24" t="s">
        <v>895</v>
      </c>
      <c r="K564" s="326">
        <f t="shared" si="283"/>
        <v>269</v>
      </c>
      <c r="L564" s="301">
        <f t="shared" ref="L564:L565" si="285">H564*1.75</f>
        <v>470.75</v>
      </c>
      <c r="M564" s="312"/>
      <c r="N564" s="313"/>
      <c r="O564" s="312"/>
      <c r="P564" s="314"/>
      <c r="Q564" s="14"/>
      <c r="R564" s="14"/>
      <c r="S564" s="6"/>
      <c r="T564" s="6"/>
      <c r="U564" s="6"/>
      <c r="V564" s="6"/>
      <c r="W564" s="6"/>
    </row>
    <row r="565" ht="12.0" customHeight="1">
      <c r="A565" s="52"/>
      <c r="B565" s="212"/>
      <c r="C565" s="212"/>
      <c r="D565" s="273" t="s">
        <v>896</v>
      </c>
      <c r="E565" s="242" t="s">
        <v>894</v>
      </c>
      <c r="F565" s="33">
        <v>2.0</v>
      </c>
      <c r="G565" s="33"/>
      <c r="H565" s="345">
        <v>269.0</v>
      </c>
      <c r="I565" s="33" t="s">
        <v>576</v>
      </c>
      <c r="J565" s="24" t="s">
        <v>897</v>
      </c>
      <c r="K565" s="326">
        <f t="shared" si="283"/>
        <v>538</v>
      </c>
      <c r="L565" s="301">
        <f t="shared" si="285"/>
        <v>470.75</v>
      </c>
      <c r="M565" s="312"/>
      <c r="N565" s="313"/>
      <c r="O565" s="312"/>
      <c r="P565" s="314"/>
      <c r="Q565" s="14"/>
      <c r="R565" s="14"/>
      <c r="S565" s="6"/>
      <c r="T565" s="6"/>
      <c r="U565" s="6"/>
      <c r="V565" s="6"/>
      <c r="W565" s="6"/>
    </row>
    <row r="566" ht="12.0" customHeight="1">
      <c r="A566" s="14"/>
      <c r="B566" s="282"/>
      <c r="C566" s="282"/>
      <c r="D566" s="31" t="s">
        <v>898</v>
      </c>
      <c r="E566" s="17" t="s">
        <v>899</v>
      </c>
      <c r="F566" s="9">
        <v>6.0</v>
      </c>
      <c r="G566" s="9"/>
      <c r="H566" s="345">
        <f>(P566-R566)</f>
        <v>88.4268</v>
      </c>
      <c r="I566" s="9" t="s">
        <v>119</v>
      </c>
      <c r="J566" s="59">
        <v>220269.0</v>
      </c>
      <c r="K566" s="310">
        <f>(F566*H566)</f>
        <v>530.5608</v>
      </c>
      <c r="L566" s="301">
        <f>H566*1.8</f>
        <v>159.16824</v>
      </c>
      <c r="M566" s="326">
        <v>116.0</v>
      </c>
      <c r="N566" s="326">
        <v>0.21</v>
      </c>
      <c r="O566" s="326">
        <f>M566*N566</f>
        <v>24.36</v>
      </c>
      <c r="P566" s="326">
        <f>SUM(M566+O566)</f>
        <v>140.36</v>
      </c>
      <c r="Q566" s="326">
        <v>0.37</v>
      </c>
      <c r="R566" s="326">
        <f>P566*Q566</f>
        <v>51.9332</v>
      </c>
      <c r="S566" s="6"/>
      <c r="T566" s="6"/>
      <c r="U566" s="6"/>
      <c r="V566" s="6"/>
      <c r="W566" s="6"/>
    </row>
    <row r="567" ht="12.0" customHeight="1">
      <c r="A567" s="14"/>
      <c r="B567" s="15"/>
      <c r="C567" s="15"/>
      <c r="D567" s="170" t="s">
        <v>900</v>
      </c>
      <c r="E567" s="283"/>
      <c r="F567" s="172"/>
      <c r="G567" s="172"/>
      <c r="H567" s="407"/>
      <c r="I567" s="172"/>
      <c r="J567" s="408"/>
      <c r="K567" s="417"/>
      <c r="L567" s="301"/>
      <c r="M567" s="172"/>
      <c r="N567" s="417"/>
      <c r="O567" s="417"/>
      <c r="P567" s="417"/>
      <c r="Q567" s="172"/>
      <c r="R567" s="172"/>
      <c r="S567" s="6"/>
      <c r="T567" s="6"/>
      <c r="U567" s="6"/>
      <c r="V567" s="6"/>
      <c r="W567" s="6"/>
    </row>
    <row r="568" ht="12.0" customHeight="1">
      <c r="A568" s="14"/>
      <c r="B568" s="82"/>
      <c r="C568" s="82"/>
      <c r="D568" s="284" t="s">
        <v>901</v>
      </c>
      <c r="E568" s="285" t="s">
        <v>74</v>
      </c>
      <c r="F568" s="286">
        <v>65.0</v>
      </c>
      <c r="G568" s="286" t="s">
        <v>760</v>
      </c>
      <c r="H568" s="445">
        <f t="shared" ref="H568:H573" si="286">(P568-R568)</f>
        <v>44.2134</v>
      </c>
      <c r="I568" s="286" t="s">
        <v>119</v>
      </c>
      <c r="J568" s="295">
        <v>460041.0</v>
      </c>
      <c r="K568" s="446">
        <f t="shared" ref="K568:K618" si="287">H568*F568</f>
        <v>2873.871</v>
      </c>
      <c r="L568" s="301">
        <f t="shared" ref="L568:L570" si="288">H568*1.7</f>
        <v>75.16278</v>
      </c>
      <c r="M568" s="446">
        <v>58.0</v>
      </c>
      <c r="N568" s="446">
        <v>0.21</v>
      </c>
      <c r="O568" s="446">
        <f t="shared" ref="O568:O573" si="289">M568*N568</f>
        <v>12.18</v>
      </c>
      <c r="P568" s="446">
        <f t="shared" ref="P568:P573" si="290">SUM(M568+O568)</f>
        <v>70.18</v>
      </c>
      <c r="Q568" s="446">
        <v>0.37</v>
      </c>
      <c r="R568" s="446">
        <f t="shared" ref="R568:R573" si="291">P568*Q568</f>
        <v>25.9666</v>
      </c>
      <c r="S568" s="353" t="s">
        <v>1101</v>
      </c>
      <c r="T568" s="6"/>
      <c r="U568" s="6"/>
      <c r="V568" s="6"/>
      <c r="W568" s="6"/>
    </row>
    <row r="569" ht="12.0" customHeight="1">
      <c r="A569" s="14"/>
      <c r="B569" s="82"/>
      <c r="C569" s="82"/>
      <c r="D569" s="33" t="s">
        <v>902</v>
      </c>
      <c r="E569" s="191" t="s">
        <v>74</v>
      </c>
      <c r="F569" s="33">
        <v>60.0</v>
      </c>
      <c r="G569" s="33" t="s">
        <v>760</v>
      </c>
      <c r="H569" s="345">
        <f t="shared" si="286"/>
        <v>35.8281</v>
      </c>
      <c r="I569" s="33" t="s">
        <v>119</v>
      </c>
      <c r="J569" s="59">
        <v>460021.0</v>
      </c>
      <c r="K569" s="326">
        <f t="shared" si="287"/>
        <v>2149.686</v>
      </c>
      <c r="L569" s="301">
        <f t="shared" si="288"/>
        <v>60.90777</v>
      </c>
      <c r="M569" s="326">
        <v>47.0</v>
      </c>
      <c r="N569" s="326">
        <v>0.21</v>
      </c>
      <c r="O569" s="326">
        <f t="shared" si="289"/>
        <v>9.87</v>
      </c>
      <c r="P569" s="326">
        <f t="shared" si="290"/>
        <v>56.87</v>
      </c>
      <c r="Q569" s="326">
        <v>0.37</v>
      </c>
      <c r="R569" s="326">
        <f t="shared" si="291"/>
        <v>21.0419</v>
      </c>
      <c r="S569" s="353" t="s">
        <v>1102</v>
      </c>
      <c r="T569" s="6"/>
      <c r="U569" s="6"/>
      <c r="V569" s="6"/>
      <c r="W569" s="6"/>
    </row>
    <row r="570" ht="12.0" customHeight="1">
      <c r="A570" s="14"/>
      <c r="B570" s="82"/>
      <c r="C570" s="82"/>
      <c r="D570" s="286" t="s">
        <v>903</v>
      </c>
      <c r="E570" s="289" t="s">
        <v>74</v>
      </c>
      <c r="F570" s="286">
        <v>30.0</v>
      </c>
      <c r="G570" s="284" t="s">
        <v>760</v>
      </c>
      <c r="H570" s="445">
        <f t="shared" si="286"/>
        <v>56.4102</v>
      </c>
      <c r="I570" s="286" t="s">
        <v>119</v>
      </c>
      <c r="J570" s="295">
        <v>460031.0</v>
      </c>
      <c r="K570" s="446">
        <f t="shared" si="287"/>
        <v>1692.306</v>
      </c>
      <c r="L570" s="301">
        <f t="shared" si="288"/>
        <v>95.89734</v>
      </c>
      <c r="M570" s="446">
        <v>74.0</v>
      </c>
      <c r="N570" s="446">
        <v>0.21</v>
      </c>
      <c r="O570" s="446">
        <f t="shared" si="289"/>
        <v>15.54</v>
      </c>
      <c r="P570" s="446">
        <f t="shared" si="290"/>
        <v>89.54</v>
      </c>
      <c r="Q570" s="446">
        <v>0.37</v>
      </c>
      <c r="R570" s="446">
        <f t="shared" si="291"/>
        <v>33.1298</v>
      </c>
      <c r="S570" s="353" t="s">
        <v>1103</v>
      </c>
      <c r="T570" s="6"/>
      <c r="U570" s="6"/>
      <c r="V570" s="6"/>
      <c r="W570" s="6"/>
    </row>
    <row r="571" ht="12.0" customHeight="1">
      <c r="A571" s="14"/>
      <c r="B571" s="82"/>
      <c r="C571" s="82"/>
      <c r="D571" s="33" t="s">
        <v>904</v>
      </c>
      <c r="E571" s="32" t="s">
        <v>74</v>
      </c>
      <c r="F571" s="33">
        <v>11.0</v>
      </c>
      <c r="G571" s="33" t="s">
        <v>760</v>
      </c>
      <c r="H571" s="345">
        <f t="shared" si="286"/>
        <v>329.3136</v>
      </c>
      <c r="I571" s="33" t="s">
        <v>119</v>
      </c>
      <c r="J571" s="59">
        <v>460161.0</v>
      </c>
      <c r="K571" s="326">
        <f t="shared" si="287"/>
        <v>3622.4496</v>
      </c>
      <c r="L571" s="301">
        <f t="shared" ref="L571:L578" si="292">H571*1.6</f>
        <v>526.90176</v>
      </c>
      <c r="M571" s="326">
        <v>432.0</v>
      </c>
      <c r="N571" s="326">
        <v>0.21</v>
      </c>
      <c r="O571" s="326">
        <f t="shared" si="289"/>
        <v>90.72</v>
      </c>
      <c r="P571" s="326">
        <f t="shared" si="290"/>
        <v>522.72</v>
      </c>
      <c r="Q571" s="326">
        <v>0.37</v>
      </c>
      <c r="R571" s="326">
        <f t="shared" si="291"/>
        <v>193.4064</v>
      </c>
      <c r="S571" s="353" t="s">
        <v>1104</v>
      </c>
      <c r="T571" s="6"/>
      <c r="U571" s="6"/>
      <c r="V571" s="6"/>
      <c r="W571" s="6"/>
    </row>
    <row r="572" ht="12.0" customHeight="1">
      <c r="A572" s="14"/>
      <c r="B572" s="82"/>
      <c r="C572" s="82"/>
      <c r="D572" s="286" t="s">
        <v>905</v>
      </c>
      <c r="E572" s="289" t="s">
        <v>906</v>
      </c>
      <c r="F572" s="286">
        <v>5.0</v>
      </c>
      <c r="G572" s="286" t="s">
        <v>760</v>
      </c>
      <c r="H572" s="445">
        <f t="shared" si="286"/>
        <v>365.904</v>
      </c>
      <c r="I572" s="286" t="s">
        <v>119</v>
      </c>
      <c r="J572" s="290">
        <v>460146.0</v>
      </c>
      <c r="K572" s="446">
        <f t="shared" si="287"/>
        <v>1829.52</v>
      </c>
      <c r="L572" s="301">
        <f t="shared" si="292"/>
        <v>585.4464</v>
      </c>
      <c r="M572" s="446">
        <v>480.0</v>
      </c>
      <c r="N572" s="446">
        <v>0.21</v>
      </c>
      <c r="O572" s="446">
        <f t="shared" si="289"/>
        <v>100.8</v>
      </c>
      <c r="P572" s="446">
        <f t="shared" si="290"/>
        <v>580.8</v>
      </c>
      <c r="Q572" s="446">
        <v>0.37</v>
      </c>
      <c r="R572" s="446">
        <f t="shared" si="291"/>
        <v>214.896</v>
      </c>
      <c r="S572" s="353" t="s">
        <v>1105</v>
      </c>
      <c r="T572" s="6"/>
      <c r="U572" s="6"/>
      <c r="V572" s="6"/>
      <c r="W572" s="6"/>
    </row>
    <row r="573" ht="12.0" customHeight="1">
      <c r="A573" s="14"/>
      <c r="B573" s="82"/>
      <c r="C573" s="82"/>
      <c r="D573" s="33" t="s">
        <v>907</v>
      </c>
      <c r="E573" s="32" t="s">
        <v>906</v>
      </c>
      <c r="F573" s="33">
        <v>15.0</v>
      </c>
      <c r="G573" s="33" t="s">
        <v>760</v>
      </c>
      <c r="H573" s="345">
        <f t="shared" si="286"/>
        <v>317.8791</v>
      </c>
      <c r="I573" s="33" t="s">
        <v>119</v>
      </c>
      <c r="J573" s="291" t="s">
        <v>908</v>
      </c>
      <c r="K573" s="326">
        <f t="shared" si="287"/>
        <v>4768.1865</v>
      </c>
      <c r="L573" s="301">
        <f t="shared" si="292"/>
        <v>508.60656</v>
      </c>
      <c r="M573" s="326">
        <v>417.0</v>
      </c>
      <c r="N573" s="326">
        <v>0.21</v>
      </c>
      <c r="O573" s="326">
        <f t="shared" si="289"/>
        <v>87.57</v>
      </c>
      <c r="P573" s="326">
        <f t="shared" si="290"/>
        <v>504.57</v>
      </c>
      <c r="Q573" s="326">
        <v>0.37</v>
      </c>
      <c r="R573" s="326">
        <f t="shared" si="291"/>
        <v>186.6909</v>
      </c>
      <c r="S573" s="353" t="s">
        <v>1106</v>
      </c>
      <c r="T573" s="6"/>
      <c r="U573" s="6"/>
      <c r="V573" s="6"/>
      <c r="W573" s="6"/>
    </row>
    <row r="574" ht="12.0" customHeight="1">
      <c r="A574" s="14"/>
      <c r="B574" s="82"/>
      <c r="C574" s="82"/>
      <c r="D574" s="286" t="s">
        <v>909</v>
      </c>
      <c r="E574" s="289" t="s">
        <v>910</v>
      </c>
      <c r="F574" s="286">
        <v>5.0</v>
      </c>
      <c r="G574" s="286"/>
      <c r="H574" s="447">
        <f>SUM(1*H575)</f>
        <v>275</v>
      </c>
      <c r="I574" s="286" t="s">
        <v>576</v>
      </c>
      <c r="J574" s="295" t="s">
        <v>1107</v>
      </c>
      <c r="K574" s="446">
        <f t="shared" si="287"/>
        <v>1375</v>
      </c>
      <c r="L574" s="301">
        <f t="shared" si="292"/>
        <v>440</v>
      </c>
      <c r="M574" s="326"/>
      <c r="N574" s="326"/>
      <c r="O574" s="326"/>
      <c r="P574" s="326"/>
      <c r="Q574" s="326"/>
      <c r="R574" s="326"/>
      <c r="S574" s="6"/>
      <c r="T574" s="6"/>
      <c r="U574" s="6"/>
      <c r="V574" s="6"/>
      <c r="W574" s="6"/>
    </row>
    <row r="575" ht="12.0" customHeight="1">
      <c r="A575" s="14"/>
      <c r="B575" s="82"/>
      <c r="C575" s="82"/>
      <c r="D575" s="286" t="s">
        <v>909</v>
      </c>
      <c r="E575" s="289" t="s">
        <v>906</v>
      </c>
      <c r="F575" s="286">
        <v>12.0</v>
      </c>
      <c r="G575" s="286" t="s">
        <v>760</v>
      </c>
      <c r="H575" s="448">
        <v>275.0</v>
      </c>
      <c r="I575" s="286" t="s">
        <v>576</v>
      </c>
      <c r="J575" s="295" t="s">
        <v>1108</v>
      </c>
      <c r="K575" s="446">
        <f t="shared" si="287"/>
        <v>3300</v>
      </c>
      <c r="L575" s="301">
        <f t="shared" si="292"/>
        <v>440</v>
      </c>
      <c r="M575" s="449"/>
      <c r="N575" s="446"/>
      <c r="O575" s="446"/>
      <c r="P575" s="446"/>
      <c r="Q575" s="446"/>
      <c r="R575" s="446"/>
      <c r="S575" s="353" t="s">
        <v>1109</v>
      </c>
      <c r="T575" s="6"/>
      <c r="U575" s="6"/>
      <c r="V575" s="6"/>
      <c r="W575" s="6"/>
    </row>
    <row r="576" ht="12.0" customHeight="1">
      <c r="A576" s="14"/>
      <c r="B576" s="82"/>
      <c r="C576" s="82"/>
      <c r="D576" s="33" t="s">
        <v>909</v>
      </c>
      <c r="E576" s="32" t="s">
        <v>911</v>
      </c>
      <c r="F576" s="33">
        <v>5.0</v>
      </c>
      <c r="G576" s="33" t="s">
        <v>760</v>
      </c>
      <c r="H576" s="305">
        <f>SUM(1*H575)</f>
        <v>275</v>
      </c>
      <c r="I576" s="33" t="s">
        <v>119</v>
      </c>
      <c r="J576" s="59">
        <v>460102.0</v>
      </c>
      <c r="K576" s="326">
        <f t="shared" si="287"/>
        <v>1375</v>
      </c>
      <c r="L576" s="301">
        <f t="shared" si="292"/>
        <v>440</v>
      </c>
      <c r="M576" s="326"/>
      <c r="N576" s="326"/>
      <c r="O576" s="326"/>
      <c r="P576" s="326"/>
      <c r="Q576" s="326"/>
      <c r="R576" s="326"/>
      <c r="S576" s="6"/>
      <c r="T576" s="6"/>
      <c r="U576" s="6"/>
      <c r="V576" s="6"/>
      <c r="W576" s="6"/>
    </row>
    <row r="577" ht="12.0" customHeight="1">
      <c r="A577" s="14"/>
      <c r="B577" s="82"/>
      <c r="C577" s="82"/>
      <c r="D577" s="286" t="s">
        <v>912</v>
      </c>
      <c r="E577" s="293" t="s">
        <v>906</v>
      </c>
      <c r="F577" s="294">
        <v>7.0</v>
      </c>
      <c r="G577" s="294"/>
      <c r="H577" s="447">
        <f>SUM(1.28*H575)</f>
        <v>352</v>
      </c>
      <c r="I577" s="286" t="s">
        <v>119</v>
      </c>
      <c r="J577" s="286">
        <v>460106.0</v>
      </c>
      <c r="K577" s="446">
        <f t="shared" si="287"/>
        <v>2464</v>
      </c>
      <c r="L577" s="301">
        <f t="shared" si="292"/>
        <v>563.2</v>
      </c>
      <c r="M577" s="446"/>
      <c r="N577" s="446"/>
      <c r="O577" s="446"/>
      <c r="P577" s="446"/>
      <c r="Q577" s="446"/>
      <c r="R577" s="446"/>
      <c r="S577" s="353" t="s">
        <v>1110</v>
      </c>
      <c r="T577" s="6"/>
      <c r="U577" s="6"/>
      <c r="V577" s="6"/>
      <c r="W577" s="6"/>
    </row>
    <row r="578" ht="12.0" customHeight="1">
      <c r="A578" s="14"/>
      <c r="B578" s="82"/>
      <c r="C578" s="82"/>
      <c r="D578" s="294" t="s">
        <v>913</v>
      </c>
      <c r="E578" s="293" t="s">
        <v>906</v>
      </c>
      <c r="F578" s="294">
        <v>4.0</v>
      </c>
      <c r="G578" s="294"/>
      <c r="H578" s="445">
        <v>364.0</v>
      </c>
      <c r="I578" s="286" t="s">
        <v>576</v>
      </c>
      <c r="J578" s="295" t="s">
        <v>914</v>
      </c>
      <c r="K578" s="446">
        <f t="shared" si="287"/>
        <v>1456</v>
      </c>
      <c r="L578" s="301">
        <f t="shared" si="292"/>
        <v>582.4</v>
      </c>
      <c r="M578" s="446"/>
      <c r="N578" s="446"/>
      <c r="O578" s="446"/>
      <c r="P578" s="446"/>
      <c r="Q578" s="446"/>
      <c r="R578" s="446"/>
      <c r="S578" s="350"/>
      <c r="T578" s="6"/>
      <c r="U578" s="6"/>
      <c r="V578" s="6"/>
      <c r="W578" s="6"/>
    </row>
    <row r="579" ht="12.0" customHeight="1">
      <c r="A579" s="14"/>
      <c r="B579" s="82"/>
      <c r="C579" s="82"/>
      <c r="D579" s="163" t="s">
        <v>915</v>
      </c>
      <c r="E579" s="70" t="s">
        <v>74</v>
      </c>
      <c r="F579" s="163">
        <v>30.0</v>
      </c>
      <c r="G579" s="163"/>
      <c r="H579" s="345">
        <f>(P579-R579)</f>
        <v>35.8281</v>
      </c>
      <c r="I579" s="33" t="s">
        <v>119</v>
      </c>
      <c r="J579" s="24">
        <v>630120.0</v>
      </c>
      <c r="K579" s="326">
        <f t="shared" si="287"/>
        <v>1074.843</v>
      </c>
      <c r="L579" s="301">
        <f>H579*1.7</f>
        <v>60.90777</v>
      </c>
      <c r="M579" s="326">
        <v>47.0</v>
      </c>
      <c r="N579" s="326">
        <v>0.21</v>
      </c>
      <c r="O579" s="326">
        <f>M579*N579</f>
        <v>9.87</v>
      </c>
      <c r="P579" s="326">
        <f>SUM(M579+O579)</f>
        <v>56.87</v>
      </c>
      <c r="Q579" s="326">
        <v>0.37</v>
      </c>
      <c r="R579" s="326">
        <f>P579*Q579</f>
        <v>21.0419</v>
      </c>
      <c r="S579" s="6"/>
      <c r="T579" s="6"/>
      <c r="U579" s="6"/>
      <c r="V579" s="6"/>
      <c r="W579" s="6"/>
    </row>
    <row r="580" ht="12.0" customHeight="1">
      <c r="A580" s="14"/>
      <c r="B580" s="82"/>
      <c r="C580" s="82"/>
      <c r="D580" s="163" t="s">
        <v>916</v>
      </c>
      <c r="E580" s="70" t="s">
        <v>74</v>
      </c>
      <c r="F580" s="163">
        <v>6.0</v>
      </c>
      <c r="G580" s="163" t="s">
        <v>624</v>
      </c>
      <c r="H580" s="345">
        <v>92.0</v>
      </c>
      <c r="I580" s="33" t="s">
        <v>576</v>
      </c>
      <c r="J580" s="24" t="s">
        <v>917</v>
      </c>
      <c r="K580" s="326">
        <f t="shared" si="287"/>
        <v>552</v>
      </c>
      <c r="L580" s="301">
        <f>H580*1.65</f>
        <v>151.8</v>
      </c>
      <c r="M580" s="326"/>
      <c r="N580" s="326"/>
      <c r="O580" s="326"/>
      <c r="P580" s="326"/>
      <c r="Q580" s="326"/>
      <c r="R580" s="326"/>
      <c r="S580" s="6"/>
      <c r="T580" s="6"/>
      <c r="U580" s="6"/>
      <c r="V580" s="6"/>
      <c r="W580" s="6"/>
    </row>
    <row r="581" ht="12.0" customHeight="1">
      <c r="A581" s="14"/>
      <c r="B581" s="82"/>
      <c r="C581" s="82"/>
      <c r="D581" s="296" t="s">
        <v>918</v>
      </c>
      <c r="E581" s="296" t="s">
        <v>919</v>
      </c>
      <c r="F581" s="286">
        <v>80.0</v>
      </c>
      <c r="G581" s="286" t="s">
        <v>760</v>
      </c>
      <c r="H581" s="445">
        <f>(P581-R581)</f>
        <v>73.1808</v>
      </c>
      <c r="I581" s="286" t="s">
        <v>119</v>
      </c>
      <c r="J581" s="286">
        <v>460042.0</v>
      </c>
      <c r="K581" s="446">
        <f t="shared" si="287"/>
        <v>5854.464</v>
      </c>
      <c r="L581" s="301">
        <f>H581*1.6</f>
        <v>117.08928</v>
      </c>
      <c r="M581" s="446">
        <v>96.0</v>
      </c>
      <c r="N581" s="446">
        <v>0.21</v>
      </c>
      <c r="O581" s="446">
        <f>M581*N581</f>
        <v>20.16</v>
      </c>
      <c r="P581" s="446">
        <f>SUM(M581+O581)</f>
        <v>116.16</v>
      </c>
      <c r="Q581" s="446">
        <v>0.37</v>
      </c>
      <c r="R581" s="446">
        <f>P581*Q581</f>
        <v>42.9792</v>
      </c>
      <c r="S581" s="353" t="s">
        <v>1111</v>
      </c>
      <c r="T581" s="6"/>
      <c r="U581" s="6"/>
      <c r="V581" s="6"/>
      <c r="W581" s="6"/>
    </row>
    <row r="582" ht="12.0" customHeight="1">
      <c r="A582" s="14"/>
      <c r="B582" s="82"/>
      <c r="C582" s="82"/>
      <c r="D582" s="297" t="s">
        <v>920</v>
      </c>
      <c r="E582" s="297" t="s">
        <v>921</v>
      </c>
      <c r="F582" s="33">
        <v>10.0</v>
      </c>
      <c r="G582" s="33"/>
      <c r="H582" s="345">
        <v>104.0</v>
      </c>
      <c r="I582" s="33" t="s">
        <v>576</v>
      </c>
      <c r="J582" s="59" t="s">
        <v>922</v>
      </c>
      <c r="K582" s="326">
        <f t="shared" si="287"/>
        <v>1040</v>
      </c>
      <c r="L582" s="301">
        <f t="shared" ref="L582:L585" si="293">H582*1.7</f>
        <v>176.8</v>
      </c>
      <c r="M582" s="326"/>
      <c r="N582" s="326"/>
      <c r="O582" s="326"/>
      <c r="P582" s="326"/>
      <c r="Q582" s="326"/>
      <c r="R582" s="326"/>
      <c r="S582" s="6"/>
      <c r="T582" s="6"/>
      <c r="U582" s="6"/>
      <c r="V582" s="6"/>
      <c r="W582" s="6"/>
    </row>
    <row r="583" ht="12.0" customHeight="1">
      <c r="A583" s="14"/>
      <c r="B583" s="82"/>
      <c r="C583" s="82"/>
      <c r="D583" s="296" t="s">
        <v>923</v>
      </c>
      <c r="E583" s="296" t="s">
        <v>924</v>
      </c>
      <c r="F583" s="286">
        <v>17.0</v>
      </c>
      <c r="G583" s="286"/>
      <c r="H583" s="445">
        <v>55.0</v>
      </c>
      <c r="I583" s="286" t="s">
        <v>576</v>
      </c>
      <c r="J583" s="295" t="s">
        <v>925</v>
      </c>
      <c r="K583" s="446">
        <f t="shared" si="287"/>
        <v>935</v>
      </c>
      <c r="L583" s="301">
        <f t="shared" si="293"/>
        <v>93.5</v>
      </c>
      <c r="M583" s="446"/>
      <c r="N583" s="446"/>
      <c r="O583" s="446"/>
      <c r="P583" s="446"/>
      <c r="Q583" s="446"/>
      <c r="R583" s="446"/>
      <c r="S583" s="6"/>
      <c r="T583" s="6"/>
      <c r="U583" s="6"/>
      <c r="V583" s="6"/>
      <c r="W583" s="6"/>
    </row>
    <row r="584" ht="12.0" customHeight="1">
      <c r="A584" s="14"/>
      <c r="B584" s="82"/>
      <c r="C584" s="82"/>
      <c r="D584" s="297" t="s">
        <v>902</v>
      </c>
      <c r="E584" s="297" t="s">
        <v>482</v>
      </c>
      <c r="F584" s="33">
        <v>40.0</v>
      </c>
      <c r="G584" s="33" t="s">
        <v>760</v>
      </c>
      <c r="H584" s="345">
        <f t="shared" ref="H584:H589" si="294">(P584-R584)</f>
        <v>55.6479</v>
      </c>
      <c r="I584" s="33" t="s">
        <v>119</v>
      </c>
      <c r="J584" s="33">
        <v>460022.0</v>
      </c>
      <c r="K584" s="326">
        <f t="shared" si="287"/>
        <v>2225.916</v>
      </c>
      <c r="L584" s="301">
        <f t="shared" si="293"/>
        <v>94.60143</v>
      </c>
      <c r="M584" s="326">
        <v>73.0</v>
      </c>
      <c r="N584" s="326">
        <v>0.21</v>
      </c>
      <c r="O584" s="326">
        <f t="shared" ref="O584:O589" si="295">M584*N584</f>
        <v>15.33</v>
      </c>
      <c r="P584" s="326">
        <f t="shared" ref="P584:P589" si="296">SUM(M584+O584)</f>
        <v>88.33</v>
      </c>
      <c r="Q584" s="326">
        <v>0.37</v>
      </c>
      <c r="R584" s="326">
        <f t="shared" ref="R584:R589" si="297">P584*Q584</f>
        <v>32.6821</v>
      </c>
      <c r="S584" s="353"/>
      <c r="T584" s="6"/>
      <c r="U584" s="6"/>
      <c r="V584" s="6"/>
      <c r="W584" s="6"/>
    </row>
    <row r="585" ht="12.0" customHeight="1">
      <c r="A585" s="14"/>
      <c r="B585" s="82"/>
      <c r="C585" s="82"/>
      <c r="D585" s="296" t="s">
        <v>903</v>
      </c>
      <c r="E585" s="450" t="s">
        <v>482</v>
      </c>
      <c r="F585" s="286">
        <v>45.0</v>
      </c>
      <c r="G585" s="451" t="s">
        <v>760</v>
      </c>
      <c r="H585" s="445">
        <f t="shared" si="294"/>
        <v>108.2466</v>
      </c>
      <c r="I585" s="286" t="s">
        <v>119</v>
      </c>
      <c r="J585" s="295">
        <v>460032.0</v>
      </c>
      <c r="K585" s="446">
        <f t="shared" si="287"/>
        <v>4871.097</v>
      </c>
      <c r="L585" s="301">
        <f t="shared" si="293"/>
        <v>184.01922</v>
      </c>
      <c r="M585" s="446">
        <v>142.0</v>
      </c>
      <c r="N585" s="446">
        <v>0.21</v>
      </c>
      <c r="O585" s="446">
        <f t="shared" si="295"/>
        <v>29.82</v>
      </c>
      <c r="P585" s="446">
        <f t="shared" si="296"/>
        <v>171.82</v>
      </c>
      <c r="Q585" s="446">
        <v>0.37</v>
      </c>
      <c r="R585" s="446">
        <f t="shared" si="297"/>
        <v>63.5734</v>
      </c>
      <c r="S585" s="353" t="s">
        <v>1112</v>
      </c>
      <c r="T585" s="6"/>
      <c r="U585" s="6"/>
      <c r="V585" s="6"/>
      <c r="W585" s="6"/>
    </row>
    <row r="586" ht="12.0" customHeight="1">
      <c r="A586" s="14"/>
      <c r="B586" s="82"/>
      <c r="C586" s="82"/>
      <c r="D586" s="297" t="s">
        <v>905</v>
      </c>
      <c r="E586" s="131" t="s">
        <v>1113</v>
      </c>
      <c r="F586" s="9">
        <v>5.0</v>
      </c>
      <c r="G586" s="9"/>
      <c r="H586" s="305">
        <f t="shared" si="294"/>
        <v>516.8394</v>
      </c>
      <c r="I586" s="9" t="s">
        <v>119</v>
      </c>
      <c r="J586" s="59" t="s">
        <v>1114</v>
      </c>
      <c r="K586" s="326">
        <f t="shared" si="287"/>
        <v>2584.197</v>
      </c>
      <c r="L586" s="301">
        <f t="shared" ref="L586:L593" si="298">H586*1.6</f>
        <v>826.94304</v>
      </c>
      <c r="M586" s="422">
        <f>SUM(1*M587)</f>
        <v>678</v>
      </c>
      <c r="N586" s="326">
        <v>0.21</v>
      </c>
      <c r="O586" s="326">
        <f t="shared" si="295"/>
        <v>142.38</v>
      </c>
      <c r="P586" s="326">
        <f t="shared" si="296"/>
        <v>820.38</v>
      </c>
      <c r="Q586" s="326">
        <v>0.37</v>
      </c>
      <c r="R586" s="326">
        <f t="shared" si="297"/>
        <v>303.5406</v>
      </c>
      <c r="S586" s="6"/>
      <c r="T586" s="6"/>
      <c r="U586" s="6"/>
      <c r="V586" s="6"/>
      <c r="W586" s="6"/>
    </row>
    <row r="587" ht="12.0" customHeight="1">
      <c r="A587" s="14"/>
      <c r="B587" s="82"/>
      <c r="C587" s="82"/>
      <c r="D587" s="297" t="s">
        <v>905</v>
      </c>
      <c r="E587" s="131" t="s">
        <v>1115</v>
      </c>
      <c r="F587" s="9">
        <v>4.0</v>
      </c>
      <c r="G587" s="9"/>
      <c r="H587" s="351">
        <f t="shared" si="294"/>
        <v>516.8394</v>
      </c>
      <c r="I587" s="9" t="s">
        <v>119</v>
      </c>
      <c r="J587" s="59">
        <v>460148.0</v>
      </c>
      <c r="K587" s="326">
        <f t="shared" si="287"/>
        <v>2067.3576</v>
      </c>
      <c r="L587" s="301">
        <f t="shared" si="298"/>
        <v>826.94304</v>
      </c>
      <c r="M587" s="452">
        <v>678.0</v>
      </c>
      <c r="N587" s="326">
        <v>0.21</v>
      </c>
      <c r="O587" s="326">
        <f t="shared" si="295"/>
        <v>142.38</v>
      </c>
      <c r="P587" s="326">
        <f t="shared" si="296"/>
        <v>820.38</v>
      </c>
      <c r="Q587" s="326">
        <v>0.37</v>
      </c>
      <c r="R587" s="326">
        <f t="shared" si="297"/>
        <v>303.5406</v>
      </c>
      <c r="S587" s="6"/>
      <c r="T587" s="6"/>
      <c r="U587" s="6"/>
      <c r="V587" s="6"/>
      <c r="W587" s="6"/>
    </row>
    <row r="588" ht="12.0" customHeight="1">
      <c r="A588" s="14"/>
      <c r="B588" s="82"/>
      <c r="C588" s="82"/>
      <c r="D588" s="296" t="s">
        <v>907</v>
      </c>
      <c r="E588" s="450" t="s">
        <v>1113</v>
      </c>
      <c r="F588" s="284">
        <v>6.0</v>
      </c>
      <c r="G588" s="284"/>
      <c r="H588" s="445">
        <f t="shared" si="294"/>
        <v>426.1257</v>
      </c>
      <c r="I588" s="284" t="s">
        <v>119</v>
      </c>
      <c r="J588" s="295">
        <v>460142.0</v>
      </c>
      <c r="K588" s="446">
        <f t="shared" si="287"/>
        <v>2556.7542</v>
      </c>
      <c r="L588" s="301">
        <f t="shared" si="298"/>
        <v>681.80112</v>
      </c>
      <c r="M588" s="446">
        <v>559.0</v>
      </c>
      <c r="N588" s="446">
        <v>0.21</v>
      </c>
      <c r="O588" s="446">
        <f t="shared" si="295"/>
        <v>117.39</v>
      </c>
      <c r="P588" s="446">
        <f t="shared" si="296"/>
        <v>676.39</v>
      </c>
      <c r="Q588" s="446">
        <v>0.37</v>
      </c>
      <c r="R588" s="446">
        <f t="shared" si="297"/>
        <v>250.2643</v>
      </c>
      <c r="S588" s="353" t="s">
        <v>1116</v>
      </c>
      <c r="T588" s="6"/>
      <c r="U588" s="6"/>
      <c r="V588" s="6"/>
      <c r="W588" s="6"/>
    </row>
    <row r="589" ht="12.0" customHeight="1">
      <c r="A589" s="14"/>
      <c r="B589" s="82"/>
      <c r="C589" s="82"/>
      <c r="D589" s="297" t="s">
        <v>907</v>
      </c>
      <c r="E589" s="131" t="s">
        <v>1115</v>
      </c>
      <c r="F589" s="9">
        <v>12.0</v>
      </c>
      <c r="G589" s="9"/>
      <c r="H589" s="345">
        <f t="shared" si="294"/>
        <v>459.6669</v>
      </c>
      <c r="I589" s="9" t="s">
        <v>119</v>
      </c>
      <c r="J589" s="33">
        <v>460143.0</v>
      </c>
      <c r="K589" s="326">
        <f t="shared" si="287"/>
        <v>5516.0028</v>
      </c>
      <c r="L589" s="301">
        <f t="shared" si="298"/>
        <v>735.46704</v>
      </c>
      <c r="M589" s="326">
        <v>603.0</v>
      </c>
      <c r="N589" s="326">
        <v>0.21</v>
      </c>
      <c r="O589" s="326">
        <f t="shared" si="295"/>
        <v>126.63</v>
      </c>
      <c r="P589" s="326">
        <f t="shared" si="296"/>
        <v>729.63</v>
      </c>
      <c r="Q589" s="326">
        <v>0.37</v>
      </c>
      <c r="R589" s="326">
        <f t="shared" si="297"/>
        <v>269.9631</v>
      </c>
      <c r="S589" s="353" t="s">
        <v>1117</v>
      </c>
      <c r="T589" s="6"/>
      <c r="U589" s="6"/>
      <c r="V589" s="6"/>
      <c r="W589" s="6"/>
    </row>
    <row r="590" ht="12.0" customHeight="1">
      <c r="A590" s="14"/>
      <c r="B590" s="82"/>
      <c r="C590" s="82"/>
      <c r="D590" s="296" t="s">
        <v>909</v>
      </c>
      <c r="E590" s="450" t="s">
        <v>1113</v>
      </c>
      <c r="F590" s="284">
        <v>5.0</v>
      </c>
      <c r="G590" s="284"/>
      <c r="H590" s="445">
        <v>300.0</v>
      </c>
      <c r="I590" s="284" t="s">
        <v>576</v>
      </c>
      <c r="J590" s="295" t="s">
        <v>1118</v>
      </c>
      <c r="K590" s="446">
        <f t="shared" si="287"/>
        <v>1500</v>
      </c>
      <c r="L590" s="301">
        <f t="shared" si="298"/>
        <v>480</v>
      </c>
      <c r="M590" s="446"/>
      <c r="N590" s="446"/>
      <c r="O590" s="446"/>
      <c r="P590" s="446"/>
      <c r="Q590" s="446"/>
      <c r="R590" s="446"/>
      <c r="S590" s="353"/>
      <c r="T590" s="6"/>
      <c r="U590" s="6"/>
      <c r="V590" s="6"/>
      <c r="W590" s="6"/>
    </row>
    <row r="591" ht="12.0" customHeight="1">
      <c r="A591" s="14"/>
      <c r="B591" s="82"/>
      <c r="C591" s="82"/>
      <c r="D591" s="297" t="s">
        <v>909</v>
      </c>
      <c r="E591" s="131" t="s">
        <v>1115</v>
      </c>
      <c r="F591" s="9">
        <v>7.0</v>
      </c>
      <c r="G591" s="9"/>
      <c r="H591" s="345">
        <f t="shared" ref="H591:H592" si="299">(P591-R591)</f>
        <v>419.265</v>
      </c>
      <c r="I591" s="9" t="s">
        <v>119</v>
      </c>
      <c r="J591" s="276" t="s">
        <v>1119</v>
      </c>
      <c r="K591" s="326">
        <f t="shared" si="287"/>
        <v>2934.855</v>
      </c>
      <c r="L591" s="301">
        <f t="shared" si="298"/>
        <v>670.824</v>
      </c>
      <c r="M591" s="326">
        <v>550.0</v>
      </c>
      <c r="N591" s="326">
        <v>0.21</v>
      </c>
      <c r="O591" s="326">
        <f t="shared" ref="O591:O592" si="300">M591*N591</f>
        <v>115.5</v>
      </c>
      <c r="P591" s="326">
        <f t="shared" ref="P591:P592" si="301">SUM(M591+O591)</f>
        <v>665.5</v>
      </c>
      <c r="Q591" s="326">
        <v>0.37</v>
      </c>
      <c r="R591" s="326">
        <f t="shared" ref="R591:R592" si="302">P591*Q591</f>
        <v>246.235</v>
      </c>
      <c r="S591" s="353" t="s">
        <v>1120</v>
      </c>
      <c r="T591" s="6"/>
      <c r="U591" s="6"/>
      <c r="V591" s="6"/>
      <c r="W591" s="6"/>
    </row>
    <row r="592" ht="12.0" customHeight="1">
      <c r="A592" s="14"/>
      <c r="B592" s="82"/>
      <c r="C592" s="82"/>
      <c r="D592" s="296" t="s">
        <v>1121</v>
      </c>
      <c r="E592" s="450" t="s">
        <v>1115</v>
      </c>
      <c r="F592" s="286">
        <v>8.0</v>
      </c>
      <c r="G592" s="294"/>
      <c r="H592" s="445">
        <f t="shared" si="299"/>
        <v>502.3557</v>
      </c>
      <c r="I592" s="286" t="s">
        <v>119</v>
      </c>
      <c r="J592" s="295">
        <v>460109.0</v>
      </c>
      <c r="K592" s="446">
        <f t="shared" si="287"/>
        <v>4018.8456</v>
      </c>
      <c r="L592" s="301">
        <f t="shared" si="298"/>
        <v>803.76912</v>
      </c>
      <c r="M592" s="446">
        <v>659.0</v>
      </c>
      <c r="N592" s="446">
        <v>0.21</v>
      </c>
      <c r="O592" s="446">
        <f t="shared" si="300"/>
        <v>138.39</v>
      </c>
      <c r="P592" s="446">
        <f t="shared" si="301"/>
        <v>797.39</v>
      </c>
      <c r="Q592" s="446">
        <v>0.37</v>
      </c>
      <c r="R592" s="446">
        <f t="shared" si="302"/>
        <v>295.0343</v>
      </c>
      <c r="S592" s="6"/>
      <c r="T592" s="6"/>
      <c r="U592" s="6"/>
      <c r="V592" s="6"/>
      <c r="W592" s="6"/>
    </row>
    <row r="593" ht="12.0" customHeight="1">
      <c r="A593" s="14"/>
      <c r="B593" s="82"/>
      <c r="C593" s="82"/>
      <c r="D593" s="296" t="s">
        <v>913</v>
      </c>
      <c r="E593" s="450" t="s">
        <v>1115</v>
      </c>
      <c r="F593" s="286">
        <v>4.0</v>
      </c>
      <c r="G593" s="294"/>
      <c r="H593" s="445">
        <v>689.0</v>
      </c>
      <c r="I593" s="286" t="s">
        <v>576</v>
      </c>
      <c r="J593" s="295" t="s">
        <v>1122</v>
      </c>
      <c r="K593" s="446">
        <f t="shared" si="287"/>
        <v>2756</v>
      </c>
      <c r="L593" s="301">
        <f t="shared" si="298"/>
        <v>1102.4</v>
      </c>
      <c r="M593" s="446"/>
      <c r="N593" s="446"/>
      <c r="O593" s="446"/>
      <c r="P593" s="446"/>
      <c r="Q593" s="446"/>
      <c r="R593" s="446"/>
      <c r="S593" s="6"/>
      <c r="T593" s="6"/>
      <c r="U593" s="6"/>
      <c r="V593" s="6"/>
      <c r="W593" s="6"/>
    </row>
    <row r="594" ht="12.0" customHeight="1">
      <c r="A594" s="14"/>
      <c r="B594" s="82"/>
      <c r="C594" s="82"/>
      <c r="D594" s="297" t="s">
        <v>1123</v>
      </c>
      <c r="E594" s="131" t="s">
        <v>1124</v>
      </c>
      <c r="F594" s="9">
        <v>60.0</v>
      </c>
      <c r="G594" s="9" t="s">
        <v>760</v>
      </c>
      <c r="H594" s="345">
        <f>(P594-R594)</f>
        <v>73.1808</v>
      </c>
      <c r="I594" s="9" t="s">
        <v>119</v>
      </c>
      <c r="J594" s="59">
        <v>460061.0</v>
      </c>
      <c r="K594" s="326">
        <f t="shared" si="287"/>
        <v>4390.848</v>
      </c>
      <c r="L594" s="301">
        <f>H594*1.85</f>
        <v>135.38448</v>
      </c>
      <c r="M594" s="326">
        <v>96.0</v>
      </c>
      <c r="N594" s="326">
        <v>0.21</v>
      </c>
      <c r="O594" s="326">
        <f>M594*N594</f>
        <v>20.16</v>
      </c>
      <c r="P594" s="326">
        <f>SUM(M594+O594)</f>
        <v>116.16</v>
      </c>
      <c r="Q594" s="326">
        <v>0.37</v>
      </c>
      <c r="R594" s="326">
        <f>P594*Q594</f>
        <v>42.9792</v>
      </c>
      <c r="S594" s="6"/>
      <c r="T594" s="6"/>
      <c r="U594" s="6"/>
      <c r="V594" s="6"/>
      <c r="W594" s="6"/>
    </row>
    <row r="595" ht="12.0" customHeight="1">
      <c r="A595" s="14"/>
      <c r="B595" s="82"/>
      <c r="C595" s="82"/>
      <c r="D595" s="297" t="s">
        <v>1125</v>
      </c>
      <c r="E595" s="131" t="s">
        <v>1124</v>
      </c>
      <c r="F595" s="9">
        <v>20.0</v>
      </c>
      <c r="G595" s="9" t="s">
        <v>624</v>
      </c>
      <c r="H595" s="345">
        <v>48.0</v>
      </c>
      <c r="I595" s="9" t="s">
        <v>576</v>
      </c>
      <c r="J595" s="59" t="s">
        <v>1126</v>
      </c>
      <c r="K595" s="326">
        <f t="shared" si="287"/>
        <v>960</v>
      </c>
      <c r="L595" s="301">
        <f>H595*1.8</f>
        <v>86.4</v>
      </c>
      <c r="M595" s="326"/>
      <c r="N595" s="326"/>
      <c r="O595" s="326"/>
      <c r="P595" s="326"/>
      <c r="Q595" s="326"/>
      <c r="R595" s="326"/>
      <c r="S595" s="6"/>
      <c r="T595" s="6"/>
      <c r="U595" s="6"/>
      <c r="V595" s="6"/>
      <c r="W595" s="6"/>
    </row>
    <row r="596" ht="12.0" customHeight="1">
      <c r="A596" s="14"/>
      <c r="B596" s="82"/>
      <c r="C596" s="82"/>
      <c r="D596" s="296" t="s">
        <v>904</v>
      </c>
      <c r="E596" s="450" t="s">
        <v>482</v>
      </c>
      <c r="F596" s="284">
        <v>8.0</v>
      </c>
      <c r="G596" s="284" t="s">
        <v>760</v>
      </c>
      <c r="H596" s="445">
        <f t="shared" ref="H596:H597" si="303">(P596-R596)</f>
        <v>425.3634</v>
      </c>
      <c r="I596" s="284" t="s">
        <v>119</v>
      </c>
      <c r="J596" s="295">
        <v>460162.0</v>
      </c>
      <c r="K596" s="446">
        <f t="shared" si="287"/>
        <v>3402.9072</v>
      </c>
      <c r="L596" s="301">
        <f>H596*1.6</f>
        <v>680.58144</v>
      </c>
      <c r="M596" s="446">
        <v>558.0</v>
      </c>
      <c r="N596" s="446">
        <v>0.21</v>
      </c>
      <c r="O596" s="446">
        <f t="shared" ref="O596:O597" si="304">M596*N596</f>
        <v>117.18</v>
      </c>
      <c r="P596" s="446">
        <f t="shared" ref="P596:P597" si="305">SUM(M596+O596)</f>
        <v>675.18</v>
      </c>
      <c r="Q596" s="446">
        <v>0.37</v>
      </c>
      <c r="R596" s="446">
        <f t="shared" ref="R596:R597" si="306">P596*Q596</f>
        <v>249.8166</v>
      </c>
      <c r="S596" s="353" t="s">
        <v>1127</v>
      </c>
      <c r="T596" s="6"/>
      <c r="U596" s="6"/>
      <c r="V596" s="6"/>
      <c r="W596" s="6"/>
    </row>
    <row r="597" ht="12.0" customHeight="1">
      <c r="A597" s="14"/>
      <c r="B597" s="82"/>
      <c r="C597" s="82"/>
      <c r="D597" s="453" t="s">
        <v>915</v>
      </c>
      <c r="E597" s="131" t="s">
        <v>482</v>
      </c>
      <c r="F597" s="9">
        <v>20.0</v>
      </c>
      <c r="G597" s="9"/>
      <c r="H597" s="345">
        <f t="shared" si="303"/>
        <v>57.1725</v>
      </c>
      <c r="I597" s="9" t="s">
        <v>119</v>
      </c>
      <c r="J597" s="59">
        <v>630121.0</v>
      </c>
      <c r="K597" s="326">
        <f t="shared" si="287"/>
        <v>1143.45</v>
      </c>
      <c r="L597" s="301">
        <f>H597*1.7</f>
        <v>97.19325</v>
      </c>
      <c r="M597" s="326">
        <v>75.0</v>
      </c>
      <c r="N597" s="326">
        <v>0.21</v>
      </c>
      <c r="O597" s="326">
        <f t="shared" si="304"/>
        <v>15.75</v>
      </c>
      <c r="P597" s="326">
        <f t="shared" si="305"/>
        <v>90.75</v>
      </c>
      <c r="Q597" s="326">
        <v>0.37</v>
      </c>
      <c r="R597" s="326">
        <f t="shared" si="306"/>
        <v>33.5775</v>
      </c>
      <c r="S597" s="353" t="s">
        <v>1128</v>
      </c>
      <c r="T597" s="6"/>
      <c r="U597" s="6"/>
      <c r="V597" s="6"/>
      <c r="W597" s="6"/>
    </row>
    <row r="598" ht="12.0" customHeight="1">
      <c r="A598" s="14"/>
      <c r="B598" s="82"/>
      <c r="C598" s="82"/>
      <c r="D598" s="454" t="s">
        <v>1129</v>
      </c>
      <c r="E598" s="131" t="s">
        <v>482</v>
      </c>
      <c r="F598" s="9">
        <v>1.0</v>
      </c>
      <c r="G598" s="9"/>
      <c r="H598" s="305">
        <f>SUM(0.9*H607)</f>
        <v>725.4</v>
      </c>
      <c r="I598" s="9" t="s">
        <v>576</v>
      </c>
      <c r="J598" s="59" t="s">
        <v>1130</v>
      </c>
      <c r="K598" s="326">
        <f t="shared" si="287"/>
        <v>725.4</v>
      </c>
      <c r="L598" s="301">
        <f>H598*1.55</f>
        <v>1124.37</v>
      </c>
      <c r="M598" s="326"/>
      <c r="N598" s="326"/>
      <c r="O598" s="326"/>
      <c r="P598" s="326"/>
      <c r="Q598" s="326"/>
      <c r="R598" s="326"/>
      <c r="S598" s="6"/>
      <c r="T598" s="6"/>
      <c r="U598" s="6"/>
      <c r="V598" s="6"/>
      <c r="W598" s="6"/>
    </row>
    <row r="599" ht="12.0" customHeight="1">
      <c r="A599" s="14"/>
      <c r="B599" s="82"/>
      <c r="C599" s="82"/>
      <c r="D599" s="455" t="s">
        <v>902</v>
      </c>
      <c r="E599" s="456" t="s">
        <v>394</v>
      </c>
      <c r="F599" s="284">
        <v>20.0</v>
      </c>
      <c r="G599" s="284"/>
      <c r="H599" s="445">
        <f t="shared" ref="H599:H604" si="307">(P599-R599)</f>
        <v>67.8447</v>
      </c>
      <c r="I599" s="284" t="s">
        <v>119</v>
      </c>
      <c r="J599" s="295">
        <v>460023.0</v>
      </c>
      <c r="K599" s="446">
        <f t="shared" si="287"/>
        <v>1356.894</v>
      </c>
      <c r="L599" s="301">
        <f t="shared" ref="L599:L602" si="308">H599*1.7</f>
        <v>115.33599</v>
      </c>
      <c r="M599" s="446">
        <v>89.0</v>
      </c>
      <c r="N599" s="446">
        <v>0.21</v>
      </c>
      <c r="O599" s="446">
        <f t="shared" ref="O599:O604" si="309">M599*N599</f>
        <v>18.69</v>
      </c>
      <c r="P599" s="446">
        <f t="shared" ref="P599:P604" si="310">SUM(M599+O599)</f>
        <v>107.69</v>
      </c>
      <c r="Q599" s="446">
        <v>0.37</v>
      </c>
      <c r="R599" s="446">
        <f t="shared" ref="R599:R604" si="311">P599*Q599</f>
        <v>39.8453</v>
      </c>
      <c r="S599" s="353" t="s">
        <v>1131</v>
      </c>
      <c r="T599" s="6"/>
      <c r="U599" s="6"/>
      <c r="V599" s="6"/>
      <c r="W599" s="6"/>
    </row>
    <row r="600" ht="12.0" customHeight="1">
      <c r="A600" s="14"/>
      <c r="B600" s="82"/>
      <c r="C600" s="82"/>
      <c r="D600" s="398" t="s">
        <v>1123</v>
      </c>
      <c r="E600" s="457" t="s">
        <v>1132</v>
      </c>
      <c r="F600" s="9">
        <v>22.0</v>
      </c>
      <c r="G600" s="9"/>
      <c r="H600" s="345">
        <f t="shared" si="307"/>
        <v>111.2958</v>
      </c>
      <c r="I600" s="9" t="s">
        <v>119</v>
      </c>
      <c r="J600" s="291" t="s">
        <v>1133</v>
      </c>
      <c r="K600" s="326">
        <f t="shared" si="287"/>
        <v>2448.5076</v>
      </c>
      <c r="L600" s="301">
        <f t="shared" si="308"/>
        <v>189.20286</v>
      </c>
      <c r="M600" s="326">
        <v>146.0</v>
      </c>
      <c r="N600" s="326">
        <v>0.21</v>
      </c>
      <c r="O600" s="326">
        <f t="shared" si="309"/>
        <v>30.66</v>
      </c>
      <c r="P600" s="326">
        <f t="shared" si="310"/>
        <v>176.66</v>
      </c>
      <c r="Q600" s="326">
        <v>0.37</v>
      </c>
      <c r="R600" s="326">
        <f t="shared" si="311"/>
        <v>65.3642</v>
      </c>
      <c r="S600" s="353" t="s">
        <v>1116</v>
      </c>
      <c r="T600" s="6"/>
      <c r="U600" s="6"/>
      <c r="V600" s="6"/>
      <c r="W600" s="6"/>
    </row>
    <row r="601" ht="12.0" customHeight="1">
      <c r="A601" s="14"/>
      <c r="B601" s="82"/>
      <c r="C601" s="82"/>
      <c r="D601" s="455" t="s">
        <v>1134</v>
      </c>
      <c r="E601" s="456" t="s">
        <v>394</v>
      </c>
      <c r="F601" s="284">
        <v>20.0</v>
      </c>
      <c r="G601" s="284"/>
      <c r="H601" s="445">
        <f t="shared" si="307"/>
        <v>105.1974</v>
      </c>
      <c r="I601" s="284" t="s">
        <v>119</v>
      </c>
      <c r="J601" s="290" t="s">
        <v>1135</v>
      </c>
      <c r="K601" s="446">
        <f t="shared" si="287"/>
        <v>2103.948</v>
      </c>
      <c r="L601" s="301">
        <f t="shared" si="308"/>
        <v>178.83558</v>
      </c>
      <c r="M601" s="446">
        <v>138.0</v>
      </c>
      <c r="N601" s="446">
        <v>0.21</v>
      </c>
      <c r="O601" s="446">
        <f t="shared" si="309"/>
        <v>28.98</v>
      </c>
      <c r="P601" s="446">
        <f t="shared" si="310"/>
        <v>166.98</v>
      </c>
      <c r="Q601" s="446">
        <v>0.37</v>
      </c>
      <c r="R601" s="446">
        <f t="shared" si="311"/>
        <v>61.7826</v>
      </c>
      <c r="S601" s="353" t="s">
        <v>1136</v>
      </c>
      <c r="T601" s="6"/>
      <c r="U601" s="6"/>
      <c r="V601" s="6"/>
      <c r="W601" s="6"/>
    </row>
    <row r="602" ht="12.0" customHeight="1">
      <c r="A602" s="14"/>
      <c r="B602" s="82"/>
      <c r="C602" s="82"/>
      <c r="D602" s="234" t="s">
        <v>1137</v>
      </c>
      <c r="E602" s="457" t="s">
        <v>394</v>
      </c>
      <c r="F602" s="9">
        <v>13.0</v>
      </c>
      <c r="G602" s="9"/>
      <c r="H602" s="345">
        <f t="shared" si="307"/>
        <v>157.7961</v>
      </c>
      <c r="I602" s="9" t="s">
        <v>119</v>
      </c>
      <c r="J602" s="291" t="s">
        <v>1138</v>
      </c>
      <c r="K602" s="326">
        <f t="shared" si="287"/>
        <v>2051.3493</v>
      </c>
      <c r="L602" s="301">
        <f t="shared" si="308"/>
        <v>268.25337</v>
      </c>
      <c r="M602" s="326">
        <v>207.0</v>
      </c>
      <c r="N602" s="326">
        <v>0.21</v>
      </c>
      <c r="O602" s="326">
        <f t="shared" si="309"/>
        <v>43.47</v>
      </c>
      <c r="P602" s="326">
        <f t="shared" si="310"/>
        <v>250.47</v>
      </c>
      <c r="Q602" s="326">
        <v>0.37</v>
      </c>
      <c r="R602" s="326">
        <f t="shared" si="311"/>
        <v>92.6739</v>
      </c>
      <c r="S602" s="6"/>
      <c r="T602" s="6"/>
      <c r="U602" s="6"/>
      <c r="V602" s="6"/>
      <c r="W602" s="6"/>
    </row>
    <row r="603" ht="12.0" customHeight="1">
      <c r="A603" s="14"/>
      <c r="B603" s="82"/>
      <c r="C603" s="82"/>
      <c r="D603" s="455" t="s">
        <v>904</v>
      </c>
      <c r="E603" s="456" t="s">
        <v>394</v>
      </c>
      <c r="F603" s="284">
        <v>2.0</v>
      </c>
      <c r="G603" s="284"/>
      <c r="H603" s="445">
        <f t="shared" si="307"/>
        <v>505.4049</v>
      </c>
      <c r="I603" s="284" t="s">
        <v>119</v>
      </c>
      <c r="J603" s="295">
        <v>460163.0</v>
      </c>
      <c r="K603" s="446">
        <f t="shared" si="287"/>
        <v>1010.8098</v>
      </c>
      <c r="L603" s="301">
        <f>H603*1.6</f>
        <v>808.64784</v>
      </c>
      <c r="M603" s="446">
        <v>663.0</v>
      </c>
      <c r="N603" s="446">
        <v>0.21</v>
      </c>
      <c r="O603" s="446">
        <f t="shared" si="309"/>
        <v>139.23</v>
      </c>
      <c r="P603" s="446">
        <f t="shared" si="310"/>
        <v>802.23</v>
      </c>
      <c r="Q603" s="446">
        <v>0.37</v>
      </c>
      <c r="R603" s="446">
        <f t="shared" si="311"/>
        <v>296.8251</v>
      </c>
      <c r="S603" s="6"/>
      <c r="T603" s="6"/>
      <c r="U603" s="6"/>
      <c r="V603" s="6"/>
      <c r="W603" s="6"/>
    </row>
    <row r="604" ht="12.0" customHeight="1">
      <c r="A604" s="14"/>
      <c r="B604" s="82"/>
      <c r="C604" s="82"/>
      <c r="D604" s="458" t="s">
        <v>915</v>
      </c>
      <c r="E604" s="457" t="s">
        <v>394</v>
      </c>
      <c r="F604" s="9">
        <v>20.0</v>
      </c>
      <c r="G604" s="9"/>
      <c r="H604" s="345">
        <f t="shared" si="307"/>
        <v>73.1808</v>
      </c>
      <c r="I604" s="9" t="s">
        <v>119</v>
      </c>
      <c r="J604" s="24">
        <v>630122.0</v>
      </c>
      <c r="K604" s="326">
        <f t="shared" si="287"/>
        <v>1463.616</v>
      </c>
      <c r="L604" s="301">
        <f>H604*1.7</f>
        <v>124.40736</v>
      </c>
      <c r="M604" s="326">
        <v>96.0</v>
      </c>
      <c r="N604" s="326">
        <v>0.21</v>
      </c>
      <c r="O604" s="326">
        <f t="shared" si="309"/>
        <v>20.16</v>
      </c>
      <c r="P604" s="326">
        <f t="shared" si="310"/>
        <v>116.16</v>
      </c>
      <c r="Q604" s="326">
        <v>0.37</v>
      </c>
      <c r="R604" s="326">
        <f t="shared" si="311"/>
        <v>42.9792</v>
      </c>
      <c r="S604" s="6"/>
      <c r="T604" s="6"/>
      <c r="U604" s="6"/>
      <c r="V604" s="6"/>
      <c r="W604" s="6"/>
    </row>
    <row r="605" ht="12.0" customHeight="1">
      <c r="A605" s="14"/>
      <c r="B605" s="82"/>
      <c r="C605" s="82"/>
      <c r="D605" s="458" t="s">
        <v>909</v>
      </c>
      <c r="E605" s="457" t="s">
        <v>1139</v>
      </c>
      <c r="F605" s="9">
        <v>4.0</v>
      </c>
      <c r="G605" s="9"/>
      <c r="H605" s="345">
        <v>610.0</v>
      </c>
      <c r="I605" s="9" t="s">
        <v>576</v>
      </c>
      <c r="J605" s="24" t="s">
        <v>1140</v>
      </c>
      <c r="K605" s="326">
        <f t="shared" si="287"/>
        <v>2440</v>
      </c>
      <c r="L605" s="301">
        <f>H605*1.55</f>
        <v>945.5</v>
      </c>
      <c r="M605" s="326"/>
      <c r="N605" s="326"/>
      <c r="O605" s="326"/>
      <c r="P605" s="326"/>
      <c r="Q605" s="326"/>
      <c r="R605" s="326"/>
      <c r="S605" s="6"/>
      <c r="T605" s="6"/>
      <c r="U605" s="6"/>
      <c r="V605" s="6"/>
      <c r="W605" s="6"/>
    </row>
    <row r="606" ht="12.0" customHeight="1">
      <c r="A606" s="14"/>
      <c r="B606" s="82"/>
      <c r="C606" s="82"/>
      <c r="D606" s="458" t="s">
        <v>1121</v>
      </c>
      <c r="E606" s="457" t="s">
        <v>1139</v>
      </c>
      <c r="F606" s="9">
        <v>0.0</v>
      </c>
      <c r="G606" s="9"/>
      <c r="H606" s="345">
        <f>(P606-R606)</f>
        <v>907.137</v>
      </c>
      <c r="I606" s="9" t="s">
        <v>119</v>
      </c>
      <c r="J606" s="24">
        <v>460110.0</v>
      </c>
      <c r="K606" s="326">
        <f t="shared" si="287"/>
        <v>0</v>
      </c>
      <c r="L606" s="301">
        <f>H606*1.6</f>
        <v>1451.4192</v>
      </c>
      <c r="M606" s="326">
        <v>1190.0</v>
      </c>
      <c r="N606" s="326">
        <v>0.21</v>
      </c>
      <c r="O606" s="326">
        <f>M606*N606</f>
        <v>249.9</v>
      </c>
      <c r="P606" s="326">
        <f>SUM(M606+O606)</f>
        <v>1439.9</v>
      </c>
      <c r="Q606" s="326">
        <v>0.37</v>
      </c>
      <c r="R606" s="326">
        <f>P606*Q606</f>
        <v>532.763</v>
      </c>
      <c r="S606" s="6"/>
      <c r="T606" s="6"/>
      <c r="U606" s="6"/>
      <c r="V606" s="6"/>
      <c r="W606" s="6"/>
    </row>
    <row r="607" ht="12.0" customHeight="1">
      <c r="A607" s="14"/>
      <c r="B607" s="82"/>
      <c r="C607" s="82"/>
      <c r="D607" s="459" t="s">
        <v>1141</v>
      </c>
      <c r="E607" s="457" t="s">
        <v>394</v>
      </c>
      <c r="F607" s="9">
        <v>2.0</v>
      </c>
      <c r="G607" s="9"/>
      <c r="H607" s="387">
        <v>806.0</v>
      </c>
      <c r="I607" s="9" t="s">
        <v>576</v>
      </c>
      <c r="J607" s="24" t="s">
        <v>1142</v>
      </c>
      <c r="K607" s="326">
        <f t="shared" si="287"/>
        <v>1612</v>
      </c>
      <c r="L607" s="301">
        <f>H607*1.55</f>
        <v>1249.3</v>
      </c>
      <c r="M607" s="326"/>
      <c r="N607" s="326"/>
      <c r="O607" s="326"/>
      <c r="P607" s="326"/>
      <c r="Q607" s="326"/>
      <c r="R607" s="326"/>
      <c r="S607" s="6"/>
      <c r="T607" s="6"/>
      <c r="U607" s="6"/>
      <c r="V607" s="6"/>
      <c r="W607" s="6"/>
    </row>
    <row r="608" ht="12.0" customHeight="1">
      <c r="A608" s="14"/>
      <c r="B608" s="82"/>
      <c r="C608" s="82"/>
      <c r="D608" s="459" t="s">
        <v>1143</v>
      </c>
      <c r="E608" s="457" t="s">
        <v>394</v>
      </c>
      <c r="F608" s="9">
        <v>2.0</v>
      </c>
      <c r="G608" s="9" t="s">
        <v>804</v>
      </c>
      <c r="H608" s="305">
        <f>SUM(0.5*H607)</f>
        <v>403</v>
      </c>
      <c r="I608" s="9" t="s">
        <v>17</v>
      </c>
      <c r="J608" s="24">
        <v>80903.0</v>
      </c>
      <c r="K608" s="326">
        <f t="shared" si="287"/>
        <v>806</v>
      </c>
      <c r="L608" s="301">
        <f>H608*1.7</f>
        <v>685.1</v>
      </c>
      <c r="M608" s="326"/>
      <c r="N608" s="326"/>
      <c r="O608" s="326"/>
      <c r="P608" s="326"/>
      <c r="Q608" s="326"/>
      <c r="R608" s="326"/>
      <c r="S608" s="6"/>
      <c r="T608" s="6"/>
      <c r="U608" s="6"/>
      <c r="V608" s="6"/>
      <c r="W608" s="6"/>
    </row>
    <row r="609" ht="12.0" customHeight="1">
      <c r="A609" s="14"/>
      <c r="B609" s="82"/>
      <c r="C609" s="82"/>
      <c r="D609" s="459" t="s">
        <v>1144</v>
      </c>
      <c r="E609" s="457" t="s">
        <v>339</v>
      </c>
      <c r="F609" s="9">
        <v>1.0</v>
      </c>
      <c r="G609" s="9"/>
      <c r="H609" s="305">
        <f>SUM(1*H607)</f>
        <v>806</v>
      </c>
      <c r="I609" s="9" t="s">
        <v>576</v>
      </c>
      <c r="J609" s="24" t="s">
        <v>1145</v>
      </c>
      <c r="K609" s="326">
        <f t="shared" si="287"/>
        <v>806</v>
      </c>
      <c r="L609" s="301">
        <f>H609*1.55</f>
        <v>1249.3</v>
      </c>
      <c r="M609" s="326"/>
      <c r="N609" s="326"/>
      <c r="O609" s="326"/>
      <c r="P609" s="326"/>
      <c r="Q609" s="326"/>
      <c r="R609" s="326"/>
      <c r="S609" s="6"/>
      <c r="T609" s="6"/>
      <c r="U609" s="6"/>
      <c r="V609" s="6"/>
      <c r="W609" s="6"/>
    </row>
    <row r="610" ht="12.0" customHeight="1">
      <c r="A610" s="14"/>
      <c r="B610" s="82"/>
      <c r="C610" s="82"/>
      <c r="D610" s="459" t="s">
        <v>1146</v>
      </c>
      <c r="E610" s="457" t="s">
        <v>339</v>
      </c>
      <c r="F610" s="9">
        <v>2.0</v>
      </c>
      <c r="G610" s="9"/>
      <c r="H610" s="345">
        <v>130.0</v>
      </c>
      <c r="I610" s="9" t="s">
        <v>576</v>
      </c>
      <c r="J610" s="24" t="s">
        <v>1147</v>
      </c>
      <c r="K610" s="326">
        <f t="shared" si="287"/>
        <v>260</v>
      </c>
      <c r="L610" s="301">
        <f>H610*1.75</f>
        <v>227.5</v>
      </c>
      <c r="M610" s="326"/>
      <c r="N610" s="326"/>
      <c r="O610" s="326"/>
      <c r="P610" s="326"/>
      <c r="Q610" s="326"/>
      <c r="R610" s="326"/>
      <c r="S610" s="6"/>
      <c r="T610" s="6"/>
      <c r="U610" s="6"/>
      <c r="V610" s="6"/>
      <c r="W610" s="6"/>
    </row>
    <row r="611" ht="12.0" customHeight="1">
      <c r="A611" s="14"/>
      <c r="B611" s="82"/>
      <c r="C611" s="82"/>
      <c r="D611" s="459" t="s">
        <v>1148</v>
      </c>
      <c r="E611" s="457" t="s">
        <v>1149</v>
      </c>
      <c r="F611" s="9">
        <v>2.0</v>
      </c>
      <c r="G611" s="9"/>
      <c r="H611" s="305">
        <f>SUM(0.46*H607)</f>
        <v>370.76</v>
      </c>
      <c r="I611" s="9" t="s">
        <v>576</v>
      </c>
      <c r="J611" s="24" t="s">
        <v>1150</v>
      </c>
      <c r="K611" s="326">
        <f t="shared" si="287"/>
        <v>741.52</v>
      </c>
      <c r="L611" s="301">
        <f>H611*1.55</f>
        <v>574.678</v>
      </c>
      <c r="M611" s="326"/>
      <c r="N611" s="326"/>
      <c r="O611" s="326"/>
      <c r="P611" s="326"/>
      <c r="Q611" s="326"/>
      <c r="R611" s="326"/>
      <c r="S611" s="6"/>
      <c r="T611" s="6"/>
      <c r="U611" s="6"/>
      <c r="V611" s="6"/>
      <c r="W611" s="6"/>
    </row>
    <row r="612" ht="12.0" customHeight="1">
      <c r="A612" s="14"/>
      <c r="B612" s="212"/>
      <c r="C612" s="212"/>
      <c r="D612" s="460" t="s">
        <v>1151</v>
      </c>
      <c r="E612" s="285" t="s">
        <v>308</v>
      </c>
      <c r="F612" s="284">
        <v>6.0</v>
      </c>
      <c r="G612" s="284" t="s">
        <v>750</v>
      </c>
      <c r="H612" s="445">
        <f t="shared" ref="H612:H618" si="312">(P612-R612)</f>
        <v>73.1808</v>
      </c>
      <c r="I612" s="286" t="s">
        <v>119</v>
      </c>
      <c r="J612" s="461" t="s">
        <v>1152</v>
      </c>
      <c r="K612" s="446">
        <f t="shared" si="287"/>
        <v>439.0848</v>
      </c>
      <c r="L612" s="301">
        <f t="shared" ref="L612:L618" si="313">H612*1.7</f>
        <v>124.40736</v>
      </c>
      <c r="M612" s="446">
        <v>96.0</v>
      </c>
      <c r="N612" s="446">
        <v>0.21</v>
      </c>
      <c r="O612" s="446">
        <f t="shared" ref="O612:O618" si="314">M612*N612</f>
        <v>20.16</v>
      </c>
      <c r="P612" s="446">
        <f t="shared" ref="P612:P618" si="315">SUM(M612+O612)</f>
        <v>116.16</v>
      </c>
      <c r="Q612" s="446">
        <v>0.37</v>
      </c>
      <c r="R612" s="446">
        <f t="shared" ref="R612:R618" si="316">P612*Q612</f>
        <v>42.9792</v>
      </c>
      <c r="S612" s="6"/>
      <c r="T612" s="6"/>
      <c r="U612" s="6"/>
      <c r="V612" s="6"/>
      <c r="W612" s="6"/>
    </row>
    <row r="613" ht="12.0" customHeight="1">
      <c r="A613" s="14"/>
      <c r="B613" s="212"/>
      <c r="C613" s="212"/>
      <c r="D613" s="31" t="s">
        <v>1153</v>
      </c>
      <c r="E613" s="191" t="s">
        <v>308</v>
      </c>
      <c r="F613" s="9">
        <v>10.0</v>
      </c>
      <c r="G613" s="9"/>
      <c r="H613" s="345">
        <f t="shared" si="312"/>
        <v>98.3367</v>
      </c>
      <c r="I613" s="9" t="s">
        <v>119</v>
      </c>
      <c r="J613" s="24" t="s">
        <v>1154</v>
      </c>
      <c r="K613" s="326">
        <f t="shared" si="287"/>
        <v>983.367</v>
      </c>
      <c r="L613" s="301">
        <f t="shared" si="313"/>
        <v>167.17239</v>
      </c>
      <c r="M613" s="326">
        <v>129.0</v>
      </c>
      <c r="N613" s="326">
        <v>0.21</v>
      </c>
      <c r="O613" s="326">
        <f t="shared" si="314"/>
        <v>27.09</v>
      </c>
      <c r="P613" s="326">
        <f t="shared" si="315"/>
        <v>156.09</v>
      </c>
      <c r="Q613" s="326">
        <v>0.37</v>
      </c>
      <c r="R613" s="326">
        <f t="shared" si="316"/>
        <v>57.7533</v>
      </c>
      <c r="S613" s="6"/>
      <c r="T613" s="6"/>
      <c r="U613" s="6"/>
      <c r="V613" s="6"/>
      <c r="W613" s="6"/>
    </row>
    <row r="614" ht="12.0" customHeight="1">
      <c r="A614" s="14"/>
      <c r="B614" s="212"/>
      <c r="C614" s="212"/>
      <c r="D614" s="460" t="s">
        <v>1155</v>
      </c>
      <c r="E614" s="289" t="s">
        <v>308</v>
      </c>
      <c r="F614" s="284">
        <v>20.0</v>
      </c>
      <c r="G614" s="284"/>
      <c r="H614" s="445">
        <f t="shared" si="312"/>
        <v>56.4102</v>
      </c>
      <c r="I614" s="284" t="s">
        <v>119</v>
      </c>
      <c r="J614" s="461" t="s">
        <v>1156</v>
      </c>
      <c r="K614" s="446">
        <f t="shared" si="287"/>
        <v>1128.204</v>
      </c>
      <c r="L614" s="301">
        <f t="shared" si="313"/>
        <v>95.89734</v>
      </c>
      <c r="M614" s="446">
        <v>74.0</v>
      </c>
      <c r="N614" s="446">
        <v>0.21</v>
      </c>
      <c r="O614" s="446">
        <f t="shared" si="314"/>
        <v>15.54</v>
      </c>
      <c r="P614" s="446">
        <f t="shared" si="315"/>
        <v>89.54</v>
      </c>
      <c r="Q614" s="446">
        <v>0.37</v>
      </c>
      <c r="R614" s="446">
        <f t="shared" si="316"/>
        <v>33.1298</v>
      </c>
      <c r="S614" s="6"/>
      <c r="T614" s="6"/>
      <c r="U614" s="6"/>
      <c r="V614" s="6"/>
      <c r="W614" s="6"/>
    </row>
    <row r="615" ht="12.0" customHeight="1">
      <c r="A615" s="14"/>
      <c r="B615" s="212"/>
      <c r="C615" s="212"/>
      <c r="D615" s="33" t="s">
        <v>1157</v>
      </c>
      <c r="E615" s="191" t="s">
        <v>308</v>
      </c>
      <c r="F615" s="9">
        <v>4.0</v>
      </c>
      <c r="G615" s="9"/>
      <c r="H615" s="345">
        <f t="shared" si="312"/>
        <v>89.1891</v>
      </c>
      <c r="I615" s="9" t="s">
        <v>119</v>
      </c>
      <c r="J615" s="59" t="s">
        <v>1158</v>
      </c>
      <c r="K615" s="326">
        <f t="shared" si="287"/>
        <v>356.7564</v>
      </c>
      <c r="L615" s="301">
        <f t="shared" si="313"/>
        <v>151.62147</v>
      </c>
      <c r="M615" s="326">
        <v>117.0</v>
      </c>
      <c r="N615" s="326">
        <v>0.21</v>
      </c>
      <c r="O615" s="326">
        <f t="shared" si="314"/>
        <v>24.57</v>
      </c>
      <c r="P615" s="326">
        <f t="shared" si="315"/>
        <v>141.57</v>
      </c>
      <c r="Q615" s="326">
        <v>0.37</v>
      </c>
      <c r="R615" s="326">
        <f t="shared" si="316"/>
        <v>52.3809</v>
      </c>
      <c r="S615" s="6"/>
      <c r="T615" s="6"/>
      <c r="U615" s="6"/>
      <c r="V615" s="6"/>
      <c r="W615" s="6"/>
    </row>
    <row r="616" ht="12.0" customHeight="1">
      <c r="A616" s="14"/>
      <c r="B616" s="212"/>
      <c r="C616" s="212"/>
      <c r="D616" s="462" t="s">
        <v>1159</v>
      </c>
      <c r="E616" s="463" t="s">
        <v>309</v>
      </c>
      <c r="F616" s="284">
        <v>6.0</v>
      </c>
      <c r="G616" s="284"/>
      <c r="H616" s="445">
        <f t="shared" si="312"/>
        <v>94.5252</v>
      </c>
      <c r="I616" s="284" t="s">
        <v>119</v>
      </c>
      <c r="J616" s="461" t="s">
        <v>1160</v>
      </c>
      <c r="K616" s="446">
        <f t="shared" si="287"/>
        <v>567.1512</v>
      </c>
      <c r="L616" s="301">
        <f t="shared" si="313"/>
        <v>160.69284</v>
      </c>
      <c r="M616" s="446">
        <v>124.0</v>
      </c>
      <c r="N616" s="446">
        <v>0.21</v>
      </c>
      <c r="O616" s="446">
        <f t="shared" si="314"/>
        <v>26.04</v>
      </c>
      <c r="P616" s="446">
        <f t="shared" si="315"/>
        <v>150.04</v>
      </c>
      <c r="Q616" s="446">
        <v>0.37</v>
      </c>
      <c r="R616" s="446">
        <f t="shared" si="316"/>
        <v>55.5148</v>
      </c>
      <c r="S616" s="6"/>
      <c r="T616" s="6"/>
      <c r="U616" s="6"/>
      <c r="V616" s="6"/>
      <c r="W616" s="6"/>
    </row>
    <row r="617" ht="12.0" customHeight="1">
      <c r="A617" s="14"/>
      <c r="B617" s="212"/>
      <c r="C617" s="212"/>
      <c r="D617" s="197" t="s">
        <v>1153</v>
      </c>
      <c r="E617" s="229" t="s">
        <v>309</v>
      </c>
      <c r="F617" s="9">
        <v>10.0</v>
      </c>
      <c r="G617" s="9"/>
      <c r="H617" s="345">
        <f t="shared" si="312"/>
        <v>168.4683</v>
      </c>
      <c r="I617" s="9" t="s">
        <v>119</v>
      </c>
      <c r="J617" s="24" t="s">
        <v>1161</v>
      </c>
      <c r="K617" s="326">
        <f t="shared" si="287"/>
        <v>1684.683</v>
      </c>
      <c r="L617" s="301">
        <f t="shared" si="313"/>
        <v>286.39611</v>
      </c>
      <c r="M617" s="326">
        <v>221.0</v>
      </c>
      <c r="N617" s="326">
        <v>0.21</v>
      </c>
      <c r="O617" s="326">
        <f t="shared" si="314"/>
        <v>46.41</v>
      </c>
      <c r="P617" s="326">
        <f t="shared" si="315"/>
        <v>267.41</v>
      </c>
      <c r="Q617" s="326">
        <v>0.37</v>
      </c>
      <c r="R617" s="326">
        <f t="shared" si="316"/>
        <v>98.9417</v>
      </c>
      <c r="S617" s="6"/>
      <c r="T617" s="6"/>
      <c r="U617" s="6"/>
      <c r="V617" s="6"/>
      <c r="W617" s="6"/>
    </row>
    <row r="618" ht="12.0" customHeight="1">
      <c r="A618" s="14"/>
      <c r="B618" s="212"/>
      <c r="C618" s="212"/>
      <c r="D618" s="297" t="s">
        <v>1157</v>
      </c>
      <c r="E618" s="229" t="s">
        <v>308</v>
      </c>
      <c r="F618" s="9">
        <v>4.0</v>
      </c>
      <c r="G618" s="9"/>
      <c r="H618" s="345">
        <f t="shared" si="312"/>
        <v>178.3782</v>
      </c>
      <c r="I618" s="9" t="s">
        <v>119</v>
      </c>
      <c r="J618" s="59" t="s">
        <v>1162</v>
      </c>
      <c r="K618" s="326">
        <f t="shared" si="287"/>
        <v>713.5128</v>
      </c>
      <c r="L618" s="301">
        <f t="shared" si="313"/>
        <v>303.24294</v>
      </c>
      <c r="M618" s="326">
        <v>234.0</v>
      </c>
      <c r="N618" s="326">
        <v>0.21</v>
      </c>
      <c r="O618" s="326">
        <f t="shared" si="314"/>
        <v>49.14</v>
      </c>
      <c r="P618" s="326">
        <f t="shared" si="315"/>
        <v>283.14</v>
      </c>
      <c r="Q618" s="326">
        <v>0.37</v>
      </c>
      <c r="R618" s="326">
        <f t="shared" si="316"/>
        <v>104.7618</v>
      </c>
      <c r="S618" s="6"/>
      <c r="T618" s="6"/>
      <c r="U618" s="6"/>
      <c r="V618" s="6"/>
      <c r="W618" s="6"/>
    </row>
    <row r="619" ht="12.0" customHeight="1">
      <c r="A619" s="14"/>
      <c r="B619" s="79"/>
      <c r="C619" s="79"/>
      <c r="D619" s="170" t="s">
        <v>1163</v>
      </c>
      <c r="E619" s="464" t="s">
        <v>1164</v>
      </c>
      <c r="F619" s="172"/>
      <c r="G619" s="172"/>
      <c r="H619" s="407"/>
      <c r="I619" s="172"/>
      <c r="J619" s="408"/>
      <c r="K619" s="409"/>
      <c r="L619" s="301"/>
      <c r="M619" s="172"/>
      <c r="N619" s="417"/>
      <c r="O619" s="417"/>
      <c r="P619" s="417"/>
      <c r="Q619" s="172"/>
      <c r="R619" s="172"/>
      <c r="S619" s="6"/>
      <c r="T619" s="6"/>
      <c r="U619" s="6"/>
      <c r="V619" s="6"/>
      <c r="W619" s="6"/>
    </row>
    <row r="620" ht="12.0" customHeight="1">
      <c r="A620" s="14"/>
      <c r="B620" s="79"/>
      <c r="C620" s="79"/>
      <c r="D620" s="31" t="s">
        <v>1165</v>
      </c>
      <c r="E620" s="17" t="s">
        <v>308</v>
      </c>
      <c r="F620" s="9">
        <v>60.0</v>
      </c>
      <c r="G620" s="9"/>
      <c r="H620" s="351">
        <f>(P620-R620)</f>
        <v>45.738</v>
      </c>
      <c r="I620" s="9" t="s">
        <v>119</v>
      </c>
      <c r="J620" s="59" t="s">
        <v>1166</v>
      </c>
      <c r="K620" s="310">
        <f t="shared" ref="K620:K624" si="317">(F620*H620)</f>
        <v>2744.28</v>
      </c>
      <c r="L620" s="301">
        <f t="shared" ref="L620:L621" si="318">H620*1.8</f>
        <v>82.3284</v>
      </c>
      <c r="M620" s="452">
        <v>60.0</v>
      </c>
      <c r="N620" s="326">
        <v>0.21</v>
      </c>
      <c r="O620" s="326">
        <f>M620*N620</f>
        <v>12.6</v>
      </c>
      <c r="P620" s="326">
        <f>SUM(M620+O620)</f>
        <v>72.6</v>
      </c>
      <c r="Q620" s="326">
        <v>0.37</v>
      </c>
      <c r="R620" s="326">
        <f t="shared" ref="R620:R621" si="319">P620*Q620</f>
        <v>26.862</v>
      </c>
      <c r="S620" s="350"/>
      <c r="T620" s="6"/>
      <c r="U620" s="6"/>
      <c r="V620" s="6"/>
      <c r="W620" s="6"/>
    </row>
    <row r="621" ht="12.0" customHeight="1">
      <c r="A621" s="14"/>
      <c r="B621" s="79"/>
      <c r="C621" s="79"/>
      <c r="D621" s="465" t="s">
        <v>1167</v>
      </c>
      <c r="E621" s="466" t="s">
        <v>308</v>
      </c>
      <c r="F621" s="467">
        <v>60.0</v>
      </c>
      <c r="G621" s="467"/>
      <c r="H621" s="468">
        <f>SUM(1*H620)</f>
        <v>45.738</v>
      </c>
      <c r="I621" s="467" t="s">
        <v>119</v>
      </c>
      <c r="J621" s="469" t="s">
        <v>1168</v>
      </c>
      <c r="K621" s="470">
        <f t="shared" si="317"/>
        <v>2744.28</v>
      </c>
      <c r="L621" s="301">
        <f t="shared" si="318"/>
        <v>82.3284</v>
      </c>
      <c r="M621" s="471"/>
      <c r="N621" s="471"/>
      <c r="O621" s="471"/>
      <c r="P621" s="471"/>
      <c r="Q621" s="471"/>
      <c r="R621" s="471">
        <f t="shared" si="319"/>
        <v>0</v>
      </c>
      <c r="S621" s="353" t="s">
        <v>1169</v>
      </c>
      <c r="T621" s="6"/>
      <c r="U621" s="6"/>
      <c r="V621" s="6"/>
      <c r="W621" s="6"/>
    </row>
    <row r="622" ht="12.0" customHeight="1">
      <c r="A622" s="14"/>
      <c r="B622" s="79"/>
      <c r="C622" s="79"/>
      <c r="D622" s="465" t="s">
        <v>1170</v>
      </c>
      <c r="E622" s="466" t="s">
        <v>308</v>
      </c>
      <c r="F622" s="467">
        <v>30.0</v>
      </c>
      <c r="G622" s="467"/>
      <c r="H622" s="468">
        <f>SUM(1*H620)</f>
        <v>45.738</v>
      </c>
      <c r="I622" s="467" t="s">
        <v>576</v>
      </c>
      <c r="J622" s="469" t="s">
        <v>1171</v>
      </c>
      <c r="K622" s="470">
        <f t="shared" si="317"/>
        <v>1372.14</v>
      </c>
      <c r="L622" s="301">
        <f>H622*1.7</f>
        <v>77.7546</v>
      </c>
      <c r="M622" s="471"/>
      <c r="N622" s="471"/>
      <c r="O622" s="471"/>
      <c r="P622" s="471"/>
      <c r="Q622" s="471"/>
      <c r="R622" s="471"/>
      <c r="S622" s="6"/>
      <c r="T622" s="6"/>
      <c r="U622" s="6"/>
      <c r="V622" s="6"/>
      <c r="W622" s="6"/>
    </row>
    <row r="623" ht="12.0" customHeight="1">
      <c r="A623" s="14"/>
      <c r="B623" s="79"/>
      <c r="C623" s="79"/>
      <c r="D623" s="31" t="s">
        <v>1172</v>
      </c>
      <c r="E623" s="17" t="s">
        <v>308</v>
      </c>
      <c r="F623" s="9">
        <v>200.0</v>
      </c>
      <c r="G623" s="9"/>
      <c r="H623" s="305">
        <f>SUM(0.5*H620)</f>
        <v>22.869</v>
      </c>
      <c r="I623" s="9" t="s">
        <v>576</v>
      </c>
      <c r="J623" s="362" t="s">
        <v>1173</v>
      </c>
      <c r="K623" s="310">
        <f t="shared" si="317"/>
        <v>4573.8</v>
      </c>
      <c r="L623" s="301">
        <f>H623*2</f>
        <v>45.738</v>
      </c>
      <c r="M623" s="326"/>
      <c r="N623" s="326"/>
      <c r="O623" s="326"/>
      <c r="P623" s="326"/>
      <c r="Q623" s="326"/>
      <c r="R623" s="326"/>
      <c r="S623" s="6"/>
      <c r="T623" s="6"/>
      <c r="U623" s="6"/>
      <c r="V623" s="6"/>
      <c r="W623" s="6"/>
    </row>
    <row r="624" ht="12.0" customHeight="1">
      <c r="A624" s="14"/>
      <c r="B624" s="79"/>
      <c r="C624" s="79"/>
      <c r="D624" s="465" t="s">
        <v>1174</v>
      </c>
      <c r="E624" s="472" t="s">
        <v>308</v>
      </c>
      <c r="F624" s="473">
        <v>80.0</v>
      </c>
      <c r="G624" s="467"/>
      <c r="H624" s="468">
        <f>SUM(1*H620)</f>
        <v>45.738</v>
      </c>
      <c r="I624" s="467" t="s">
        <v>119</v>
      </c>
      <c r="J624" s="469" t="s">
        <v>1175</v>
      </c>
      <c r="K624" s="470">
        <f t="shared" si="317"/>
        <v>3659.04</v>
      </c>
      <c r="L624" s="301">
        <f>H624*1.9</f>
        <v>86.9022</v>
      </c>
      <c r="M624" s="471"/>
      <c r="N624" s="471"/>
      <c r="O624" s="471"/>
      <c r="P624" s="471"/>
      <c r="Q624" s="471"/>
      <c r="R624" s="471"/>
      <c r="S624" s="353" t="s">
        <v>1176</v>
      </c>
      <c r="T624" s="6"/>
      <c r="U624" s="6"/>
      <c r="V624" s="6"/>
      <c r="W624" s="6"/>
    </row>
    <row r="625" ht="12.0" customHeight="1">
      <c r="A625" s="14"/>
      <c r="B625" s="79"/>
      <c r="C625" s="79"/>
      <c r="D625" s="72" t="s">
        <v>1177</v>
      </c>
      <c r="E625" s="349" t="s">
        <v>308</v>
      </c>
      <c r="F625" s="369">
        <v>105.0</v>
      </c>
      <c r="G625" s="369"/>
      <c r="H625" s="305">
        <f>SUM(0.5*H620)</f>
        <v>22.869</v>
      </c>
      <c r="I625" s="9" t="s">
        <v>119</v>
      </c>
      <c r="J625" s="59" t="s">
        <v>1178</v>
      </c>
      <c r="K625" s="310">
        <f t="shared" ref="K625:K626" si="320">F625*H625</f>
        <v>2401.245</v>
      </c>
      <c r="L625" s="301">
        <f>H625*2.43</f>
        <v>55.57167</v>
      </c>
      <c r="M625" s="326"/>
      <c r="N625" s="326"/>
      <c r="O625" s="326"/>
      <c r="P625" s="326"/>
      <c r="Q625" s="326"/>
      <c r="R625" s="326"/>
      <c r="S625" s="353" t="s">
        <v>1179</v>
      </c>
      <c r="T625" s="6"/>
      <c r="U625" s="6"/>
      <c r="V625" s="6"/>
      <c r="W625" s="6"/>
    </row>
    <row r="626" ht="12.0" customHeight="1">
      <c r="A626" s="14"/>
      <c r="B626" s="79"/>
      <c r="C626" s="79"/>
      <c r="D626" s="465" t="s">
        <v>1180</v>
      </c>
      <c r="E626" s="474" t="s">
        <v>1181</v>
      </c>
      <c r="F626" s="473">
        <v>32.0</v>
      </c>
      <c r="G626" s="467"/>
      <c r="H626" s="468">
        <f>SUM(0.8*H620)</f>
        <v>36.5904</v>
      </c>
      <c r="I626" s="467" t="s">
        <v>119</v>
      </c>
      <c r="J626" s="469" t="s">
        <v>1182</v>
      </c>
      <c r="K626" s="470">
        <f t="shared" si="320"/>
        <v>1170.8928</v>
      </c>
      <c r="L626" s="301">
        <f>H626*1.9</f>
        <v>69.52176</v>
      </c>
      <c r="M626" s="471"/>
      <c r="N626" s="471"/>
      <c r="O626" s="471"/>
      <c r="P626" s="471"/>
      <c r="Q626" s="471"/>
      <c r="R626" s="471"/>
      <c r="S626" s="353" t="s">
        <v>1183</v>
      </c>
      <c r="T626" s="6"/>
      <c r="U626" s="6"/>
      <c r="V626" s="6"/>
      <c r="W626" s="6"/>
    </row>
    <row r="627" ht="12.0" customHeight="1">
      <c r="A627" s="14"/>
      <c r="B627" s="79"/>
      <c r="C627" s="79"/>
      <c r="D627" s="162" t="s">
        <v>1184</v>
      </c>
      <c r="E627" s="153" t="s">
        <v>308</v>
      </c>
      <c r="F627" s="163">
        <v>50.0</v>
      </c>
      <c r="G627" s="154"/>
      <c r="H627" s="305">
        <f>SUM(1*H620)</f>
        <v>45.738</v>
      </c>
      <c r="I627" s="154" t="s">
        <v>576</v>
      </c>
      <c r="J627" s="59" t="s">
        <v>1185</v>
      </c>
      <c r="K627" s="306">
        <f t="shared" ref="K627:K630" si="321">H627*F627</f>
        <v>2286.9</v>
      </c>
      <c r="L627" s="301">
        <f>H627*1.8</f>
        <v>82.3284</v>
      </c>
      <c r="M627" s="326"/>
      <c r="N627" s="326"/>
      <c r="O627" s="326"/>
      <c r="P627" s="326"/>
      <c r="Q627" s="326"/>
      <c r="R627" s="326"/>
      <c r="S627" s="353" t="s">
        <v>1028</v>
      </c>
      <c r="T627" s="6"/>
      <c r="U627" s="6"/>
      <c r="V627" s="6"/>
      <c r="W627" s="6"/>
    </row>
    <row r="628" ht="12.0" customHeight="1">
      <c r="A628" s="14"/>
      <c r="B628" s="79"/>
      <c r="C628" s="79"/>
      <c r="D628" s="465" t="s">
        <v>1186</v>
      </c>
      <c r="E628" s="466" t="s">
        <v>308</v>
      </c>
      <c r="F628" s="473">
        <v>50.0</v>
      </c>
      <c r="G628" s="467"/>
      <c r="H628" s="468">
        <f>SUM(1.75*H620)</f>
        <v>80.0415</v>
      </c>
      <c r="I628" s="467" t="s">
        <v>119</v>
      </c>
      <c r="J628" s="469" t="s">
        <v>1187</v>
      </c>
      <c r="K628" s="475">
        <f t="shared" si="321"/>
        <v>4002.075</v>
      </c>
      <c r="L628" s="301">
        <f>H628*1.7</f>
        <v>136.07055</v>
      </c>
      <c r="M628" s="471"/>
      <c r="N628" s="471"/>
      <c r="O628" s="471"/>
      <c r="P628" s="471"/>
      <c r="Q628" s="471"/>
      <c r="R628" s="471"/>
      <c r="S628" s="353" t="s">
        <v>1188</v>
      </c>
      <c r="T628" s="6"/>
      <c r="U628" s="6"/>
      <c r="V628" s="6"/>
      <c r="W628" s="6"/>
    </row>
    <row r="629" ht="12.0" customHeight="1">
      <c r="A629" s="14"/>
      <c r="B629" s="79"/>
      <c r="C629" s="79"/>
      <c r="D629" s="31" t="s">
        <v>1189</v>
      </c>
      <c r="E629" s="17" t="s">
        <v>1190</v>
      </c>
      <c r="F629" s="33">
        <v>33.0</v>
      </c>
      <c r="G629" s="9"/>
      <c r="H629" s="305">
        <f>SUM(0.85*H620)</f>
        <v>38.8773</v>
      </c>
      <c r="I629" s="9" t="s">
        <v>17</v>
      </c>
      <c r="J629" s="59">
        <v>807.0</v>
      </c>
      <c r="K629" s="306">
        <f t="shared" si="321"/>
        <v>1282.9509</v>
      </c>
      <c r="L629" s="301">
        <f>H629*1.8</f>
        <v>69.97914</v>
      </c>
      <c r="M629" s="310"/>
      <c r="N629" s="311"/>
      <c r="O629" s="310"/>
      <c r="P629" s="326"/>
      <c r="Q629" s="9"/>
      <c r="R629" s="9"/>
      <c r="S629" s="6"/>
      <c r="T629" s="6"/>
      <c r="U629" s="6"/>
      <c r="V629" s="6"/>
      <c r="W629" s="6"/>
    </row>
    <row r="630" ht="12.0" customHeight="1">
      <c r="A630" s="14"/>
      <c r="B630" s="79"/>
      <c r="C630" s="79"/>
      <c r="D630" s="476" t="s">
        <v>1191</v>
      </c>
      <c r="E630" s="477" t="s">
        <v>309</v>
      </c>
      <c r="F630" s="467">
        <v>50.0</v>
      </c>
      <c r="G630" s="467"/>
      <c r="H630" s="468">
        <f>SUM(0.65*H620)</f>
        <v>29.7297</v>
      </c>
      <c r="I630" s="467" t="s">
        <v>119</v>
      </c>
      <c r="J630" s="478" t="s">
        <v>1192</v>
      </c>
      <c r="K630" s="475">
        <f t="shared" si="321"/>
        <v>1486.485</v>
      </c>
      <c r="L630" s="301">
        <f>H630*1.83</f>
        <v>54.405351</v>
      </c>
      <c r="M630" s="471"/>
      <c r="N630" s="471"/>
      <c r="O630" s="471"/>
      <c r="P630" s="471"/>
      <c r="Q630" s="471"/>
      <c r="R630" s="471"/>
      <c r="S630" s="353" t="s">
        <v>1193</v>
      </c>
      <c r="T630" s="6"/>
      <c r="U630" s="6"/>
      <c r="V630" s="6"/>
      <c r="W630" s="6"/>
    </row>
    <row r="631" ht="12.0" customHeight="1">
      <c r="A631" s="14"/>
      <c r="B631" s="79"/>
      <c r="C631" s="79"/>
      <c r="D631" s="197" t="s">
        <v>1194</v>
      </c>
      <c r="E631" s="229" t="s">
        <v>309</v>
      </c>
      <c r="F631" s="33">
        <v>28.0</v>
      </c>
      <c r="G631" s="9"/>
      <c r="H631" s="305">
        <f>SUM(1.1*H620)</f>
        <v>50.3118</v>
      </c>
      <c r="I631" s="9" t="s">
        <v>119</v>
      </c>
      <c r="J631" s="59" t="s">
        <v>1195</v>
      </c>
      <c r="K631" s="310">
        <f t="shared" ref="K631:K646" si="322">(F631*H631)</f>
        <v>1408.7304</v>
      </c>
      <c r="L631" s="301">
        <f>H631*1.8</f>
        <v>90.56124</v>
      </c>
      <c r="M631" s="326"/>
      <c r="N631" s="326"/>
      <c r="O631" s="326"/>
      <c r="P631" s="326"/>
      <c r="Q631" s="326"/>
      <c r="R631" s="326"/>
      <c r="S631" s="6"/>
      <c r="T631" s="6"/>
      <c r="U631" s="6"/>
      <c r="V631" s="6"/>
      <c r="W631" s="6"/>
    </row>
    <row r="632" ht="12.0" customHeight="1">
      <c r="A632" s="14"/>
      <c r="B632" s="79"/>
      <c r="C632" s="79"/>
      <c r="D632" s="476" t="s">
        <v>1196</v>
      </c>
      <c r="E632" s="479" t="s">
        <v>309</v>
      </c>
      <c r="F632" s="473">
        <v>43.0</v>
      </c>
      <c r="G632" s="467"/>
      <c r="H632" s="468">
        <f>SUM(0.6*H620)</f>
        <v>27.4428</v>
      </c>
      <c r="I632" s="467" t="s">
        <v>17</v>
      </c>
      <c r="J632" s="469">
        <v>812.0</v>
      </c>
      <c r="K632" s="470">
        <f t="shared" si="322"/>
        <v>1180.0404</v>
      </c>
      <c r="L632" s="301">
        <f>H632*3.04</f>
        <v>83.426112</v>
      </c>
      <c r="M632" s="470"/>
      <c r="N632" s="480"/>
      <c r="O632" s="470"/>
      <c r="P632" s="471"/>
      <c r="Q632" s="471"/>
      <c r="R632" s="471"/>
      <c r="S632" s="353" t="s">
        <v>1197</v>
      </c>
      <c r="T632" s="6"/>
      <c r="U632" s="6"/>
      <c r="V632" s="6"/>
      <c r="W632" s="6"/>
    </row>
    <row r="633" ht="12.0" customHeight="1">
      <c r="A633" s="14"/>
      <c r="B633" s="79"/>
      <c r="C633" s="79"/>
      <c r="D633" s="197" t="s">
        <v>1198</v>
      </c>
      <c r="E633" s="229" t="s">
        <v>309</v>
      </c>
      <c r="F633" s="33">
        <v>50.0</v>
      </c>
      <c r="G633" s="9"/>
      <c r="H633" s="305">
        <f>SUM(0.9*H620)</f>
        <v>41.1642</v>
      </c>
      <c r="I633" s="9" t="s">
        <v>17</v>
      </c>
      <c r="J633" s="59">
        <v>832.0</v>
      </c>
      <c r="K633" s="310">
        <f t="shared" si="322"/>
        <v>2058.21</v>
      </c>
      <c r="L633" s="301">
        <f t="shared" ref="L633:L634" si="323">H633*2.1</f>
        <v>86.44482</v>
      </c>
      <c r="M633" s="310"/>
      <c r="N633" s="311"/>
      <c r="O633" s="310"/>
      <c r="P633" s="326"/>
      <c r="Q633" s="326"/>
      <c r="R633" s="326"/>
      <c r="S633" s="6"/>
      <c r="T633" s="6"/>
      <c r="U633" s="6"/>
      <c r="V633" s="6"/>
      <c r="W633" s="6"/>
    </row>
    <row r="634" ht="12.0" customHeight="1">
      <c r="A634" s="14"/>
      <c r="B634" s="79"/>
      <c r="C634" s="79"/>
      <c r="D634" s="476" t="s">
        <v>1199</v>
      </c>
      <c r="E634" s="479" t="s">
        <v>309</v>
      </c>
      <c r="F634" s="473">
        <v>33.0</v>
      </c>
      <c r="G634" s="467"/>
      <c r="H634" s="468">
        <f>SUM(1.4*H620)</f>
        <v>64.0332</v>
      </c>
      <c r="I634" s="467" t="s">
        <v>119</v>
      </c>
      <c r="J634" s="481" t="s">
        <v>1200</v>
      </c>
      <c r="K634" s="470">
        <f t="shared" si="322"/>
        <v>2113.0956</v>
      </c>
      <c r="L634" s="301">
        <f t="shared" si="323"/>
        <v>134.46972</v>
      </c>
      <c r="M634" s="471"/>
      <c r="N634" s="471"/>
      <c r="O634" s="471"/>
      <c r="P634" s="471"/>
      <c r="Q634" s="471"/>
      <c r="R634" s="471"/>
      <c r="S634" s="6"/>
      <c r="T634" s="6"/>
      <c r="U634" s="6"/>
      <c r="V634" s="6"/>
      <c r="W634" s="6"/>
    </row>
    <row r="635" ht="12.0" customHeight="1">
      <c r="A635" s="14"/>
      <c r="B635" s="79"/>
      <c r="C635" s="79"/>
      <c r="D635" s="454" t="s">
        <v>1201</v>
      </c>
      <c r="E635" s="229" t="s">
        <v>309</v>
      </c>
      <c r="F635" s="33">
        <v>40.0</v>
      </c>
      <c r="G635" s="9"/>
      <c r="H635" s="305">
        <f>SUM(1.76*H620)</f>
        <v>80.49888</v>
      </c>
      <c r="I635" s="9" t="s">
        <v>17</v>
      </c>
      <c r="J635" s="33">
        <v>852.0</v>
      </c>
      <c r="K635" s="310">
        <f t="shared" si="322"/>
        <v>3219.9552</v>
      </c>
      <c r="L635" s="301">
        <f>H635*1.9</f>
        <v>152.947872</v>
      </c>
      <c r="M635" s="310"/>
      <c r="N635" s="311"/>
      <c r="O635" s="310"/>
      <c r="P635" s="326"/>
      <c r="Q635" s="326"/>
      <c r="R635" s="326"/>
      <c r="S635" s="353" t="s">
        <v>1202</v>
      </c>
      <c r="T635" s="6"/>
      <c r="U635" s="6"/>
      <c r="V635" s="6"/>
      <c r="W635" s="6"/>
    </row>
    <row r="636" ht="12.0" customHeight="1">
      <c r="A636" s="14"/>
      <c r="B636" s="79"/>
      <c r="C636" s="79"/>
      <c r="D636" s="454" t="s">
        <v>1203</v>
      </c>
      <c r="E636" s="229" t="s">
        <v>309</v>
      </c>
      <c r="F636" s="33">
        <v>20.0</v>
      </c>
      <c r="G636" s="9"/>
      <c r="H636" s="305">
        <f>SUM(2.3*H620)</f>
        <v>105.1974</v>
      </c>
      <c r="I636" s="9" t="s">
        <v>119</v>
      </c>
      <c r="J636" s="59" t="s">
        <v>1204</v>
      </c>
      <c r="K636" s="310">
        <f t="shared" si="322"/>
        <v>2103.948</v>
      </c>
      <c r="L636" s="301">
        <f>H636*1.8</f>
        <v>189.35532</v>
      </c>
      <c r="M636" s="326"/>
      <c r="N636" s="326"/>
      <c r="O636" s="326"/>
      <c r="P636" s="326"/>
      <c r="Q636" s="326"/>
      <c r="R636" s="326"/>
      <c r="S636" s="6"/>
      <c r="T636" s="6"/>
      <c r="U636" s="6"/>
      <c r="V636" s="6"/>
      <c r="W636" s="6"/>
    </row>
    <row r="637" ht="12.0" customHeight="1">
      <c r="A637" s="14"/>
      <c r="B637" s="79"/>
      <c r="C637" s="79"/>
      <c r="D637" s="197" t="s">
        <v>1189</v>
      </c>
      <c r="E637" s="229" t="s">
        <v>1205</v>
      </c>
      <c r="F637" s="33">
        <v>40.0</v>
      </c>
      <c r="G637" s="9"/>
      <c r="H637" s="305">
        <f>SUM(1.1*H620)</f>
        <v>50.3118</v>
      </c>
      <c r="I637" s="9" t="s">
        <v>17</v>
      </c>
      <c r="J637" s="33">
        <v>808.0</v>
      </c>
      <c r="K637" s="482">
        <f t="shared" si="322"/>
        <v>2012.472</v>
      </c>
      <c r="L637" s="301">
        <f>H637*2.2</f>
        <v>110.68596</v>
      </c>
      <c r="M637" s="310"/>
      <c r="N637" s="311"/>
      <c r="O637" s="310"/>
      <c r="P637" s="326"/>
      <c r="Q637" s="326"/>
      <c r="R637" s="326"/>
      <c r="S637" s="6"/>
      <c r="T637" s="6"/>
      <c r="U637" s="6"/>
      <c r="V637" s="6"/>
      <c r="W637" s="6"/>
    </row>
    <row r="638" ht="12.0" customHeight="1">
      <c r="A638" s="14"/>
      <c r="B638" s="79"/>
      <c r="C638" s="79"/>
      <c r="D638" s="483" t="s">
        <v>1206</v>
      </c>
      <c r="E638" s="484" t="s">
        <v>423</v>
      </c>
      <c r="F638" s="473">
        <v>19.0</v>
      </c>
      <c r="G638" s="467"/>
      <c r="H638" s="468">
        <f>SUM(0.9*H620)</f>
        <v>41.1642</v>
      </c>
      <c r="I638" s="467" t="s">
        <v>119</v>
      </c>
      <c r="J638" s="481" t="s">
        <v>1207</v>
      </c>
      <c r="K638" s="470">
        <f t="shared" si="322"/>
        <v>782.1198</v>
      </c>
      <c r="L638" s="301">
        <f>H638*2.03</f>
        <v>83.563326</v>
      </c>
      <c r="M638" s="471"/>
      <c r="N638" s="471"/>
      <c r="O638" s="471"/>
      <c r="P638" s="471"/>
      <c r="Q638" s="471"/>
      <c r="R638" s="471"/>
      <c r="S638" s="353" t="s">
        <v>1208</v>
      </c>
      <c r="T638" s="6"/>
      <c r="U638" s="6"/>
      <c r="V638" s="6"/>
      <c r="W638" s="6"/>
    </row>
    <row r="639" ht="12.0" customHeight="1">
      <c r="A639" s="14"/>
      <c r="B639" s="79"/>
      <c r="C639" s="79"/>
      <c r="D639" s="483" t="s">
        <v>1209</v>
      </c>
      <c r="E639" s="484" t="s">
        <v>1210</v>
      </c>
      <c r="F639" s="473">
        <v>10.0</v>
      </c>
      <c r="G639" s="467"/>
      <c r="H639" s="468">
        <f>SUM(1*H620)</f>
        <v>45.738</v>
      </c>
      <c r="I639" s="467" t="s">
        <v>576</v>
      </c>
      <c r="J639" s="469" t="s">
        <v>1211</v>
      </c>
      <c r="K639" s="470">
        <f t="shared" si="322"/>
        <v>457.38</v>
      </c>
      <c r="L639" s="301">
        <f>H639*1.8</f>
        <v>82.3284</v>
      </c>
      <c r="M639" s="471"/>
      <c r="N639" s="471"/>
      <c r="O639" s="471"/>
      <c r="P639" s="471"/>
      <c r="Q639" s="471"/>
      <c r="R639" s="471"/>
      <c r="S639" s="350"/>
      <c r="T639" s="6"/>
      <c r="U639" s="6"/>
      <c r="V639" s="6"/>
      <c r="W639" s="6"/>
    </row>
    <row r="640" ht="12.0" customHeight="1">
      <c r="A640" s="14"/>
      <c r="B640" s="79"/>
      <c r="C640" s="79"/>
      <c r="D640" s="459" t="s">
        <v>1198</v>
      </c>
      <c r="E640" s="485" t="s">
        <v>423</v>
      </c>
      <c r="F640" s="33">
        <v>20.0</v>
      </c>
      <c r="G640" s="9"/>
      <c r="H640" s="305">
        <f>SUM(1.38*H620)</f>
        <v>63.11844</v>
      </c>
      <c r="I640" s="9" t="s">
        <v>17</v>
      </c>
      <c r="J640" s="33">
        <v>833.0</v>
      </c>
      <c r="K640" s="310">
        <f t="shared" si="322"/>
        <v>1262.3688</v>
      </c>
      <c r="L640" s="301">
        <f>H640*1.9</f>
        <v>119.925036</v>
      </c>
      <c r="M640" s="310"/>
      <c r="N640" s="311"/>
      <c r="O640" s="310"/>
      <c r="P640" s="326"/>
      <c r="Q640" s="326"/>
      <c r="R640" s="326"/>
      <c r="S640" s="6"/>
      <c r="T640" s="6"/>
      <c r="U640" s="6"/>
      <c r="V640" s="6"/>
      <c r="W640" s="6"/>
    </row>
    <row r="641" ht="12.0" customHeight="1">
      <c r="A641" s="14"/>
      <c r="B641" s="79"/>
      <c r="C641" s="79"/>
      <c r="D641" s="486" t="s">
        <v>1199</v>
      </c>
      <c r="E641" s="484" t="s">
        <v>423</v>
      </c>
      <c r="F641" s="473">
        <v>10.0</v>
      </c>
      <c r="G641" s="467"/>
      <c r="H641" s="468">
        <f>SUM(2.7*H620)</f>
        <v>123.4926</v>
      </c>
      <c r="I641" s="467" t="s">
        <v>576</v>
      </c>
      <c r="J641" s="469" t="s">
        <v>1212</v>
      </c>
      <c r="K641" s="470">
        <f t="shared" si="322"/>
        <v>1234.926</v>
      </c>
      <c r="L641" s="301">
        <f>H641*1.7</f>
        <v>209.93742</v>
      </c>
      <c r="M641" s="470"/>
      <c r="N641" s="480"/>
      <c r="O641" s="470"/>
      <c r="P641" s="471"/>
      <c r="Q641" s="471"/>
      <c r="R641" s="471"/>
      <c r="S641" s="6"/>
      <c r="T641" s="6"/>
      <c r="U641" s="6"/>
      <c r="V641" s="6"/>
      <c r="W641" s="6"/>
    </row>
    <row r="642" ht="12.0" customHeight="1">
      <c r="A642" s="14"/>
      <c r="B642" s="79"/>
      <c r="C642" s="79"/>
      <c r="D642" s="483" t="s">
        <v>1201</v>
      </c>
      <c r="E642" s="484" t="s">
        <v>423</v>
      </c>
      <c r="F642" s="473">
        <v>20.0</v>
      </c>
      <c r="G642" s="467"/>
      <c r="H642" s="468">
        <f>SUM(2.3*H620)</f>
        <v>105.1974</v>
      </c>
      <c r="I642" s="467" t="s">
        <v>17</v>
      </c>
      <c r="J642" s="481">
        <v>853.0</v>
      </c>
      <c r="K642" s="470">
        <f t="shared" si="322"/>
        <v>2103.948</v>
      </c>
      <c r="L642" s="301">
        <f>H642*1.8</f>
        <v>189.35532</v>
      </c>
      <c r="M642" s="470"/>
      <c r="N642" s="480"/>
      <c r="O642" s="470"/>
      <c r="P642" s="471"/>
      <c r="Q642" s="471"/>
      <c r="R642" s="471"/>
      <c r="S642" s="6"/>
      <c r="T642" s="6"/>
      <c r="U642" s="6"/>
      <c r="V642" s="6"/>
      <c r="W642" s="6"/>
    </row>
    <row r="643" ht="12.0" customHeight="1">
      <c r="A643" s="14"/>
      <c r="B643" s="79"/>
      <c r="C643" s="79"/>
      <c r="D643" s="483" t="s">
        <v>1213</v>
      </c>
      <c r="E643" s="484" t="s">
        <v>423</v>
      </c>
      <c r="F643" s="473">
        <v>10.0</v>
      </c>
      <c r="G643" s="467"/>
      <c r="H643" s="468">
        <f>SUM(3.2*H620)</f>
        <v>146.3616</v>
      </c>
      <c r="I643" s="467" t="s">
        <v>576</v>
      </c>
      <c r="J643" s="469" t="s">
        <v>1214</v>
      </c>
      <c r="K643" s="470">
        <f t="shared" si="322"/>
        <v>1463.616</v>
      </c>
      <c r="L643" s="301">
        <f t="shared" ref="L643:L644" si="324">H643*1.7</f>
        <v>248.81472</v>
      </c>
      <c r="M643" s="470"/>
      <c r="N643" s="480"/>
      <c r="O643" s="470"/>
      <c r="P643" s="471"/>
      <c r="Q643" s="471"/>
      <c r="R643" s="471"/>
      <c r="S643" s="6"/>
      <c r="T643" s="6"/>
      <c r="U643" s="6"/>
      <c r="V643" s="6"/>
      <c r="W643" s="6"/>
    </row>
    <row r="644" ht="12.0" customHeight="1">
      <c r="A644" s="14"/>
      <c r="B644" s="79"/>
      <c r="C644" s="79"/>
      <c r="D644" s="459" t="s">
        <v>1215</v>
      </c>
      <c r="E644" s="485" t="s">
        <v>423</v>
      </c>
      <c r="F644" s="33">
        <v>30.0</v>
      </c>
      <c r="G644" s="9"/>
      <c r="H644" s="305">
        <f>SUM(1.35*H620)</f>
        <v>61.7463</v>
      </c>
      <c r="I644" s="9" t="s">
        <v>17</v>
      </c>
      <c r="J644" s="33">
        <v>813.0</v>
      </c>
      <c r="K644" s="482">
        <f t="shared" si="322"/>
        <v>1852.389</v>
      </c>
      <c r="L644" s="301">
        <f t="shared" si="324"/>
        <v>104.96871</v>
      </c>
      <c r="M644" s="310"/>
      <c r="N644" s="311"/>
      <c r="O644" s="310"/>
      <c r="P644" s="326"/>
      <c r="Q644" s="326"/>
      <c r="R644" s="326"/>
      <c r="S644" s="353" t="s">
        <v>1216</v>
      </c>
      <c r="T644" s="6"/>
      <c r="U644" s="6"/>
      <c r="V644" s="6"/>
      <c r="W644" s="6"/>
    </row>
    <row r="645" ht="12.0" customHeight="1">
      <c r="A645" s="14"/>
      <c r="B645" s="79"/>
      <c r="C645" s="79"/>
      <c r="D645" s="459" t="s">
        <v>1217</v>
      </c>
      <c r="E645" s="485" t="s">
        <v>423</v>
      </c>
      <c r="F645" s="33">
        <v>10.0</v>
      </c>
      <c r="G645" s="9"/>
      <c r="H645" s="305">
        <f>SUM(1.35*H620)</f>
        <v>61.7463</v>
      </c>
      <c r="I645" s="9" t="s">
        <v>576</v>
      </c>
      <c r="J645" s="59" t="s">
        <v>1218</v>
      </c>
      <c r="K645" s="482">
        <f t="shared" si="322"/>
        <v>617.463</v>
      </c>
      <c r="L645" s="301">
        <f>H645*1.8</f>
        <v>111.14334</v>
      </c>
      <c r="M645" s="310"/>
      <c r="N645" s="311"/>
      <c r="O645" s="310"/>
      <c r="P645" s="326"/>
      <c r="Q645" s="326"/>
      <c r="R645" s="326"/>
      <c r="S645" s="6"/>
      <c r="T645" s="6"/>
      <c r="U645" s="6"/>
      <c r="V645" s="6"/>
      <c r="W645" s="6"/>
    </row>
    <row r="646" ht="12.0" customHeight="1">
      <c r="A646" s="14"/>
      <c r="B646" s="79"/>
      <c r="C646" s="79"/>
      <c r="D646" s="483" t="s">
        <v>1206</v>
      </c>
      <c r="E646" s="484" t="s">
        <v>887</v>
      </c>
      <c r="F646" s="473">
        <v>10.0</v>
      </c>
      <c r="G646" s="467"/>
      <c r="H646" s="468">
        <f>SUM(2.5*H620)</f>
        <v>114.345</v>
      </c>
      <c r="I646" s="467" t="s">
        <v>119</v>
      </c>
      <c r="J646" s="481" t="s">
        <v>1219</v>
      </c>
      <c r="K646" s="470">
        <f t="shared" si="322"/>
        <v>1143.45</v>
      </c>
      <c r="L646" s="301">
        <f>H646*1.88</f>
        <v>214.9686</v>
      </c>
      <c r="M646" s="471"/>
      <c r="N646" s="471"/>
      <c r="O646" s="471"/>
      <c r="P646" s="471"/>
      <c r="Q646" s="471"/>
      <c r="R646" s="471"/>
      <c r="S646" s="6"/>
      <c r="T646" s="6"/>
      <c r="U646" s="6"/>
      <c r="V646" s="6"/>
      <c r="W646" s="6"/>
    </row>
    <row r="647" ht="12.0" customHeight="1">
      <c r="A647" s="14"/>
      <c r="B647" s="16" t="s">
        <v>5</v>
      </c>
      <c r="C647" s="16"/>
      <c r="D647" s="170" t="s">
        <v>1220</v>
      </c>
      <c r="E647" s="171" t="s">
        <v>1221</v>
      </c>
      <c r="F647" s="172"/>
      <c r="G647" s="172"/>
      <c r="H647" s="407"/>
      <c r="I647" s="172"/>
      <c r="J647" s="408"/>
      <c r="K647" s="409"/>
      <c r="L647" s="301"/>
      <c r="M647" s="172"/>
      <c r="N647" s="417"/>
      <c r="O647" s="417"/>
      <c r="P647" s="417"/>
      <c r="Q647" s="172"/>
      <c r="R647" s="172"/>
      <c r="S647" s="6"/>
      <c r="T647" s="6"/>
      <c r="U647" s="6"/>
      <c r="V647" s="6"/>
      <c r="W647" s="6"/>
    </row>
    <row r="648" ht="12.0" customHeight="1">
      <c r="A648" s="52"/>
      <c r="B648" s="16"/>
      <c r="C648" s="16"/>
      <c r="D648" s="15" t="s">
        <v>1222</v>
      </c>
      <c r="E648" s="21" t="s">
        <v>1223</v>
      </c>
      <c r="F648" s="14">
        <v>8.0</v>
      </c>
      <c r="G648" s="14"/>
      <c r="H648" s="365">
        <f t="shared" ref="H648:H650" si="325">(P648-R648)</f>
        <v>1143.45</v>
      </c>
      <c r="I648" s="14" t="s">
        <v>119</v>
      </c>
      <c r="J648" s="51">
        <v>1323.0</v>
      </c>
      <c r="K648" s="308">
        <f t="shared" ref="K648:K681" si="326">H648*F648</f>
        <v>9147.6</v>
      </c>
      <c r="L648" s="301">
        <f t="shared" ref="L648:L653" si="327">H648*1.5</f>
        <v>1715.175</v>
      </c>
      <c r="M648" s="314">
        <v>1500.0</v>
      </c>
      <c r="N648" s="314">
        <v>0.21</v>
      </c>
      <c r="O648" s="314">
        <f t="shared" ref="O648:O650" si="328">M648*N648</f>
        <v>315</v>
      </c>
      <c r="P648" s="314">
        <f t="shared" ref="P648:P650" si="329">SUM(M648+O648)</f>
        <v>1815</v>
      </c>
      <c r="Q648" s="314">
        <v>0.37</v>
      </c>
      <c r="R648" s="314">
        <f t="shared" ref="R648:R650" si="330">P648*Q648</f>
        <v>671.55</v>
      </c>
      <c r="S648" s="350" t="s">
        <v>1224</v>
      </c>
      <c r="T648" s="329" t="s">
        <v>1225</v>
      </c>
      <c r="U648" s="6"/>
      <c r="V648" s="6"/>
      <c r="W648" s="6"/>
    </row>
    <row r="649" ht="12.0" customHeight="1">
      <c r="A649" s="52"/>
      <c r="B649" s="16"/>
      <c r="C649" s="16"/>
      <c r="D649" s="16" t="s">
        <v>1226</v>
      </c>
      <c r="E649" s="17" t="s">
        <v>1227</v>
      </c>
      <c r="F649" s="9">
        <v>5.0</v>
      </c>
      <c r="G649" s="9"/>
      <c r="H649" s="345">
        <f t="shared" si="325"/>
        <v>1398.0582</v>
      </c>
      <c r="I649" s="9" t="s">
        <v>119</v>
      </c>
      <c r="J649" s="24">
        <v>2323.0</v>
      </c>
      <c r="K649" s="306">
        <f t="shared" si="326"/>
        <v>6990.291</v>
      </c>
      <c r="L649" s="301">
        <f t="shared" si="327"/>
        <v>2097.0873</v>
      </c>
      <c r="M649" s="326">
        <v>1834.0</v>
      </c>
      <c r="N649" s="326">
        <v>0.21</v>
      </c>
      <c r="O649" s="326">
        <f t="shared" si="328"/>
        <v>385.14</v>
      </c>
      <c r="P649" s="326">
        <f t="shared" si="329"/>
        <v>2219.14</v>
      </c>
      <c r="Q649" s="326">
        <v>0.37</v>
      </c>
      <c r="R649" s="326">
        <f t="shared" si="330"/>
        <v>821.0818</v>
      </c>
      <c r="S649" s="350" t="s">
        <v>1228</v>
      </c>
      <c r="T649" s="321" t="s">
        <v>1225</v>
      </c>
      <c r="U649" s="6"/>
      <c r="V649" s="6"/>
      <c r="W649" s="6"/>
    </row>
    <row r="650" ht="12.0" customHeight="1">
      <c r="A650" s="52"/>
      <c r="B650" s="16"/>
      <c r="C650" s="16"/>
      <c r="D650" s="15" t="s">
        <v>1222</v>
      </c>
      <c r="E650" s="21" t="s">
        <v>1229</v>
      </c>
      <c r="F650" s="14">
        <v>7.0</v>
      </c>
      <c r="G650" s="14"/>
      <c r="H650" s="365">
        <f t="shared" si="325"/>
        <v>1905.75</v>
      </c>
      <c r="I650" s="14" t="s">
        <v>119</v>
      </c>
      <c r="J650" s="51">
        <v>5325.0</v>
      </c>
      <c r="K650" s="308">
        <f t="shared" si="326"/>
        <v>13340.25</v>
      </c>
      <c r="L650" s="301">
        <f t="shared" si="327"/>
        <v>2858.625</v>
      </c>
      <c r="M650" s="314">
        <v>2500.0</v>
      </c>
      <c r="N650" s="314">
        <v>0.21</v>
      </c>
      <c r="O650" s="314">
        <f t="shared" si="328"/>
        <v>525</v>
      </c>
      <c r="P650" s="314">
        <f t="shared" si="329"/>
        <v>3025</v>
      </c>
      <c r="Q650" s="314">
        <v>0.37</v>
      </c>
      <c r="R650" s="314">
        <f t="shared" si="330"/>
        <v>1119.25</v>
      </c>
      <c r="S650" s="350" t="s">
        <v>1230</v>
      </c>
      <c r="T650" s="329" t="s">
        <v>1225</v>
      </c>
      <c r="U650" s="6"/>
      <c r="V650" s="6"/>
      <c r="W650" s="6"/>
    </row>
    <row r="651" ht="12.0" customHeight="1">
      <c r="A651" s="52"/>
      <c r="B651" s="16"/>
      <c r="C651" s="16"/>
      <c r="D651" s="15" t="s">
        <v>1231</v>
      </c>
      <c r="E651" s="21" t="s">
        <v>1232</v>
      </c>
      <c r="F651" s="14">
        <v>4.0</v>
      </c>
      <c r="G651" s="14"/>
      <c r="H651" s="365">
        <v>2100.0</v>
      </c>
      <c r="I651" s="14" t="s">
        <v>576</v>
      </c>
      <c r="J651" s="487" t="s">
        <v>1233</v>
      </c>
      <c r="K651" s="308">
        <f t="shared" si="326"/>
        <v>8400</v>
      </c>
      <c r="L651" s="301">
        <f t="shared" si="327"/>
        <v>3150</v>
      </c>
      <c r="M651" s="314"/>
      <c r="N651" s="314"/>
      <c r="O651" s="314"/>
      <c r="P651" s="314"/>
      <c r="Q651" s="314"/>
      <c r="R651" s="314"/>
      <c r="S651" s="350"/>
      <c r="T651" s="488"/>
      <c r="U651" s="6"/>
      <c r="V651" s="6"/>
      <c r="W651" s="6"/>
    </row>
    <row r="652" ht="12.0" customHeight="1">
      <c r="A652" s="52"/>
      <c r="B652" s="16"/>
      <c r="C652" s="16"/>
      <c r="D652" s="16" t="s">
        <v>1234</v>
      </c>
      <c r="E652" s="17" t="s">
        <v>1232</v>
      </c>
      <c r="F652" s="33">
        <v>3.0</v>
      </c>
      <c r="G652" s="9"/>
      <c r="H652" s="345">
        <f t="shared" ref="H652:H670" si="331">(P652-R652)</f>
        <v>2858.625</v>
      </c>
      <c r="I652" s="9" t="s">
        <v>119</v>
      </c>
      <c r="J652" s="432">
        <v>6326.0</v>
      </c>
      <c r="K652" s="306">
        <f t="shared" si="326"/>
        <v>8575.875</v>
      </c>
      <c r="L652" s="301">
        <f t="shared" si="327"/>
        <v>4287.9375</v>
      </c>
      <c r="M652" s="326">
        <v>3750.0</v>
      </c>
      <c r="N652" s="326">
        <v>0.21</v>
      </c>
      <c r="O652" s="326">
        <f t="shared" ref="O652:O670" si="332">M652*N652</f>
        <v>787.5</v>
      </c>
      <c r="P652" s="326">
        <f t="shared" ref="P652:P670" si="333">SUM(M652+O652)</f>
        <v>4537.5</v>
      </c>
      <c r="Q652" s="326">
        <v>0.37</v>
      </c>
      <c r="R652" s="326">
        <f t="shared" ref="R652:R670" si="334">P652*Q652</f>
        <v>1678.875</v>
      </c>
      <c r="S652" s="350" t="s">
        <v>1235</v>
      </c>
      <c r="T652" s="321" t="s">
        <v>1225</v>
      </c>
      <c r="U652" s="6"/>
      <c r="V652" s="6"/>
      <c r="W652" s="6"/>
    </row>
    <row r="653" ht="12.0" customHeight="1">
      <c r="A653" s="52"/>
      <c r="B653" s="16"/>
      <c r="C653" s="16"/>
      <c r="D653" s="15" t="s">
        <v>1236</v>
      </c>
      <c r="E653" s="21" t="s">
        <v>1232</v>
      </c>
      <c r="F653" s="50">
        <v>2.0</v>
      </c>
      <c r="G653" s="14"/>
      <c r="H653" s="365">
        <f t="shared" si="331"/>
        <v>4691.1942</v>
      </c>
      <c r="I653" s="14" t="s">
        <v>119</v>
      </c>
      <c r="J653" s="418">
        <v>6325.0</v>
      </c>
      <c r="K653" s="308">
        <f t="shared" si="326"/>
        <v>9382.3884</v>
      </c>
      <c r="L653" s="301">
        <f t="shared" si="327"/>
        <v>7036.7913</v>
      </c>
      <c r="M653" s="314">
        <v>6154.0</v>
      </c>
      <c r="N653" s="314">
        <v>0.21</v>
      </c>
      <c r="O653" s="314">
        <f t="shared" si="332"/>
        <v>1292.34</v>
      </c>
      <c r="P653" s="314">
        <f t="shared" si="333"/>
        <v>7446.34</v>
      </c>
      <c r="Q653" s="314">
        <v>0.37</v>
      </c>
      <c r="R653" s="314">
        <f t="shared" si="334"/>
        <v>2755.1458</v>
      </c>
      <c r="S653" s="6"/>
      <c r="T653" s="329" t="s">
        <v>764</v>
      </c>
      <c r="U653" s="6"/>
      <c r="V653" s="6"/>
      <c r="W653" s="6"/>
    </row>
    <row r="654" ht="12.0" customHeight="1">
      <c r="A654" s="14"/>
      <c r="B654" s="16"/>
      <c r="C654" s="16"/>
      <c r="D654" s="15" t="s">
        <v>1237</v>
      </c>
      <c r="E654" s="21" t="s">
        <v>1238</v>
      </c>
      <c r="F654" s="14">
        <v>22.0</v>
      </c>
      <c r="G654" s="14"/>
      <c r="H654" s="365">
        <f t="shared" si="331"/>
        <v>83.853</v>
      </c>
      <c r="I654" s="14" t="s">
        <v>119</v>
      </c>
      <c r="J654" s="51">
        <v>220180.0</v>
      </c>
      <c r="K654" s="308">
        <f t="shared" si="326"/>
        <v>1844.766</v>
      </c>
      <c r="L654" s="301">
        <f t="shared" ref="L654:L659" si="335">H654*1.8</f>
        <v>150.9354</v>
      </c>
      <c r="M654" s="314">
        <v>110.0</v>
      </c>
      <c r="N654" s="314">
        <v>0.21</v>
      </c>
      <c r="O654" s="314">
        <f t="shared" si="332"/>
        <v>23.1</v>
      </c>
      <c r="P654" s="314">
        <f t="shared" si="333"/>
        <v>133.1</v>
      </c>
      <c r="Q654" s="314">
        <v>0.37</v>
      </c>
      <c r="R654" s="314">
        <f t="shared" si="334"/>
        <v>49.247</v>
      </c>
      <c r="S654" s="353" t="s">
        <v>1239</v>
      </c>
      <c r="T654" s="6"/>
      <c r="U654" s="6"/>
      <c r="V654" s="6"/>
      <c r="W654" s="6"/>
    </row>
    <row r="655" ht="12.0" customHeight="1">
      <c r="A655" s="14"/>
      <c r="B655" s="16"/>
      <c r="C655" s="16"/>
      <c r="D655" s="16" t="s">
        <v>1240</v>
      </c>
      <c r="E655" s="17" t="s">
        <v>1238</v>
      </c>
      <c r="F655" s="9">
        <v>8.0</v>
      </c>
      <c r="G655" s="9"/>
      <c r="H655" s="345">
        <f t="shared" si="331"/>
        <v>83.853</v>
      </c>
      <c r="I655" s="9" t="s">
        <v>119</v>
      </c>
      <c r="J655" s="24">
        <v>220188.0</v>
      </c>
      <c r="K655" s="306">
        <f t="shared" si="326"/>
        <v>670.824</v>
      </c>
      <c r="L655" s="301">
        <f t="shared" si="335"/>
        <v>150.9354</v>
      </c>
      <c r="M655" s="326">
        <v>110.0</v>
      </c>
      <c r="N655" s="326">
        <v>0.21</v>
      </c>
      <c r="O655" s="326">
        <f t="shared" si="332"/>
        <v>23.1</v>
      </c>
      <c r="P655" s="326">
        <f t="shared" si="333"/>
        <v>133.1</v>
      </c>
      <c r="Q655" s="326">
        <v>0.37</v>
      </c>
      <c r="R655" s="326">
        <f t="shared" si="334"/>
        <v>49.247</v>
      </c>
      <c r="S655" s="6"/>
      <c r="T655" s="6"/>
      <c r="U655" s="6"/>
      <c r="V655" s="6"/>
      <c r="W655" s="6"/>
    </row>
    <row r="656" ht="12.0" customHeight="1">
      <c r="A656" s="14"/>
      <c r="B656" s="16"/>
      <c r="C656" s="16"/>
      <c r="D656" s="489" t="s">
        <v>1237</v>
      </c>
      <c r="E656" s="17" t="s">
        <v>1241</v>
      </c>
      <c r="F656" s="9">
        <v>10.0</v>
      </c>
      <c r="G656" s="9"/>
      <c r="H656" s="345">
        <f t="shared" si="331"/>
        <v>152.46</v>
      </c>
      <c r="I656" s="9" t="s">
        <v>119</v>
      </c>
      <c r="J656" s="24">
        <v>360211.0</v>
      </c>
      <c r="K656" s="306">
        <f t="shared" si="326"/>
        <v>1524.6</v>
      </c>
      <c r="L656" s="301">
        <f t="shared" si="335"/>
        <v>274.428</v>
      </c>
      <c r="M656" s="326">
        <v>200.0</v>
      </c>
      <c r="N656" s="326">
        <v>0.21</v>
      </c>
      <c r="O656" s="326">
        <f t="shared" si="332"/>
        <v>42</v>
      </c>
      <c r="P656" s="326">
        <f t="shared" si="333"/>
        <v>242</v>
      </c>
      <c r="Q656" s="326">
        <v>0.37</v>
      </c>
      <c r="R656" s="326">
        <f t="shared" si="334"/>
        <v>89.54</v>
      </c>
      <c r="S656" s="353" t="s">
        <v>1242</v>
      </c>
      <c r="T656" s="6"/>
      <c r="U656" s="6"/>
      <c r="V656" s="6"/>
      <c r="W656" s="6"/>
    </row>
    <row r="657" ht="12.0" customHeight="1">
      <c r="A657" s="14"/>
      <c r="B657" s="16"/>
      <c r="C657" s="16"/>
      <c r="D657" s="39" t="s">
        <v>1240</v>
      </c>
      <c r="E657" s="40" t="s">
        <v>1243</v>
      </c>
      <c r="F657" s="41">
        <v>5.0</v>
      </c>
      <c r="G657" s="41"/>
      <c r="H657" s="319">
        <f t="shared" si="331"/>
        <v>25.9182</v>
      </c>
      <c r="I657" s="41" t="s">
        <v>119</v>
      </c>
      <c r="J657" s="81">
        <v>220189.0</v>
      </c>
      <c r="K657" s="320">
        <f t="shared" si="326"/>
        <v>129.591</v>
      </c>
      <c r="L657" s="317">
        <f t="shared" si="335"/>
        <v>46.65276</v>
      </c>
      <c r="M657" s="314">
        <v>34.0</v>
      </c>
      <c r="N657" s="314">
        <v>0.21</v>
      </c>
      <c r="O657" s="314">
        <f t="shared" si="332"/>
        <v>7.14</v>
      </c>
      <c r="P657" s="314">
        <f t="shared" si="333"/>
        <v>41.14</v>
      </c>
      <c r="Q657" s="314">
        <v>0.37</v>
      </c>
      <c r="R657" s="314">
        <f t="shared" si="334"/>
        <v>15.2218</v>
      </c>
      <c r="S657" s="6"/>
      <c r="T657" s="6"/>
      <c r="U657" s="6"/>
      <c r="V657" s="6"/>
      <c r="W657" s="6"/>
    </row>
    <row r="658" ht="12.0" customHeight="1">
      <c r="A658" s="14"/>
      <c r="B658" s="16"/>
      <c r="C658" s="16"/>
      <c r="D658" s="16" t="s">
        <v>1237</v>
      </c>
      <c r="E658" s="17" t="s">
        <v>1244</v>
      </c>
      <c r="F658" s="9">
        <v>14.0</v>
      </c>
      <c r="G658" s="9"/>
      <c r="H658" s="387">
        <f t="shared" si="331"/>
        <v>169.2306</v>
      </c>
      <c r="I658" s="9" t="s">
        <v>119</v>
      </c>
      <c r="J658" s="34">
        <v>220183.0</v>
      </c>
      <c r="K658" s="306">
        <f t="shared" si="326"/>
        <v>2369.2284</v>
      </c>
      <c r="L658" s="301">
        <f t="shared" si="335"/>
        <v>304.61508</v>
      </c>
      <c r="M658" s="380">
        <v>222.0</v>
      </c>
      <c r="N658" s="326">
        <v>0.21</v>
      </c>
      <c r="O658" s="326">
        <f t="shared" si="332"/>
        <v>46.62</v>
      </c>
      <c r="P658" s="326">
        <f t="shared" si="333"/>
        <v>268.62</v>
      </c>
      <c r="Q658" s="326">
        <v>0.37</v>
      </c>
      <c r="R658" s="326">
        <f t="shared" si="334"/>
        <v>99.3894</v>
      </c>
      <c r="S658" s="353" t="s">
        <v>1245</v>
      </c>
      <c r="T658" s="6"/>
      <c r="U658" s="6"/>
      <c r="V658" s="6"/>
      <c r="W658" s="6"/>
    </row>
    <row r="659" ht="12.0" customHeight="1">
      <c r="A659" s="14"/>
      <c r="B659" s="16"/>
      <c r="C659" s="16"/>
      <c r="D659" s="15" t="s">
        <v>1240</v>
      </c>
      <c r="E659" s="21" t="s">
        <v>1244</v>
      </c>
      <c r="F659" s="14">
        <v>8.0</v>
      </c>
      <c r="G659" s="14"/>
      <c r="H659" s="307">
        <f t="shared" si="331"/>
        <v>169.2306</v>
      </c>
      <c r="I659" s="14" t="s">
        <v>119</v>
      </c>
      <c r="J659" s="51">
        <v>2102310.0</v>
      </c>
      <c r="K659" s="308">
        <f t="shared" si="326"/>
        <v>1353.8448</v>
      </c>
      <c r="L659" s="301">
        <f t="shared" si="335"/>
        <v>304.61508</v>
      </c>
      <c r="M659" s="386">
        <f>SUM(1*M658)</f>
        <v>222</v>
      </c>
      <c r="N659" s="314">
        <v>0.21</v>
      </c>
      <c r="O659" s="314">
        <f t="shared" si="332"/>
        <v>46.62</v>
      </c>
      <c r="P659" s="314">
        <f t="shared" si="333"/>
        <v>268.62</v>
      </c>
      <c r="Q659" s="314">
        <v>0.37</v>
      </c>
      <c r="R659" s="314">
        <f t="shared" si="334"/>
        <v>99.3894</v>
      </c>
      <c r="S659" s="6"/>
      <c r="T659" s="6"/>
      <c r="U659" s="6"/>
      <c r="V659" s="6"/>
      <c r="W659" s="6"/>
    </row>
    <row r="660" ht="12.0" customHeight="1">
      <c r="A660" s="14"/>
      <c r="B660" s="16"/>
      <c r="C660" s="16"/>
      <c r="D660" s="16" t="s">
        <v>1237</v>
      </c>
      <c r="E660" s="17" t="s">
        <v>1246</v>
      </c>
      <c r="F660" s="9">
        <v>11.0</v>
      </c>
      <c r="G660" s="9"/>
      <c r="H660" s="345">
        <f t="shared" si="331"/>
        <v>425.3634</v>
      </c>
      <c r="I660" s="9" t="s">
        <v>119</v>
      </c>
      <c r="J660" s="24">
        <v>220185.0</v>
      </c>
      <c r="K660" s="306">
        <f t="shared" si="326"/>
        <v>4678.9974</v>
      </c>
      <c r="L660" s="301">
        <f t="shared" ref="L660:L661" si="336">H660*1.7</f>
        <v>723.11778</v>
      </c>
      <c r="M660" s="326">
        <v>558.0</v>
      </c>
      <c r="N660" s="326">
        <v>0.21</v>
      </c>
      <c r="O660" s="326">
        <f t="shared" si="332"/>
        <v>117.18</v>
      </c>
      <c r="P660" s="326">
        <f t="shared" si="333"/>
        <v>675.18</v>
      </c>
      <c r="Q660" s="326">
        <v>0.37</v>
      </c>
      <c r="R660" s="326">
        <f t="shared" si="334"/>
        <v>249.8166</v>
      </c>
      <c r="S660" s="353" t="s">
        <v>1247</v>
      </c>
      <c r="T660" s="6"/>
      <c r="U660" s="6"/>
      <c r="V660" s="6"/>
      <c r="W660" s="6"/>
    </row>
    <row r="661" ht="12.0" customHeight="1">
      <c r="A661" s="14"/>
      <c r="B661" s="16"/>
      <c r="C661" s="16"/>
      <c r="D661" s="15" t="s">
        <v>1248</v>
      </c>
      <c r="E661" s="21" t="s">
        <v>1246</v>
      </c>
      <c r="F661" s="14">
        <v>2.0</v>
      </c>
      <c r="G661" s="14"/>
      <c r="H661" s="365">
        <f t="shared" si="331"/>
        <v>551.1429</v>
      </c>
      <c r="I661" s="14" t="s">
        <v>119</v>
      </c>
      <c r="J661" s="420">
        <v>220262.0</v>
      </c>
      <c r="K661" s="308">
        <f t="shared" si="326"/>
        <v>1102.2858</v>
      </c>
      <c r="L661" s="301">
        <f t="shared" si="336"/>
        <v>936.94293</v>
      </c>
      <c r="M661" s="314">
        <v>723.0</v>
      </c>
      <c r="N661" s="314">
        <v>0.21</v>
      </c>
      <c r="O661" s="314">
        <f t="shared" si="332"/>
        <v>151.83</v>
      </c>
      <c r="P661" s="314">
        <f t="shared" si="333"/>
        <v>874.83</v>
      </c>
      <c r="Q661" s="314">
        <v>0.37</v>
      </c>
      <c r="R661" s="314">
        <f t="shared" si="334"/>
        <v>323.6871</v>
      </c>
      <c r="S661" s="6"/>
      <c r="T661" s="6"/>
      <c r="U661" s="6"/>
      <c r="V661" s="6"/>
      <c r="W661" s="6"/>
    </row>
    <row r="662" ht="12.0" customHeight="1">
      <c r="A662" s="14"/>
      <c r="B662" s="16"/>
      <c r="C662" s="16"/>
      <c r="D662" s="16" t="s">
        <v>1249</v>
      </c>
      <c r="E662" s="17" t="s">
        <v>1246</v>
      </c>
      <c r="F662" s="9">
        <v>4.0</v>
      </c>
      <c r="G662" s="9"/>
      <c r="H662" s="345">
        <f t="shared" si="331"/>
        <v>734.0949</v>
      </c>
      <c r="I662" s="9" t="s">
        <v>119</v>
      </c>
      <c r="J662" s="24">
        <v>2102390.0</v>
      </c>
      <c r="K662" s="306">
        <f t="shared" si="326"/>
        <v>2936.3796</v>
      </c>
      <c r="L662" s="301">
        <f t="shared" ref="L662:L665" si="337">H662*1.8</f>
        <v>1321.37082</v>
      </c>
      <c r="M662" s="326">
        <v>963.0</v>
      </c>
      <c r="N662" s="326">
        <v>0.21</v>
      </c>
      <c r="O662" s="326">
        <f t="shared" si="332"/>
        <v>202.23</v>
      </c>
      <c r="P662" s="326">
        <f t="shared" si="333"/>
        <v>1165.23</v>
      </c>
      <c r="Q662" s="326">
        <v>0.37</v>
      </c>
      <c r="R662" s="326">
        <f t="shared" si="334"/>
        <v>431.1351</v>
      </c>
      <c r="S662" s="6"/>
      <c r="T662" s="6"/>
      <c r="U662" s="6"/>
      <c r="V662" s="6"/>
      <c r="W662" s="6"/>
    </row>
    <row r="663" ht="12.0" customHeight="1">
      <c r="A663" s="14"/>
      <c r="B663" s="16"/>
      <c r="C663" s="16"/>
      <c r="D663" s="15" t="s">
        <v>1250</v>
      </c>
      <c r="E663" s="21" t="s">
        <v>1251</v>
      </c>
      <c r="F663" s="14">
        <v>13.0</v>
      </c>
      <c r="G663" s="14"/>
      <c r="H663" s="365">
        <f t="shared" si="331"/>
        <v>137.214</v>
      </c>
      <c r="I663" s="14" t="s">
        <v>119</v>
      </c>
      <c r="J663" s="51">
        <v>220198.0</v>
      </c>
      <c r="K663" s="308">
        <f t="shared" si="326"/>
        <v>1783.782</v>
      </c>
      <c r="L663" s="301">
        <f t="shared" si="337"/>
        <v>246.9852</v>
      </c>
      <c r="M663" s="314">
        <v>180.0</v>
      </c>
      <c r="N663" s="314">
        <v>0.21</v>
      </c>
      <c r="O663" s="314">
        <f t="shared" si="332"/>
        <v>37.8</v>
      </c>
      <c r="P663" s="314">
        <f t="shared" si="333"/>
        <v>217.8</v>
      </c>
      <c r="Q663" s="314">
        <v>0.37</v>
      </c>
      <c r="R663" s="314">
        <f t="shared" si="334"/>
        <v>80.586</v>
      </c>
      <c r="S663" s="353" t="s">
        <v>1252</v>
      </c>
      <c r="T663" s="6"/>
      <c r="U663" s="6"/>
      <c r="V663" s="6"/>
      <c r="W663" s="6"/>
    </row>
    <row r="664" ht="12.0" customHeight="1">
      <c r="A664" s="14"/>
      <c r="B664" s="16"/>
      <c r="C664" s="16"/>
      <c r="D664" s="16" t="s">
        <v>1250</v>
      </c>
      <c r="E664" s="17" t="s">
        <v>1253</v>
      </c>
      <c r="F664" s="9">
        <v>15.0</v>
      </c>
      <c r="G664" s="9"/>
      <c r="H664" s="345">
        <f t="shared" si="331"/>
        <v>148.6485</v>
      </c>
      <c r="I664" s="9" t="s">
        <v>119</v>
      </c>
      <c r="J664" s="24">
        <v>2201520.0</v>
      </c>
      <c r="K664" s="306">
        <f t="shared" si="326"/>
        <v>2229.7275</v>
      </c>
      <c r="L664" s="301">
        <f t="shared" si="337"/>
        <v>267.5673</v>
      </c>
      <c r="M664" s="326">
        <v>195.0</v>
      </c>
      <c r="N664" s="326">
        <v>0.21</v>
      </c>
      <c r="O664" s="326">
        <f t="shared" si="332"/>
        <v>40.95</v>
      </c>
      <c r="P664" s="326">
        <f t="shared" si="333"/>
        <v>235.95</v>
      </c>
      <c r="Q664" s="326">
        <v>0.37</v>
      </c>
      <c r="R664" s="326">
        <f t="shared" si="334"/>
        <v>87.3015</v>
      </c>
      <c r="S664" s="353" t="s">
        <v>1254</v>
      </c>
      <c r="T664" s="6"/>
      <c r="U664" s="6"/>
      <c r="V664" s="6"/>
      <c r="W664" s="6"/>
    </row>
    <row r="665" ht="12.0" customHeight="1">
      <c r="A665" s="14"/>
      <c r="B665" s="16"/>
      <c r="C665" s="16"/>
      <c r="D665" s="15" t="s">
        <v>1250</v>
      </c>
      <c r="E665" s="21" t="s">
        <v>1255</v>
      </c>
      <c r="F665" s="14">
        <v>12.0</v>
      </c>
      <c r="G665" s="14"/>
      <c r="H665" s="365">
        <f t="shared" si="331"/>
        <v>251.559</v>
      </c>
      <c r="I665" s="14" t="s">
        <v>119</v>
      </c>
      <c r="J665" s="51">
        <v>2201530.0</v>
      </c>
      <c r="K665" s="308">
        <f t="shared" si="326"/>
        <v>3018.708</v>
      </c>
      <c r="L665" s="301">
        <f t="shared" si="337"/>
        <v>452.8062</v>
      </c>
      <c r="M665" s="314">
        <v>330.0</v>
      </c>
      <c r="N665" s="314">
        <v>0.21</v>
      </c>
      <c r="O665" s="314">
        <f t="shared" si="332"/>
        <v>69.3</v>
      </c>
      <c r="P665" s="314">
        <f t="shared" si="333"/>
        <v>399.3</v>
      </c>
      <c r="Q665" s="314">
        <v>0.37</v>
      </c>
      <c r="R665" s="314">
        <f t="shared" si="334"/>
        <v>147.741</v>
      </c>
      <c r="S665" s="353" t="s">
        <v>1256</v>
      </c>
      <c r="T665" s="6"/>
      <c r="U665" s="6"/>
      <c r="V665" s="6"/>
      <c r="W665" s="6"/>
    </row>
    <row r="666" ht="12.0" customHeight="1">
      <c r="A666" s="14"/>
      <c r="B666" s="16"/>
      <c r="C666" s="16"/>
      <c r="D666" s="16" t="s">
        <v>1250</v>
      </c>
      <c r="E666" s="17" t="s">
        <v>1257</v>
      </c>
      <c r="F666" s="9">
        <v>10.0</v>
      </c>
      <c r="G666" s="9"/>
      <c r="H666" s="345">
        <f t="shared" si="331"/>
        <v>577.8234</v>
      </c>
      <c r="I666" s="9" t="s">
        <v>119</v>
      </c>
      <c r="J666" s="24">
        <v>220201.0</v>
      </c>
      <c r="K666" s="306">
        <f t="shared" si="326"/>
        <v>5778.234</v>
      </c>
      <c r="L666" s="301">
        <f>H666*1.7</f>
        <v>982.29978</v>
      </c>
      <c r="M666" s="326">
        <v>758.0</v>
      </c>
      <c r="N666" s="326">
        <v>0.21</v>
      </c>
      <c r="O666" s="326">
        <f t="shared" si="332"/>
        <v>159.18</v>
      </c>
      <c r="P666" s="326">
        <f t="shared" si="333"/>
        <v>917.18</v>
      </c>
      <c r="Q666" s="326">
        <v>0.37</v>
      </c>
      <c r="R666" s="326">
        <f t="shared" si="334"/>
        <v>339.3566</v>
      </c>
      <c r="S666" s="6"/>
      <c r="T666" s="6"/>
      <c r="U666" s="6"/>
      <c r="V666" s="6"/>
      <c r="W666" s="6"/>
    </row>
    <row r="667" ht="12.0" customHeight="1">
      <c r="A667" s="14"/>
      <c r="B667" s="16"/>
      <c r="C667" s="16"/>
      <c r="D667" s="15" t="s">
        <v>1258</v>
      </c>
      <c r="E667" s="21" t="s">
        <v>1223</v>
      </c>
      <c r="F667" s="14">
        <v>22.0</v>
      </c>
      <c r="G667" s="14" t="s">
        <v>1259</v>
      </c>
      <c r="H667" s="365">
        <f t="shared" si="331"/>
        <v>78.5169</v>
      </c>
      <c r="I667" s="14" t="s">
        <v>119</v>
      </c>
      <c r="J667" s="51">
        <v>220204.0</v>
      </c>
      <c r="K667" s="308">
        <f t="shared" si="326"/>
        <v>1727.3718</v>
      </c>
      <c r="L667" s="301">
        <f>H667*1.95</f>
        <v>153.107955</v>
      </c>
      <c r="M667" s="314">
        <v>103.0</v>
      </c>
      <c r="N667" s="314">
        <v>0.21</v>
      </c>
      <c r="O667" s="314">
        <f t="shared" si="332"/>
        <v>21.63</v>
      </c>
      <c r="P667" s="314">
        <f t="shared" si="333"/>
        <v>124.63</v>
      </c>
      <c r="Q667" s="314">
        <v>0.37</v>
      </c>
      <c r="R667" s="314">
        <f t="shared" si="334"/>
        <v>46.1131</v>
      </c>
      <c r="S667" s="6"/>
      <c r="T667" s="6"/>
      <c r="U667" s="6"/>
      <c r="V667" s="6"/>
      <c r="W667" s="6"/>
    </row>
    <row r="668" ht="12.0" customHeight="1">
      <c r="A668" s="14"/>
      <c r="B668" s="16"/>
      <c r="C668" s="16"/>
      <c r="D668" s="16" t="s">
        <v>1258</v>
      </c>
      <c r="E668" s="17" t="s">
        <v>1227</v>
      </c>
      <c r="F668" s="9">
        <v>14.0</v>
      </c>
      <c r="G668" s="9" t="s">
        <v>1259</v>
      </c>
      <c r="H668" s="345">
        <f t="shared" si="331"/>
        <v>102.1482</v>
      </c>
      <c r="I668" s="9" t="s">
        <v>119</v>
      </c>
      <c r="J668" s="24">
        <v>220205.0</v>
      </c>
      <c r="K668" s="306">
        <f t="shared" si="326"/>
        <v>1430.0748</v>
      </c>
      <c r="L668" s="301">
        <f t="shared" ref="L668:L669" si="338">H668*1.8</f>
        <v>183.86676</v>
      </c>
      <c r="M668" s="326">
        <v>134.0</v>
      </c>
      <c r="N668" s="326">
        <v>0.21</v>
      </c>
      <c r="O668" s="326">
        <f t="shared" si="332"/>
        <v>28.14</v>
      </c>
      <c r="P668" s="326">
        <f t="shared" si="333"/>
        <v>162.14</v>
      </c>
      <c r="Q668" s="326">
        <v>0.37</v>
      </c>
      <c r="R668" s="326">
        <f t="shared" si="334"/>
        <v>59.9918</v>
      </c>
      <c r="S668" s="353" t="s">
        <v>1260</v>
      </c>
      <c r="T668" s="6"/>
      <c r="U668" s="6"/>
      <c r="V668" s="6"/>
      <c r="W668" s="6"/>
    </row>
    <row r="669" ht="12.0" customHeight="1">
      <c r="A669" s="14"/>
      <c r="B669" s="16"/>
      <c r="C669" s="16"/>
      <c r="D669" s="15" t="s">
        <v>1258</v>
      </c>
      <c r="E669" s="21" t="s">
        <v>1229</v>
      </c>
      <c r="F669" s="14">
        <v>12.0</v>
      </c>
      <c r="G669" s="14" t="s">
        <v>1259</v>
      </c>
      <c r="H669" s="365">
        <f t="shared" si="331"/>
        <v>144.837</v>
      </c>
      <c r="I669" s="14" t="s">
        <v>119</v>
      </c>
      <c r="J669" s="51">
        <v>220207.0</v>
      </c>
      <c r="K669" s="308">
        <f t="shared" si="326"/>
        <v>1738.044</v>
      </c>
      <c r="L669" s="301">
        <f t="shared" si="338"/>
        <v>260.7066</v>
      </c>
      <c r="M669" s="314">
        <v>190.0</v>
      </c>
      <c r="N669" s="314">
        <v>0.21</v>
      </c>
      <c r="O669" s="314">
        <f t="shared" si="332"/>
        <v>39.9</v>
      </c>
      <c r="P669" s="314">
        <f t="shared" si="333"/>
        <v>229.9</v>
      </c>
      <c r="Q669" s="314">
        <v>0.37</v>
      </c>
      <c r="R669" s="314">
        <f t="shared" si="334"/>
        <v>85.063</v>
      </c>
      <c r="S669" s="6"/>
      <c r="T669" s="6"/>
      <c r="U669" s="6"/>
      <c r="V669" s="6"/>
      <c r="W669" s="6"/>
    </row>
    <row r="670" ht="12.0" customHeight="1">
      <c r="A670" s="14"/>
      <c r="B670" s="16"/>
      <c r="C670" s="16"/>
      <c r="D670" s="16" t="s">
        <v>1258</v>
      </c>
      <c r="E670" s="17" t="s">
        <v>1232</v>
      </c>
      <c r="F670" s="9">
        <v>9.0</v>
      </c>
      <c r="G670" s="9" t="s">
        <v>1259</v>
      </c>
      <c r="H670" s="345">
        <f t="shared" si="331"/>
        <v>306.4446</v>
      </c>
      <c r="I670" s="9" t="s">
        <v>119</v>
      </c>
      <c r="J670" s="59">
        <v>220209.0</v>
      </c>
      <c r="K670" s="306">
        <f t="shared" si="326"/>
        <v>2758.0014</v>
      </c>
      <c r="L670" s="301">
        <f t="shared" ref="L670:L671" si="339">H670*1.7</f>
        <v>520.95582</v>
      </c>
      <c r="M670" s="326">
        <v>402.0</v>
      </c>
      <c r="N670" s="326">
        <v>0.21</v>
      </c>
      <c r="O670" s="326">
        <f t="shared" si="332"/>
        <v>84.42</v>
      </c>
      <c r="P670" s="326">
        <f t="shared" si="333"/>
        <v>486.42</v>
      </c>
      <c r="Q670" s="326">
        <v>0.37</v>
      </c>
      <c r="R670" s="326">
        <f t="shared" si="334"/>
        <v>179.9754</v>
      </c>
      <c r="S670" s="350" t="s">
        <v>1028</v>
      </c>
      <c r="T670" s="6"/>
      <c r="U670" s="6"/>
      <c r="V670" s="6"/>
      <c r="W670" s="6"/>
    </row>
    <row r="671" ht="12.0" customHeight="1">
      <c r="A671" s="14"/>
      <c r="B671" s="16"/>
      <c r="C671" s="16"/>
      <c r="D671" s="16" t="s">
        <v>1261</v>
      </c>
      <c r="E671" s="17" t="s">
        <v>1232</v>
      </c>
      <c r="F671" s="9">
        <v>2.0</v>
      </c>
      <c r="G671" s="9"/>
      <c r="H671" s="345">
        <v>189.0</v>
      </c>
      <c r="I671" s="9" t="s">
        <v>576</v>
      </c>
      <c r="J671" s="59" t="s">
        <v>1262</v>
      </c>
      <c r="K671" s="306">
        <f t="shared" si="326"/>
        <v>378</v>
      </c>
      <c r="L671" s="301">
        <f t="shared" si="339"/>
        <v>321.3</v>
      </c>
      <c r="M671" s="326"/>
      <c r="N671" s="326"/>
      <c r="O671" s="326"/>
      <c r="P671" s="326"/>
      <c r="Q671" s="326"/>
      <c r="R671" s="326"/>
      <c r="S671" s="350"/>
      <c r="T671" s="6"/>
      <c r="U671" s="6"/>
      <c r="V671" s="6"/>
      <c r="W671" s="6"/>
    </row>
    <row r="672" ht="12.0" customHeight="1">
      <c r="A672" s="14"/>
      <c r="B672" s="16"/>
      <c r="C672" s="16"/>
      <c r="D672" s="15" t="s">
        <v>1263</v>
      </c>
      <c r="E672" s="21" t="s">
        <v>339</v>
      </c>
      <c r="F672" s="14">
        <v>10.0</v>
      </c>
      <c r="G672" s="14" t="s">
        <v>1259</v>
      </c>
      <c r="H672" s="365">
        <f t="shared" ref="H672:H676" si="340">(P672-R672)</f>
        <v>38.8773</v>
      </c>
      <c r="I672" s="14" t="s">
        <v>119</v>
      </c>
      <c r="J672" s="51">
        <v>220229.0</v>
      </c>
      <c r="K672" s="314">
        <f t="shared" si="326"/>
        <v>388.773</v>
      </c>
      <c r="L672" s="301">
        <f t="shared" ref="L672:L674" si="341">H672*2.06</f>
        <v>80.087238</v>
      </c>
      <c r="M672" s="314">
        <v>51.0</v>
      </c>
      <c r="N672" s="314">
        <v>0.21</v>
      </c>
      <c r="O672" s="314">
        <f t="shared" ref="O672:O676" si="342">M672*N672</f>
        <v>10.71</v>
      </c>
      <c r="P672" s="314">
        <f t="shared" ref="P672:P676" si="343">SUM(M672+O672)</f>
        <v>61.71</v>
      </c>
      <c r="Q672" s="314">
        <v>0.37</v>
      </c>
      <c r="R672" s="314">
        <f t="shared" ref="R672:R676" si="344">P672*Q672</f>
        <v>22.8327</v>
      </c>
      <c r="S672" s="6"/>
      <c r="T672" s="6"/>
      <c r="U672" s="6"/>
      <c r="V672" s="6"/>
      <c r="W672" s="6"/>
    </row>
    <row r="673" ht="12.0" customHeight="1">
      <c r="A673" s="14"/>
      <c r="B673" s="16"/>
      <c r="C673" s="16"/>
      <c r="D673" s="16" t="s">
        <v>1263</v>
      </c>
      <c r="E673" s="17" t="s">
        <v>235</v>
      </c>
      <c r="F673" s="9">
        <v>10.0</v>
      </c>
      <c r="G673" s="9" t="s">
        <v>1259</v>
      </c>
      <c r="H673" s="345">
        <f t="shared" si="340"/>
        <v>69.3693</v>
      </c>
      <c r="I673" s="9" t="s">
        <v>119</v>
      </c>
      <c r="J673" s="24">
        <v>220230.0</v>
      </c>
      <c r="K673" s="306">
        <f t="shared" si="326"/>
        <v>693.693</v>
      </c>
      <c r="L673" s="301">
        <f t="shared" si="341"/>
        <v>142.900758</v>
      </c>
      <c r="M673" s="326">
        <v>91.0</v>
      </c>
      <c r="N673" s="326">
        <v>0.21</v>
      </c>
      <c r="O673" s="326">
        <f t="shared" si="342"/>
        <v>19.11</v>
      </c>
      <c r="P673" s="326">
        <f t="shared" si="343"/>
        <v>110.11</v>
      </c>
      <c r="Q673" s="326">
        <v>0.37</v>
      </c>
      <c r="R673" s="326">
        <f t="shared" si="344"/>
        <v>40.7407</v>
      </c>
      <c r="S673" s="6"/>
      <c r="T673" s="6"/>
      <c r="U673" s="6"/>
      <c r="V673" s="6"/>
      <c r="W673" s="6"/>
    </row>
    <row r="674" ht="12.0" customHeight="1">
      <c r="A674" s="14"/>
      <c r="B674" s="16"/>
      <c r="C674" s="16"/>
      <c r="D674" s="15" t="s">
        <v>1263</v>
      </c>
      <c r="E674" s="21" t="s">
        <v>401</v>
      </c>
      <c r="F674" s="14">
        <v>12.0</v>
      </c>
      <c r="G674" s="14" t="s">
        <v>1259</v>
      </c>
      <c r="H674" s="365">
        <f t="shared" si="340"/>
        <v>71.6562</v>
      </c>
      <c r="I674" s="14" t="s">
        <v>119</v>
      </c>
      <c r="J674" s="51">
        <v>220231.0</v>
      </c>
      <c r="K674" s="308">
        <f t="shared" si="326"/>
        <v>859.8744</v>
      </c>
      <c r="L674" s="301">
        <f t="shared" si="341"/>
        <v>147.611772</v>
      </c>
      <c r="M674" s="314">
        <v>94.0</v>
      </c>
      <c r="N674" s="314">
        <v>0.21</v>
      </c>
      <c r="O674" s="314">
        <f t="shared" si="342"/>
        <v>19.74</v>
      </c>
      <c r="P674" s="314">
        <f t="shared" si="343"/>
        <v>113.74</v>
      </c>
      <c r="Q674" s="314">
        <v>0.37</v>
      </c>
      <c r="R674" s="314">
        <f t="shared" si="344"/>
        <v>42.0838</v>
      </c>
      <c r="S674" s="6"/>
      <c r="T674" s="6"/>
      <c r="U674" s="6"/>
      <c r="V674" s="6"/>
      <c r="W674" s="6"/>
    </row>
    <row r="675" ht="12.0" customHeight="1">
      <c r="A675" s="14"/>
      <c r="B675" s="16"/>
      <c r="C675" s="16"/>
      <c r="D675" s="16" t="s">
        <v>1263</v>
      </c>
      <c r="E675" s="17" t="s">
        <v>1232</v>
      </c>
      <c r="F675" s="33">
        <v>12.0</v>
      </c>
      <c r="G675" s="9"/>
      <c r="H675" s="345">
        <f t="shared" si="340"/>
        <v>107.4843</v>
      </c>
      <c r="I675" s="9" t="s">
        <v>119</v>
      </c>
      <c r="J675" s="24">
        <v>2118140.0</v>
      </c>
      <c r="K675" s="306">
        <f t="shared" si="326"/>
        <v>1289.8116</v>
      </c>
      <c r="L675" s="301">
        <f t="shared" ref="L675:L676" si="345">H675*1.8</f>
        <v>193.47174</v>
      </c>
      <c r="M675" s="326">
        <v>141.0</v>
      </c>
      <c r="N675" s="326">
        <v>0.21</v>
      </c>
      <c r="O675" s="326">
        <f t="shared" si="342"/>
        <v>29.61</v>
      </c>
      <c r="P675" s="326">
        <f t="shared" si="343"/>
        <v>170.61</v>
      </c>
      <c r="Q675" s="326">
        <v>0.37</v>
      </c>
      <c r="R675" s="326">
        <f t="shared" si="344"/>
        <v>63.1257</v>
      </c>
      <c r="S675" s="353" t="s">
        <v>1264</v>
      </c>
      <c r="T675" s="6"/>
      <c r="U675" s="6"/>
      <c r="V675" s="6"/>
      <c r="W675" s="6"/>
    </row>
    <row r="676" ht="12.0" customHeight="1">
      <c r="A676" s="14"/>
      <c r="B676" s="16"/>
      <c r="C676" s="16"/>
      <c r="D676" s="16" t="s">
        <v>1265</v>
      </c>
      <c r="E676" s="17" t="s">
        <v>1229</v>
      </c>
      <c r="F676" s="9">
        <v>6.0</v>
      </c>
      <c r="G676" s="9" t="s">
        <v>1259</v>
      </c>
      <c r="H676" s="345">
        <f t="shared" si="340"/>
        <v>237.8376</v>
      </c>
      <c r="I676" s="9" t="s">
        <v>119</v>
      </c>
      <c r="J676" s="24">
        <v>220263.0</v>
      </c>
      <c r="K676" s="306">
        <f t="shared" si="326"/>
        <v>1427.0256</v>
      </c>
      <c r="L676" s="301">
        <f t="shared" si="345"/>
        <v>428.10768</v>
      </c>
      <c r="M676" s="326">
        <v>312.0</v>
      </c>
      <c r="N676" s="326">
        <v>0.21</v>
      </c>
      <c r="O676" s="326">
        <f t="shared" si="342"/>
        <v>65.52</v>
      </c>
      <c r="P676" s="326">
        <f t="shared" si="343"/>
        <v>377.52</v>
      </c>
      <c r="Q676" s="326">
        <v>0.37</v>
      </c>
      <c r="R676" s="326">
        <f t="shared" si="344"/>
        <v>139.6824</v>
      </c>
      <c r="S676" s="6"/>
      <c r="T676" s="6"/>
      <c r="U676" s="6"/>
      <c r="V676" s="6"/>
      <c r="W676" s="6"/>
    </row>
    <row r="677" ht="12.0" customHeight="1">
      <c r="A677" s="14"/>
      <c r="B677" s="16"/>
      <c r="C677" s="16"/>
      <c r="D677" s="16" t="s">
        <v>1265</v>
      </c>
      <c r="E677" s="17" t="s">
        <v>1266</v>
      </c>
      <c r="F677" s="9">
        <v>2.0</v>
      </c>
      <c r="G677" s="9"/>
      <c r="H677" s="345">
        <v>524.0</v>
      </c>
      <c r="I677" s="9" t="s">
        <v>576</v>
      </c>
      <c r="J677" s="24" t="s">
        <v>1267</v>
      </c>
      <c r="K677" s="306">
        <f t="shared" si="326"/>
        <v>1048</v>
      </c>
      <c r="L677" s="301">
        <f t="shared" ref="L677:L679" si="346">H677*1.7</f>
        <v>890.8</v>
      </c>
      <c r="M677" s="326"/>
      <c r="N677" s="326"/>
      <c r="O677" s="326"/>
      <c r="P677" s="326"/>
      <c r="Q677" s="326"/>
      <c r="R677" s="326"/>
      <c r="S677" s="6"/>
      <c r="T677" s="6"/>
      <c r="U677" s="6"/>
      <c r="V677" s="6"/>
      <c r="W677" s="6"/>
    </row>
    <row r="678" ht="12.0" customHeight="1">
      <c r="A678" s="52"/>
      <c r="B678" s="16"/>
      <c r="C678" s="16"/>
      <c r="D678" s="15" t="s">
        <v>1268</v>
      </c>
      <c r="E678" s="21" t="s">
        <v>1269</v>
      </c>
      <c r="F678" s="50">
        <v>4.0</v>
      </c>
      <c r="G678" s="14" t="s">
        <v>1259</v>
      </c>
      <c r="H678" s="365">
        <f t="shared" ref="H678:H690" si="347">(P678-R678)</f>
        <v>609.84</v>
      </c>
      <c r="I678" s="14" t="s">
        <v>119</v>
      </c>
      <c r="J678" s="51">
        <v>220259.0</v>
      </c>
      <c r="K678" s="308">
        <f t="shared" si="326"/>
        <v>2439.36</v>
      </c>
      <c r="L678" s="301">
        <f t="shared" si="346"/>
        <v>1036.728</v>
      </c>
      <c r="M678" s="314">
        <v>800.0</v>
      </c>
      <c r="N678" s="314">
        <v>0.21</v>
      </c>
      <c r="O678" s="314">
        <f t="shared" ref="O678:O690" si="348">M678*N678</f>
        <v>168</v>
      </c>
      <c r="P678" s="314">
        <f t="shared" ref="P678:P690" si="349">SUM(M678+O678)</f>
        <v>968</v>
      </c>
      <c r="Q678" s="314">
        <v>0.37</v>
      </c>
      <c r="R678" s="314">
        <f t="shared" ref="R678:R690" si="350">P678*Q678</f>
        <v>358.16</v>
      </c>
      <c r="S678" s="353" t="s">
        <v>1270</v>
      </c>
      <c r="T678" s="6"/>
      <c r="U678" s="6"/>
      <c r="V678" s="6"/>
      <c r="W678" s="6"/>
    </row>
    <row r="679" ht="12.0" customHeight="1">
      <c r="A679" s="52"/>
      <c r="B679" s="16"/>
      <c r="C679" s="16"/>
      <c r="D679" s="15" t="s">
        <v>1268</v>
      </c>
      <c r="E679" s="21" t="s">
        <v>1271</v>
      </c>
      <c r="F679" s="50">
        <v>1.0</v>
      </c>
      <c r="G679" s="14" t="s">
        <v>1259</v>
      </c>
      <c r="H679" s="365">
        <f t="shared" si="347"/>
        <v>1176.9912</v>
      </c>
      <c r="I679" s="14" t="s">
        <v>119</v>
      </c>
      <c r="J679" s="490" t="s">
        <v>1272</v>
      </c>
      <c r="K679" s="308">
        <f t="shared" si="326"/>
        <v>1176.9912</v>
      </c>
      <c r="L679" s="301">
        <f t="shared" si="346"/>
        <v>2000.88504</v>
      </c>
      <c r="M679" s="314">
        <v>1544.0</v>
      </c>
      <c r="N679" s="314">
        <v>0.21</v>
      </c>
      <c r="O679" s="314">
        <f t="shared" si="348"/>
        <v>324.24</v>
      </c>
      <c r="P679" s="314">
        <f t="shared" si="349"/>
        <v>1868.24</v>
      </c>
      <c r="Q679" s="314">
        <v>0.37</v>
      </c>
      <c r="R679" s="314">
        <f t="shared" si="350"/>
        <v>691.2488</v>
      </c>
      <c r="S679" s="6"/>
      <c r="T679" s="6"/>
      <c r="U679" s="6"/>
      <c r="V679" s="6"/>
      <c r="W679" s="6"/>
    </row>
    <row r="680" ht="12.0" customHeight="1">
      <c r="A680" s="52"/>
      <c r="B680" s="16"/>
      <c r="C680" s="16"/>
      <c r="D680" s="31" t="s">
        <v>1273</v>
      </c>
      <c r="E680" s="32" t="s">
        <v>1274</v>
      </c>
      <c r="F680" s="33">
        <v>1.0</v>
      </c>
      <c r="G680" s="33" t="s">
        <v>1275</v>
      </c>
      <c r="H680" s="345">
        <f t="shared" si="347"/>
        <v>2435.5485</v>
      </c>
      <c r="I680" s="33" t="s">
        <v>119</v>
      </c>
      <c r="J680" s="59">
        <v>210816.0</v>
      </c>
      <c r="K680" s="323">
        <f t="shared" si="326"/>
        <v>2435.5485</v>
      </c>
      <c r="L680" s="346">
        <f>H680*1.65</f>
        <v>4018.655025</v>
      </c>
      <c r="M680" s="310">
        <v>3195.0</v>
      </c>
      <c r="N680" s="310">
        <v>0.21</v>
      </c>
      <c r="O680" s="310">
        <f t="shared" si="348"/>
        <v>670.95</v>
      </c>
      <c r="P680" s="310">
        <f t="shared" si="349"/>
        <v>3865.95</v>
      </c>
      <c r="Q680" s="310">
        <v>0.37</v>
      </c>
      <c r="R680" s="310">
        <f t="shared" si="350"/>
        <v>1430.4015</v>
      </c>
      <c r="S680" s="6"/>
      <c r="T680" s="6"/>
      <c r="U680" s="6"/>
      <c r="V680" s="6"/>
      <c r="W680" s="6"/>
    </row>
    <row r="681" ht="12.0" customHeight="1">
      <c r="A681" s="14"/>
      <c r="B681" s="16"/>
      <c r="C681" s="16"/>
      <c r="D681" s="15" t="s">
        <v>1276</v>
      </c>
      <c r="E681" s="21" t="s">
        <v>1277</v>
      </c>
      <c r="F681" s="14">
        <v>15.0</v>
      </c>
      <c r="G681" s="14"/>
      <c r="H681" s="365">
        <f t="shared" si="347"/>
        <v>83.853</v>
      </c>
      <c r="I681" s="14" t="s">
        <v>119</v>
      </c>
      <c r="J681" s="51">
        <v>220212.0</v>
      </c>
      <c r="K681" s="308">
        <f t="shared" si="326"/>
        <v>1257.795</v>
      </c>
      <c r="L681" s="301">
        <f t="shared" ref="L681:L682" si="351">H681*1.8</f>
        <v>150.9354</v>
      </c>
      <c r="M681" s="314">
        <v>110.0</v>
      </c>
      <c r="N681" s="314">
        <v>0.21</v>
      </c>
      <c r="O681" s="314">
        <f t="shared" si="348"/>
        <v>23.1</v>
      </c>
      <c r="P681" s="314">
        <f t="shared" si="349"/>
        <v>133.1</v>
      </c>
      <c r="Q681" s="314">
        <v>0.37</v>
      </c>
      <c r="R681" s="314">
        <f t="shared" si="350"/>
        <v>49.247</v>
      </c>
      <c r="S681" s="353" t="s">
        <v>1278</v>
      </c>
      <c r="T681" s="6"/>
      <c r="U681" s="6"/>
      <c r="V681" s="6"/>
      <c r="W681" s="6"/>
    </row>
    <row r="682" ht="12.0" customHeight="1">
      <c r="A682" s="14"/>
      <c r="B682" s="16"/>
      <c r="C682" s="16"/>
      <c r="D682" s="16" t="s">
        <v>1279</v>
      </c>
      <c r="E682" s="32" t="s">
        <v>1280</v>
      </c>
      <c r="F682" s="33">
        <v>7.0</v>
      </c>
      <c r="G682" s="9"/>
      <c r="H682" s="345">
        <f t="shared" si="347"/>
        <v>132.6402</v>
      </c>
      <c r="I682" s="9" t="s">
        <v>119</v>
      </c>
      <c r="J682" s="34">
        <v>220216.0</v>
      </c>
      <c r="K682" s="310">
        <f>(F682*H682)</f>
        <v>928.4814</v>
      </c>
      <c r="L682" s="301">
        <f t="shared" si="351"/>
        <v>238.75236</v>
      </c>
      <c r="M682" s="326">
        <v>174.0</v>
      </c>
      <c r="N682" s="326">
        <v>0.21</v>
      </c>
      <c r="O682" s="326">
        <f t="shared" si="348"/>
        <v>36.54</v>
      </c>
      <c r="P682" s="326">
        <f t="shared" si="349"/>
        <v>210.54</v>
      </c>
      <c r="Q682" s="326">
        <v>0.37</v>
      </c>
      <c r="R682" s="326">
        <f t="shared" si="350"/>
        <v>77.8998</v>
      </c>
      <c r="S682" s="353" t="s">
        <v>1281</v>
      </c>
      <c r="T682" s="6"/>
      <c r="U682" s="6"/>
      <c r="V682" s="6"/>
      <c r="W682" s="6"/>
    </row>
    <row r="683" ht="12.0" customHeight="1">
      <c r="A683" s="14"/>
      <c r="B683" s="16"/>
      <c r="C683" s="16"/>
      <c r="D683" s="109" t="s">
        <v>1276</v>
      </c>
      <c r="E683" s="491" t="s">
        <v>1282</v>
      </c>
      <c r="F683" s="111">
        <v>10.0</v>
      </c>
      <c r="G683" s="111"/>
      <c r="H683" s="365">
        <f t="shared" si="347"/>
        <v>143.3124</v>
      </c>
      <c r="I683" s="158" t="s">
        <v>119</v>
      </c>
      <c r="J683" s="487">
        <v>220217.0</v>
      </c>
      <c r="K683" s="308">
        <f>H683*F683</f>
        <v>1433.124</v>
      </c>
      <c r="L683" s="301">
        <f>H683*2.2</f>
        <v>315.28728</v>
      </c>
      <c r="M683" s="314">
        <v>188.0</v>
      </c>
      <c r="N683" s="314">
        <v>0.21</v>
      </c>
      <c r="O683" s="314">
        <f t="shared" si="348"/>
        <v>39.48</v>
      </c>
      <c r="P683" s="314">
        <f t="shared" si="349"/>
        <v>227.48</v>
      </c>
      <c r="Q683" s="314">
        <v>0.37</v>
      </c>
      <c r="R683" s="314">
        <f t="shared" si="350"/>
        <v>84.1676</v>
      </c>
      <c r="S683" s="353" t="s">
        <v>1283</v>
      </c>
      <c r="T683" s="6"/>
      <c r="U683" s="6"/>
      <c r="V683" s="6"/>
      <c r="W683" s="6"/>
    </row>
    <row r="684" ht="12.0" customHeight="1">
      <c r="A684" s="14"/>
      <c r="B684" s="16"/>
      <c r="C684" s="16"/>
      <c r="D684" s="31" t="s">
        <v>1279</v>
      </c>
      <c r="E684" s="32" t="s">
        <v>1284</v>
      </c>
      <c r="F684" s="33">
        <v>7.0</v>
      </c>
      <c r="G684" s="9"/>
      <c r="H684" s="345">
        <f t="shared" si="347"/>
        <v>494.7327</v>
      </c>
      <c r="I684" s="9" t="s">
        <v>119</v>
      </c>
      <c r="J684" s="59">
        <v>220222.0</v>
      </c>
      <c r="K684" s="310">
        <f t="shared" ref="K684:K690" si="352">(F684*H684)</f>
        <v>3463.1289</v>
      </c>
      <c r="L684" s="301">
        <f>H684*1.7</f>
        <v>841.04559</v>
      </c>
      <c r="M684" s="326">
        <v>649.0</v>
      </c>
      <c r="N684" s="326">
        <v>0.21</v>
      </c>
      <c r="O684" s="326">
        <f t="shared" si="348"/>
        <v>136.29</v>
      </c>
      <c r="P684" s="326">
        <f t="shared" si="349"/>
        <v>785.29</v>
      </c>
      <c r="Q684" s="326">
        <v>0.37</v>
      </c>
      <c r="R684" s="326">
        <f t="shared" si="350"/>
        <v>290.5573</v>
      </c>
      <c r="S684" s="6"/>
      <c r="T684" s="6"/>
      <c r="U684" s="6"/>
      <c r="V684" s="6"/>
      <c r="W684" s="6"/>
    </row>
    <row r="685" ht="12.0" customHeight="1">
      <c r="A685" s="14"/>
      <c r="B685" s="16"/>
      <c r="C685" s="16"/>
      <c r="D685" s="31" t="s">
        <v>1279</v>
      </c>
      <c r="E685" s="32" t="s">
        <v>1285</v>
      </c>
      <c r="F685" s="33">
        <v>4.0</v>
      </c>
      <c r="G685" s="9"/>
      <c r="H685" s="345">
        <f t="shared" si="347"/>
        <v>224.1162</v>
      </c>
      <c r="I685" s="9" t="s">
        <v>119</v>
      </c>
      <c r="J685" s="59">
        <v>220224.0</v>
      </c>
      <c r="K685" s="310">
        <f t="shared" si="352"/>
        <v>896.4648</v>
      </c>
      <c r="L685" s="301">
        <f>H685*1.8</f>
        <v>403.40916</v>
      </c>
      <c r="M685" s="326">
        <v>294.0</v>
      </c>
      <c r="N685" s="326">
        <v>0.21</v>
      </c>
      <c r="O685" s="326">
        <f t="shared" si="348"/>
        <v>61.74</v>
      </c>
      <c r="P685" s="326">
        <f t="shared" si="349"/>
        <v>355.74</v>
      </c>
      <c r="Q685" s="326">
        <v>0.37</v>
      </c>
      <c r="R685" s="326">
        <f t="shared" si="350"/>
        <v>131.6238</v>
      </c>
      <c r="S685" s="350" t="s">
        <v>1286</v>
      </c>
      <c r="T685" s="6"/>
      <c r="U685" s="6"/>
      <c r="V685" s="6"/>
      <c r="W685" s="6"/>
    </row>
    <row r="686" ht="12.0" customHeight="1">
      <c r="A686" s="14"/>
      <c r="B686" s="16"/>
      <c r="C686" s="16"/>
      <c r="D686" s="492" t="s">
        <v>1287</v>
      </c>
      <c r="E686" s="47" t="s">
        <v>1251</v>
      </c>
      <c r="F686" s="50">
        <v>6.0</v>
      </c>
      <c r="G686" s="50"/>
      <c r="H686" s="365">
        <f t="shared" si="347"/>
        <v>213.444</v>
      </c>
      <c r="I686" s="14" t="s">
        <v>119</v>
      </c>
      <c r="J686" s="60">
        <v>2103000.0</v>
      </c>
      <c r="K686" s="312">
        <f t="shared" si="352"/>
        <v>1280.664</v>
      </c>
      <c r="L686" s="301">
        <f t="shared" ref="L686:L687" si="353">H686*1.75</f>
        <v>373.527</v>
      </c>
      <c r="M686" s="314">
        <v>280.0</v>
      </c>
      <c r="N686" s="314">
        <v>0.21</v>
      </c>
      <c r="O686" s="314">
        <f t="shared" si="348"/>
        <v>58.8</v>
      </c>
      <c r="P686" s="314">
        <f t="shared" si="349"/>
        <v>338.8</v>
      </c>
      <c r="Q686" s="314">
        <v>0.37</v>
      </c>
      <c r="R686" s="314">
        <f t="shared" si="350"/>
        <v>125.356</v>
      </c>
      <c r="S686" s="6"/>
      <c r="T686" s="6"/>
      <c r="U686" s="6"/>
      <c r="V686" s="6"/>
      <c r="W686" s="6"/>
    </row>
    <row r="687" ht="12.0" customHeight="1">
      <c r="A687" s="14"/>
      <c r="B687" s="16"/>
      <c r="C687" s="16"/>
      <c r="D687" s="493" t="s">
        <v>1288</v>
      </c>
      <c r="E687" s="191" t="s">
        <v>1253</v>
      </c>
      <c r="F687" s="33">
        <v>7.0</v>
      </c>
      <c r="G687" s="33"/>
      <c r="H687" s="345">
        <f t="shared" si="347"/>
        <v>297.297</v>
      </c>
      <c r="I687" s="9" t="s">
        <v>119</v>
      </c>
      <c r="J687" s="59">
        <v>2103010.0</v>
      </c>
      <c r="K687" s="310">
        <f t="shared" si="352"/>
        <v>2081.079</v>
      </c>
      <c r="L687" s="301">
        <f t="shared" si="353"/>
        <v>520.26975</v>
      </c>
      <c r="M687" s="326">
        <v>390.0</v>
      </c>
      <c r="N687" s="326">
        <v>0.21</v>
      </c>
      <c r="O687" s="326">
        <f t="shared" si="348"/>
        <v>81.9</v>
      </c>
      <c r="P687" s="326">
        <f t="shared" si="349"/>
        <v>471.9</v>
      </c>
      <c r="Q687" s="326">
        <v>0.37</v>
      </c>
      <c r="R687" s="326">
        <f t="shared" si="350"/>
        <v>174.603</v>
      </c>
      <c r="S687" s="350" t="s">
        <v>1289</v>
      </c>
      <c r="T687" s="6"/>
      <c r="U687" s="6"/>
      <c r="V687" s="6"/>
      <c r="W687" s="6"/>
    </row>
    <row r="688" ht="12.0" customHeight="1">
      <c r="A688" s="14"/>
      <c r="B688" s="16"/>
      <c r="C688" s="16"/>
      <c r="D688" s="492" t="s">
        <v>1290</v>
      </c>
      <c r="E688" s="202" t="s">
        <v>1255</v>
      </c>
      <c r="F688" s="50">
        <v>4.0</v>
      </c>
      <c r="G688" s="50"/>
      <c r="H688" s="365">
        <f t="shared" si="347"/>
        <v>392.5845</v>
      </c>
      <c r="I688" s="14" t="s">
        <v>119</v>
      </c>
      <c r="J688" s="60">
        <v>210302.0</v>
      </c>
      <c r="K688" s="312">
        <f t="shared" si="352"/>
        <v>1570.338</v>
      </c>
      <c r="L688" s="301">
        <f t="shared" ref="L688:L690" si="354">H688*1.65</f>
        <v>647.764425</v>
      </c>
      <c r="M688" s="314">
        <v>515.0</v>
      </c>
      <c r="N688" s="314">
        <v>0.21</v>
      </c>
      <c r="O688" s="314">
        <f t="shared" si="348"/>
        <v>108.15</v>
      </c>
      <c r="P688" s="314">
        <f t="shared" si="349"/>
        <v>623.15</v>
      </c>
      <c r="Q688" s="314">
        <v>0.37</v>
      </c>
      <c r="R688" s="314">
        <f t="shared" si="350"/>
        <v>230.5655</v>
      </c>
      <c r="S688" s="6"/>
      <c r="T688" s="6"/>
      <c r="U688" s="6"/>
      <c r="V688" s="6"/>
      <c r="W688" s="6"/>
    </row>
    <row r="689" ht="12.0" customHeight="1">
      <c r="A689" s="14"/>
      <c r="B689" s="16"/>
      <c r="C689" s="16"/>
      <c r="D689" s="31" t="s">
        <v>1291</v>
      </c>
      <c r="E689" s="32" t="s">
        <v>1257</v>
      </c>
      <c r="F689" s="33">
        <v>5.0</v>
      </c>
      <c r="G689" s="9"/>
      <c r="H689" s="345">
        <f t="shared" si="347"/>
        <v>897.2271</v>
      </c>
      <c r="I689" s="9" t="s">
        <v>119</v>
      </c>
      <c r="J689" s="59">
        <v>220249.0</v>
      </c>
      <c r="K689" s="310">
        <f t="shared" si="352"/>
        <v>4486.1355</v>
      </c>
      <c r="L689" s="301">
        <f t="shared" si="354"/>
        <v>1480.424715</v>
      </c>
      <c r="M689" s="326">
        <v>1177.0</v>
      </c>
      <c r="N689" s="326">
        <v>0.21</v>
      </c>
      <c r="O689" s="326">
        <f t="shared" si="348"/>
        <v>247.17</v>
      </c>
      <c r="P689" s="326">
        <f t="shared" si="349"/>
        <v>1424.17</v>
      </c>
      <c r="Q689" s="326">
        <v>0.37</v>
      </c>
      <c r="R689" s="326">
        <f t="shared" si="350"/>
        <v>526.9429</v>
      </c>
      <c r="S689" s="6"/>
      <c r="T689" s="6"/>
      <c r="U689" s="6"/>
      <c r="V689" s="6"/>
      <c r="W689" s="6"/>
    </row>
    <row r="690" ht="12.0" customHeight="1">
      <c r="A690" s="14"/>
      <c r="B690" s="16"/>
      <c r="C690" s="16"/>
      <c r="D690" s="50" t="s">
        <v>1292</v>
      </c>
      <c r="E690" s="47" t="s">
        <v>1293</v>
      </c>
      <c r="F690" s="50">
        <v>4.0</v>
      </c>
      <c r="G690" s="50" t="s">
        <v>1259</v>
      </c>
      <c r="H690" s="365">
        <f t="shared" si="347"/>
        <v>660.9141</v>
      </c>
      <c r="I690" s="50" t="s">
        <v>119</v>
      </c>
      <c r="J690" s="60">
        <v>220250.0</v>
      </c>
      <c r="K690" s="494">
        <f t="shared" si="352"/>
        <v>2643.6564</v>
      </c>
      <c r="L690" s="301">
        <f t="shared" si="354"/>
        <v>1090.508265</v>
      </c>
      <c r="M690" s="314">
        <v>867.0</v>
      </c>
      <c r="N690" s="314">
        <v>0.21</v>
      </c>
      <c r="O690" s="314">
        <f t="shared" si="348"/>
        <v>182.07</v>
      </c>
      <c r="P690" s="314">
        <f t="shared" si="349"/>
        <v>1049.07</v>
      </c>
      <c r="Q690" s="314">
        <v>0.37</v>
      </c>
      <c r="R690" s="314">
        <f t="shared" si="350"/>
        <v>388.1559</v>
      </c>
      <c r="S690" s="353" t="s">
        <v>1294</v>
      </c>
      <c r="T690" s="6"/>
      <c r="U690" s="6"/>
      <c r="V690" s="6"/>
      <c r="W690" s="6"/>
    </row>
    <row r="691" ht="12.0" customHeight="1">
      <c r="A691" s="14"/>
      <c r="B691" s="16"/>
      <c r="C691" s="16"/>
      <c r="D691" s="25" t="s">
        <v>1295</v>
      </c>
      <c r="E691" s="27" t="s">
        <v>1296</v>
      </c>
      <c r="F691" s="27"/>
      <c r="G691" s="27"/>
      <c r="H691" s="315">
        <f>SUM(M691+O691)</f>
        <v>10.0838</v>
      </c>
      <c r="I691" s="27" t="s">
        <v>576</v>
      </c>
      <c r="J691" s="103" t="s">
        <v>1297</v>
      </c>
      <c r="K691" s="331">
        <f>SUM(F691*H691)</f>
        <v>0</v>
      </c>
      <c r="L691" s="317">
        <f>H691*1.9</f>
        <v>19.15922</v>
      </c>
      <c r="M691" s="331">
        <v>7.94</v>
      </c>
      <c r="N691" s="332">
        <v>0.27</v>
      </c>
      <c r="O691" s="331">
        <f>SUM(M691*N691)</f>
        <v>2.1438</v>
      </c>
      <c r="P691" s="331"/>
      <c r="Q691" s="326"/>
      <c r="R691" s="326"/>
      <c r="S691" s="6"/>
      <c r="T691" s="6"/>
      <c r="U691" s="6"/>
      <c r="V691" s="6"/>
      <c r="W691" s="6"/>
    </row>
    <row r="692" ht="12.0" customHeight="1">
      <c r="A692" s="14"/>
      <c r="B692" s="16"/>
      <c r="C692" s="16"/>
      <c r="D692" s="16" t="s">
        <v>1298</v>
      </c>
      <c r="E692" s="32" t="s">
        <v>1296</v>
      </c>
      <c r="F692" s="9">
        <v>4.0</v>
      </c>
      <c r="G692" s="9" t="s">
        <v>1259</v>
      </c>
      <c r="H692" s="345">
        <f t="shared" ref="H692:H699" si="355">(P692-R692)</f>
        <v>179.1405</v>
      </c>
      <c r="I692" s="9" t="s">
        <v>119</v>
      </c>
      <c r="J692" s="24">
        <v>220237.0</v>
      </c>
      <c r="K692" s="310">
        <f t="shared" ref="K692:K751" si="356">(F692*H692)</f>
        <v>716.562</v>
      </c>
      <c r="L692" s="301">
        <f t="shared" ref="L692:L693" si="357">H692*1.75</f>
        <v>313.495875</v>
      </c>
      <c r="M692" s="326">
        <v>235.0</v>
      </c>
      <c r="N692" s="326">
        <v>0.21</v>
      </c>
      <c r="O692" s="326">
        <f t="shared" ref="O692:O699" si="358">M692*N692</f>
        <v>49.35</v>
      </c>
      <c r="P692" s="326">
        <f t="shared" ref="P692:P699" si="359">SUM(M692+O692)</f>
        <v>284.35</v>
      </c>
      <c r="Q692" s="326">
        <v>0.37</v>
      </c>
      <c r="R692" s="326">
        <f t="shared" ref="R692:R699" si="360">P692*Q692</f>
        <v>105.2095</v>
      </c>
      <c r="S692" s="6"/>
      <c r="T692" s="6"/>
      <c r="U692" s="6"/>
      <c r="V692" s="6"/>
      <c r="W692" s="6"/>
    </row>
    <row r="693" ht="12.0" customHeight="1">
      <c r="A693" s="14"/>
      <c r="B693" s="16"/>
      <c r="C693" s="16"/>
      <c r="D693" s="15" t="s">
        <v>1299</v>
      </c>
      <c r="E693" s="202" t="s">
        <v>1300</v>
      </c>
      <c r="F693" s="14">
        <v>5.0</v>
      </c>
      <c r="G693" s="14" t="s">
        <v>1259</v>
      </c>
      <c r="H693" s="365">
        <f t="shared" si="355"/>
        <v>247.7475</v>
      </c>
      <c r="I693" s="14" t="s">
        <v>119</v>
      </c>
      <c r="J693" s="51">
        <v>2103240.0</v>
      </c>
      <c r="K693" s="312">
        <f t="shared" si="356"/>
        <v>1238.7375</v>
      </c>
      <c r="L693" s="301">
        <f t="shared" si="357"/>
        <v>433.558125</v>
      </c>
      <c r="M693" s="314">
        <v>325.0</v>
      </c>
      <c r="N693" s="314">
        <v>0.21</v>
      </c>
      <c r="O693" s="314">
        <f t="shared" si="358"/>
        <v>68.25</v>
      </c>
      <c r="P693" s="314">
        <f t="shared" si="359"/>
        <v>393.25</v>
      </c>
      <c r="Q693" s="314">
        <v>0.37</v>
      </c>
      <c r="R693" s="314">
        <f t="shared" si="360"/>
        <v>145.5025</v>
      </c>
      <c r="S693" s="6"/>
      <c r="T693" s="6"/>
      <c r="U693" s="6"/>
      <c r="V693" s="6"/>
      <c r="W693" s="6"/>
    </row>
    <row r="694" ht="12.0" customHeight="1">
      <c r="A694" s="14"/>
      <c r="B694" s="16"/>
      <c r="C694" s="16"/>
      <c r="D694" s="16" t="s">
        <v>1301</v>
      </c>
      <c r="E694" s="191" t="s">
        <v>1302</v>
      </c>
      <c r="F694" s="9">
        <v>5.0</v>
      </c>
      <c r="G694" s="9" t="s">
        <v>1259</v>
      </c>
      <c r="H694" s="345">
        <f t="shared" si="355"/>
        <v>311.0184</v>
      </c>
      <c r="I694" s="9" t="s">
        <v>119</v>
      </c>
      <c r="J694" s="24">
        <v>2103480.0</v>
      </c>
      <c r="K694" s="310">
        <f t="shared" si="356"/>
        <v>1555.092</v>
      </c>
      <c r="L694" s="301">
        <f t="shared" ref="L694:L696" si="361">H694*1.65</f>
        <v>513.18036</v>
      </c>
      <c r="M694" s="326">
        <v>408.0</v>
      </c>
      <c r="N694" s="326">
        <v>0.21</v>
      </c>
      <c r="O694" s="326">
        <f t="shared" si="358"/>
        <v>85.68</v>
      </c>
      <c r="P694" s="326">
        <f t="shared" si="359"/>
        <v>493.68</v>
      </c>
      <c r="Q694" s="326">
        <v>0.37</v>
      </c>
      <c r="R694" s="326">
        <f t="shared" si="360"/>
        <v>182.6616</v>
      </c>
      <c r="S694" s="353" t="s">
        <v>1303</v>
      </c>
      <c r="T694" s="6"/>
      <c r="U694" s="6"/>
      <c r="V694" s="6"/>
      <c r="W694" s="6"/>
    </row>
    <row r="695" ht="12.0" customHeight="1">
      <c r="A695" s="52"/>
      <c r="B695" s="16"/>
      <c r="C695" s="16"/>
      <c r="D695" s="15" t="s">
        <v>1304</v>
      </c>
      <c r="E695" s="21" t="s">
        <v>1246</v>
      </c>
      <c r="F695" s="14">
        <v>5.0</v>
      </c>
      <c r="G695" s="14" t="s">
        <v>1259</v>
      </c>
      <c r="H695" s="365">
        <f t="shared" si="355"/>
        <v>706.6521</v>
      </c>
      <c r="I695" s="14" t="s">
        <v>119</v>
      </c>
      <c r="J695" s="51">
        <v>220242.0</v>
      </c>
      <c r="K695" s="312">
        <f t="shared" si="356"/>
        <v>3533.2605</v>
      </c>
      <c r="L695" s="301">
        <f t="shared" si="361"/>
        <v>1165.975965</v>
      </c>
      <c r="M695" s="314">
        <v>927.0</v>
      </c>
      <c r="N695" s="314">
        <v>0.21</v>
      </c>
      <c r="O695" s="314">
        <f t="shared" si="358"/>
        <v>194.67</v>
      </c>
      <c r="P695" s="314">
        <f t="shared" si="359"/>
        <v>1121.67</v>
      </c>
      <c r="Q695" s="314">
        <v>0.37</v>
      </c>
      <c r="R695" s="314">
        <f t="shared" si="360"/>
        <v>415.0179</v>
      </c>
      <c r="S695" s="353" t="s">
        <v>1305</v>
      </c>
      <c r="T695" s="6"/>
      <c r="U695" s="6"/>
      <c r="V695" s="6"/>
      <c r="W695" s="6"/>
    </row>
    <row r="696" ht="12.0" customHeight="1">
      <c r="A696" s="52"/>
      <c r="B696" s="16"/>
      <c r="C696" s="113"/>
      <c r="D696" s="16" t="s">
        <v>1306</v>
      </c>
      <c r="E696" s="73">
        <v>110.0</v>
      </c>
      <c r="F696" s="143">
        <v>4.0</v>
      </c>
      <c r="G696" s="143"/>
      <c r="H696" s="345">
        <f t="shared" si="355"/>
        <v>731.0457</v>
      </c>
      <c r="I696" s="143" t="s">
        <v>119</v>
      </c>
      <c r="J696" s="194">
        <v>220279.0</v>
      </c>
      <c r="K696" s="495">
        <f t="shared" si="356"/>
        <v>2924.1828</v>
      </c>
      <c r="L696" s="301">
        <f t="shared" si="361"/>
        <v>1206.225405</v>
      </c>
      <c r="M696" s="326">
        <v>959.0</v>
      </c>
      <c r="N696" s="326">
        <v>0.21</v>
      </c>
      <c r="O696" s="326">
        <f t="shared" si="358"/>
        <v>201.39</v>
      </c>
      <c r="P696" s="326">
        <f t="shared" si="359"/>
        <v>1160.39</v>
      </c>
      <c r="Q696" s="326">
        <v>0.37</v>
      </c>
      <c r="R696" s="326">
        <f t="shared" si="360"/>
        <v>429.3443</v>
      </c>
      <c r="S696" s="353" t="s">
        <v>1307</v>
      </c>
      <c r="T696" s="6"/>
      <c r="U696" s="6"/>
      <c r="V696" s="6"/>
      <c r="W696" s="6"/>
    </row>
    <row r="697" ht="12.0" customHeight="1">
      <c r="A697" s="14"/>
      <c r="B697" s="16"/>
      <c r="C697" s="16"/>
      <c r="D697" s="50" t="s">
        <v>1308</v>
      </c>
      <c r="E697" s="47" t="s">
        <v>1277</v>
      </c>
      <c r="F697" s="50">
        <v>4.0</v>
      </c>
      <c r="G697" s="50"/>
      <c r="H697" s="384">
        <f t="shared" si="355"/>
        <v>251.559</v>
      </c>
      <c r="I697" s="50" t="s">
        <v>119</v>
      </c>
      <c r="J697" s="60" t="s">
        <v>1309</v>
      </c>
      <c r="K697" s="312">
        <f t="shared" si="356"/>
        <v>1006.236</v>
      </c>
      <c r="L697" s="346">
        <f t="shared" ref="L697:L699" si="362">H697*1.8</f>
        <v>452.8062</v>
      </c>
      <c r="M697" s="385">
        <v>330.0</v>
      </c>
      <c r="N697" s="312">
        <v>0.21</v>
      </c>
      <c r="O697" s="312">
        <f t="shared" si="358"/>
        <v>69.3</v>
      </c>
      <c r="P697" s="312">
        <f t="shared" si="359"/>
        <v>399.3</v>
      </c>
      <c r="Q697" s="312">
        <v>0.37</v>
      </c>
      <c r="R697" s="312">
        <f t="shared" si="360"/>
        <v>147.741</v>
      </c>
      <c r="S697" s="353" t="s">
        <v>1310</v>
      </c>
      <c r="T697" s="6"/>
      <c r="U697" s="6"/>
      <c r="V697" s="6"/>
      <c r="W697" s="6"/>
    </row>
    <row r="698" ht="12.0" customHeight="1">
      <c r="A698" s="14"/>
      <c r="B698" s="16"/>
      <c r="C698" s="230"/>
      <c r="D698" s="427" t="s">
        <v>1311</v>
      </c>
      <c r="E698" s="496" t="s">
        <v>1312</v>
      </c>
      <c r="F698" s="427">
        <v>8.0</v>
      </c>
      <c r="G698" s="427"/>
      <c r="H698" s="305">
        <f t="shared" si="355"/>
        <v>251.559</v>
      </c>
      <c r="I698" s="33" t="s">
        <v>119</v>
      </c>
      <c r="J698" s="136" t="s">
        <v>1313</v>
      </c>
      <c r="K698" s="310">
        <f t="shared" si="356"/>
        <v>2012.472</v>
      </c>
      <c r="L698" s="301">
        <f t="shared" si="362"/>
        <v>452.8062</v>
      </c>
      <c r="M698" s="422">
        <f>SUM(1*M697)</f>
        <v>330</v>
      </c>
      <c r="N698" s="326">
        <v>0.21</v>
      </c>
      <c r="O698" s="326">
        <f t="shared" si="358"/>
        <v>69.3</v>
      </c>
      <c r="P698" s="326">
        <f t="shared" si="359"/>
        <v>399.3</v>
      </c>
      <c r="Q698" s="326">
        <v>0.37</v>
      </c>
      <c r="R698" s="326">
        <f t="shared" si="360"/>
        <v>147.741</v>
      </c>
      <c r="S698" s="353" t="s">
        <v>1314</v>
      </c>
      <c r="T698" s="6"/>
      <c r="U698" s="6"/>
      <c r="V698" s="6"/>
      <c r="W698" s="6"/>
    </row>
    <row r="699" ht="12.0" customHeight="1">
      <c r="A699" s="14"/>
      <c r="B699" s="16"/>
      <c r="C699" s="230"/>
      <c r="D699" s="50" t="s">
        <v>1315</v>
      </c>
      <c r="E699" s="47" t="s">
        <v>1277</v>
      </c>
      <c r="F699" s="50">
        <v>4.0</v>
      </c>
      <c r="G699" s="50"/>
      <c r="H699" s="307">
        <f t="shared" si="355"/>
        <v>352.1826</v>
      </c>
      <c r="I699" s="50" t="s">
        <v>119</v>
      </c>
      <c r="J699" s="60" t="s">
        <v>1316</v>
      </c>
      <c r="K699" s="312">
        <f t="shared" si="356"/>
        <v>1408.7304</v>
      </c>
      <c r="L699" s="301">
        <f t="shared" si="362"/>
        <v>633.92868</v>
      </c>
      <c r="M699" s="386">
        <f>SUM(1.4*M697)</f>
        <v>462</v>
      </c>
      <c r="N699" s="314">
        <v>0.21</v>
      </c>
      <c r="O699" s="314">
        <f t="shared" si="358"/>
        <v>97.02</v>
      </c>
      <c r="P699" s="314">
        <f t="shared" si="359"/>
        <v>559.02</v>
      </c>
      <c r="Q699" s="314">
        <v>0.37</v>
      </c>
      <c r="R699" s="314">
        <f t="shared" si="360"/>
        <v>206.8374</v>
      </c>
      <c r="S699" s="353" t="s">
        <v>1317</v>
      </c>
      <c r="T699" s="6"/>
      <c r="U699" s="6"/>
      <c r="V699" s="6"/>
      <c r="W699" s="6"/>
    </row>
    <row r="700" ht="12.0" customHeight="1">
      <c r="A700" s="14"/>
      <c r="B700" s="16"/>
      <c r="C700" s="230"/>
      <c r="D700" s="46" t="s">
        <v>1318</v>
      </c>
      <c r="E700" s="47"/>
      <c r="F700" s="50">
        <v>6.0</v>
      </c>
      <c r="G700" s="50"/>
      <c r="H700" s="365">
        <v>462.0</v>
      </c>
      <c r="I700" s="50" t="s">
        <v>576</v>
      </c>
      <c r="J700" s="60" t="s">
        <v>1319</v>
      </c>
      <c r="K700" s="312">
        <f t="shared" si="356"/>
        <v>2772</v>
      </c>
      <c r="L700" s="301">
        <f t="shared" ref="L700:L702" si="363">H700*1.7</f>
        <v>785.4</v>
      </c>
      <c r="M700" s="386"/>
      <c r="N700" s="314"/>
      <c r="O700" s="314"/>
      <c r="P700" s="314"/>
      <c r="Q700" s="314"/>
      <c r="R700" s="314"/>
      <c r="S700" s="353"/>
      <c r="T700" s="6"/>
      <c r="U700" s="6"/>
      <c r="V700" s="6"/>
      <c r="W700" s="6"/>
    </row>
    <row r="701" ht="12.0" customHeight="1">
      <c r="A701" s="14"/>
      <c r="B701" s="74"/>
      <c r="C701" s="497"/>
      <c r="D701" s="31" t="s">
        <v>1320</v>
      </c>
      <c r="E701" s="17" t="s">
        <v>1321</v>
      </c>
      <c r="F701" s="33">
        <v>7.0</v>
      </c>
      <c r="G701" s="33"/>
      <c r="H701" s="345">
        <f>(P701-R701)</f>
        <v>457.38</v>
      </c>
      <c r="I701" s="33" t="s">
        <v>119</v>
      </c>
      <c r="J701" s="59" t="s">
        <v>1322</v>
      </c>
      <c r="K701" s="310">
        <f t="shared" si="356"/>
        <v>3201.66</v>
      </c>
      <c r="L701" s="301">
        <f t="shared" si="363"/>
        <v>777.546</v>
      </c>
      <c r="M701" s="326">
        <v>600.0</v>
      </c>
      <c r="N701" s="326">
        <v>0.21</v>
      </c>
      <c r="O701" s="326">
        <f>M701*N701</f>
        <v>126</v>
      </c>
      <c r="P701" s="326">
        <f>SUM(M701+O701)</f>
        <v>726</v>
      </c>
      <c r="Q701" s="326">
        <v>0.37</v>
      </c>
      <c r="R701" s="326">
        <f>P701*Q701</f>
        <v>268.62</v>
      </c>
      <c r="S701" s="353" t="s">
        <v>1323</v>
      </c>
      <c r="T701" s="6"/>
      <c r="U701" s="6"/>
      <c r="V701" s="6"/>
      <c r="W701" s="6"/>
    </row>
    <row r="702" ht="12.0" customHeight="1">
      <c r="A702" s="14"/>
      <c r="B702" s="74"/>
      <c r="C702" s="497"/>
      <c r="D702" s="31" t="s">
        <v>1324</v>
      </c>
      <c r="E702" s="17" t="s">
        <v>1325</v>
      </c>
      <c r="F702" s="33">
        <v>2.0</v>
      </c>
      <c r="G702" s="33"/>
      <c r="H702" s="345">
        <v>710.0</v>
      </c>
      <c r="I702" s="33" t="s">
        <v>576</v>
      </c>
      <c r="J702" s="59" t="s">
        <v>1326</v>
      </c>
      <c r="K702" s="310">
        <f t="shared" si="356"/>
        <v>1420</v>
      </c>
      <c r="L702" s="301">
        <f t="shared" si="363"/>
        <v>1207</v>
      </c>
      <c r="M702" s="326"/>
      <c r="N702" s="326"/>
      <c r="O702" s="326"/>
      <c r="P702" s="326"/>
      <c r="Q702" s="326"/>
      <c r="R702" s="326"/>
      <c r="S702" s="350"/>
      <c r="T702" s="6"/>
      <c r="U702" s="6"/>
      <c r="V702" s="6"/>
      <c r="W702" s="6"/>
    </row>
    <row r="703" ht="12.0" customHeight="1">
      <c r="A703" s="14"/>
      <c r="B703" s="74"/>
      <c r="C703" s="497"/>
      <c r="D703" s="31" t="s">
        <v>1327</v>
      </c>
      <c r="E703" s="17" t="s">
        <v>1328</v>
      </c>
      <c r="F703" s="33">
        <v>6.0</v>
      </c>
      <c r="G703" s="33"/>
      <c r="H703" s="345">
        <v>1232.0</v>
      </c>
      <c r="I703" s="33" t="s">
        <v>576</v>
      </c>
      <c r="J703" s="59" t="s">
        <v>1329</v>
      </c>
      <c r="K703" s="310">
        <f t="shared" si="356"/>
        <v>7392</v>
      </c>
      <c r="L703" s="301">
        <f t="shared" ref="L703:L711" si="364">H703*1.5</f>
        <v>1848</v>
      </c>
      <c r="M703" s="326"/>
      <c r="N703" s="326"/>
      <c r="O703" s="326"/>
      <c r="P703" s="326"/>
      <c r="Q703" s="326"/>
      <c r="R703" s="326"/>
      <c r="S703" s="353" t="s">
        <v>1330</v>
      </c>
      <c r="T703" s="6"/>
      <c r="U703" s="6"/>
      <c r="V703" s="6"/>
      <c r="W703" s="6"/>
    </row>
    <row r="704" ht="12.0" customHeight="1">
      <c r="A704" s="14"/>
      <c r="B704" s="74"/>
      <c r="C704" s="497"/>
      <c r="D704" s="46" t="s">
        <v>1331</v>
      </c>
      <c r="E704" s="21" t="s">
        <v>1332</v>
      </c>
      <c r="F704" s="50">
        <v>5.0</v>
      </c>
      <c r="G704" s="50"/>
      <c r="H704" s="365">
        <f>(P704-R704)</f>
        <v>556.479</v>
      </c>
      <c r="I704" s="50" t="s">
        <v>119</v>
      </c>
      <c r="J704" s="60" t="s">
        <v>1333</v>
      </c>
      <c r="K704" s="312">
        <f t="shared" si="356"/>
        <v>2782.395</v>
      </c>
      <c r="L704" s="301">
        <f t="shared" si="364"/>
        <v>834.7185</v>
      </c>
      <c r="M704" s="314">
        <v>730.0</v>
      </c>
      <c r="N704" s="314">
        <v>0.21</v>
      </c>
      <c r="O704" s="314">
        <f>M704*N704</f>
        <v>153.3</v>
      </c>
      <c r="P704" s="314">
        <f>SUM(M704+O704)</f>
        <v>883.3</v>
      </c>
      <c r="Q704" s="314">
        <v>0.37</v>
      </c>
      <c r="R704" s="314">
        <f>P704*Q704</f>
        <v>326.821</v>
      </c>
      <c r="S704" s="353" t="s">
        <v>1334</v>
      </c>
      <c r="T704" s="6"/>
      <c r="U704" s="6"/>
      <c r="V704" s="6"/>
      <c r="W704" s="6"/>
    </row>
    <row r="705" ht="12.0" customHeight="1">
      <c r="A705" s="14"/>
      <c r="B705" s="74"/>
      <c r="C705" s="497"/>
      <c r="D705" s="46" t="s">
        <v>1335</v>
      </c>
      <c r="E705" s="21" t="s">
        <v>1336</v>
      </c>
      <c r="F705" s="50">
        <v>2.0</v>
      </c>
      <c r="G705" s="50"/>
      <c r="H705" s="365">
        <v>900.0</v>
      </c>
      <c r="I705" s="50" t="s">
        <v>576</v>
      </c>
      <c r="J705" s="60" t="s">
        <v>1337</v>
      </c>
      <c r="K705" s="312">
        <f t="shared" si="356"/>
        <v>1800</v>
      </c>
      <c r="L705" s="301">
        <f t="shared" si="364"/>
        <v>1350</v>
      </c>
      <c r="M705" s="314"/>
      <c r="N705" s="314"/>
      <c r="O705" s="314"/>
      <c r="P705" s="314"/>
      <c r="Q705" s="314"/>
      <c r="R705" s="314"/>
      <c r="S705" s="350"/>
      <c r="T705" s="6"/>
      <c r="U705" s="6"/>
      <c r="V705" s="6"/>
      <c r="W705" s="6"/>
    </row>
    <row r="706" ht="12.0" customHeight="1">
      <c r="A706" s="14"/>
      <c r="B706" s="74"/>
      <c r="C706" s="497"/>
      <c r="D706" s="31" t="s">
        <v>1338</v>
      </c>
      <c r="E706" s="17" t="s">
        <v>1339</v>
      </c>
      <c r="F706" s="33">
        <v>5.0</v>
      </c>
      <c r="G706" s="33"/>
      <c r="H706" s="345">
        <v>1507.0</v>
      </c>
      <c r="I706" s="33" t="s">
        <v>576</v>
      </c>
      <c r="J706" s="59" t="s">
        <v>1340</v>
      </c>
      <c r="K706" s="310">
        <f t="shared" si="356"/>
        <v>7535</v>
      </c>
      <c r="L706" s="301">
        <f t="shared" si="364"/>
        <v>2260.5</v>
      </c>
      <c r="M706" s="326"/>
      <c r="N706" s="326"/>
      <c r="O706" s="326"/>
      <c r="P706" s="326"/>
      <c r="Q706" s="326"/>
      <c r="R706" s="326"/>
      <c r="S706" s="350"/>
      <c r="T706" s="6"/>
      <c r="U706" s="6"/>
      <c r="V706" s="6"/>
      <c r="W706" s="6"/>
    </row>
    <row r="707" ht="12.0" customHeight="1">
      <c r="A707" s="14"/>
      <c r="B707" s="74"/>
      <c r="C707" s="497"/>
      <c r="D707" s="31" t="s">
        <v>1341</v>
      </c>
      <c r="E707" s="17" t="s">
        <v>1342</v>
      </c>
      <c r="F707" s="33">
        <v>7.0</v>
      </c>
      <c r="G707" s="33"/>
      <c r="H707" s="345">
        <v>800.0</v>
      </c>
      <c r="I707" s="33" t="s">
        <v>576</v>
      </c>
      <c r="J707" s="59" t="s">
        <v>1343</v>
      </c>
      <c r="K707" s="310">
        <f t="shared" si="356"/>
        <v>5600</v>
      </c>
      <c r="L707" s="301">
        <f t="shared" si="364"/>
        <v>1200</v>
      </c>
      <c r="M707" s="326"/>
      <c r="N707" s="326"/>
      <c r="O707" s="326"/>
      <c r="P707" s="326"/>
      <c r="Q707" s="326"/>
      <c r="R707" s="326"/>
      <c r="S707" s="350"/>
      <c r="T707" s="6"/>
      <c r="U707" s="6"/>
      <c r="V707" s="6"/>
      <c r="W707" s="6"/>
    </row>
    <row r="708" ht="12.0" customHeight="1">
      <c r="A708" s="14"/>
      <c r="B708" s="74"/>
      <c r="C708" s="497"/>
      <c r="D708" s="31" t="s">
        <v>1344</v>
      </c>
      <c r="E708" s="17" t="s">
        <v>1345</v>
      </c>
      <c r="F708" s="33">
        <v>3.0</v>
      </c>
      <c r="G708" s="33"/>
      <c r="H708" s="305">
        <f>SUM(0.33*H711)</f>
        <v>1240.8</v>
      </c>
      <c r="I708" s="33" t="s">
        <v>576</v>
      </c>
      <c r="J708" s="59" t="s">
        <v>1346</v>
      </c>
      <c r="K708" s="310">
        <f t="shared" si="356"/>
        <v>3722.4</v>
      </c>
      <c r="L708" s="301">
        <f t="shared" si="364"/>
        <v>1861.2</v>
      </c>
      <c r="M708" s="326"/>
      <c r="N708" s="326"/>
      <c r="O708" s="326"/>
      <c r="P708" s="326"/>
      <c r="Q708" s="326"/>
      <c r="R708" s="326"/>
      <c r="S708" s="350"/>
      <c r="T708" s="6"/>
      <c r="U708" s="6"/>
      <c r="V708" s="6"/>
      <c r="W708" s="6"/>
    </row>
    <row r="709" ht="12.0" customHeight="1">
      <c r="A709" s="14"/>
      <c r="B709" s="74"/>
      <c r="C709" s="497"/>
      <c r="D709" s="31" t="s">
        <v>1347</v>
      </c>
      <c r="E709" s="17" t="s">
        <v>1348</v>
      </c>
      <c r="F709" s="33">
        <v>5.0</v>
      </c>
      <c r="G709" s="33"/>
      <c r="H709" s="305">
        <f>SUM(0.56*H711)</f>
        <v>2105.6</v>
      </c>
      <c r="I709" s="33" t="s">
        <v>576</v>
      </c>
      <c r="J709" s="59" t="s">
        <v>1349</v>
      </c>
      <c r="K709" s="310">
        <f t="shared" si="356"/>
        <v>10528</v>
      </c>
      <c r="L709" s="301">
        <f t="shared" si="364"/>
        <v>3158.4</v>
      </c>
      <c r="M709" s="326"/>
      <c r="N709" s="326"/>
      <c r="O709" s="326"/>
      <c r="P709" s="326"/>
      <c r="Q709" s="326"/>
      <c r="R709" s="326"/>
      <c r="S709" s="350"/>
      <c r="T709" s="6"/>
      <c r="U709" s="6"/>
      <c r="V709" s="6"/>
      <c r="W709" s="6"/>
    </row>
    <row r="710" ht="12.0" customHeight="1">
      <c r="A710" s="14"/>
      <c r="B710" s="74"/>
      <c r="C710" s="497"/>
      <c r="D710" s="31" t="s">
        <v>1350</v>
      </c>
      <c r="E710" s="17" t="s">
        <v>1351</v>
      </c>
      <c r="F710" s="33">
        <v>4.0</v>
      </c>
      <c r="G710" s="33"/>
      <c r="H710" s="305">
        <f>SUM(0.39*H711)</f>
        <v>1466.4</v>
      </c>
      <c r="I710" s="33" t="s">
        <v>576</v>
      </c>
      <c r="J710" s="59" t="s">
        <v>1352</v>
      </c>
      <c r="K710" s="310">
        <f t="shared" si="356"/>
        <v>5865.6</v>
      </c>
      <c r="L710" s="301">
        <f t="shared" si="364"/>
        <v>2199.6</v>
      </c>
      <c r="M710" s="326"/>
      <c r="N710" s="326"/>
      <c r="O710" s="326"/>
      <c r="P710" s="326"/>
      <c r="Q710" s="326"/>
      <c r="R710" s="326"/>
      <c r="S710" s="350"/>
      <c r="T710" s="6"/>
      <c r="U710" s="6"/>
      <c r="V710" s="6"/>
      <c r="W710" s="6"/>
    </row>
    <row r="711" ht="12.0" customHeight="1">
      <c r="A711" s="14"/>
      <c r="B711" s="74"/>
      <c r="C711" s="497"/>
      <c r="D711" s="31" t="s">
        <v>1353</v>
      </c>
      <c r="E711" s="17" t="s">
        <v>1354</v>
      </c>
      <c r="F711" s="33">
        <v>4.0</v>
      </c>
      <c r="G711" s="33"/>
      <c r="H711" s="387">
        <v>3760.0</v>
      </c>
      <c r="I711" s="33" t="s">
        <v>576</v>
      </c>
      <c r="J711" s="59" t="s">
        <v>1355</v>
      </c>
      <c r="K711" s="310">
        <f t="shared" si="356"/>
        <v>15040</v>
      </c>
      <c r="L711" s="301">
        <f t="shared" si="364"/>
        <v>5640</v>
      </c>
      <c r="M711" s="326"/>
      <c r="N711" s="326"/>
      <c r="O711" s="326"/>
      <c r="P711" s="326"/>
      <c r="Q711" s="326"/>
      <c r="R711" s="326"/>
      <c r="S711" s="353" t="s">
        <v>1356</v>
      </c>
      <c r="T711" s="6"/>
      <c r="U711" s="6"/>
      <c r="V711" s="6"/>
      <c r="W711" s="6"/>
    </row>
    <row r="712" ht="12.0" customHeight="1">
      <c r="A712" s="14"/>
      <c r="B712" s="74"/>
      <c r="C712" s="497"/>
      <c r="D712" s="46" t="s">
        <v>1357</v>
      </c>
      <c r="E712" s="21" t="s">
        <v>1238</v>
      </c>
      <c r="F712" s="50">
        <v>10.0</v>
      </c>
      <c r="G712" s="50"/>
      <c r="H712" s="384">
        <v>106.0</v>
      </c>
      <c r="I712" s="50" t="s">
        <v>576</v>
      </c>
      <c r="J712" s="60" t="s">
        <v>1358</v>
      </c>
      <c r="K712" s="312">
        <f t="shared" si="356"/>
        <v>1060</v>
      </c>
      <c r="L712" s="301">
        <f t="shared" ref="L712:L718" si="365">H712*1.7</f>
        <v>180.2</v>
      </c>
      <c r="M712" s="314"/>
      <c r="N712" s="314"/>
      <c r="O712" s="314"/>
      <c r="P712" s="314"/>
      <c r="Q712" s="314"/>
      <c r="R712" s="314"/>
      <c r="S712" s="350"/>
      <c r="T712" s="6"/>
      <c r="U712" s="6"/>
      <c r="V712" s="6"/>
      <c r="W712" s="6"/>
    </row>
    <row r="713" ht="12.0" customHeight="1">
      <c r="A713" s="14"/>
      <c r="B713" s="74"/>
      <c r="C713" s="497"/>
      <c r="D713" s="46" t="s">
        <v>1359</v>
      </c>
      <c r="E713" s="21" t="s">
        <v>1238</v>
      </c>
      <c r="F713" s="50">
        <v>12.0</v>
      </c>
      <c r="G713" s="50"/>
      <c r="H713" s="307">
        <f>SUM(1.05*H712)</f>
        <v>111.3</v>
      </c>
      <c r="I713" s="50" t="s">
        <v>576</v>
      </c>
      <c r="J713" s="60" t="s">
        <v>1360</v>
      </c>
      <c r="K713" s="312">
        <f t="shared" si="356"/>
        <v>1335.6</v>
      </c>
      <c r="L713" s="301">
        <f t="shared" si="365"/>
        <v>189.21</v>
      </c>
      <c r="M713" s="314"/>
      <c r="N713" s="314"/>
      <c r="O713" s="314"/>
      <c r="P713" s="314"/>
      <c r="Q713" s="314"/>
      <c r="R713" s="314"/>
      <c r="S713" s="350"/>
      <c r="T713" s="6"/>
      <c r="U713" s="6"/>
      <c r="V713" s="6"/>
      <c r="W713" s="6"/>
    </row>
    <row r="714" ht="12.0" customHeight="1">
      <c r="A714" s="14"/>
      <c r="B714" s="74"/>
      <c r="C714" s="497"/>
      <c r="D714" s="31" t="s">
        <v>1357</v>
      </c>
      <c r="E714" s="17" t="s">
        <v>1243</v>
      </c>
      <c r="F714" s="33">
        <v>6.0</v>
      </c>
      <c r="G714" s="33"/>
      <c r="H714" s="305">
        <f>SUM(1*H712)</f>
        <v>106</v>
      </c>
      <c r="I714" s="33" t="s">
        <v>119</v>
      </c>
      <c r="J714" s="24" t="s">
        <v>1361</v>
      </c>
      <c r="K714" s="310">
        <f t="shared" si="356"/>
        <v>636</v>
      </c>
      <c r="L714" s="301">
        <f t="shared" si="365"/>
        <v>180.2</v>
      </c>
      <c r="M714" s="380"/>
      <c r="N714" s="326"/>
      <c r="O714" s="326"/>
      <c r="P714" s="326"/>
      <c r="Q714" s="326"/>
      <c r="R714" s="326"/>
      <c r="S714" s="350"/>
      <c r="T714" s="6"/>
      <c r="U714" s="6"/>
      <c r="V714" s="6"/>
      <c r="W714" s="6"/>
    </row>
    <row r="715" ht="12.0" customHeight="1">
      <c r="A715" s="14"/>
      <c r="B715" s="74"/>
      <c r="C715" s="497"/>
      <c r="D715" s="31" t="s">
        <v>1359</v>
      </c>
      <c r="E715" s="17" t="s">
        <v>1243</v>
      </c>
      <c r="F715" s="33">
        <v>5.0</v>
      </c>
      <c r="G715" s="33"/>
      <c r="H715" s="305">
        <f>SUM(1.6*H714)</f>
        <v>169.6</v>
      </c>
      <c r="I715" s="33" t="s">
        <v>576</v>
      </c>
      <c r="J715" s="33" t="s">
        <v>1362</v>
      </c>
      <c r="K715" s="310">
        <f t="shared" si="356"/>
        <v>848</v>
      </c>
      <c r="L715" s="301">
        <f t="shared" si="365"/>
        <v>288.32</v>
      </c>
      <c r="M715" s="326"/>
      <c r="N715" s="326"/>
      <c r="O715" s="326"/>
      <c r="P715" s="326"/>
      <c r="Q715" s="326"/>
      <c r="R715" s="326"/>
      <c r="S715" s="353" t="s">
        <v>1363</v>
      </c>
      <c r="T715" s="6"/>
      <c r="U715" s="6"/>
      <c r="V715" s="6"/>
      <c r="W715" s="6"/>
    </row>
    <row r="716" ht="12.0" customHeight="1">
      <c r="A716" s="14"/>
      <c r="B716" s="74"/>
      <c r="C716" s="497"/>
      <c r="D716" s="46" t="s">
        <v>1357</v>
      </c>
      <c r="E716" s="21" t="s">
        <v>1244</v>
      </c>
      <c r="F716" s="50">
        <v>6.0</v>
      </c>
      <c r="G716" s="50"/>
      <c r="H716" s="307">
        <f>SUM(2.1*H712)</f>
        <v>222.6</v>
      </c>
      <c r="I716" s="50" t="s">
        <v>119</v>
      </c>
      <c r="J716" s="166" t="s">
        <v>1364</v>
      </c>
      <c r="K716" s="312">
        <f t="shared" si="356"/>
        <v>1335.6</v>
      </c>
      <c r="L716" s="301">
        <f t="shared" si="365"/>
        <v>378.42</v>
      </c>
      <c r="M716" s="383"/>
      <c r="N716" s="314"/>
      <c r="O716" s="314"/>
      <c r="P716" s="314"/>
      <c r="Q716" s="314"/>
      <c r="R716" s="314"/>
      <c r="S716" s="353" t="s">
        <v>1365</v>
      </c>
      <c r="T716" s="6"/>
      <c r="U716" s="6"/>
      <c r="V716" s="6"/>
      <c r="W716" s="6"/>
    </row>
    <row r="717" ht="12.0" customHeight="1">
      <c r="A717" s="14"/>
      <c r="B717" s="74"/>
      <c r="C717" s="497"/>
      <c r="D717" s="46" t="s">
        <v>1359</v>
      </c>
      <c r="E717" s="21" t="s">
        <v>1244</v>
      </c>
      <c r="F717" s="50">
        <v>5.0</v>
      </c>
      <c r="G717" s="50"/>
      <c r="H717" s="307">
        <f>SUM(1.36*H716)</f>
        <v>302.736</v>
      </c>
      <c r="I717" s="50" t="s">
        <v>576</v>
      </c>
      <c r="J717" s="60" t="s">
        <v>1366</v>
      </c>
      <c r="K717" s="312">
        <f t="shared" si="356"/>
        <v>1513.68</v>
      </c>
      <c r="L717" s="301">
        <f t="shared" si="365"/>
        <v>514.6512</v>
      </c>
      <c r="M717" s="314"/>
      <c r="N717" s="314"/>
      <c r="O717" s="314"/>
      <c r="P717" s="314"/>
      <c r="Q717" s="314"/>
      <c r="R717" s="314"/>
      <c r="S717" s="350"/>
      <c r="T717" s="6"/>
      <c r="U717" s="6"/>
      <c r="V717" s="6"/>
      <c r="W717" s="6"/>
    </row>
    <row r="718" ht="12.0" customHeight="1">
      <c r="A718" s="14"/>
      <c r="B718" s="74"/>
      <c r="C718" s="497"/>
      <c r="D718" s="31" t="s">
        <v>1357</v>
      </c>
      <c r="E718" s="17" t="s">
        <v>1246</v>
      </c>
      <c r="F718" s="33">
        <v>5.0</v>
      </c>
      <c r="G718" s="33"/>
      <c r="H718" s="345">
        <v>546.0</v>
      </c>
      <c r="I718" s="33" t="s">
        <v>119</v>
      </c>
      <c r="J718" s="263" t="s">
        <v>1367</v>
      </c>
      <c r="K718" s="310">
        <f t="shared" si="356"/>
        <v>2730</v>
      </c>
      <c r="L718" s="301">
        <f t="shared" si="365"/>
        <v>928.2</v>
      </c>
      <c r="M718" s="326"/>
      <c r="N718" s="326"/>
      <c r="O718" s="326"/>
      <c r="P718" s="326"/>
      <c r="Q718" s="326"/>
      <c r="R718" s="326"/>
      <c r="S718" s="353" t="s">
        <v>1368</v>
      </c>
      <c r="T718" s="6"/>
      <c r="U718" s="6"/>
      <c r="V718" s="6"/>
      <c r="W718" s="6"/>
    </row>
    <row r="719" ht="12.0" customHeight="1">
      <c r="A719" s="14"/>
      <c r="B719" s="74"/>
      <c r="C719" s="497"/>
      <c r="D719" s="31" t="s">
        <v>1359</v>
      </c>
      <c r="E719" s="17" t="s">
        <v>1246</v>
      </c>
      <c r="F719" s="33">
        <v>5.0</v>
      </c>
      <c r="G719" s="33"/>
      <c r="H719" s="345">
        <v>870.0</v>
      </c>
      <c r="I719" s="33" t="s">
        <v>576</v>
      </c>
      <c r="J719" s="263" t="s">
        <v>1369</v>
      </c>
      <c r="K719" s="310">
        <f t="shared" si="356"/>
        <v>4350</v>
      </c>
      <c r="L719" s="301">
        <f>H719*1.55</f>
        <v>1348.5</v>
      </c>
      <c r="M719" s="326"/>
      <c r="N719" s="326"/>
      <c r="O719" s="326"/>
      <c r="P719" s="326"/>
      <c r="Q719" s="326"/>
      <c r="R719" s="326"/>
      <c r="S719" s="353"/>
      <c r="T719" s="6"/>
      <c r="U719" s="6"/>
      <c r="V719" s="6"/>
      <c r="W719" s="6"/>
    </row>
    <row r="720" ht="12.0" customHeight="1">
      <c r="A720" s="14"/>
      <c r="B720" s="74"/>
      <c r="C720" s="497"/>
      <c r="D720" s="46" t="s">
        <v>1370</v>
      </c>
      <c r="E720" s="21" t="s">
        <v>1251</v>
      </c>
      <c r="F720" s="50">
        <v>10.0</v>
      </c>
      <c r="G720" s="50"/>
      <c r="H720" s="365">
        <f>(P720-R720)</f>
        <v>105.9597</v>
      </c>
      <c r="I720" s="50" t="s">
        <v>119</v>
      </c>
      <c r="J720" s="498" t="s">
        <v>1371</v>
      </c>
      <c r="K720" s="312">
        <f t="shared" si="356"/>
        <v>1059.597</v>
      </c>
      <c r="L720" s="301">
        <f t="shared" ref="L720:L734" si="366">H720*1.7</f>
        <v>180.13149</v>
      </c>
      <c r="M720" s="314">
        <v>139.0</v>
      </c>
      <c r="N720" s="314">
        <v>0.21</v>
      </c>
      <c r="O720" s="314">
        <f>M720*N720</f>
        <v>29.19</v>
      </c>
      <c r="P720" s="314">
        <f>SUM(M720+O720)</f>
        <v>168.19</v>
      </c>
      <c r="Q720" s="314">
        <v>0.37</v>
      </c>
      <c r="R720" s="314">
        <f>P720*Q720</f>
        <v>62.2303</v>
      </c>
      <c r="S720" s="353" t="s">
        <v>1372</v>
      </c>
      <c r="T720" s="6"/>
      <c r="U720" s="6"/>
      <c r="V720" s="6"/>
      <c r="W720" s="6"/>
    </row>
    <row r="721" ht="12.0" customHeight="1">
      <c r="A721" s="14"/>
      <c r="B721" s="74"/>
      <c r="C721" s="497"/>
      <c r="D721" s="46" t="s">
        <v>1373</v>
      </c>
      <c r="E721" s="21" t="s">
        <v>1251</v>
      </c>
      <c r="F721" s="50">
        <v>10.0</v>
      </c>
      <c r="G721" s="50"/>
      <c r="H721" s="365">
        <v>103.0</v>
      </c>
      <c r="I721" s="50" t="s">
        <v>576</v>
      </c>
      <c r="J721" s="498" t="s">
        <v>1374</v>
      </c>
      <c r="K721" s="312">
        <f t="shared" si="356"/>
        <v>1030</v>
      </c>
      <c r="L721" s="301">
        <f t="shared" si="366"/>
        <v>175.1</v>
      </c>
      <c r="M721" s="314"/>
      <c r="N721" s="314"/>
      <c r="O721" s="314"/>
      <c r="P721" s="314"/>
      <c r="Q721" s="314"/>
      <c r="R721" s="314"/>
      <c r="S721" s="350"/>
      <c r="T721" s="6"/>
      <c r="U721" s="6"/>
      <c r="V721" s="6"/>
      <c r="W721" s="6"/>
    </row>
    <row r="722" ht="12.0" customHeight="1">
      <c r="A722" s="14"/>
      <c r="B722" s="74"/>
      <c r="C722" s="497"/>
      <c r="D722" s="31" t="s">
        <v>1370</v>
      </c>
      <c r="E722" s="17" t="s">
        <v>1253</v>
      </c>
      <c r="F722" s="33">
        <v>5.0</v>
      </c>
      <c r="G722" s="33"/>
      <c r="H722" s="345">
        <f t="shared" ref="H722:H724" si="367">(P722-R722)</f>
        <v>151.6977</v>
      </c>
      <c r="I722" s="33" t="s">
        <v>119</v>
      </c>
      <c r="J722" s="216" t="s">
        <v>1375</v>
      </c>
      <c r="K722" s="310">
        <f t="shared" si="356"/>
        <v>758.4885</v>
      </c>
      <c r="L722" s="301">
        <f t="shared" si="366"/>
        <v>257.88609</v>
      </c>
      <c r="M722" s="326">
        <v>199.0</v>
      </c>
      <c r="N722" s="326">
        <v>0.21</v>
      </c>
      <c r="O722" s="326">
        <f t="shared" ref="O722:O724" si="368">M722*N722</f>
        <v>41.79</v>
      </c>
      <c r="P722" s="326">
        <f t="shared" ref="P722:P724" si="369">SUM(M722+O722)</f>
        <v>240.79</v>
      </c>
      <c r="Q722" s="326">
        <v>0.37</v>
      </c>
      <c r="R722" s="326">
        <f t="shared" ref="R722:R724" si="370">P722*Q722</f>
        <v>89.0923</v>
      </c>
      <c r="S722" s="350"/>
      <c r="T722" s="6"/>
      <c r="U722" s="6"/>
      <c r="V722" s="6"/>
      <c r="W722" s="6"/>
    </row>
    <row r="723" ht="12.0" customHeight="1">
      <c r="A723" s="14"/>
      <c r="B723" s="74"/>
      <c r="C723" s="497"/>
      <c r="D723" s="31" t="s">
        <v>1373</v>
      </c>
      <c r="E723" s="17" t="s">
        <v>1253</v>
      </c>
      <c r="F723" s="33">
        <v>5.0</v>
      </c>
      <c r="G723" s="33"/>
      <c r="H723" s="345">
        <f t="shared" si="367"/>
        <v>187.5258</v>
      </c>
      <c r="I723" s="33" t="s">
        <v>119</v>
      </c>
      <c r="J723" s="216" t="s">
        <v>1376</v>
      </c>
      <c r="K723" s="310">
        <f t="shared" si="356"/>
        <v>937.629</v>
      </c>
      <c r="L723" s="301">
        <f t="shared" si="366"/>
        <v>318.79386</v>
      </c>
      <c r="M723" s="326">
        <v>246.0</v>
      </c>
      <c r="N723" s="326">
        <v>0.21</v>
      </c>
      <c r="O723" s="326">
        <f t="shared" si="368"/>
        <v>51.66</v>
      </c>
      <c r="P723" s="326">
        <f t="shared" si="369"/>
        <v>297.66</v>
      </c>
      <c r="Q723" s="326">
        <v>0.37</v>
      </c>
      <c r="R723" s="326">
        <f t="shared" si="370"/>
        <v>110.1342</v>
      </c>
      <c r="S723" s="350"/>
      <c r="T723" s="6"/>
      <c r="U723" s="6"/>
      <c r="V723" s="6"/>
      <c r="W723" s="6"/>
    </row>
    <row r="724" ht="12.0" customHeight="1">
      <c r="A724" s="14"/>
      <c r="B724" s="74"/>
      <c r="C724" s="497"/>
      <c r="D724" s="46" t="s">
        <v>1370</v>
      </c>
      <c r="E724" s="21" t="s">
        <v>1255</v>
      </c>
      <c r="F724" s="50">
        <v>10.0</v>
      </c>
      <c r="G724" s="50"/>
      <c r="H724" s="365">
        <f t="shared" si="367"/>
        <v>254.6082</v>
      </c>
      <c r="I724" s="50" t="s">
        <v>119</v>
      </c>
      <c r="J724" s="498" t="s">
        <v>1377</v>
      </c>
      <c r="K724" s="312">
        <f t="shared" si="356"/>
        <v>2546.082</v>
      </c>
      <c r="L724" s="301">
        <f t="shared" si="366"/>
        <v>432.83394</v>
      </c>
      <c r="M724" s="314">
        <v>334.0</v>
      </c>
      <c r="N724" s="314">
        <v>0.21</v>
      </c>
      <c r="O724" s="314">
        <f t="shared" si="368"/>
        <v>70.14</v>
      </c>
      <c r="P724" s="314">
        <f t="shared" si="369"/>
        <v>404.14</v>
      </c>
      <c r="Q724" s="314">
        <v>0.37</v>
      </c>
      <c r="R724" s="314">
        <f t="shared" si="370"/>
        <v>149.5318</v>
      </c>
      <c r="S724" s="353" t="s">
        <v>1378</v>
      </c>
      <c r="T724" s="6"/>
      <c r="U724" s="6"/>
      <c r="V724" s="6"/>
      <c r="W724" s="6"/>
    </row>
    <row r="725" ht="12.0" customHeight="1">
      <c r="A725" s="14"/>
      <c r="B725" s="74"/>
      <c r="C725" s="497"/>
      <c r="D725" s="31" t="s">
        <v>1373</v>
      </c>
      <c r="E725" s="17" t="s">
        <v>1255</v>
      </c>
      <c r="F725" s="33">
        <v>5.0</v>
      </c>
      <c r="G725" s="33"/>
      <c r="H725" s="345">
        <v>258.0</v>
      </c>
      <c r="I725" s="33" t="s">
        <v>576</v>
      </c>
      <c r="J725" s="216" t="s">
        <v>1379</v>
      </c>
      <c r="K725" s="310">
        <f t="shared" si="356"/>
        <v>1290</v>
      </c>
      <c r="L725" s="301">
        <f t="shared" si="366"/>
        <v>438.6</v>
      </c>
      <c r="M725" s="314"/>
      <c r="N725" s="314"/>
      <c r="O725" s="314"/>
      <c r="P725" s="314"/>
      <c r="Q725" s="314"/>
      <c r="R725" s="314"/>
      <c r="S725" s="353"/>
      <c r="T725" s="6"/>
      <c r="U725" s="6"/>
      <c r="V725" s="6"/>
      <c r="W725" s="6"/>
    </row>
    <row r="726" ht="12.0" customHeight="1">
      <c r="A726" s="14"/>
      <c r="B726" s="74"/>
      <c r="C726" s="497"/>
      <c r="D726" s="31" t="s">
        <v>1370</v>
      </c>
      <c r="E726" s="17" t="s">
        <v>1257</v>
      </c>
      <c r="F726" s="33">
        <v>5.0</v>
      </c>
      <c r="G726" s="33"/>
      <c r="H726" s="345">
        <f>(P726-R726)</f>
        <v>548.856</v>
      </c>
      <c r="I726" s="33" t="s">
        <v>119</v>
      </c>
      <c r="J726" s="216" t="s">
        <v>1380</v>
      </c>
      <c r="K726" s="310">
        <f t="shared" si="356"/>
        <v>2744.28</v>
      </c>
      <c r="L726" s="301">
        <f t="shared" si="366"/>
        <v>933.0552</v>
      </c>
      <c r="M726" s="326">
        <v>720.0</v>
      </c>
      <c r="N726" s="326">
        <v>0.21</v>
      </c>
      <c r="O726" s="326">
        <f>M726*N726</f>
        <v>151.2</v>
      </c>
      <c r="P726" s="326">
        <f>SUM(M726+O726)</f>
        <v>871.2</v>
      </c>
      <c r="Q726" s="326">
        <v>0.37</v>
      </c>
      <c r="R726" s="326">
        <f>P726*Q726</f>
        <v>322.344</v>
      </c>
      <c r="S726" s="353" t="s">
        <v>1381</v>
      </c>
      <c r="T726" s="6"/>
      <c r="U726" s="6"/>
      <c r="V726" s="6"/>
      <c r="W726" s="6"/>
    </row>
    <row r="727" ht="12.0" customHeight="1">
      <c r="A727" s="14"/>
      <c r="B727" s="74"/>
      <c r="C727" s="497"/>
      <c r="D727" s="31" t="s">
        <v>1373</v>
      </c>
      <c r="E727" s="17" t="s">
        <v>1257</v>
      </c>
      <c r="F727" s="33">
        <v>5.0</v>
      </c>
      <c r="G727" s="33"/>
      <c r="H727" s="345">
        <v>607.0</v>
      </c>
      <c r="I727" s="33" t="s">
        <v>576</v>
      </c>
      <c r="J727" s="216" t="s">
        <v>1382</v>
      </c>
      <c r="K727" s="310">
        <f t="shared" si="356"/>
        <v>3035</v>
      </c>
      <c r="L727" s="301">
        <f t="shared" si="366"/>
        <v>1031.9</v>
      </c>
      <c r="M727" s="326"/>
      <c r="N727" s="326"/>
      <c r="O727" s="326"/>
      <c r="P727" s="326"/>
      <c r="Q727" s="326"/>
      <c r="R727" s="326"/>
      <c r="S727" s="350"/>
      <c r="T727" s="6"/>
      <c r="U727" s="6"/>
      <c r="V727" s="6"/>
      <c r="W727" s="6"/>
    </row>
    <row r="728" ht="12.0" customHeight="1">
      <c r="A728" s="14"/>
      <c r="B728" s="74"/>
      <c r="C728" s="497"/>
      <c r="D728" s="46" t="s">
        <v>1383</v>
      </c>
      <c r="E728" s="21" t="s">
        <v>339</v>
      </c>
      <c r="F728" s="50">
        <v>5.0</v>
      </c>
      <c r="G728" s="50"/>
      <c r="H728" s="365">
        <f t="shared" ref="H728:H731" si="371">(P728-R728)</f>
        <v>174.5667</v>
      </c>
      <c r="I728" s="50" t="s">
        <v>119</v>
      </c>
      <c r="J728" s="60" t="s">
        <v>1384</v>
      </c>
      <c r="K728" s="312">
        <f t="shared" si="356"/>
        <v>872.8335</v>
      </c>
      <c r="L728" s="301">
        <f t="shared" si="366"/>
        <v>296.76339</v>
      </c>
      <c r="M728" s="314">
        <v>229.0</v>
      </c>
      <c r="N728" s="314">
        <v>0.21</v>
      </c>
      <c r="O728" s="314">
        <f t="shared" ref="O728:O731" si="372">M728*N728</f>
        <v>48.09</v>
      </c>
      <c r="P728" s="314">
        <f t="shared" ref="P728:P731" si="373">SUM(M728+O728)</f>
        <v>277.09</v>
      </c>
      <c r="Q728" s="314">
        <v>0.37</v>
      </c>
      <c r="R728" s="314">
        <f t="shared" ref="R728:R731" si="374">P728*Q728</f>
        <v>102.5233</v>
      </c>
      <c r="S728" s="353" t="s">
        <v>1385</v>
      </c>
      <c r="T728" s="6"/>
      <c r="U728" s="6"/>
      <c r="V728" s="6"/>
      <c r="W728" s="6"/>
    </row>
    <row r="729" ht="12.0" customHeight="1">
      <c r="A729" s="14"/>
      <c r="B729" s="74"/>
      <c r="C729" s="497"/>
      <c r="D729" s="31" t="s">
        <v>1383</v>
      </c>
      <c r="E729" s="17" t="s">
        <v>235</v>
      </c>
      <c r="F729" s="33">
        <v>6.0</v>
      </c>
      <c r="G729" s="33"/>
      <c r="H729" s="345">
        <f t="shared" si="371"/>
        <v>192.0996</v>
      </c>
      <c r="I729" s="33" t="s">
        <v>119</v>
      </c>
      <c r="J729" s="59" t="s">
        <v>1386</v>
      </c>
      <c r="K729" s="310">
        <f t="shared" si="356"/>
        <v>1152.5976</v>
      </c>
      <c r="L729" s="301">
        <f t="shared" si="366"/>
        <v>326.56932</v>
      </c>
      <c r="M729" s="326">
        <v>252.0</v>
      </c>
      <c r="N729" s="326">
        <v>0.21</v>
      </c>
      <c r="O729" s="326">
        <f t="shared" si="372"/>
        <v>52.92</v>
      </c>
      <c r="P729" s="326">
        <f t="shared" si="373"/>
        <v>304.92</v>
      </c>
      <c r="Q729" s="326">
        <v>0.37</v>
      </c>
      <c r="R729" s="326">
        <f t="shared" si="374"/>
        <v>112.8204</v>
      </c>
      <c r="S729" s="353" t="s">
        <v>1387</v>
      </c>
      <c r="T729" s="6"/>
      <c r="U729" s="6"/>
      <c r="V729" s="6"/>
      <c r="W729" s="6"/>
    </row>
    <row r="730" ht="12.0" customHeight="1">
      <c r="A730" s="14"/>
      <c r="B730" s="74"/>
      <c r="C730" s="497"/>
      <c r="D730" s="46" t="s">
        <v>1383</v>
      </c>
      <c r="E730" s="21" t="s">
        <v>401</v>
      </c>
      <c r="F730" s="50">
        <v>6.0</v>
      </c>
      <c r="G730" s="50"/>
      <c r="H730" s="365">
        <f t="shared" si="371"/>
        <v>255.3705</v>
      </c>
      <c r="I730" s="50" t="s">
        <v>119</v>
      </c>
      <c r="J730" s="60" t="s">
        <v>1388</v>
      </c>
      <c r="K730" s="312">
        <f t="shared" si="356"/>
        <v>1532.223</v>
      </c>
      <c r="L730" s="301">
        <f t="shared" si="366"/>
        <v>434.12985</v>
      </c>
      <c r="M730" s="314">
        <v>335.0</v>
      </c>
      <c r="N730" s="314">
        <v>0.21</v>
      </c>
      <c r="O730" s="314">
        <f t="shared" si="372"/>
        <v>70.35</v>
      </c>
      <c r="P730" s="314">
        <f t="shared" si="373"/>
        <v>405.35</v>
      </c>
      <c r="Q730" s="314">
        <v>0.37</v>
      </c>
      <c r="R730" s="314">
        <f t="shared" si="374"/>
        <v>149.9795</v>
      </c>
      <c r="S730" s="353" t="s">
        <v>1389</v>
      </c>
      <c r="T730" s="6"/>
      <c r="U730" s="6"/>
      <c r="V730" s="6"/>
      <c r="W730" s="6"/>
    </row>
    <row r="731" ht="12.0" customHeight="1">
      <c r="A731" s="14"/>
      <c r="B731" s="74"/>
      <c r="C731" s="497"/>
      <c r="D731" s="31" t="s">
        <v>1383</v>
      </c>
      <c r="E731" s="17" t="s">
        <v>1266</v>
      </c>
      <c r="F731" s="33">
        <v>6.0</v>
      </c>
      <c r="G731" s="33"/>
      <c r="H731" s="345">
        <f t="shared" si="371"/>
        <v>567.9135</v>
      </c>
      <c r="I731" s="33" t="s">
        <v>119</v>
      </c>
      <c r="J731" s="59" t="s">
        <v>1390</v>
      </c>
      <c r="K731" s="310">
        <f t="shared" si="356"/>
        <v>3407.481</v>
      </c>
      <c r="L731" s="301">
        <f t="shared" si="366"/>
        <v>965.45295</v>
      </c>
      <c r="M731" s="326">
        <v>745.0</v>
      </c>
      <c r="N731" s="326">
        <v>0.21</v>
      </c>
      <c r="O731" s="326">
        <f t="shared" si="372"/>
        <v>156.45</v>
      </c>
      <c r="P731" s="326">
        <f t="shared" si="373"/>
        <v>901.45</v>
      </c>
      <c r="Q731" s="326">
        <v>0.37</v>
      </c>
      <c r="R731" s="326">
        <f t="shared" si="374"/>
        <v>333.5365</v>
      </c>
      <c r="S731" s="353" t="s">
        <v>1391</v>
      </c>
      <c r="T731" s="6"/>
      <c r="U731" s="6"/>
      <c r="V731" s="6"/>
      <c r="W731" s="6"/>
    </row>
    <row r="732" ht="12.0" customHeight="1">
      <c r="A732" s="14"/>
      <c r="B732" s="74"/>
      <c r="C732" s="497"/>
      <c r="D732" s="46" t="s">
        <v>1392</v>
      </c>
      <c r="E732" s="21" t="s">
        <v>339</v>
      </c>
      <c r="F732" s="50">
        <v>10.0</v>
      </c>
      <c r="G732" s="50"/>
      <c r="H732" s="307">
        <f>SUM(0.55*H712)</f>
        <v>58.3</v>
      </c>
      <c r="I732" s="50" t="s">
        <v>576</v>
      </c>
      <c r="J732" s="60" t="s">
        <v>1393</v>
      </c>
      <c r="K732" s="312">
        <f t="shared" si="356"/>
        <v>583</v>
      </c>
      <c r="L732" s="301">
        <f t="shared" si="366"/>
        <v>99.11</v>
      </c>
      <c r="M732" s="314"/>
      <c r="N732" s="314"/>
      <c r="O732" s="314"/>
      <c r="P732" s="314"/>
      <c r="Q732" s="314"/>
      <c r="R732" s="314"/>
      <c r="S732" s="350"/>
      <c r="T732" s="6"/>
      <c r="U732" s="6"/>
      <c r="V732" s="6"/>
      <c r="W732" s="6"/>
    </row>
    <row r="733" ht="12.0" customHeight="1">
      <c r="A733" s="14"/>
      <c r="B733" s="74"/>
      <c r="C733" s="497"/>
      <c r="D733" s="31" t="s">
        <v>1392</v>
      </c>
      <c r="E733" s="17" t="s">
        <v>235</v>
      </c>
      <c r="F733" s="33">
        <v>10.0</v>
      </c>
      <c r="G733" s="33"/>
      <c r="H733" s="305">
        <f>SUM(0.65*H712)</f>
        <v>68.9</v>
      </c>
      <c r="I733" s="33" t="s">
        <v>576</v>
      </c>
      <c r="J733" s="59" t="s">
        <v>1394</v>
      </c>
      <c r="K733" s="310">
        <f t="shared" si="356"/>
        <v>689</v>
      </c>
      <c r="L733" s="301">
        <f t="shared" si="366"/>
        <v>117.13</v>
      </c>
      <c r="M733" s="326"/>
      <c r="N733" s="326"/>
      <c r="O733" s="326"/>
      <c r="P733" s="326"/>
      <c r="Q733" s="326"/>
      <c r="R733" s="326"/>
      <c r="S733" s="350"/>
      <c r="T733" s="6"/>
      <c r="U733" s="6"/>
      <c r="V733" s="6"/>
      <c r="W733" s="6"/>
    </row>
    <row r="734" ht="12.0" customHeight="1">
      <c r="A734" s="14"/>
      <c r="B734" s="74"/>
      <c r="C734" s="497"/>
      <c r="D734" s="46" t="s">
        <v>1392</v>
      </c>
      <c r="E734" s="21" t="s">
        <v>401</v>
      </c>
      <c r="F734" s="50">
        <v>5.0</v>
      </c>
      <c r="G734" s="50"/>
      <c r="H734" s="307">
        <f>SUM(1.1*H712)</f>
        <v>116.6</v>
      </c>
      <c r="I734" s="50" t="s">
        <v>576</v>
      </c>
      <c r="J734" s="60" t="s">
        <v>1395</v>
      </c>
      <c r="K734" s="312">
        <f t="shared" si="356"/>
        <v>583</v>
      </c>
      <c r="L734" s="301">
        <f t="shared" si="366"/>
        <v>198.22</v>
      </c>
      <c r="M734" s="314"/>
      <c r="N734" s="314"/>
      <c r="O734" s="314"/>
      <c r="P734" s="314"/>
      <c r="Q734" s="314"/>
      <c r="R734" s="314"/>
      <c r="S734" s="350"/>
      <c r="T734" s="6"/>
      <c r="U734" s="6"/>
      <c r="V734" s="6"/>
      <c r="W734" s="6"/>
    </row>
    <row r="735" ht="12.0" customHeight="1">
      <c r="A735" s="14"/>
      <c r="B735" s="74"/>
      <c r="C735" s="497"/>
      <c r="D735" s="31" t="s">
        <v>1392</v>
      </c>
      <c r="E735" s="17" t="s">
        <v>1266</v>
      </c>
      <c r="F735" s="33">
        <v>5.0</v>
      </c>
      <c r="G735" s="33"/>
      <c r="H735" s="305">
        <f>SUM(2*H712)</f>
        <v>212</v>
      </c>
      <c r="I735" s="33" t="s">
        <v>576</v>
      </c>
      <c r="J735" s="59" t="s">
        <v>1396</v>
      </c>
      <c r="K735" s="310">
        <f t="shared" si="356"/>
        <v>1060</v>
      </c>
      <c r="L735" s="301">
        <f t="shared" ref="L735:L751" si="375">H735*1.6</f>
        <v>339.2</v>
      </c>
      <c r="M735" s="326"/>
      <c r="N735" s="326"/>
      <c r="O735" s="326"/>
      <c r="P735" s="326"/>
      <c r="Q735" s="326"/>
      <c r="R735" s="326"/>
      <c r="S735" s="350"/>
      <c r="T735" s="6"/>
      <c r="U735" s="6"/>
      <c r="V735" s="6"/>
      <c r="W735" s="6"/>
    </row>
    <row r="736" ht="12.0" customHeight="1">
      <c r="A736" s="14"/>
      <c r="B736" s="74"/>
      <c r="C736" s="497"/>
      <c r="D736" s="31" t="s">
        <v>1397</v>
      </c>
      <c r="E736" s="17" t="s">
        <v>1266</v>
      </c>
      <c r="F736" s="33">
        <v>5.0</v>
      </c>
      <c r="G736" s="33"/>
      <c r="H736" s="345">
        <v>364.0</v>
      </c>
      <c r="I736" s="33" t="s">
        <v>576</v>
      </c>
      <c r="J736" s="59" t="s">
        <v>1398</v>
      </c>
      <c r="K736" s="310">
        <f t="shared" si="356"/>
        <v>1820</v>
      </c>
      <c r="L736" s="301">
        <f t="shared" si="375"/>
        <v>582.4</v>
      </c>
      <c r="M736" s="326"/>
      <c r="N736" s="326"/>
      <c r="O736" s="326"/>
      <c r="P736" s="326"/>
      <c r="Q736" s="326"/>
      <c r="R736" s="326"/>
      <c r="S736" s="350"/>
      <c r="T736" s="6"/>
      <c r="U736" s="6"/>
      <c r="V736" s="6"/>
      <c r="W736" s="6"/>
    </row>
    <row r="737" ht="12.0" customHeight="1">
      <c r="A737" s="14"/>
      <c r="B737" s="74"/>
      <c r="C737" s="497"/>
      <c r="D737" s="31" t="s">
        <v>1399</v>
      </c>
      <c r="E737" s="17" t="s">
        <v>401</v>
      </c>
      <c r="F737" s="33">
        <v>5.0</v>
      </c>
      <c r="G737" s="33"/>
      <c r="H737" s="345">
        <v>225.0</v>
      </c>
      <c r="I737" s="33" t="s">
        <v>576</v>
      </c>
      <c r="J737" s="59" t="s">
        <v>1400</v>
      </c>
      <c r="K737" s="310">
        <f t="shared" si="356"/>
        <v>1125</v>
      </c>
      <c r="L737" s="301">
        <f t="shared" si="375"/>
        <v>360</v>
      </c>
      <c r="M737" s="326"/>
      <c r="N737" s="326"/>
      <c r="O737" s="326"/>
      <c r="P737" s="326"/>
      <c r="Q737" s="326"/>
      <c r="R737" s="326"/>
      <c r="S737" s="350"/>
      <c r="T737" s="6"/>
      <c r="U737" s="6"/>
      <c r="V737" s="6"/>
      <c r="W737" s="6"/>
    </row>
    <row r="738" ht="12.0" customHeight="1">
      <c r="A738" s="14"/>
      <c r="B738" s="74"/>
      <c r="C738" s="497"/>
      <c r="D738" s="31" t="s">
        <v>1401</v>
      </c>
      <c r="E738" s="17" t="s">
        <v>1402</v>
      </c>
      <c r="F738" s="33">
        <v>5.0</v>
      </c>
      <c r="G738" s="33"/>
      <c r="H738" s="345">
        <v>140.0</v>
      </c>
      <c r="I738" s="33" t="s">
        <v>576</v>
      </c>
      <c r="J738" s="59" t="s">
        <v>1403</v>
      </c>
      <c r="K738" s="310">
        <f t="shared" si="356"/>
        <v>700</v>
      </c>
      <c r="L738" s="301">
        <f t="shared" si="375"/>
        <v>224</v>
      </c>
      <c r="M738" s="326"/>
      <c r="N738" s="326"/>
      <c r="O738" s="326"/>
      <c r="P738" s="326"/>
      <c r="Q738" s="326"/>
      <c r="R738" s="326"/>
      <c r="S738" s="350"/>
      <c r="T738" s="6"/>
      <c r="U738" s="6"/>
      <c r="V738" s="6"/>
      <c r="W738" s="6"/>
    </row>
    <row r="739" ht="12.0" customHeight="1">
      <c r="A739" s="14"/>
      <c r="B739" s="74"/>
      <c r="C739" s="497"/>
      <c r="D739" s="31" t="s">
        <v>1404</v>
      </c>
      <c r="E739" s="17" t="s">
        <v>1405</v>
      </c>
      <c r="F739" s="33">
        <v>5.0</v>
      </c>
      <c r="G739" s="33"/>
      <c r="H739" s="345">
        <v>132.0</v>
      </c>
      <c r="I739" s="33" t="s">
        <v>576</v>
      </c>
      <c r="J739" s="59" t="s">
        <v>1406</v>
      </c>
      <c r="K739" s="310">
        <f t="shared" si="356"/>
        <v>660</v>
      </c>
      <c r="L739" s="301">
        <f t="shared" si="375"/>
        <v>211.2</v>
      </c>
      <c r="M739" s="326"/>
      <c r="N739" s="326"/>
      <c r="O739" s="326"/>
      <c r="P739" s="326"/>
      <c r="Q739" s="326"/>
      <c r="R739" s="326"/>
      <c r="S739" s="350"/>
      <c r="T739" s="6"/>
      <c r="U739" s="6"/>
      <c r="V739" s="6"/>
      <c r="W739" s="6"/>
    </row>
    <row r="740" ht="12.0" customHeight="1">
      <c r="A740" s="14"/>
      <c r="B740" s="74"/>
      <c r="C740" s="497"/>
      <c r="D740" s="31" t="s">
        <v>1407</v>
      </c>
      <c r="E740" s="17" t="s">
        <v>1408</v>
      </c>
      <c r="F740" s="33">
        <v>4.0</v>
      </c>
      <c r="G740" s="33"/>
      <c r="H740" s="345">
        <v>1127.0</v>
      </c>
      <c r="I740" s="33" t="s">
        <v>576</v>
      </c>
      <c r="J740" s="59" t="s">
        <v>1409</v>
      </c>
      <c r="K740" s="323">
        <f t="shared" si="356"/>
        <v>4508</v>
      </c>
      <c r="L740" s="301">
        <f t="shared" si="375"/>
        <v>1803.2</v>
      </c>
      <c r="M740" s="326"/>
      <c r="N740" s="326"/>
      <c r="O740" s="326"/>
      <c r="P740" s="326"/>
      <c r="Q740" s="326"/>
      <c r="R740" s="326"/>
      <c r="S740" s="350"/>
      <c r="T740" s="6"/>
      <c r="U740" s="6"/>
      <c r="V740" s="6"/>
      <c r="W740" s="6"/>
    </row>
    <row r="741" ht="12.0" customHeight="1">
      <c r="A741" s="14"/>
      <c r="B741" s="74"/>
      <c r="C741" s="497"/>
      <c r="D741" s="31" t="s">
        <v>1410</v>
      </c>
      <c r="E741" s="17" t="s">
        <v>1411</v>
      </c>
      <c r="F741" s="33">
        <v>0.0</v>
      </c>
      <c r="G741" s="33"/>
      <c r="H741" s="345">
        <v>1036.0</v>
      </c>
      <c r="I741" s="33" t="s">
        <v>576</v>
      </c>
      <c r="J741" s="59" t="s">
        <v>1412</v>
      </c>
      <c r="K741" s="323">
        <f t="shared" si="356"/>
        <v>0</v>
      </c>
      <c r="L741" s="301">
        <f t="shared" si="375"/>
        <v>1657.6</v>
      </c>
      <c r="M741" s="326"/>
      <c r="N741" s="326"/>
      <c r="O741" s="326"/>
      <c r="P741" s="326"/>
      <c r="Q741" s="326"/>
      <c r="R741" s="326"/>
      <c r="S741" s="350"/>
      <c r="T741" s="6"/>
      <c r="U741" s="6"/>
      <c r="V741" s="6"/>
      <c r="W741" s="6"/>
    </row>
    <row r="742" ht="12.0" customHeight="1">
      <c r="A742" s="14"/>
      <c r="B742" s="74"/>
      <c r="C742" s="497"/>
      <c r="D742" s="31" t="s">
        <v>1413</v>
      </c>
      <c r="E742" s="17" t="s">
        <v>1414</v>
      </c>
      <c r="F742" s="33">
        <v>1.0</v>
      </c>
      <c r="G742" s="33"/>
      <c r="H742" s="345">
        <f>(P742-R742)</f>
        <v>1200.6225</v>
      </c>
      <c r="I742" s="33" t="s">
        <v>119</v>
      </c>
      <c r="J742" s="59" t="s">
        <v>1415</v>
      </c>
      <c r="K742" s="323">
        <f t="shared" si="356"/>
        <v>1200.6225</v>
      </c>
      <c r="L742" s="301">
        <f t="shared" si="375"/>
        <v>1920.996</v>
      </c>
      <c r="M742" s="326">
        <v>1575.0</v>
      </c>
      <c r="N742" s="326">
        <v>0.21</v>
      </c>
      <c r="O742" s="326">
        <f>M742*N742</f>
        <v>330.75</v>
      </c>
      <c r="P742" s="326">
        <f>SUM(M742+O742)</f>
        <v>1905.75</v>
      </c>
      <c r="Q742" s="326">
        <v>0.37</v>
      </c>
      <c r="R742" s="326">
        <f>P742*Q742</f>
        <v>705.1275</v>
      </c>
      <c r="S742" s="350"/>
      <c r="T742" s="6"/>
      <c r="U742" s="6"/>
      <c r="V742" s="6"/>
      <c r="W742" s="6"/>
    </row>
    <row r="743" ht="12.0" customHeight="1">
      <c r="A743" s="14"/>
      <c r="B743" s="74"/>
      <c r="C743" s="497"/>
      <c r="D743" s="31" t="s">
        <v>1416</v>
      </c>
      <c r="E743" s="32" t="s">
        <v>339</v>
      </c>
      <c r="F743" s="33">
        <v>3.0</v>
      </c>
      <c r="G743" s="33"/>
      <c r="H743" s="345">
        <v>179.0</v>
      </c>
      <c r="I743" s="33" t="s">
        <v>576</v>
      </c>
      <c r="J743" s="59" t="s">
        <v>1417</v>
      </c>
      <c r="K743" s="323">
        <f t="shared" si="356"/>
        <v>537</v>
      </c>
      <c r="L743" s="301">
        <f t="shared" si="375"/>
        <v>286.4</v>
      </c>
      <c r="M743" s="326"/>
      <c r="N743" s="326"/>
      <c r="O743" s="326"/>
      <c r="P743" s="326"/>
      <c r="Q743" s="326"/>
      <c r="R743" s="326"/>
      <c r="S743" s="350"/>
      <c r="T743" s="6"/>
      <c r="U743" s="6"/>
      <c r="V743" s="6"/>
      <c r="W743" s="6"/>
    </row>
    <row r="744" ht="12.0" customHeight="1">
      <c r="A744" s="14"/>
      <c r="B744" s="74"/>
      <c r="C744" s="497"/>
      <c r="D744" s="31" t="s">
        <v>1418</v>
      </c>
      <c r="E744" s="32" t="s">
        <v>235</v>
      </c>
      <c r="F744" s="33">
        <v>2.0</v>
      </c>
      <c r="G744" s="33"/>
      <c r="H744" s="345">
        <v>220.0</v>
      </c>
      <c r="I744" s="33" t="s">
        <v>576</v>
      </c>
      <c r="J744" s="59" t="s">
        <v>1419</v>
      </c>
      <c r="K744" s="323">
        <f t="shared" si="356"/>
        <v>440</v>
      </c>
      <c r="L744" s="301">
        <f t="shared" si="375"/>
        <v>352</v>
      </c>
      <c r="M744" s="326"/>
      <c r="N744" s="326"/>
      <c r="O744" s="326"/>
      <c r="P744" s="326"/>
      <c r="Q744" s="326"/>
      <c r="R744" s="326"/>
      <c r="S744" s="350"/>
      <c r="T744" s="6"/>
      <c r="U744" s="6"/>
      <c r="V744" s="6"/>
      <c r="W744" s="6"/>
    </row>
    <row r="745" ht="12.0" customHeight="1">
      <c r="A745" s="14"/>
      <c r="B745" s="74"/>
      <c r="C745" s="497"/>
      <c r="D745" s="31" t="s">
        <v>1420</v>
      </c>
      <c r="E745" s="32" t="s">
        <v>401</v>
      </c>
      <c r="F745" s="33">
        <v>2.0</v>
      </c>
      <c r="G745" s="33"/>
      <c r="H745" s="345">
        <v>500.0</v>
      </c>
      <c r="I745" s="33" t="s">
        <v>576</v>
      </c>
      <c r="J745" s="59" t="s">
        <v>1421</v>
      </c>
      <c r="K745" s="323">
        <f t="shared" si="356"/>
        <v>1000</v>
      </c>
      <c r="L745" s="301">
        <f t="shared" si="375"/>
        <v>800</v>
      </c>
      <c r="M745" s="326"/>
      <c r="N745" s="326"/>
      <c r="O745" s="326"/>
      <c r="P745" s="326"/>
      <c r="Q745" s="326"/>
      <c r="R745" s="326"/>
      <c r="S745" s="350"/>
      <c r="T745" s="6"/>
      <c r="U745" s="6"/>
      <c r="V745" s="6"/>
      <c r="W745" s="6"/>
    </row>
    <row r="746" ht="12.0" customHeight="1">
      <c r="A746" s="14"/>
      <c r="B746" s="74"/>
      <c r="C746" s="497"/>
      <c r="D746" s="31" t="s">
        <v>1422</v>
      </c>
      <c r="E746" s="32" t="s">
        <v>1293</v>
      </c>
      <c r="F746" s="33">
        <v>1.0</v>
      </c>
      <c r="G746" s="33"/>
      <c r="H746" s="345">
        <v>763.0</v>
      </c>
      <c r="I746" s="33" t="s">
        <v>576</v>
      </c>
      <c r="J746" s="59" t="s">
        <v>1423</v>
      </c>
      <c r="K746" s="323">
        <f t="shared" si="356"/>
        <v>763</v>
      </c>
      <c r="L746" s="301">
        <f t="shared" si="375"/>
        <v>1220.8</v>
      </c>
      <c r="M746" s="326"/>
      <c r="N746" s="326"/>
      <c r="O746" s="326"/>
      <c r="P746" s="326"/>
      <c r="Q746" s="326"/>
      <c r="R746" s="326"/>
      <c r="S746" s="353" t="s">
        <v>1424</v>
      </c>
      <c r="T746" s="6"/>
      <c r="U746" s="6"/>
      <c r="V746" s="6"/>
      <c r="W746" s="6"/>
    </row>
    <row r="747" ht="12.0" customHeight="1">
      <c r="A747" s="14"/>
      <c r="B747" s="74"/>
      <c r="C747" s="497"/>
      <c r="D747" s="31" t="s">
        <v>1425</v>
      </c>
      <c r="E747" s="32" t="s">
        <v>1257</v>
      </c>
      <c r="F747" s="33">
        <v>1.0</v>
      </c>
      <c r="G747" s="33"/>
      <c r="H747" s="345">
        <v>1074.0</v>
      </c>
      <c r="I747" s="33" t="s">
        <v>576</v>
      </c>
      <c r="J747" s="59" t="s">
        <v>1426</v>
      </c>
      <c r="K747" s="323">
        <f t="shared" si="356"/>
        <v>1074</v>
      </c>
      <c r="L747" s="301">
        <f t="shared" si="375"/>
        <v>1718.4</v>
      </c>
      <c r="M747" s="326"/>
      <c r="N747" s="326"/>
      <c r="O747" s="326"/>
      <c r="P747" s="326"/>
      <c r="Q747" s="326"/>
      <c r="R747" s="326"/>
      <c r="S747" s="350"/>
      <c r="T747" s="6"/>
      <c r="U747" s="6"/>
      <c r="V747" s="6"/>
      <c r="W747" s="6"/>
    </row>
    <row r="748" ht="12.0" customHeight="1">
      <c r="A748" s="14"/>
      <c r="B748" s="74"/>
      <c r="C748" s="497"/>
      <c r="D748" s="31" t="s">
        <v>1427</v>
      </c>
      <c r="E748" s="32" t="s">
        <v>1428</v>
      </c>
      <c r="F748" s="33">
        <v>1.0</v>
      </c>
      <c r="G748" s="33"/>
      <c r="H748" s="345">
        <f>(P748-R748)</f>
        <v>1003.1868</v>
      </c>
      <c r="I748" s="33" t="s">
        <v>119</v>
      </c>
      <c r="J748" s="59" t="s">
        <v>1429</v>
      </c>
      <c r="K748" s="323">
        <f t="shared" si="356"/>
        <v>1003.1868</v>
      </c>
      <c r="L748" s="301">
        <f t="shared" si="375"/>
        <v>1605.09888</v>
      </c>
      <c r="M748" s="326">
        <v>1316.0</v>
      </c>
      <c r="N748" s="326">
        <v>0.21</v>
      </c>
      <c r="O748" s="326">
        <f>M748*N748</f>
        <v>276.36</v>
      </c>
      <c r="P748" s="326">
        <f>SUM(M748+O748)</f>
        <v>1592.36</v>
      </c>
      <c r="Q748" s="326">
        <v>0.37</v>
      </c>
      <c r="R748" s="326">
        <f>P748*Q748</f>
        <v>589.1732</v>
      </c>
      <c r="S748" s="350"/>
      <c r="T748" s="6"/>
      <c r="U748" s="6"/>
      <c r="V748" s="6"/>
      <c r="W748" s="6"/>
    </row>
    <row r="749" ht="12.0" customHeight="1">
      <c r="A749" s="14"/>
      <c r="B749" s="74"/>
      <c r="C749" s="497"/>
      <c r="D749" s="31" t="s">
        <v>1430</v>
      </c>
      <c r="E749" s="32" t="s">
        <v>1431</v>
      </c>
      <c r="F749" s="33">
        <v>2.0</v>
      </c>
      <c r="G749" s="33"/>
      <c r="H749" s="351">
        <v>880.0</v>
      </c>
      <c r="I749" s="33" t="s">
        <v>576</v>
      </c>
      <c r="J749" s="59" t="s">
        <v>1432</v>
      </c>
      <c r="K749" s="323">
        <f t="shared" si="356"/>
        <v>1760</v>
      </c>
      <c r="L749" s="301">
        <f t="shared" si="375"/>
        <v>1408</v>
      </c>
      <c r="M749" s="326"/>
      <c r="N749" s="326"/>
      <c r="O749" s="326"/>
      <c r="P749" s="326"/>
      <c r="Q749" s="326"/>
      <c r="R749" s="326"/>
      <c r="S749" s="350"/>
      <c r="T749" s="6"/>
      <c r="U749" s="6"/>
      <c r="V749" s="6"/>
      <c r="W749" s="6"/>
    </row>
    <row r="750" ht="12.0" customHeight="1">
      <c r="A750" s="14"/>
      <c r="B750" s="74"/>
      <c r="C750" s="497"/>
      <c r="D750" s="31" t="s">
        <v>1433</v>
      </c>
      <c r="E750" s="32" t="s">
        <v>1431</v>
      </c>
      <c r="F750" s="33">
        <v>1.0</v>
      </c>
      <c r="G750" s="33"/>
      <c r="H750" s="305">
        <f>SUM(1*H749)</f>
        <v>880</v>
      </c>
      <c r="I750" s="33" t="s">
        <v>576</v>
      </c>
      <c r="J750" s="59" t="s">
        <v>1434</v>
      </c>
      <c r="K750" s="323">
        <f t="shared" si="356"/>
        <v>880</v>
      </c>
      <c r="L750" s="301">
        <f t="shared" si="375"/>
        <v>1408</v>
      </c>
      <c r="M750" s="326"/>
      <c r="N750" s="326"/>
      <c r="O750" s="326"/>
      <c r="P750" s="326"/>
      <c r="Q750" s="326"/>
      <c r="R750" s="326"/>
      <c r="S750" s="350"/>
      <c r="T750" s="6"/>
      <c r="U750" s="6"/>
      <c r="V750" s="6"/>
      <c r="W750" s="6"/>
    </row>
    <row r="751" ht="12.0" customHeight="1">
      <c r="A751" s="14"/>
      <c r="B751" s="74"/>
      <c r="C751" s="497"/>
      <c r="D751" s="31" t="s">
        <v>1435</v>
      </c>
      <c r="E751" s="32" t="s">
        <v>1431</v>
      </c>
      <c r="F751" s="33">
        <v>1.0</v>
      </c>
      <c r="G751" s="33"/>
      <c r="H751" s="305">
        <f>SUM(1*H749)</f>
        <v>880</v>
      </c>
      <c r="I751" s="33" t="s">
        <v>576</v>
      </c>
      <c r="J751" s="59" t="s">
        <v>1436</v>
      </c>
      <c r="K751" s="323">
        <f t="shared" si="356"/>
        <v>880</v>
      </c>
      <c r="L751" s="301">
        <f t="shared" si="375"/>
        <v>1408</v>
      </c>
      <c r="M751" s="326"/>
      <c r="N751" s="326"/>
      <c r="O751" s="326"/>
      <c r="P751" s="326"/>
      <c r="Q751" s="326"/>
      <c r="R751" s="326"/>
      <c r="S751" s="350"/>
      <c r="T751" s="6"/>
      <c r="U751" s="6"/>
      <c r="V751" s="6"/>
      <c r="W751" s="6"/>
    </row>
    <row r="752" ht="12.0" customHeight="1">
      <c r="A752" s="14"/>
      <c r="B752" s="78" t="s">
        <v>5</v>
      </c>
      <c r="C752" s="78"/>
      <c r="D752" s="170" t="s">
        <v>1437</v>
      </c>
      <c r="E752" s="171" t="s">
        <v>1438</v>
      </c>
      <c r="F752" s="172"/>
      <c r="G752" s="172"/>
      <c r="H752" s="407"/>
      <c r="I752" s="172"/>
      <c r="J752" s="408"/>
      <c r="K752" s="409"/>
      <c r="L752" s="301"/>
      <c r="M752" s="172"/>
      <c r="N752" s="417"/>
      <c r="O752" s="417"/>
      <c r="P752" s="417"/>
      <c r="Q752" s="172"/>
      <c r="R752" s="172"/>
      <c r="S752" s="6"/>
      <c r="T752" s="6"/>
      <c r="U752" s="6"/>
      <c r="V752" s="6"/>
      <c r="W752" s="6"/>
    </row>
    <row r="753" ht="12.0" customHeight="1">
      <c r="A753" s="52"/>
      <c r="B753" s="78"/>
      <c r="C753" s="78"/>
      <c r="D753" s="195" t="s">
        <v>1439</v>
      </c>
      <c r="E753" s="132" t="s">
        <v>1440</v>
      </c>
      <c r="F753" s="50">
        <v>10.0</v>
      </c>
      <c r="G753" s="14"/>
      <c r="H753" s="365">
        <f t="shared" ref="H753:H757" si="376">(P753-R753)</f>
        <v>844.6284</v>
      </c>
      <c r="I753" s="14" t="s">
        <v>119</v>
      </c>
      <c r="J753" s="60" t="s">
        <v>1441</v>
      </c>
      <c r="K753" s="308">
        <f t="shared" ref="K753:K761" si="377">H753*F753</f>
        <v>8446.284</v>
      </c>
      <c r="L753" s="301">
        <f>H753*1.55</f>
        <v>1309.17402</v>
      </c>
      <c r="M753" s="314">
        <v>1108.0</v>
      </c>
      <c r="N753" s="314">
        <v>0.21</v>
      </c>
      <c r="O753" s="314">
        <f t="shared" ref="O753:O757" si="378">M753*N753</f>
        <v>232.68</v>
      </c>
      <c r="P753" s="314">
        <f t="shared" ref="P753:P757" si="379">SUM(M753+O753)</f>
        <v>1340.68</v>
      </c>
      <c r="Q753" s="314">
        <v>0.37</v>
      </c>
      <c r="R753" s="314">
        <f t="shared" ref="R753:R757" si="380">P753*Q753</f>
        <v>496.0516</v>
      </c>
      <c r="S753" s="353" t="s">
        <v>1442</v>
      </c>
      <c r="T753" s="6"/>
      <c r="U753" s="6"/>
      <c r="V753" s="6"/>
      <c r="W753" s="6"/>
    </row>
    <row r="754" ht="12.0" customHeight="1">
      <c r="A754" s="14"/>
      <c r="B754" s="78"/>
      <c r="C754" s="78"/>
      <c r="D754" s="31" t="s">
        <v>1439</v>
      </c>
      <c r="E754" s="32" t="s">
        <v>1443</v>
      </c>
      <c r="F754" s="33">
        <v>6.0</v>
      </c>
      <c r="G754" s="9"/>
      <c r="H754" s="345">
        <f t="shared" si="376"/>
        <v>663.201</v>
      </c>
      <c r="I754" s="9" t="s">
        <v>119</v>
      </c>
      <c r="J754" s="254" t="s">
        <v>1444</v>
      </c>
      <c r="K754" s="306">
        <f t="shared" si="377"/>
        <v>3979.206</v>
      </c>
      <c r="L754" s="301">
        <f t="shared" ref="L754:L756" si="381">H754*1.6</f>
        <v>1061.1216</v>
      </c>
      <c r="M754" s="326">
        <v>870.0</v>
      </c>
      <c r="N754" s="326">
        <v>0.21</v>
      </c>
      <c r="O754" s="326">
        <f t="shared" si="378"/>
        <v>182.7</v>
      </c>
      <c r="P754" s="326">
        <f t="shared" si="379"/>
        <v>1052.7</v>
      </c>
      <c r="Q754" s="326">
        <v>0.37</v>
      </c>
      <c r="R754" s="326">
        <f t="shared" si="380"/>
        <v>389.499</v>
      </c>
      <c r="S754" s="6"/>
      <c r="T754" s="6"/>
      <c r="U754" s="6"/>
      <c r="V754" s="6"/>
      <c r="W754" s="6"/>
    </row>
    <row r="755" ht="12.0" customHeight="1">
      <c r="A755" s="52"/>
      <c r="B755" s="78"/>
      <c r="C755" s="78"/>
      <c r="D755" s="195" t="s">
        <v>1445</v>
      </c>
      <c r="E755" s="132" t="s">
        <v>1440</v>
      </c>
      <c r="F755" s="50">
        <v>1.0</v>
      </c>
      <c r="G755" s="14"/>
      <c r="H755" s="365">
        <f t="shared" si="376"/>
        <v>1021.482</v>
      </c>
      <c r="I755" s="14" t="s">
        <v>119</v>
      </c>
      <c r="J755" s="60" t="s">
        <v>1446</v>
      </c>
      <c r="K755" s="308">
        <f t="shared" si="377"/>
        <v>1021.482</v>
      </c>
      <c r="L755" s="301">
        <f t="shared" si="381"/>
        <v>1634.3712</v>
      </c>
      <c r="M755" s="314">
        <v>1340.0</v>
      </c>
      <c r="N755" s="314">
        <v>0.21</v>
      </c>
      <c r="O755" s="314">
        <f t="shared" si="378"/>
        <v>281.4</v>
      </c>
      <c r="P755" s="314">
        <f t="shared" si="379"/>
        <v>1621.4</v>
      </c>
      <c r="Q755" s="314">
        <v>0.37</v>
      </c>
      <c r="R755" s="314">
        <f t="shared" si="380"/>
        <v>599.918</v>
      </c>
      <c r="S755" s="353" t="s">
        <v>1447</v>
      </c>
      <c r="T755" s="6"/>
      <c r="U755" s="6"/>
      <c r="V755" s="6"/>
      <c r="W755" s="6"/>
    </row>
    <row r="756" ht="12.0" customHeight="1">
      <c r="A756" s="52"/>
      <c r="B756" s="78"/>
      <c r="C756" s="78"/>
      <c r="D756" s="31" t="s">
        <v>1445</v>
      </c>
      <c r="E756" s="32" t="s">
        <v>1443</v>
      </c>
      <c r="F756" s="33">
        <v>1.0</v>
      </c>
      <c r="G756" s="9"/>
      <c r="H756" s="345">
        <f t="shared" si="376"/>
        <v>818.7102</v>
      </c>
      <c r="I756" s="9" t="s">
        <v>119</v>
      </c>
      <c r="J756" s="59" t="s">
        <v>1448</v>
      </c>
      <c r="K756" s="306">
        <f t="shared" si="377"/>
        <v>818.7102</v>
      </c>
      <c r="L756" s="301">
        <f t="shared" si="381"/>
        <v>1309.93632</v>
      </c>
      <c r="M756" s="326">
        <v>1074.0</v>
      </c>
      <c r="N756" s="326">
        <v>0.21</v>
      </c>
      <c r="O756" s="326">
        <f t="shared" si="378"/>
        <v>225.54</v>
      </c>
      <c r="P756" s="326">
        <f t="shared" si="379"/>
        <v>1299.54</v>
      </c>
      <c r="Q756" s="326">
        <v>0.37</v>
      </c>
      <c r="R756" s="326">
        <f t="shared" si="380"/>
        <v>480.8298</v>
      </c>
      <c r="S756" s="353" t="s">
        <v>1449</v>
      </c>
      <c r="T756" s="6"/>
      <c r="U756" s="6"/>
      <c r="V756" s="6"/>
      <c r="W756" s="6"/>
    </row>
    <row r="757" ht="12.0" customHeight="1">
      <c r="A757" s="14"/>
      <c r="B757" s="78"/>
      <c r="C757" s="78"/>
      <c r="D757" s="39" t="s">
        <v>1450</v>
      </c>
      <c r="E757" s="40" t="s">
        <v>1451</v>
      </c>
      <c r="F757" s="41">
        <v>0.0</v>
      </c>
      <c r="G757" s="41"/>
      <c r="H757" s="319">
        <f t="shared" si="376"/>
        <v>27.90018</v>
      </c>
      <c r="I757" s="41" t="s">
        <v>119</v>
      </c>
      <c r="J757" s="81" t="s">
        <v>1452</v>
      </c>
      <c r="K757" s="320">
        <f t="shared" si="377"/>
        <v>0</v>
      </c>
      <c r="L757" s="317">
        <f>H757*1.9</f>
        <v>53.010342</v>
      </c>
      <c r="M757" s="342">
        <v>36.6</v>
      </c>
      <c r="N757" s="342">
        <v>0.21</v>
      </c>
      <c r="O757" s="342">
        <f t="shared" si="378"/>
        <v>7.686</v>
      </c>
      <c r="P757" s="342">
        <f t="shared" si="379"/>
        <v>44.286</v>
      </c>
      <c r="Q757" s="342">
        <v>0.37</v>
      </c>
      <c r="R757" s="342">
        <f t="shared" si="380"/>
        <v>16.38582</v>
      </c>
      <c r="S757" s="6"/>
      <c r="T757" s="6"/>
      <c r="U757" s="6"/>
      <c r="V757" s="6"/>
      <c r="W757" s="6"/>
    </row>
    <row r="758" ht="12.0" customHeight="1">
      <c r="A758" s="14"/>
      <c r="B758" s="78"/>
      <c r="C758" s="78"/>
      <c r="D758" s="197" t="s">
        <v>1453</v>
      </c>
      <c r="E758" s="131" t="s">
        <v>1451</v>
      </c>
      <c r="F758" s="33">
        <v>10.0</v>
      </c>
      <c r="G758" s="9"/>
      <c r="H758" s="381">
        <v>459.0</v>
      </c>
      <c r="I758" s="9" t="s">
        <v>576</v>
      </c>
      <c r="J758" s="59" t="s">
        <v>1454</v>
      </c>
      <c r="K758" s="306">
        <f t="shared" si="377"/>
        <v>4590</v>
      </c>
      <c r="L758" s="301">
        <f t="shared" ref="L758:L759" si="382">H758*1.65</f>
        <v>757.35</v>
      </c>
      <c r="M758" s="326"/>
      <c r="N758" s="326"/>
      <c r="O758" s="326"/>
      <c r="P758" s="326"/>
      <c r="Q758" s="326"/>
      <c r="R758" s="326"/>
      <c r="S758" s="350"/>
      <c r="T758" s="6"/>
      <c r="U758" s="6"/>
      <c r="V758" s="6"/>
      <c r="W758" s="6"/>
    </row>
    <row r="759" ht="12.0" customHeight="1">
      <c r="A759" s="14"/>
      <c r="B759" s="78"/>
      <c r="C759" s="78"/>
      <c r="D759" s="195" t="s">
        <v>1455</v>
      </c>
      <c r="E759" s="132" t="s">
        <v>1456</v>
      </c>
      <c r="F759" s="50">
        <v>8.0</v>
      </c>
      <c r="G759" s="14"/>
      <c r="H759" s="307">
        <f>SUM(1*H758)</f>
        <v>459</v>
      </c>
      <c r="I759" s="14" t="s">
        <v>119</v>
      </c>
      <c r="J759" s="60" t="s">
        <v>1457</v>
      </c>
      <c r="K759" s="308">
        <f t="shared" si="377"/>
        <v>3672</v>
      </c>
      <c r="L759" s="301">
        <f t="shared" si="382"/>
        <v>757.35</v>
      </c>
      <c r="M759" s="314"/>
      <c r="N759" s="314"/>
      <c r="O759" s="314"/>
      <c r="P759" s="314"/>
      <c r="Q759" s="314"/>
      <c r="R759" s="314"/>
      <c r="S759" s="353" t="s">
        <v>1442</v>
      </c>
      <c r="T759" s="6"/>
      <c r="U759" s="6"/>
      <c r="V759" s="6"/>
      <c r="W759" s="6"/>
    </row>
    <row r="760" ht="12.0" customHeight="1">
      <c r="A760" s="14"/>
      <c r="B760" s="78"/>
      <c r="C760" s="78"/>
      <c r="D760" s="31" t="s">
        <v>1455</v>
      </c>
      <c r="E760" s="32" t="s">
        <v>1458</v>
      </c>
      <c r="F760" s="33">
        <v>5.0</v>
      </c>
      <c r="G760" s="9"/>
      <c r="H760" s="345">
        <f t="shared" ref="H760:H765" si="383">(P760-R760)</f>
        <v>260.7066</v>
      </c>
      <c r="I760" s="9" t="s">
        <v>119</v>
      </c>
      <c r="J760" s="59" t="s">
        <v>1459</v>
      </c>
      <c r="K760" s="306">
        <f t="shared" si="377"/>
        <v>1303.533</v>
      </c>
      <c r="L760" s="301">
        <f t="shared" ref="L760:L764" si="384">H760*1.7</f>
        <v>443.20122</v>
      </c>
      <c r="M760" s="326">
        <v>342.0</v>
      </c>
      <c r="N760" s="326">
        <v>0.21</v>
      </c>
      <c r="O760" s="326">
        <f t="shared" ref="O760:O765" si="385">M760*N760</f>
        <v>71.82</v>
      </c>
      <c r="P760" s="326">
        <f t="shared" ref="P760:P765" si="386">SUM(M760+O760)</f>
        <v>413.82</v>
      </c>
      <c r="Q760" s="326">
        <v>0.37</v>
      </c>
      <c r="R760" s="326">
        <f t="shared" ref="R760:R765" si="387">P760*Q760</f>
        <v>153.1134</v>
      </c>
      <c r="S760" s="6"/>
      <c r="T760" s="6"/>
      <c r="U760" s="6"/>
      <c r="V760" s="6"/>
      <c r="W760" s="6"/>
    </row>
    <row r="761" ht="12.0" customHeight="1">
      <c r="A761" s="14"/>
      <c r="B761" s="78"/>
      <c r="C761" s="78"/>
      <c r="D761" s="46" t="s">
        <v>1453</v>
      </c>
      <c r="E761" s="47" t="s">
        <v>1460</v>
      </c>
      <c r="F761" s="50">
        <v>8.0</v>
      </c>
      <c r="G761" s="14"/>
      <c r="H761" s="365">
        <f t="shared" si="383"/>
        <v>327.789</v>
      </c>
      <c r="I761" s="14" t="s">
        <v>119</v>
      </c>
      <c r="J761" s="60" t="s">
        <v>1461</v>
      </c>
      <c r="K761" s="308">
        <f t="shared" si="377"/>
        <v>2622.312</v>
      </c>
      <c r="L761" s="301">
        <f t="shared" si="384"/>
        <v>557.2413</v>
      </c>
      <c r="M761" s="314">
        <v>430.0</v>
      </c>
      <c r="N761" s="314">
        <v>0.21</v>
      </c>
      <c r="O761" s="314">
        <f t="shared" si="385"/>
        <v>90.3</v>
      </c>
      <c r="P761" s="314">
        <f t="shared" si="386"/>
        <v>520.3</v>
      </c>
      <c r="Q761" s="314">
        <v>0.37</v>
      </c>
      <c r="R761" s="314">
        <f t="shared" si="387"/>
        <v>192.511</v>
      </c>
      <c r="S761" s="6"/>
      <c r="T761" s="6"/>
      <c r="U761" s="6"/>
      <c r="V761" s="6"/>
      <c r="W761" s="6"/>
    </row>
    <row r="762" ht="12.0" customHeight="1">
      <c r="A762" s="52"/>
      <c r="B762" s="78"/>
      <c r="C762" s="78"/>
      <c r="D762" s="31" t="s">
        <v>1462</v>
      </c>
      <c r="E762" s="32" t="s">
        <v>410</v>
      </c>
      <c r="F762" s="33">
        <v>3.0</v>
      </c>
      <c r="G762" s="9"/>
      <c r="H762" s="345">
        <f t="shared" si="383"/>
        <v>893.4156</v>
      </c>
      <c r="I762" s="9" t="s">
        <v>119</v>
      </c>
      <c r="J762" s="59" t="s">
        <v>1463</v>
      </c>
      <c r="K762" s="310">
        <f t="shared" ref="K762:K765" si="388">F762*H762</f>
        <v>2680.2468</v>
      </c>
      <c r="L762" s="301">
        <f t="shared" si="384"/>
        <v>1518.80652</v>
      </c>
      <c r="M762" s="326">
        <v>1172.0</v>
      </c>
      <c r="N762" s="326">
        <v>0.21</v>
      </c>
      <c r="O762" s="326">
        <f t="shared" si="385"/>
        <v>246.12</v>
      </c>
      <c r="P762" s="326">
        <f t="shared" si="386"/>
        <v>1418.12</v>
      </c>
      <c r="Q762" s="326">
        <v>0.37</v>
      </c>
      <c r="R762" s="326">
        <f t="shared" si="387"/>
        <v>524.7044</v>
      </c>
      <c r="S762" s="353" t="s">
        <v>1464</v>
      </c>
      <c r="T762" s="6"/>
      <c r="U762" s="6"/>
      <c r="V762" s="6"/>
      <c r="W762" s="6"/>
    </row>
    <row r="763" ht="12.0" customHeight="1">
      <c r="A763" s="52"/>
      <c r="B763" s="78"/>
      <c r="C763" s="78"/>
      <c r="D763" s="195" t="s">
        <v>1465</v>
      </c>
      <c r="E763" s="132" t="s">
        <v>1466</v>
      </c>
      <c r="F763" s="50">
        <v>2.0</v>
      </c>
      <c r="G763" s="14"/>
      <c r="H763" s="365">
        <f t="shared" si="383"/>
        <v>933.0552</v>
      </c>
      <c r="I763" s="14" t="s">
        <v>119</v>
      </c>
      <c r="J763" s="60" t="s">
        <v>1467</v>
      </c>
      <c r="K763" s="312">
        <f t="shared" si="388"/>
        <v>1866.1104</v>
      </c>
      <c r="L763" s="301">
        <f t="shared" si="384"/>
        <v>1586.19384</v>
      </c>
      <c r="M763" s="314">
        <v>1224.0</v>
      </c>
      <c r="N763" s="314">
        <v>0.21</v>
      </c>
      <c r="O763" s="314">
        <f t="shared" si="385"/>
        <v>257.04</v>
      </c>
      <c r="P763" s="314">
        <f t="shared" si="386"/>
        <v>1481.04</v>
      </c>
      <c r="Q763" s="314">
        <v>0.37</v>
      </c>
      <c r="R763" s="314">
        <f t="shared" si="387"/>
        <v>547.9848</v>
      </c>
      <c r="S763" s="353" t="s">
        <v>1468</v>
      </c>
      <c r="T763" s="6"/>
      <c r="U763" s="6"/>
      <c r="V763" s="6"/>
      <c r="W763" s="6"/>
    </row>
    <row r="764" ht="12.0" customHeight="1">
      <c r="A764" s="52"/>
      <c r="B764" s="78"/>
      <c r="C764" s="78"/>
      <c r="D764" s="197" t="s">
        <v>1469</v>
      </c>
      <c r="E764" s="131" t="s">
        <v>1470</v>
      </c>
      <c r="F764" s="33">
        <v>0.0</v>
      </c>
      <c r="G764" s="9"/>
      <c r="H764" s="345">
        <f t="shared" si="383"/>
        <v>1152.5976</v>
      </c>
      <c r="I764" s="9" t="s">
        <v>119</v>
      </c>
      <c r="J764" s="59" t="s">
        <v>1471</v>
      </c>
      <c r="K764" s="310">
        <f t="shared" si="388"/>
        <v>0</v>
      </c>
      <c r="L764" s="301">
        <f t="shared" si="384"/>
        <v>1959.41592</v>
      </c>
      <c r="M764" s="326">
        <v>1512.0</v>
      </c>
      <c r="N764" s="326">
        <v>0.21</v>
      </c>
      <c r="O764" s="326">
        <f t="shared" si="385"/>
        <v>317.52</v>
      </c>
      <c r="P764" s="326">
        <f t="shared" si="386"/>
        <v>1829.52</v>
      </c>
      <c r="Q764" s="326">
        <v>0.37</v>
      </c>
      <c r="R764" s="326">
        <f t="shared" si="387"/>
        <v>676.9224</v>
      </c>
      <c r="S764" s="6"/>
      <c r="T764" s="6"/>
      <c r="U764" s="6"/>
      <c r="V764" s="6"/>
      <c r="W764" s="6"/>
    </row>
    <row r="765" ht="12.0" customHeight="1">
      <c r="A765" s="52"/>
      <c r="B765" s="78"/>
      <c r="C765" s="78"/>
      <c r="D765" s="195" t="s">
        <v>1472</v>
      </c>
      <c r="E765" s="132" t="s">
        <v>1466</v>
      </c>
      <c r="F765" s="50">
        <v>1.0</v>
      </c>
      <c r="G765" s="14"/>
      <c r="H765" s="365">
        <f t="shared" si="383"/>
        <v>2168.7435</v>
      </c>
      <c r="I765" s="14" t="s">
        <v>119</v>
      </c>
      <c r="J765" s="60" t="s">
        <v>1473</v>
      </c>
      <c r="K765" s="312">
        <f t="shared" si="388"/>
        <v>2168.7435</v>
      </c>
      <c r="L765" s="301">
        <f>H765*1.65</f>
        <v>3578.426775</v>
      </c>
      <c r="M765" s="314">
        <v>2845.0</v>
      </c>
      <c r="N765" s="314">
        <v>0.21</v>
      </c>
      <c r="O765" s="314">
        <f t="shared" si="385"/>
        <v>597.45</v>
      </c>
      <c r="P765" s="314">
        <f t="shared" si="386"/>
        <v>3442.45</v>
      </c>
      <c r="Q765" s="314">
        <v>0.37</v>
      </c>
      <c r="R765" s="314">
        <f t="shared" si="387"/>
        <v>1273.7065</v>
      </c>
      <c r="S765" s="6"/>
      <c r="T765" s="6"/>
      <c r="U765" s="6"/>
      <c r="V765" s="6"/>
      <c r="W765" s="6"/>
    </row>
    <row r="766" ht="12.0" customHeight="1">
      <c r="A766" s="14"/>
      <c r="B766" s="67" t="s">
        <v>5</v>
      </c>
      <c r="C766" s="67"/>
      <c r="D766" s="170" t="s">
        <v>1474</v>
      </c>
      <c r="E766" s="171" t="s">
        <v>1475</v>
      </c>
      <c r="F766" s="172"/>
      <c r="G766" s="172"/>
      <c r="H766" s="407"/>
      <c r="I766" s="172"/>
      <c r="J766" s="408"/>
      <c r="K766" s="409"/>
      <c r="L766" s="301"/>
      <c r="M766" s="172"/>
      <c r="N766" s="417"/>
      <c r="O766" s="417"/>
      <c r="P766" s="417"/>
      <c r="Q766" s="172"/>
      <c r="R766" s="172"/>
      <c r="S766" s="6"/>
      <c r="T766" s="6"/>
      <c r="U766" s="6"/>
      <c r="V766" s="6"/>
      <c r="W766" s="6"/>
    </row>
    <row r="767" ht="12.0" customHeight="1">
      <c r="A767" s="14"/>
      <c r="B767" s="67"/>
      <c r="C767" s="67"/>
      <c r="D767" s="50" t="s">
        <v>1476</v>
      </c>
      <c r="E767" s="202" t="s">
        <v>74</v>
      </c>
      <c r="F767" s="14">
        <v>4.0</v>
      </c>
      <c r="G767" s="14"/>
      <c r="H767" s="365">
        <f t="shared" ref="H767:H781" si="389">(P767-R767)</f>
        <v>387.2484</v>
      </c>
      <c r="I767" s="14" t="s">
        <v>119</v>
      </c>
      <c r="J767" s="499" t="s">
        <v>1477</v>
      </c>
      <c r="K767" s="312">
        <f t="shared" ref="K767:K788" si="390">F767*H767</f>
        <v>1548.9936</v>
      </c>
      <c r="L767" s="301">
        <f>H767*1.6</f>
        <v>619.59744</v>
      </c>
      <c r="M767" s="314">
        <v>508.0</v>
      </c>
      <c r="N767" s="314">
        <v>0.21</v>
      </c>
      <c r="O767" s="314">
        <f t="shared" ref="O767:O781" si="391">M767*N767</f>
        <v>106.68</v>
      </c>
      <c r="P767" s="314">
        <f t="shared" ref="P767:P781" si="392">SUM(M767+O767)</f>
        <v>614.68</v>
      </c>
      <c r="Q767" s="314">
        <v>0.37</v>
      </c>
      <c r="R767" s="314">
        <f t="shared" ref="R767:R781" si="393">P767*Q767</f>
        <v>227.4316</v>
      </c>
      <c r="S767" s="6"/>
      <c r="T767" s="6"/>
      <c r="U767" s="6"/>
      <c r="V767" s="6"/>
      <c r="W767" s="6"/>
    </row>
    <row r="768" ht="12.0" customHeight="1">
      <c r="A768" s="14"/>
      <c r="B768" s="67"/>
      <c r="C768" s="67"/>
      <c r="D768" s="33" t="s">
        <v>1478</v>
      </c>
      <c r="E768" s="191" t="s">
        <v>1479</v>
      </c>
      <c r="F768" s="9">
        <v>3.0</v>
      </c>
      <c r="G768" s="9"/>
      <c r="H768" s="345">
        <f t="shared" si="389"/>
        <v>738.6687</v>
      </c>
      <c r="I768" s="9" t="s">
        <v>119</v>
      </c>
      <c r="J768" s="276" t="s">
        <v>1480</v>
      </c>
      <c r="K768" s="310">
        <f t="shared" si="390"/>
        <v>2216.0061</v>
      </c>
      <c r="L768" s="301">
        <f t="shared" ref="L768:L769" si="394">H768*1.55</f>
        <v>1144.936485</v>
      </c>
      <c r="M768" s="326">
        <v>969.0</v>
      </c>
      <c r="N768" s="326">
        <v>0.21</v>
      </c>
      <c r="O768" s="326">
        <f t="shared" si="391"/>
        <v>203.49</v>
      </c>
      <c r="P768" s="326">
        <f t="shared" si="392"/>
        <v>1172.49</v>
      </c>
      <c r="Q768" s="326">
        <v>0.37</v>
      </c>
      <c r="R768" s="326">
        <f t="shared" si="393"/>
        <v>433.8213</v>
      </c>
      <c r="S768" s="6"/>
      <c r="T768" s="6"/>
      <c r="U768" s="6"/>
      <c r="V768" s="6"/>
      <c r="W768" s="6"/>
    </row>
    <row r="769" ht="12.0" customHeight="1">
      <c r="A769" s="14"/>
      <c r="B769" s="67"/>
      <c r="C769" s="67"/>
      <c r="D769" s="50" t="s">
        <v>1481</v>
      </c>
      <c r="E769" s="202" t="s">
        <v>74</v>
      </c>
      <c r="F769" s="14">
        <v>2.0</v>
      </c>
      <c r="G769" s="14"/>
      <c r="H769" s="365">
        <f t="shared" si="389"/>
        <v>730.2834</v>
      </c>
      <c r="I769" s="14" t="s">
        <v>119</v>
      </c>
      <c r="J769" s="499" t="s">
        <v>1482</v>
      </c>
      <c r="K769" s="312">
        <f t="shared" si="390"/>
        <v>1460.5668</v>
      </c>
      <c r="L769" s="301">
        <f t="shared" si="394"/>
        <v>1131.93927</v>
      </c>
      <c r="M769" s="314">
        <v>958.0</v>
      </c>
      <c r="N769" s="314">
        <v>0.21</v>
      </c>
      <c r="O769" s="314">
        <f t="shared" si="391"/>
        <v>201.18</v>
      </c>
      <c r="P769" s="314">
        <f t="shared" si="392"/>
        <v>1159.18</v>
      </c>
      <c r="Q769" s="314">
        <v>0.37</v>
      </c>
      <c r="R769" s="314">
        <f t="shared" si="393"/>
        <v>428.8966</v>
      </c>
      <c r="S769" s="6"/>
      <c r="T769" s="6"/>
      <c r="U769" s="6"/>
      <c r="V769" s="6"/>
      <c r="W769" s="6"/>
    </row>
    <row r="770" ht="12.0" customHeight="1">
      <c r="A770" s="14"/>
      <c r="B770" s="67"/>
      <c r="C770" s="67"/>
      <c r="D770" s="162" t="s">
        <v>1483</v>
      </c>
      <c r="E770" s="191" t="s">
        <v>74</v>
      </c>
      <c r="F770" s="9">
        <v>7.0</v>
      </c>
      <c r="G770" s="9"/>
      <c r="H770" s="345">
        <f t="shared" si="389"/>
        <v>291.1986</v>
      </c>
      <c r="I770" s="9" t="s">
        <v>119</v>
      </c>
      <c r="J770" s="276" t="s">
        <v>1484</v>
      </c>
      <c r="K770" s="310">
        <f t="shared" si="390"/>
        <v>2038.3902</v>
      </c>
      <c r="L770" s="301">
        <f t="shared" ref="L770:L771" si="395">H770*1.65</f>
        <v>480.47769</v>
      </c>
      <c r="M770" s="326">
        <v>382.0</v>
      </c>
      <c r="N770" s="326">
        <v>0.21</v>
      </c>
      <c r="O770" s="326">
        <f t="shared" si="391"/>
        <v>80.22</v>
      </c>
      <c r="P770" s="326">
        <f t="shared" si="392"/>
        <v>462.22</v>
      </c>
      <c r="Q770" s="326">
        <v>0.37</v>
      </c>
      <c r="R770" s="326">
        <f t="shared" si="393"/>
        <v>171.0214</v>
      </c>
      <c r="S770" s="6"/>
      <c r="T770" s="6"/>
      <c r="U770" s="6"/>
      <c r="V770" s="6"/>
      <c r="W770" s="6"/>
    </row>
    <row r="771" ht="12.0" customHeight="1">
      <c r="A771" s="14"/>
      <c r="B771" s="67"/>
      <c r="C771" s="67"/>
      <c r="D771" s="162" t="s">
        <v>1485</v>
      </c>
      <c r="E771" s="191" t="s">
        <v>1479</v>
      </c>
      <c r="F771" s="9">
        <v>2.0</v>
      </c>
      <c r="G771" s="9"/>
      <c r="H771" s="345">
        <f t="shared" si="389"/>
        <v>622.0368</v>
      </c>
      <c r="I771" s="9" t="s">
        <v>119</v>
      </c>
      <c r="J771" s="500" t="s">
        <v>1486</v>
      </c>
      <c r="K771" s="310">
        <f t="shared" si="390"/>
        <v>1244.0736</v>
      </c>
      <c r="L771" s="301">
        <f t="shared" si="395"/>
        <v>1026.36072</v>
      </c>
      <c r="M771" s="326">
        <v>816.0</v>
      </c>
      <c r="N771" s="326">
        <v>0.21</v>
      </c>
      <c r="O771" s="326">
        <f t="shared" si="391"/>
        <v>171.36</v>
      </c>
      <c r="P771" s="326">
        <f t="shared" si="392"/>
        <v>987.36</v>
      </c>
      <c r="Q771" s="326">
        <v>0.37</v>
      </c>
      <c r="R771" s="326">
        <f t="shared" si="393"/>
        <v>365.3232</v>
      </c>
      <c r="S771" s="6"/>
      <c r="T771" s="6"/>
      <c r="U771" s="6"/>
      <c r="V771" s="6"/>
      <c r="W771" s="6"/>
    </row>
    <row r="772" ht="12.0" customHeight="1">
      <c r="A772" s="14"/>
      <c r="B772" s="10"/>
      <c r="C772" s="10"/>
      <c r="D772" s="46" t="s">
        <v>1487</v>
      </c>
      <c r="E772" s="21" t="s">
        <v>1488</v>
      </c>
      <c r="F772" s="14">
        <v>10.0</v>
      </c>
      <c r="G772" s="14"/>
      <c r="H772" s="365">
        <f t="shared" si="389"/>
        <v>100.6236</v>
      </c>
      <c r="I772" s="14" t="s">
        <v>119</v>
      </c>
      <c r="J772" s="60" t="s">
        <v>1489</v>
      </c>
      <c r="K772" s="312">
        <f t="shared" si="390"/>
        <v>1006.236</v>
      </c>
      <c r="L772" s="301">
        <f>H772*1.95</f>
        <v>196.21602</v>
      </c>
      <c r="M772" s="314">
        <v>132.0</v>
      </c>
      <c r="N772" s="314">
        <v>0.21</v>
      </c>
      <c r="O772" s="314">
        <f t="shared" si="391"/>
        <v>27.72</v>
      </c>
      <c r="P772" s="314">
        <f t="shared" si="392"/>
        <v>159.72</v>
      </c>
      <c r="Q772" s="314">
        <v>0.37</v>
      </c>
      <c r="R772" s="314">
        <f t="shared" si="393"/>
        <v>59.0964</v>
      </c>
      <c r="S772" s="6"/>
      <c r="T772" s="6"/>
      <c r="U772" s="6"/>
      <c r="V772" s="6"/>
      <c r="W772" s="6"/>
    </row>
    <row r="773" ht="12.0" customHeight="1">
      <c r="A773" s="14"/>
      <c r="B773" s="10"/>
      <c r="C773" s="10"/>
      <c r="D773" s="33" t="s">
        <v>1487</v>
      </c>
      <c r="E773" s="191" t="s">
        <v>1490</v>
      </c>
      <c r="F773" s="33">
        <v>2.0</v>
      </c>
      <c r="G773" s="9"/>
      <c r="H773" s="345">
        <f t="shared" si="389"/>
        <v>227.1654</v>
      </c>
      <c r="I773" s="9" t="s">
        <v>119</v>
      </c>
      <c r="J773" s="59" t="s">
        <v>1491</v>
      </c>
      <c r="K773" s="310">
        <f t="shared" si="390"/>
        <v>454.3308</v>
      </c>
      <c r="L773" s="301">
        <f>H773*1.85</f>
        <v>420.25599</v>
      </c>
      <c r="M773" s="326">
        <v>298.0</v>
      </c>
      <c r="N773" s="326">
        <v>0.21</v>
      </c>
      <c r="O773" s="326">
        <f t="shared" si="391"/>
        <v>62.58</v>
      </c>
      <c r="P773" s="326">
        <f t="shared" si="392"/>
        <v>360.58</v>
      </c>
      <c r="Q773" s="326">
        <v>0.37</v>
      </c>
      <c r="R773" s="326">
        <f t="shared" si="393"/>
        <v>133.4146</v>
      </c>
      <c r="S773" s="6"/>
      <c r="T773" s="6"/>
      <c r="U773" s="6"/>
      <c r="V773" s="6"/>
      <c r="W773" s="6"/>
    </row>
    <row r="774" ht="12.0" customHeight="1">
      <c r="A774" s="14"/>
      <c r="B774" s="10"/>
      <c r="C774" s="10"/>
      <c r="D774" s="31" t="s">
        <v>1487</v>
      </c>
      <c r="E774" s="191" t="s">
        <v>1492</v>
      </c>
      <c r="F774" s="33">
        <v>2.0</v>
      </c>
      <c r="G774" s="9"/>
      <c r="H774" s="345">
        <f t="shared" si="389"/>
        <v>374.2893</v>
      </c>
      <c r="I774" s="9" t="s">
        <v>119</v>
      </c>
      <c r="J774" s="136" t="s">
        <v>1493</v>
      </c>
      <c r="K774" s="310">
        <f t="shared" si="390"/>
        <v>748.5786</v>
      </c>
      <c r="L774" s="301">
        <f t="shared" ref="L774:L775" si="396">H774*1.75</f>
        <v>655.006275</v>
      </c>
      <c r="M774" s="326">
        <v>491.0</v>
      </c>
      <c r="N774" s="326">
        <v>0.21</v>
      </c>
      <c r="O774" s="326">
        <f t="shared" si="391"/>
        <v>103.11</v>
      </c>
      <c r="P774" s="326">
        <f t="shared" si="392"/>
        <v>594.11</v>
      </c>
      <c r="Q774" s="326">
        <v>0.37</v>
      </c>
      <c r="R774" s="326">
        <f t="shared" si="393"/>
        <v>219.8207</v>
      </c>
      <c r="S774" s="6"/>
      <c r="T774" s="6"/>
      <c r="U774" s="6"/>
      <c r="V774" s="6"/>
      <c r="W774" s="6"/>
    </row>
    <row r="775" ht="12.0" customHeight="1">
      <c r="A775" s="14"/>
      <c r="B775" s="10"/>
      <c r="C775" s="10"/>
      <c r="D775" s="46" t="s">
        <v>1494</v>
      </c>
      <c r="E775" s="47" t="s">
        <v>308</v>
      </c>
      <c r="F775" s="50">
        <v>5.0</v>
      </c>
      <c r="G775" s="50"/>
      <c r="H775" s="365">
        <f t="shared" si="389"/>
        <v>217.2555</v>
      </c>
      <c r="I775" s="50" t="s">
        <v>119</v>
      </c>
      <c r="J775" s="60" t="s">
        <v>1495</v>
      </c>
      <c r="K775" s="312">
        <f t="shared" si="390"/>
        <v>1086.2775</v>
      </c>
      <c r="L775" s="301">
        <f t="shared" si="396"/>
        <v>380.197125</v>
      </c>
      <c r="M775" s="314">
        <v>285.0</v>
      </c>
      <c r="N775" s="314">
        <v>0.21</v>
      </c>
      <c r="O775" s="314">
        <f t="shared" si="391"/>
        <v>59.85</v>
      </c>
      <c r="P775" s="314">
        <f t="shared" si="392"/>
        <v>344.85</v>
      </c>
      <c r="Q775" s="314">
        <v>0.37</v>
      </c>
      <c r="R775" s="314">
        <f t="shared" si="393"/>
        <v>127.5945</v>
      </c>
      <c r="S775" s="6"/>
      <c r="T775" s="6"/>
      <c r="U775" s="6"/>
      <c r="V775" s="6"/>
      <c r="W775" s="6"/>
    </row>
    <row r="776" ht="12.0" customHeight="1">
      <c r="A776" s="14"/>
      <c r="B776" s="10"/>
      <c r="C776" s="10"/>
      <c r="D776" s="31" t="s">
        <v>1496</v>
      </c>
      <c r="E776" s="32" t="s">
        <v>308</v>
      </c>
      <c r="F776" s="33">
        <v>6.0</v>
      </c>
      <c r="G776" s="33"/>
      <c r="H776" s="345">
        <f t="shared" si="389"/>
        <v>121.968</v>
      </c>
      <c r="I776" s="33" t="s">
        <v>119</v>
      </c>
      <c r="J776" s="59" t="s">
        <v>1497</v>
      </c>
      <c r="K776" s="310">
        <f t="shared" si="390"/>
        <v>731.808</v>
      </c>
      <c r="L776" s="301">
        <f t="shared" ref="L776:L777" si="397">H776*1.95</f>
        <v>237.8376</v>
      </c>
      <c r="M776" s="326">
        <v>160.0</v>
      </c>
      <c r="N776" s="326">
        <v>0.21</v>
      </c>
      <c r="O776" s="326">
        <f t="shared" si="391"/>
        <v>33.6</v>
      </c>
      <c r="P776" s="326">
        <f t="shared" si="392"/>
        <v>193.6</v>
      </c>
      <c r="Q776" s="326">
        <v>0.37</v>
      </c>
      <c r="R776" s="326">
        <f t="shared" si="393"/>
        <v>71.632</v>
      </c>
      <c r="S776" s="6" t="s">
        <v>1498</v>
      </c>
      <c r="T776" s="6"/>
      <c r="U776" s="6"/>
      <c r="V776" s="6"/>
      <c r="W776" s="6"/>
    </row>
    <row r="777" ht="12.0" customHeight="1">
      <c r="A777" s="14"/>
      <c r="B777" s="10"/>
      <c r="C777" s="10"/>
      <c r="D777" s="46" t="s">
        <v>1499</v>
      </c>
      <c r="E777" s="47" t="s">
        <v>308</v>
      </c>
      <c r="F777" s="50">
        <v>6.0</v>
      </c>
      <c r="G777" s="50"/>
      <c r="H777" s="365">
        <f t="shared" si="389"/>
        <v>153.9846</v>
      </c>
      <c r="I777" s="50" t="s">
        <v>119</v>
      </c>
      <c r="J777" s="60" t="s">
        <v>1500</v>
      </c>
      <c r="K777" s="312">
        <f t="shared" si="390"/>
        <v>923.9076</v>
      </c>
      <c r="L777" s="301">
        <f t="shared" si="397"/>
        <v>300.26997</v>
      </c>
      <c r="M777" s="314">
        <v>202.0</v>
      </c>
      <c r="N777" s="314">
        <v>0.21</v>
      </c>
      <c r="O777" s="314">
        <f t="shared" si="391"/>
        <v>42.42</v>
      </c>
      <c r="P777" s="314">
        <f t="shared" si="392"/>
        <v>244.42</v>
      </c>
      <c r="Q777" s="314">
        <v>0.37</v>
      </c>
      <c r="R777" s="314">
        <f t="shared" si="393"/>
        <v>90.4354</v>
      </c>
      <c r="S777" s="6"/>
      <c r="T777" s="6"/>
      <c r="U777" s="6"/>
      <c r="V777" s="6"/>
      <c r="W777" s="6"/>
    </row>
    <row r="778" ht="12.0" customHeight="1">
      <c r="A778" s="14"/>
      <c r="B778" s="10"/>
      <c r="C778" s="10"/>
      <c r="D778" s="31" t="s">
        <v>1501</v>
      </c>
      <c r="E778" s="32" t="s">
        <v>308</v>
      </c>
      <c r="F778" s="33">
        <v>8.0</v>
      </c>
      <c r="G778" s="33"/>
      <c r="H778" s="345">
        <f t="shared" si="389"/>
        <v>228.69</v>
      </c>
      <c r="I778" s="38" t="s">
        <v>119</v>
      </c>
      <c r="J778" s="59" t="s">
        <v>1502</v>
      </c>
      <c r="K778" s="310">
        <f t="shared" si="390"/>
        <v>1829.52</v>
      </c>
      <c r="L778" s="301">
        <f t="shared" ref="L778:L781" si="398">H778*1.75</f>
        <v>400.2075</v>
      </c>
      <c r="M778" s="326">
        <v>300.0</v>
      </c>
      <c r="N778" s="326">
        <v>0.21</v>
      </c>
      <c r="O778" s="326">
        <f t="shared" si="391"/>
        <v>63</v>
      </c>
      <c r="P778" s="326">
        <f t="shared" si="392"/>
        <v>363</v>
      </c>
      <c r="Q778" s="326">
        <v>0.37</v>
      </c>
      <c r="R778" s="326">
        <f t="shared" si="393"/>
        <v>134.31</v>
      </c>
      <c r="S778" s="6"/>
      <c r="T778" s="6"/>
      <c r="U778" s="6"/>
      <c r="V778" s="6"/>
      <c r="W778" s="6"/>
    </row>
    <row r="779" ht="12.0" customHeight="1">
      <c r="A779" s="14"/>
      <c r="B779" s="10"/>
      <c r="C779" s="10"/>
      <c r="D779" s="31" t="s">
        <v>1503</v>
      </c>
      <c r="E779" s="32" t="s">
        <v>308</v>
      </c>
      <c r="F779" s="33">
        <v>3.0</v>
      </c>
      <c r="G779" s="33"/>
      <c r="H779" s="345">
        <f t="shared" si="389"/>
        <v>300.3462</v>
      </c>
      <c r="I779" s="38" t="s">
        <v>119</v>
      </c>
      <c r="J779" s="59" t="s">
        <v>1504</v>
      </c>
      <c r="K779" s="310">
        <f t="shared" si="390"/>
        <v>901.0386</v>
      </c>
      <c r="L779" s="301">
        <f t="shared" si="398"/>
        <v>525.60585</v>
      </c>
      <c r="M779" s="326">
        <v>394.0</v>
      </c>
      <c r="N779" s="326">
        <v>0.21</v>
      </c>
      <c r="O779" s="326">
        <f t="shared" si="391"/>
        <v>82.74</v>
      </c>
      <c r="P779" s="326">
        <f t="shared" si="392"/>
        <v>476.74</v>
      </c>
      <c r="Q779" s="326">
        <v>0.37</v>
      </c>
      <c r="R779" s="326">
        <f t="shared" si="393"/>
        <v>176.3938</v>
      </c>
      <c r="S779" s="6"/>
      <c r="T779" s="6"/>
      <c r="U779" s="6"/>
      <c r="V779" s="6"/>
      <c r="W779" s="6"/>
    </row>
    <row r="780" ht="12.0" customHeight="1">
      <c r="A780" s="14"/>
      <c r="B780" s="10"/>
      <c r="C780" s="10"/>
      <c r="D780" s="46" t="s">
        <v>1505</v>
      </c>
      <c r="E780" s="21" t="s">
        <v>308</v>
      </c>
      <c r="F780" s="50">
        <v>10.0</v>
      </c>
      <c r="G780" s="14"/>
      <c r="H780" s="365">
        <f t="shared" si="389"/>
        <v>230.2146</v>
      </c>
      <c r="I780" s="23" t="s">
        <v>119</v>
      </c>
      <c r="J780" s="51" t="s">
        <v>1506</v>
      </c>
      <c r="K780" s="312">
        <f t="shared" si="390"/>
        <v>2302.146</v>
      </c>
      <c r="L780" s="301">
        <f t="shared" si="398"/>
        <v>402.87555</v>
      </c>
      <c r="M780" s="314">
        <v>302.0</v>
      </c>
      <c r="N780" s="314">
        <v>0.21</v>
      </c>
      <c r="O780" s="314">
        <f t="shared" si="391"/>
        <v>63.42</v>
      </c>
      <c r="P780" s="314">
        <f t="shared" si="392"/>
        <v>365.42</v>
      </c>
      <c r="Q780" s="314">
        <v>0.37</v>
      </c>
      <c r="R780" s="314">
        <f t="shared" si="393"/>
        <v>135.2054</v>
      </c>
      <c r="S780" s="6"/>
      <c r="T780" s="6"/>
      <c r="U780" s="6"/>
      <c r="V780" s="6"/>
      <c r="W780" s="6"/>
    </row>
    <row r="781" ht="12.0" customHeight="1">
      <c r="A781" s="14"/>
      <c r="B781" s="10"/>
      <c r="C781" s="10"/>
      <c r="D781" s="33" t="s">
        <v>1507</v>
      </c>
      <c r="E781" s="33" t="s">
        <v>308</v>
      </c>
      <c r="F781" s="33">
        <v>5.0</v>
      </c>
      <c r="G781" s="33"/>
      <c r="H781" s="345">
        <f t="shared" si="389"/>
        <v>311.7807</v>
      </c>
      <c r="I781" s="33" t="s">
        <v>119</v>
      </c>
      <c r="J781" s="59" t="s">
        <v>1508</v>
      </c>
      <c r="K781" s="310">
        <f t="shared" si="390"/>
        <v>1558.9035</v>
      </c>
      <c r="L781" s="301">
        <f t="shared" si="398"/>
        <v>545.616225</v>
      </c>
      <c r="M781" s="326">
        <v>409.0</v>
      </c>
      <c r="N781" s="326">
        <v>0.21</v>
      </c>
      <c r="O781" s="326">
        <f t="shared" si="391"/>
        <v>85.89</v>
      </c>
      <c r="P781" s="326">
        <f t="shared" si="392"/>
        <v>494.89</v>
      </c>
      <c r="Q781" s="326">
        <v>0.37</v>
      </c>
      <c r="R781" s="326">
        <f t="shared" si="393"/>
        <v>183.1093</v>
      </c>
      <c r="S781" s="6"/>
      <c r="T781" s="6"/>
      <c r="U781" s="6"/>
      <c r="V781" s="6"/>
      <c r="W781" s="6"/>
    </row>
    <row r="782" ht="12.0" customHeight="1">
      <c r="A782" s="14"/>
      <c r="B782" s="10"/>
      <c r="C782" s="10"/>
      <c r="D782" s="46" t="s">
        <v>1509</v>
      </c>
      <c r="E782" s="21" t="s">
        <v>833</v>
      </c>
      <c r="F782" s="50">
        <v>4.0</v>
      </c>
      <c r="G782" s="14"/>
      <c r="H782" s="365">
        <v>169.0</v>
      </c>
      <c r="I782" s="23" t="s">
        <v>576</v>
      </c>
      <c r="J782" s="51" t="s">
        <v>1510</v>
      </c>
      <c r="K782" s="312">
        <f t="shared" si="390"/>
        <v>676</v>
      </c>
      <c r="L782" s="301">
        <f>H782*1.95</f>
        <v>329.55</v>
      </c>
      <c r="M782" s="314"/>
      <c r="N782" s="314"/>
      <c r="O782" s="314"/>
      <c r="P782" s="314"/>
      <c r="Q782" s="314"/>
      <c r="R782" s="314"/>
      <c r="S782" s="6"/>
      <c r="T782" s="6"/>
      <c r="U782" s="6"/>
      <c r="V782" s="6"/>
      <c r="W782" s="6"/>
    </row>
    <row r="783" ht="12.0" customHeight="1">
      <c r="A783" s="14"/>
      <c r="B783" s="10"/>
      <c r="C783" s="10"/>
      <c r="D783" s="33" t="s">
        <v>1511</v>
      </c>
      <c r="E783" s="17" t="s">
        <v>833</v>
      </c>
      <c r="F783" s="33">
        <v>4.0</v>
      </c>
      <c r="G783" s="9"/>
      <c r="H783" s="345">
        <v>290.0</v>
      </c>
      <c r="I783" s="20" t="s">
        <v>576</v>
      </c>
      <c r="J783" s="18" t="s">
        <v>1512</v>
      </c>
      <c r="K783" s="310">
        <f t="shared" si="390"/>
        <v>1160</v>
      </c>
      <c r="L783" s="301">
        <f>H783*1.75</f>
        <v>507.5</v>
      </c>
      <c r="M783" s="326"/>
      <c r="N783" s="326"/>
      <c r="O783" s="326"/>
      <c r="P783" s="326"/>
      <c r="Q783" s="326"/>
      <c r="R783" s="326"/>
      <c r="S783" s="6"/>
      <c r="T783" s="6"/>
      <c r="U783" s="6"/>
      <c r="V783" s="6"/>
      <c r="W783" s="6"/>
    </row>
    <row r="784" ht="12.0" customHeight="1">
      <c r="A784" s="52"/>
      <c r="B784" s="10"/>
      <c r="C784" s="10"/>
      <c r="D784" s="46" t="s">
        <v>1513</v>
      </c>
      <c r="E784" s="202" t="s">
        <v>308</v>
      </c>
      <c r="F784" s="50">
        <v>4.0</v>
      </c>
      <c r="G784" s="50"/>
      <c r="H784" s="365">
        <f t="shared" ref="H784:H786" si="399">(P784-R784)</f>
        <v>937.629</v>
      </c>
      <c r="I784" s="50" t="s">
        <v>119</v>
      </c>
      <c r="J784" s="48" t="s">
        <v>1514</v>
      </c>
      <c r="K784" s="312">
        <f t="shared" si="390"/>
        <v>3750.516</v>
      </c>
      <c r="L784" s="301">
        <f>H784*1.66</f>
        <v>1556.46414</v>
      </c>
      <c r="M784" s="314">
        <v>1230.0</v>
      </c>
      <c r="N784" s="314">
        <v>0.21</v>
      </c>
      <c r="O784" s="314">
        <f t="shared" ref="O784:O786" si="400">M784*N784</f>
        <v>258.3</v>
      </c>
      <c r="P784" s="314">
        <f t="shared" ref="P784:P786" si="401">SUM(M784+O784)</f>
        <v>1488.3</v>
      </c>
      <c r="Q784" s="314">
        <v>0.37</v>
      </c>
      <c r="R784" s="314">
        <f t="shared" ref="R784:R786" si="402">P784*Q784</f>
        <v>550.671</v>
      </c>
      <c r="S784" s="6"/>
      <c r="T784" s="6"/>
      <c r="U784" s="6"/>
      <c r="V784" s="6"/>
      <c r="W784" s="6"/>
    </row>
    <row r="785" ht="12.0" customHeight="1">
      <c r="A785" s="14"/>
      <c r="B785" s="10"/>
      <c r="C785" s="10"/>
      <c r="D785" s="197" t="s">
        <v>1487</v>
      </c>
      <c r="E785" s="131" t="s">
        <v>1515</v>
      </c>
      <c r="F785" s="33">
        <v>10.0</v>
      </c>
      <c r="G785" s="9"/>
      <c r="H785" s="345">
        <f t="shared" si="399"/>
        <v>125.7795</v>
      </c>
      <c r="I785" s="20" t="s">
        <v>119</v>
      </c>
      <c r="J785" s="24" t="s">
        <v>1516</v>
      </c>
      <c r="K785" s="310">
        <f t="shared" si="390"/>
        <v>1257.795</v>
      </c>
      <c r="L785" s="301">
        <f>H785*1.95</f>
        <v>245.270025</v>
      </c>
      <c r="M785" s="326">
        <v>165.0</v>
      </c>
      <c r="N785" s="326">
        <v>0.21</v>
      </c>
      <c r="O785" s="326">
        <f t="shared" si="400"/>
        <v>34.65</v>
      </c>
      <c r="P785" s="326">
        <f t="shared" si="401"/>
        <v>199.65</v>
      </c>
      <c r="Q785" s="326">
        <v>0.37</v>
      </c>
      <c r="R785" s="326">
        <f t="shared" si="402"/>
        <v>73.8705</v>
      </c>
      <c r="S785" s="6"/>
      <c r="T785" s="6"/>
      <c r="U785" s="6"/>
      <c r="V785" s="6"/>
      <c r="W785" s="6"/>
    </row>
    <row r="786" ht="12.0" customHeight="1">
      <c r="A786" s="14"/>
      <c r="B786" s="10"/>
      <c r="C786" s="10"/>
      <c r="D786" s="197" t="s">
        <v>1507</v>
      </c>
      <c r="E786" s="131" t="s">
        <v>309</v>
      </c>
      <c r="F786" s="33">
        <v>2.0</v>
      </c>
      <c r="G786" s="9"/>
      <c r="H786" s="345">
        <f t="shared" si="399"/>
        <v>420.0273</v>
      </c>
      <c r="I786" s="20" t="s">
        <v>119</v>
      </c>
      <c r="J786" s="24" t="s">
        <v>1517</v>
      </c>
      <c r="K786" s="310">
        <f t="shared" si="390"/>
        <v>840.0546</v>
      </c>
      <c r="L786" s="301">
        <f t="shared" ref="L786:L787" si="403">H786*1.75</f>
        <v>735.047775</v>
      </c>
      <c r="M786" s="326">
        <v>551.0</v>
      </c>
      <c r="N786" s="326">
        <v>0.21</v>
      </c>
      <c r="O786" s="326">
        <f t="shared" si="400"/>
        <v>115.71</v>
      </c>
      <c r="P786" s="326">
        <f t="shared" si="401"/>
        <v>666.71</v>
      </c>
      <c r="Q786" s="326">
        <v>0.37</v>
      </c>
      <c r="R786" s="326">
        <f t="shared" si="402"/>
        <v>246.6827</v>
      </c>
      <c r="S786" s="350" t="s">
        <v>1518</v>
      </c>
      <c r="T786" s="6"/>
      <c r="U786" s="6"/>
      <c r="V786" s="6"/>
      <c r="W786" s="6"/>
    </row>
    <row r="787" ht="12.0" customHeight="1">
      <c r="A787" s="14"/>
      <c r="B787" s="10"/>
      <c r="C787" s="10"/>
      <c r="D787" s="197" t="s">
        <v>1519</v>
      </c>
      <c r="E787" s="131" t="s">
        <v>309</v>
      </c>
      <c r="F787" s="33">
        <v>4.0</v>
      </c>
      <c r="G787" s="9"/>
      <c r="H787" s="345">
        <v>204.0</v>
      </c>
      <c r="I787" s="20" t="s">
        <v>576</v>
      </c>
      <c r="J787" s="24" t="s">
        <v>1520</v>
      </c>
      <c r="K787" s="310">
        <f t="shared" si="390"/>
        <v>816</v>
      </c>
      <c r="L787" s="301">
        <f t="shared" si="403"/>
        <v>357</v>
      </c>
      <c r="M787" s="326"/>
      <c r="N787" s="326"/>
      <c r="O787" s="326"/>
      <c r="P787" s="326"/>
      <c r="Q787" s="326"/>
      <c r="R787" s="326"/>
      <c r="S787" s="6"/>
      <c r="T787" s="6"/>
      <c r="U787" s="6"/>
      <c r="V787" s="6"/>
      <c r="W787" s="6"/>
    </row>
    <row r="788" ht="12.0" customHeight="1">
      <c r="A788" s="14"/>
      <c r="B788" s="10"/>
      <c r="C788" s="10"/>
      <c r="D788" s="197" t="s">
        <v>1505</v>
      </c>
      <c r="E788" s="131" t="s">
        <v>309</v>
      </c>
      <c r="F788" s="33">
        <v>4.0</v>
      </c>
      <c r="G788" s="9"/>
      <c r="H788" s="345">
        <v>283.0</v>
      </c>
      <c r="I788" s="20" t="s">
        <v>576</v>
      </c>
      <c r="J788" s="24" t="s">
        <v>1521</v>
      </c>
      <c r="K788" s="310">
        <f t="shared" si="390"/>
        <v>1132</v>
      </c>
      <c r="L788" s="301">
        <f>H788*1.7</f>
        <v>481.1</v>
      </c>
      <c r="M788" s="326"/>
      <c r="N788" s="326"/>
      <c r="O788" s="326"/>
      <c r="P788" s="326"/>
      <c r="Q788" s="326"/>
      <c r="R788" s="326"/>
      <c r="S788" s="6"/>
      <c r="T788" s="6"/>
      <c r="U788" s="6"/>
      <c r="V788" s="6"/>
      <c r="W788" s="6"/>
    </row>
    <row r="789" ht="12.0" customHeight="1">
      <c r="A789" s="52"/>
      <c r="B789" s="501"/>
      <c r="C789" s="501"/>
      <c r="D789" s="46" t="s">
        <v>1522</v>
      </c>
      <c r="E789" s="47" t="s">
        <v>308</v>
      </c>
      <c r="F789" s="50">
        <v>3.0</v>
      </c>
      <c r="G789" s="50" t="s">
        <v>1523</v>
      </c>
      <c r="H789" s="365">
        <f t="shared" ref="H789:H791" si="404">(P789-R789)</f>
        <v>3183.3648</v>
      </c>
      <c r="I789" s="50" t="s">
        <v>119</v>
      </c>
      <c r="J789" s="60" t="s">
        <v>1524</v>
      </c>
      <c r="K789" s="308">
        <f t="shared" ref="K789:K791" si="405">H789*F789</f>
        <v>9550.0944</v>
      </c>
      <c r="L789" s="301">
        <f t="shared" ref="L789:L790" si="406">H789*1.63</f>
        <v>5188.884624</v>
      </c>
      <c r="M789" s="314">
        <v>4176.0</v>
      </c>
      <c r="N789" s="314">
        <v>0.21</v>
      </c>
      <c r="O789" s="314">
        <f t="shared" ref="O789:O791" si="407">M789*N789</f>
        <v>876.96</v>
      </c>
      <c r="P789" s="314">
        <f t="shared" ref="P789:P791" si="408">SUM(M789+O789)</f>
        <v>5052.96</v>
      </c>
      <c r="Q789" s="314">
        <v>0.37</v>
      </c>
      <c r="R789" s="314">
        <f t="shared" ref="R789:R791" si="409">P789*Q789</f>
        <v>1869.5952</v>
      </c>
      <c r="S789" s="6"/>
      <c r="T789" s="6"/>
      <c r="U789" s="6"/>
      <c r="V789" s="6"/>
      <c r="W789" s="6"/>
    </row>
    <row r="790" ht="12.0" customHeight="1">
      <c r="A790" s="52"/>
      <c r="B790" s="501"/>
      <c r="C790" s="501"/>
      <c r="D790" s="31" t="s">
        <v>1522</v>
      </c>
      <c r="E790" s="32" t="s">
        <v>309</v>
      </c>
      <c r="F790" s="33">
        <v>1.0</v>
      </c>
      <c r="G790" s="33" t="s">
        <v>1523</v>
      </c>
      <c r="H790" s="345">
        <f t="shared" si="404"/>
        <v>3867.1479</v>
      </c>
      <c r="I790" s="33" t="s">
        <v>119</v>
      </c>
      <c r="J790" s="59" t="s">
        <v>1525</v>
      </c>
      <c r="K790" s="306">
        <f t="shared" si="405"/>
        <v>3867.1479</v>
      </c>
      <c r="L790" s="301">
        <f t="shared" si="406"/>
        <v>6303.451077</v>
      </c>
      <c r="M790" s="326">
        <v>5073.0</v>
      </c>
      <c r="N790" s="326">
        <v>0.21</v>
      </c>
      <c r="O790" s="326">
        <f t="shared" si="407"/>
        <v>1065.33</v>
      </c>
      <c r="P790" s="326">
        <f t="shared" si="408"/>
        <v>6138.33</v>
      </c>
      <c r="Q790" s="326">
        <v>0.37</v>
      </c>
      <c r="R790" s="326">
        <f t="shared" si="409"/>
        <v>2271.1821</v>
      </c>
      <c r="S790" s="6"/>
      <c r="T790" s="6"/>
      <c r="U790" s="6"/>
      <c r="V790" s="6"/>
      <c r="W790" s="6"/>
    </row>
    <row r="791" ht="12.0" customHeight="1">
      <c r="A791" s="14"/>
      <c r="B791" s="15"/>
      <c r="C791" s="15"/>
      <c r="D791" s="46" t="s">
        <v>1526</v>
      </c>
      <c r="E791" s="47"/>
      <c r="F791" s="50">
        <v>3.0</v>
      </c>
      <c r="G791" s="50" t="s">
        <v>1523</v>
      </c>
      <c r="H791" s="365">
        <f t="shared" si="404"/>
        <v>620.5122</v>
      </c>
      <c r="I791" s="50" t="s">
        <v>119</v>
      </c>
      <c r="J791" s="60" t="s">
        <v>1527</v>
      </c>
      <c r="K791" s="308">
        <f t="shared" si="405"/>
        <v>1861.5366</v>
      </c>
      <c r="L791" s="301">
        <f>H791*1.7</f>
        <v>1054.87074</v>
      </c>
      <c r="M791" s="314">
        <v>814.0</v>
      </c>
      <c r="N791" s="314">
        <v>0.21</v>
      </c>
      <c r="O791" s="314">
        <f t="shared" si="407"/>
        <v>170.94</v>
      </c>
      <c r="P791" s="314">
        <f t="shared" si="408"/>
        <v>984.94</v>
      </c>
      <c r="Q791" s="314">
        <v>0.37</v>
      </c>
      <c r="R791" s="314">
        <f t="shared" si="409"/>
        <v>364.4278</v>
      </c>
      <c r="S791" s="6"/>
      <c r="T791" s="6"/>
      <c r="U791" s="6"/>
      <c r="V791" s="6"/>
      <c r="W791" s="6"/>
    </row>
    <row r="792" ht="12.0" customHeight="1">
      <c r="A792" s="6"/>
      <c r="B792" s="6"/>
      <c r="C792" s="6"/>
      <c r="D792" s="6"/>
      <c r="E792" s="502"/>
      <c r="F792" s="6"/>
      <c r="G792" s="6"/>
      <c r="H792" s="503"/>
      <c r="I792" s="6"/>
      <c r="J792" s="254"/>
      <c r="K792" s="504"/>
      <c r="L792" s="505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ht="12.0" customHeight="1">
      <c r="A793" s="6"/>
      <c r="B793" s="6"/>
      <c r="C793" s="6"/>
      <c r="D793" s="6"/>
      <c r="E793" s="502"/>
      <c r="F793" s="6"/>
      <c r="G793" s="6"/>
      <c r="H793" s="503"/>
      <c r="I793" s="6"/>
      <c r="J793" s="254"/>
      <c r="K793" s="504"/>
      <c r="L793" s="505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ht="12.0" customHeight="1">
      <c r="A794" s="6"/>
      <c r="B794" s="6"/>
      <c r="C794" s="6"/>
      <c r="D794" s="6"/>
      <c r="E794" s="502"/>
      <c r="F794" s="6"/>
      <c r="G794" s="6"/>
      <c r="H794" s="503"/>
      <c r="I794" s="6"/>
      <c r="J794" s="254"/>
      <c r="K794" s="504"/>
      <c r="L794" s="505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ht="12.0" customHeight="1">
      <c r="A795" s="6"/>
      <c r="B795" s="6"/>
      <c r="C795" s="6"/>
      <c r="D795" s="6"/>
      <c r="E795" s="502"/>
      <c r="F795" s="6"/>
      <c r="G795" s="6"/>
      <c r="H795" s="503"/>
      <c r="I795" s="6"/>
      <c r="J795" s="254"/>
      <c r="K795" s="504"/>
      <c r="L795" s="505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ht="12.0" customHeight="1">
      <c r="A796" s="6"/>
      <c r="B796" s="6"/>
      <c r="C796" s="6"/>
      <c r="D796" s="6"/>
      <c r="E796" s="502"/>
      <c r="F796" s="6"/>
      <c r="G796" s="6"/>
      <c r="H796" s="503"/>
      <c r="I796" s="6"/>
      <c r="J796" s="254"/>
      <c r="K796" s="504"/>
      <c r="L796" s="505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ht="12.0" customHeight="1">
      <c r="A797" s="6"/>
      <c r="B797" s="6"/>
      <c r="C797" s="6"/>
      <c r="D797" s="6"/>
      <c r="E797" s="502"/>
      <c r="F797" s="6"/>
      <c r="G797" s="6"/>
      <c r="H797" s="503"/>
      <c r="I797" s="6"/>
      <c r="J797" s="254"/>
      <c r="K797" s="504"/>
      <c r="L797" s="505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ht="12.0" customHeight="1">
      <c r="A798" s="6"/>
      <c r="B798" s="6"/>
      <c r="C798" s="6"/>
      <c r="D798" s="6"/>
      <c r="E798" s="502"/>
      <c r="F798" s="6"/>
      <c r="G798" s="6"/>
      <c r="H798" s="503"/>
      <c r="I798" s="6"/>
      <c r="J798" s="254"/>
      <c r="K798" s="504"/>
      <c r="L798" s="505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ht="12.0" customHeight="1">
      <c r="A799" s="6"/>
      <c r="B799" s="6"/>
      <c r="C799" s="6"/>
      <c r="D799" s="6"/>
      <c r="E799" s="502"/>
      <c r="F799" s="6"/>
      <c r="G799" s="6"/>
      <c r="H799" s="503"/>
      <c r="I799" s="6"/>
      <c r="J799" s="254"/>
      <c r="K799" s="504"/>
      <c r="L799" s="505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ht="12.0" customHeight="1">
      <c r="A800" s="6"/>
      <c r="B800" s="6"/>
      <c r="C800" s="6"/>
      <c r="D800" s="6"/>
      <c r="E800" s="502"/>
      <c r="F800" s="6"/>
      <c r="G800" s="6"/>
      <c r="H800" s="503"/>
      <c r="I800" s="6"/>
      <c r="J800" s="254"/>
      <c r="K800" s="504"/>
      <c r="L800" s="505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ht="12.0" customHeight="1">
      <c r="A801" s="6"/>
      <c r="B801" s="6"/>
      <c r="C801" s="6"/>
      <c r="D801" s="6"/>
      <c r="E801" s="502"/>
      <c r="F801" s="6"/>
      <c r="G801" s="6"/>
      <c r="H801" s="503"/>
      <c r="I801" s="6"/>
      <c r="J801" s="254"/>
      <c r="K801" s="504"/>
      <c r="L801" s="505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ht="12.0" customHeight="1">
      <c r="A802" s="6"/>
      <c r="B802" s="6"/>
      <c r="C802" s="6"/>
      <c r="D802" s="6"/>
      <c r="E802" s="502"/>
      <c r="F802" s="6"/>
      <c r="G802" s="6"/>
      <c r="H802" s="503"/>
      <c r="I802" s="6"/>
      <c r="J802" s="254"/>
      <c r="K802" s="504"/>
      <c r="L802" s="505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ht="12.0" customHeight="1">
      <c r="A803" s="6"/>
      <c r="B803" s="6"/>
      <c r="C803" s="6"/>
      <c r="D803" s="6"/>
      <c r="E803" s="502"/>
      <c r="F803" s="6"/>
      <c r="G803" s="6"/>
      <c r="H803" s="503"/>
      <c r="I803" s="6"/>
      <c r="J803" s="254"/>
      <c r="K803" s="504"/>
      <c r="L803" s="505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ht="12.0" customHeight="1">
      <c r="A804" s="6"/>
      <c r="B804" s="6"/>
      <c r="C804" s="6"/>
      <c r="D804" s="6"/>
      <c r="E804" s="502"/>
      <c r="F804" s="6"/>
      <c r="G804" s="6"/>
      <c r="H804" s="503"/>
      <c r="I804" s="6"/>
      <c r="J804" s="254"/>
      <c r="K804" s="504"/>
      <c r="L804" s="505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ht="12.0" customHeight="1">
      <c r="A805" s="6"/>
      <c r="B805" s="6"/>
      <c r="C805" s="6"/>
      <c r="D805" s="6"/>
      <c r="E805" s="502"/>
      <c r="F805" s="6"/>
      <c r="G805" s="6"/>
      <c r="H805" s="503"/>
      <c r="I805" s="6"/>
      <c r="J805" s="254"/>
      <c r="K805" s="504"/>
      <c r="L805" s="505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ht="12.0" customHeight="1">
      <c r="A806" s="6"/>
      <c r="B806" s="6"/>
      <c r="C806" s="6"/>
      <c r="D806" s="6"/>
      <c r="E806" s="502"/>
      <c r="F806" s="6"/>
      <c r="G806" s="6"/>
      <c r="H806" s="503"/>
      <c r="I806" s="6"/>
      <c r="J806" s="254"/>
      <c r="K806" s="504"/>
      <c r="L806" s="505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ht="12.0" customHeight="1">
      <c r="A807" s="6"/>
      <c r="B807" s="6"/>
      <c r="C807" s="6"/>
      <c r="D807" s="6"/>
      <c r="E807" s="502"/>
      <c r="F807" s="6"/>
      <c r="G807" s="6"/>
      <c r="H807" s="503"/>
      <c r="I807" s="6"/>
      <c r="J807" s="254"/>
      <c r="K807" s="504"/>
      <c r="L807" s="505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ht="12.0" customHeight="1">
      <c r="A808" s="6"/>
      <c r="B808" s="6"/>
      <c r="C808" s="6"/>
      <c r="D808" s="6"/>
      <c r="E808" s="502"/>
      <c r="F808" s="6"/>
      <c r="G808" s="6"/>
      <c r="H808" s="503"/>
      <c r="I808" s="6"/>
      <c r="J808" s="254"/>
      <c r="K808" s="504"/>
      <c r="L808" s="505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ht="12.0" customHeight="1">
      <c r="A809" s="6"/>
      <c r="B809" s="6"/>
      <c r="C809" s="6"/>
      <c r="D809" s="6"/>
      <c r="E809" s="502"/>
      <c r="F809" s="6"/>
      <c r="G809" s="6"/>
      <c r="H809" s="503"/>
      <c r="I809" s="6"/>
      <c r="J809" s="254"/>
      <c r="K809" s="504"/>
      <c r="L809" s="505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ht="12.0" customHeight="1">
      <c r="A810" s="6"/>
      <c r="B810" s="6"/>
      <c r="C810" s="6"/>
      <c r="D810" s="6"/>
      <c r="E810" s="502"/>
      <c r="F810" s="6"/>
      <c r="G810" s="6"/>
      <c r="H810" s="503"/>
      <c r="I810" s="6"/>
      <c r="J810" s="254"/>
      <c r="K810" s="504"/>
      <c r="L810" s="505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ht="12.0" customHeight="1">
      <c r="A811" s="6"/>
      <c r="B811" s="6"/>
      <c r="C811" s="6"/>
      <c r="D811" s="6"/>
      <c r="E811" s="502"/>
      <c r="F811" s="6"/>
      <c r="G811" s="6"/>
      <c r="H811" s="503"/>
      <c r="I811" s="6"/>
      <c r="J811" s="254"/>
      <c r="K811" s="504"/>
      <c r="L811" s="505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ht="12.0" customHeight="1">
      <c r="A812" s="6"/>
      <c r="B812" s="6"/>
      <c r="C812" s="6"/>
      <c r="D812" s="6"/>
      <c r="E812" s="502"/>
      <c r="F812" s="6"/>
      <c r="G812" s="6"/>
      <c r="H812" s="503"/>
      <c r="I812" s="6"/>
      <c r="J812" s="254"/>
      <c r="K812" s="504"/>
      <c r="L812" s="505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ht="12.0" customHeight="1">
      <c r="A813" s="6"/>
      <c r="B813" s="6"/>
      <c r="C813" s="6"/>
      <c r="D813" s="6"/>
      <c r="E813" s="502"/>
      <c r="F813" s="6"/>
      <c r="G813" s="6"/>
      <c r="H813" s="503"/>
      <c r="I813" s="6"/>
      <c r="J813" s="254"/>
      <c r="K813" s="504"/>
      <c r="L813" s="505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ht="12.0" customHeight="1">
      <c r="A814" s="6"/>
      <c r="B814" s="6"/>
      <c r="C814" s="6"/>
      <c r="D814" s="6"/>
      <c r="E814" s="502"/>
      <c r="F814" s="6"/>
      <c r="G814" s="6"/>
      <c r="H814" s="503"/>
      <c r="I814" s="6"/>
      <c r="J814" s="254"/>
      <c r="K814" s="504"/>
      <c r="L814" s="505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ht="12.0" customHeight="1">
      <c r="A815" s="6"/>
      <c r="B815" s="6"/>
      <c r="C815" s="6"/>
      <c r="D815" s="6"/>
      <c r="E815" s="502"/>
      <c r="F815" s="6"/>
      <c r="G815" s="6"/>
      <c r="H815" s="503"/>
      <c r="I815" s="6"/>
      <c r="J815" s="254"/>
      <c r="K815" s="504"/>
      <c r="L815" s="505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ht="12.0" customHeight="1">
      <c r="A816" s="6"/>
      <c r="B816" s="6"/>
      <c r="C816" s="6"/>
      <c r="D816" s="6"/>
      <c r="E816" s="502"/>
      <c r="F816" s="6"/>
      <c r="G816" s="6"/>
      <c r="H816" s="503"/>
      <c r="I816" s="6"/>
      <c r="J816" s="254"/>
      <c r="K816" s="504"/>
      <c r="L816" s="505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ht="12.0" customHeight="1">
      <c r="A817" s="6"/>
      <c r="B817" s="6"/>
      <c r="C817" s="6"/>
      <c r="D817" s="6"/>
      <c r="E817" s="502"/>
      <c r="F817" s="6"/>
      <c r="G817" s="6"/>
      <c r="H817" s="503"/>
      <c r="I817" s="6"/>
      <c r="J817" s="254"/>
      <c r="K817" s="504"/>
      <c r="L817" s="505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ht="12.0" customHeight="1">
      <c r="A818" s="6"/>
      <c r="B818" s="6"/>
      <c r="C818" s="6"/>
      <c r="D818" s="6"/>
      <c r="E818" s="502"/>
      <c r="F818" s="6"/>
      <c r="G818" s="6"/>
      <c r="H818" s="503"/>
      <c r="I818" s="6"/>
      <c r="J818" s="254"/>
      <c r="K818" s="504"/>
      <c r="L818" s="505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ht="12.0" customHeight="1">
      <c r="A819" s="6"/>
      <c r="B819" s="6"/>
      <c r="C819" s="6"/>
      <c r="D819" s="6"/>
      <c r="E819" s="502"/>
      <c r="F819" s="6"/>
      <c r="G819" s="6"/>
      <c r="H819" s="503"/>
      <c r="I819" s="6"/>
      <c r="J819" s="254"/>
      <c r="K819" s="504"/>
      <c r="L819" s="505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ht="12.0" customHeight="1">
      <c r="A820" s="6"/>
      <c r="B820" s="6"/>
      <c r="C820" s="6"/>
      <c r="D820" s="6"/>
      <c r="E820" s="502"/>
      <c r="F820" s="6"/>
      <c r="G820" s="6"/>
      <c r="H820" s="503"/>
      <c r="I820" s="6"/>
      <c r="J820" s="254"/>
      <c r="K820" s="504"/>
      <c r="L820" s="505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ht="12.0" customHeight="1">
      <c r="A821" s="6"/>
      <c r="B821" s="6"/>
      <c r="C821" s="6"/>
      <c r="D821" s="6"/>
      <c r="E821" s="502"/>
      <c r="F821" s="6"/>
      <c r="G821" s="6"/>
      <c r="H821" s="503"/>
      <c r="I821" s="6"/>
      <c r="J821" s="254"/>
      <c r="K821" s="504"/>
      <c r="L821" s="505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ht="12.0" customHeight="1">
      <c r="A822" s="6"/>
      <c r="B822" s="6"/>
      <c r="C822" s="6"/>
      <c r="D822" s="6"/>
      <c r="E822" s="502"/>
      <c r="F822" s="6"/>
      <c r="G822" s="6"/>
      <c r="H822" s="503"/>
      <c r="I822" s="6"/>
      <c r="J822" s="254"/>
      <c r="K822" s="504"/>
      <c r="L822" s="505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ht="12.0" customHeight="1">
      <c r="A823" s="6"/>
      <c r="B823" s="6"/>
      <c r="C823" s="6"/>
      <c r="D823" s="6"/>
      <c r="E823" s="502"/>
      <c r="F823" s="6"/>
      <c r="G823" s="6"/>
      <c r="H823" s="503"/>
      <c r="I823" s="6"/>
      <c r="J823" s="254"/>
      <c r="K823" s="504"/>
      <c r="L823" s="505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ht="12.0" customHeight="1">
      <c r="A824" s="6"/>
      <c r="B824" s="6"/>
      <c r="C824" s="6"/>
      <c r="D824" s="6"/>
      <c r="E824" s="502"/>
      <c r="F824" s="6"/>
      <c r="G824" s="6"/>
      <c r="H824" s="503"/>
      <c r="I824" s="6"/>
      <c r="J824" s="254"/>
      <c r="K824" s="504"/>
      <c r="L824" s="505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ht="12.0" customHeight="1">
      <c r="A825" s="6"/>
      <c r="B825" s="6"/>
      <c r="C825" s="6"/>
      <c r="D825" s="6"/>
      <c r="E825" s="502"/>
      <c r="F825" s="6"/>
      <c r="G825" s="6"/>
      <c r="H825" s="503"/>
      <c r="I825" s="6"/>
      <c r="J825" s="254"/>
      <c r="K825" s="504"/>
      <c r="L825" s="505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ht="12.0" customHeight="1">
      <c r="A826" s="6"/>
      <c r="B826" s="6"/>
      <c r="C826" s="6"/>
      <c r="D826" s="6"/>
      <c r="E826" s="502"/>
      <c r="F826" s="6"/>
      <c r="G826" s="6"/>
      <c r="H826" s="503"/>
      <c r="I826" s="6"/>
      <c r="J826" s="254"/>
      <c r="K826" s="504"/>
      <c r="L826" s="505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ht="12.0" customHeight="1">
      <c r="A827" s="6"/>
      <c r="B827" s="6"/>
      <c r="C827" s="6"/>
      <c r="D827" s="6"/>
      <c r="E827" s="502"/>
      <c r="F827" s="6"/>
      <c r="G827" s="6"/>
      <c r="H827" s="503"/>
      <c r="I827" s="6"/>
      <c r="J827" s="254"/>
      <c r="K827" s="504"/>
      <c r="L827" s="505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ht="12.0" customHeight="1">
      <c r="A828" s="6"/>
      <c r="B828" s="6"/>
      <c r="C828" s="6"/>
      <c r="D828" s="6"/>
      <c r="E828" s="502"/>
      <c r="F828" s="6"/>
      <c r="G828" s="6"/>
      <c r="H828" s="503"/>
      <c r="I828" s="6"/>
      <c r="J828" s="254"/>
      <c r="K828" s="504"/>
      <c r="L828" s="505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ht="12.0" customHeight="1">
      <c r="A829" s="6"/>
      <c r="B829" s="6"/>
      <c r="C829" s="6"/>
      <c r="D829" s="6"/>
      <c r="E829" s="502"/>
      <c r="F829" s="6"/>
      <c r="G829" s="6"/>
      <c r="H829" s="503"/>
      <c r="I829" s="6"/>
      <c r="J829" s="254"/>
      <c r="K829" s="504"/>
      <c r="L829" s="505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ht="12.0" customHeight="1">
      <c r="A830" s="6"/>
      <c r="B830" s="6"/>
      <c r="C830" s="6"/>
      <c r="D830" s="6"/>
      <c r="E830" s="502"/>
      <c r="F830" s="6"/>
      <c r="G830" s="6"/>
      <c r="H830" s="503"/>
      <c r="I830" s="6"/>
      <c r="J830" s="254"/>
      <c r="K830" s="504"/>
      <c r="L830" s="505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ht="12.0" customHeight="1">
      <c r="A831" s="6"/>
      <c r="B831" s="6"/>
      <c r="C831" s="6"/>
      <c r="D831" s="6"/>
      <c r="E831" s="502"/>
      <c r="F831" s="6"/>
      <c r="G831" s="6"/>
      <c r="H831" s="503"/>
      <c r="I831" s="6"/>
      <c r="J831" s="254"/>
      <c r="K831" s="504"/>
      <c r="L831" s="505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ht="12.0" customHeight="1">
      <c r="A832" s="6"/>
      <c r="B832" s="6"/>
      <c r="C832" s="6"/>
      <c r="D832" s="6"/>
      <c r="E832" s="502"/>
      <c r="F832" s="6"/>
      <c r="G832" s="6"/>
      <c r="H832" s="503"/>
      <c r="I832" s="6"/>
      <c r="J832" s="254"/>
      <c r="K832" s="504"/>
      <c r="L832" s="505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ht="12.0" customHeight="1">
      <c r="A833" s="6"/>
      <c r="B833" s="6"/>
      <c r="C833" s="6"/>
      <c r="D833" s="6"/>
      <c r="E833" s="502"/>
      <c r="F833" s="6"/>
      <c r="G833" s="6"/>
      <c r="H833" s="503"/>
      <c r="I833" s="6"/>
      <c r="J833" s="254"/>
      <c r="K833" s="504"/>
      <c r="L833" s="505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ht="12.0" customHeight="1">
      <c r="A834" s="6"/>
      <c r="B834" s="6"/>
      <c r="C834" s="6"/>
      <c r="D834" s="6"/>
      <c r="E834" s="502"/>
      <c r="F834" s="6"/>
      <c r="G834" s="6"/>
      <c r="H834" s="503"/>
      <c r="I834" s="6"/>
      <c r="J834" s="254"/>
      <c r="K834" s="504"/>
      <c r="L834" s="505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ht="12.0" customHeight="1">
      <c r="A835" s="6"/>
      <c r="B835" s="6"/>
      <c r="C835" s="6"/>
      <c r="D835" s="6"/>
      <c r="E835" s="502"/>
      <c r="F835" s="6"/>
      <c r="G835" s="6"/>
      <c r="H835" s="503"/>
      <c r="I835" s="6"/>
      <c r="J835" s="254"/>
      <c r="K835" s="504"/>
      <c r="L835" s="505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ht="12.0" customHeight="1">
      <c r="A836" s="6"/>
      <c r="B836" s="6"/>
      <c r="C836" s="6"/>
      <c r="D836" s="6"/>
      <c r="E836" s="502"/>
      <c r="F836" s="6"/>
      <c r="G836" s="6"/>
      <c r="H836" s="503"/>
      <c r="I836" s="6"/>
      <c r="J836" s="254"/>
      <c r="K836" s="504"/>
      <c r="L836" s="505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ht="12.0" customHeight="1">
      <c r="A837" s="6"/>
      <c r="B837" s="6"/>
      <c r="C837" s="6"/>
      <c r="D837" s="6"/>
      <c r="E837" s="502"/>
      <c r="F837" s="6"/>
      <c r="G837" s="6"/>
      <c r="H837" s="503"/>
      <c r="I837" s="6"/>
      <c r="J837" s="254"/>
      <c r="K837" s="504"/>
      <c r="L837" s="505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ht="12.0" customHeight="1">
      <c r="A838" s="6"/>
      <c r="B838" s="6"/>
      <c r="C838" s="6"/>
      <c r="D838" s="6"/>
      <c r="E838" s="502"/>
      <c r="F838" s="6"/>
      <c r="G838" s="6"/>
      <c r="H838" s="503"/>
      <c r="I838" s="6"/>
      <c r="J838" s="254"/>
      <c r="K838" s="504"/>
      <c r="L838" s="505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ht="12.0" customHeight="1">
      <c r="A839" s="6"/>
      <c r="B839" s="6"/>
      <c r="C839" s="6"/>
      <c r="D839" s="6"/>
      <c r="E839" s="502"/>
      <c r="F839" s="6"/>
      <c r="G839" s="6"/>
      <c r="H839" s="503"/>
      <c r="I839" s="6"/>
      <c r="J839" s="254"/>
      <c r="K839" s="504"/>
      <c r="L839" s="505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ht="12.0" customHeight="1">
      <c r="A840" s="6"/>
      <c r="B840" s="6"/>
      <c r="C840" s="6"/>
      <c r="D840" s="6"/>
      <c r="E840" s="502"/>
      <c r="F840" s="6"/>
      <c r="G840" s="6"/>
      <c r="H840" s="503"/>
      <c r="I840" s="6"/>
      <c r="J840" s="254"/>
      <c r="K840" s="504"/>
      <c r="L840" s="505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ht="12.0" customHeight="1">
      <c r="A841" s="6"/>
      <c r="B841" s="6"/>
      <c r="C841" s="6"/>
      <c r="D841" s="6"/>
      <c r="E841" s="502"/>
      <c r="F841" s="6"/>
      <c r="G841" s="6"/>
      <c r="H841" s="503"/>
      <c r="I841" s="6"/>
      <c r="J841" s="254"/>
      <c r="K841" s="504"/>
      <c r="L841" s="505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ht="12.0" customHeight="1">
      <c r="A842" s="6"/>
      <c r="B842" s="6"/>
      <c r="C842" s="6"/>
      <c r="D842" s="6"/>
      <c r="E842" s="502"/>
      <c r="F842" s="6"/>
      <c r="G842" s="6"/>
      <c r="H842" s="503"/>
      <c r="I842" s="6"/>
      <c r="J842" s="254"/>
      <c r="K842" s="504"/>
      <c r="L842" s="505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ht="12.0" customHeight="1">
      <c r="A843" s="6"/>
      <c r="B843" s="6"/>
      <c r="C843" s="6"/>
      <c r="D843" s="6"/>
      <c r="E843" s="502"/>
      <c r="F843" s="6"/>
      <c r="G843" s="6"/>
      <c r="H843" s="503"/>
      <c r="I843" s="6"/>
      <c r="J843" s="254"/>
      <c r="K843" s="504"/>
      <c r="L843" s="505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ht="12.0" customHeight="1">
      <c r="A844" s="6"/>
      <c r="B844" s="6"/>
      <c r="C844" s="6"/>
      <c r="D844" s="6"/>
      <c r="E844" s="502"/>
      <c r="F844" s="6"/>
      <c r="G844" s="6"/>
      <c r="H844" s="503"/>
      <c r="I844" s="6"/>
      <c r="J844" s="254"/>
      <c r="K844" s="504"/>
      <c r="L844" s="505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ht="12.0" customHeight="1">
      <c r="A845" s="6"/>
      <c r="B845" s="6"/>
      <c r="C845" s="6"/>
      <c r="D845" s="6"/>
      <c r="E845" s="502"/>
      <c r="F845" s="6"/>
      <c r="G845" s="6"/>
      <c r="H845" s="503"/>
      <c r="I845" s="6"/>
      <c r="J845" s="254"/>
      <c r="K845" s="504"/>
      <c r="L845" s="505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ht="12.0" customHeight="1">
      <c r="A846" s="6"/>
      <c r="B846" s="6"/>
      <c r="C846" s="6"/>
      <c r="D846" s="6"/>
      <c r="E846" s="502"/>
      <c r="F846" s="6"/>
      <c r="G846" s="6"/>
      <c r="H846" s="503"/>
      <c r="I846" s="6"/>
      <c r="J846" s="254"/>
      <c r="K846" s="504"/>
      <c r="L846" s="505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ht="12.0" customHeight="1">
      <c r="A847" s="6"/>
      <c r="B847" s="6"/>
      <c r="C847" s="6"/>
      <c r="D847" s="6"/>
      <c r="E847" s="502"/>
      <c r="F847" s="6"/>
      <c r="G847" s="6"/>
      <c r="H847" s="503"/>
      <c r="I847" s="6"/>
      <c r="J847" s="254"/>
      <c r="K847" s="504"/>
      <c r="L847" s="505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ht="12.0" customHeight="1">
      <c r="A848" s="6"/>
      <c r="B848" s="6"/>
      <c r="C848" s="6"/>
      <c r="D848" s="6"/>
      <c r="E848" s="502"/>
      <c r="F848" s="6"/>
      <c r="G848" s="6"/>
      <c r="H848" s="503"/>
      <c r="I848" s="6"/>
      <c r="J848" s="254"/>
      <c r="K848" s="504"/>
      <c r="L848" s="505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ht="12.0" customHeight="1">
      <c r="A849" s="6"/>
      <c r="B849" s="6"/>
      <c r="C849" s="6"/>
      <c r="D849" s="6"/>
      <c r="E849" s="502"/>
      <c r="F849" s="6"/>
      <c r="G849" s="6"/>
      <c r="H849" s="503"/>
      <c r="I849" s="6"/>
      <c r="J849" s="254"/>
      <c r="K849" s="504"/>
      <c r="L849" s="505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ht="12.0" customHeight="1">
      <c r="A850" s="6"/>
      <c r="B850" s="6"/>
      <c r="C850" s="6"/>
      <c r="D850" s="6"/>
      <c r="E850" s="502"/>
      <c r="F850" s="6"/>
      <c r="G850" s="6"/>
      <c r="H850" s="503"/>
      <c r="I850" s="6"/>
      <c r="J850" s="254"/>
      <c r="K850" s="504"/>
      <c r="L850" s="505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ht="12.0" customHeight="1">
      <c r="A851" s="6"/>
      <c r="B851" s="6"/>
      <c r="C851" s="6"/>
      <c r="D851" s="6"/>
      <c r="E851" s="502"/>
      <c r="F851" s="6"/>
      <c r="G851" s="6"/>
      <c r="H851" s="503"/>
      <c r="I851" s="6"/>
      <c r="J851" s="254"/>
      <c r="K851" s="504"/>
      <c r="L851" s="505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ht="12.0" customHeight="1">
      <c r="A852" s="6"/>
      <c r="B852" s="6"/>
      <c r="C852" s="6"/>
      <c r="D852" s="6"/>
      <c r="E852" s="502"/>
      <c r="F852" s="6"/>
      <c r="G852" s="6"/>
      <c r="H852" s="503"/>
      <c r="I852" s="6"/>
      <c r="J852" s="254"/>
      <c r="K852" s="504"/>
      <c r="L852" s="505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ht="12.0" customHeight="1">
      <c r="A853" s="6"/>
      <c r="B853" s="6"/>
      <c r="C853" s="6"/>
      <c r="D853" s="6"/>
      <c r="E853" s="502"/>
      <c r="F853" s="6"/>
      <c r="G853" s="6"/>
      <c r="H853" s="503"/>
      <c r="I853" s="6"/>
      <c r="J853" s="254"/>
      <c r="K853" s="504"/>
      <c r="L853" s="505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ht="12.0" customHeight="1">
      <c r="A854" s="6"/>
      <c r="B854" s="6"/>
      <c r="C854" s="6"/>
      <c r="D854" s="6"/>
      <c r="E854" s="502"/>
      <c r="F854" s="6"/>
      <c r="G854" s="6"/>
      <c r="H854" s="503"/>
      <c r="I854" s="6"/>
      <c r="J854" s="254"/>
      <c r="K854" s="504"/>
      <c r="L854" s="505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ht="12.0" customHeight="1">
      <c r="A855" s="6"/>
      <c r="B855" s="6"/>
      <c r="C855" s="6"/>
      <c r="D855" s="6"/>
      <c r="E855" s="502"/>
      <c r="F855" s="6"/>
      <c r="G855" s="6"/>
      <c r="H855" s="503"/>
      <c r="I855" s="6"/>
      <c r="J855" s="254"/>
      <c r="K855" s="504"/>
      <c r="L855" s="505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ht="12.0" customHeight="1">
      <c r="A856" s="6"/>
      <c r="B856" s="6"/>
      <c r="C856" s="6"/>
      <c r="D856" s="6"/>
      <c r="E856" s="502"/>
      <c r="F856" s="6"/>
      <c r="G856" s="6"/>
      <c r="H856" s="503"/>
      <c r="I856" s="6"/>
      <c r="J856" s="254"/>
      <c r="K856" s="504"/>
      <c r="L856" s="505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ht="12.0" customHeight="1">
      <c r="A857" s="6"/>
      <c r="B857" s="6"/>
      <c r="C857" s="6"/>
      <c r="D857" s="6"/>
      <c r="E857" s="502"/>
      <c r="F857" s="6"/>
      <c r="G857" s="6"/>
      <c r="H857" s="503"/>
      <c r="I857" s="6"/>
      <c r="J857" s="254"/>
      <c r="K857" s="504"/>
      <c r="L857" s="505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ht="12.0" customHeight="1">
      <c r="A858" s="6"/>
      <c r="B858" s="6"/>
      <c r="C858" s="6"/>
      <c r="D858" s="6"/>
      <c r="E858" s="502"/>
      <c r="F858" s="6"/>
      <c r="G858" s="6"/>
      <c r="H858" s="503"/>
      <c r="I858" s="6"/>
      <c r="J858" s="254"/>
      <c r="K858" s="504"/>
      <c r="L858" s="505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ht="12.0" customHeight="1">
      <c r="A859" s="6"/>
      <c r="B859" s="6"/>
      <c r="C859" s="6"/>
      <c r="D859" s="6"/>
      <c r="E859" s="502"/>
      <c r="F859" s="6"/>
      <c r="G859" s="6"/>
      <c r="H859" s="503"/>
      <c r="I859" s="6"/>
      <c r="J859" s="254"/>
      <c r="K859" s="504"/>
      <c r="L859" s="505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ht="12.0" customHeight="1">
      <c r="A860" s="6"/>
      <c r="B860" s="6"/>
      <c r="C860" s="6"/>
      <c r="D860" s="6"/>
      <c r="E860" s="502"/>
      <c r="F860" s="6"/>
      <c r="G860" s="6"/>
      <c r="H860" s="503"/>
      <c r="I860" s="6"/>
      <c r="J860" s="254"/>
      <c r="K860" s="504"/>
      <c r="L860" s="505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ht="12.0" customHeight="1">
      <c r="A861" s="6"/>
      <c r="B861" s="6"/>
      <c r="C861" s="6"/>
      <c r="D861" s="6"/>
      <c r="E861" s="502"/>
      <c r="F861" s="6"/>
      <c r="G861" s="6"/>
      <c r="H861" s="503"/>
      <c r="I861" s="6"/>
      <c r="J861" s="254"/>
      <c r="K861" s="504"/>
      <c r="L861" s="505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ht="12.0" customHeight="1">
      <c r="A862" s="6"/>
      <c r="B862" s="6"/>
      <c r="C862" s="6"/>
      <c r="D862" s="6"/>
      <c r="E862" s="502"/>
      <c r="F862" s="6"/>
      <c r="G862" s="6"/>
      <c r="H862" s="503"/>
      <c r="I862" s="6"/>
      <c r="J862" s="254"/>
      <c r="K862" s="504"/>
      <c r="L862" s="505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ht="12.0" customHeight="1">
      <c r="A863" s="6"/>
      <c r="B863" s="6"/>
      <c r="C863" s="6"/>
      <c r="D863" s="6"/>
      <c r="E863" s="502"/>
      <c r="F863" s="6"/>
      <c r="G863" s="6"/>
      <c r="H863" s="503"/>
      <c r="I863" s="6"/>
      <c r="J863" s="254"/>
      <c r="K863" s="504"/>
      <c r="L863" s="505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ht="12.0" customHeight="1">
      <c r="A864" s="6"/>
      <c r="B864" s="6"/>
      <c r="C864" s="6"/>
      <c r="D864" s="6"/>
      <c r="E864" s="502"/>
      <c r="F864" s="6"/>
      <c r="G864" s="6"/>
      <c r="H864" s="503"/>
      <c r="I864" s="6"/>
      <c r="J864" s="254"/>
      <c r="K864" s="504"/>
      <c r="L864" s="505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ht="12.0" customHeight="1">
      <c r="A865" s="6"/>
      <c r="B865" s="6"/>
      <c r="C865" s="6"/>
      <c r="D865" s="6"/>
      <c r="E865" s="502"/>
      <c r="F865" s="6"/>
      <c r="G865" s="6"/>
      <c r="H865" s="503"/>
      <c r="I865" s="6"/>
      <c r="J865" s="254"/>
      <c r="K865" s="504"/>
      <c r="L865" s="505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ht="12.0" customHeight="1">
      <c r="A866" s="6"/>
      <c r="B866" s="6"/>
      <c r="C866" s="6"/>
      <c r="D866" s="6"/>
      <c r="E866" s="502"/>
      <c r="F866" s="6"/>
      <c r="G866" s="6"/>
      <c r="H866" s="503"/>
      <c r="I866" s="6"/>
      <c r="J866" s="254"/>
      <c r="K866" s="504"/>
      <c r="L866" s="505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ht="12.0" customHeight="1">
      <c r="A867" s="6"/>
      <c r="B867" s="6"/>
      <c r="C867" s="6"/>
      <c r="D867" s="6"/>
      <c r="E867" s="502"/>
      <c r="F867" s="6"/>
      <c r="G867" s="6"/>
      <c r="H867" s="503"/>
      <c r="I867" s="6"/>
      <c r="J867" s="254"/>
      <c r="K867" s="504"/>
      <c r="L867" s="505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ht="12.0" customHeight="1">
      <c r="A868" s="6"/>
      <c r="B868" s="6"/>
      <c r="C868" s="6"/>
      <c r="D868" s="6"/>
      <c r="E868" s="502"/>
      <c r="F868" s="6"/>
      <c r="G868" s="6"/>
      <c r="H868" s="503"/>
      <c r="I868" s="6"/>
      <c r="J868" s="254"/>
      <c r="K868" s="504"/>
      <c r="L868" s="505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ht="12.0" customHeight="1">
      <c r="A869" s="6"/>
      <c r="B869" s="6"/>
      <c r="C869" s="6"/>
      <c r="D869" s="6"/>
      <c r="E869" s="502"/>
      <c r="F869" s="6"/>
      <c r="G869" s="6"/>
      <c r="H869" s="503"/>
      <c r="I869" s="6"/>
      <c r="J869" s="254"/>
      <c r="K869" s="504"/>
      <c r="L869" s="505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ht="12.0" customHeight="1">
      <c r="A870" s="6"/>
      <c r="B870" s="6"/>
      <c r="C870" s="6"/>
      <c r="D870" s="6"/>
      <c r="E870" s="502"/>
      <c r="F870" s="6"/>
      <c r="G870" s="6"/>
      <c r="H870" s="503"/>
      <c r="I870" s="6"/>
      <c r="J870" s="254"/>
      <c r="K870" s="504"/>
      <c r="L870" s="505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ht="12.0" customHeight="1">
      <c r="A871" s="6"/>
      <c r="B871" s="6"/>
      <c r="C871" s="6"/>
      <c r="D871" s="6"/>
      <c r="E871" s="502"/>
      <c r="F871" s="6"/>
      <c r="G871" s="6"/>
      <c r="H871" s="503"/>
      <c r="I871" s="6"/>
      <c r="J871" s="254"/>
      <c r="K871" s="504"/>
      <c r="L871" s="505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ht="12.0" customHeight="1">
      <c r="A872" s="6"/>
      <c r="B872" s="6"/>
      <c r="C872" s="6"/>
      <c r="D872" s="6"/>
      <c r="E872" s="502"/>
      <c r="F872" s="6"/>
      <c r="G872" s="6"/>
      <c r="H872" s="503"/>
      <c r="I872" s="6"/>
      <c r="J872" s="254"/>
      <c r="K872" s="504"/>
      <c r="L872" s="505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ht="12.0" customHeight="1">
      <c r="A873" s="6"/>
      <c r="B873" s="6"/>
      <c r="C873" s="6"/>
      <c r="D873" s="6"/>
      <c r="E873" s="502"/>
      <c r="F873" s="6"/>
      <c r="G873" s="6"/>
      <c r="H873" s="503"/>
      <c r="I873" s="6"/>
      <c r="J873" s="254"/>
      <c r="K873" s="504"/>
      <c r="L873" s="505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ht="12.0" customHeight="1">
      <c r="A874" s="6"/>
      <c r="B874" s="6"/>
      <c r="C874" s="6"/>
      <c r="D874" s="6"/>
      <c r="E874" s="502"/>
      <c r="F874" s="6"/>
      <c r="G874" s="6"/>
      <c r="H874" s="503"/>
      <c r="I874" s="6"/>
      <c r="J874" s="254"/>
      <c r="K874" s="504"/>
      <c r="L874" s="505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ht="12.0" customHeight="1">
      <c r="A875" s="6"/>
      <c r="B875" s="6"/>
      <c r="C875" s="6"/>
      <c r="D875" s="6"/>
      <c r="E875" s="502"/>
      <c r="F875" s="6"/>
      <c r="G875" s="6"/>
      <c r="H875" s="503"/>
      <c r="I875" s="6"/>
      <c r="J875" s="254"/>
      <c r="K875" s="504"/>
      <c r="L875" s="505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ht="12.0" customHeight="1">
      <c r="A876" s="6"/>
      <c r="B876" s="6"/>
      <c r="C876" s="6"/>
      <c r="D876" s="6"/>
      <c r="E876" s="502"/>
      <c r="F876" s="6"/>
      <c r="G876" s="6"/>
      <c r="H876" s="503"/>
      <c r="I876" s="6"/>
      <c r="J876" s="254"/>
      <c r="K876" s="504"/>
      <c r="L876" s="505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ht="12.0" customHeight="1">
      <c r="A877" s="6"/>
      <c r="B877" s="6"/>
      <c r="C877" s="6"/>
      <c r="D877" s="6"/>
      <c r="E877" s="502"/>
      <c r="F877" s="6"/>
      <c r="G877" s="6"/>
      <c r="H877" s="503"/>
      <c r="I877" s="6"/>
      <c r="J877" s="254"/>
      <c r="K877" s="504"/>
      <c r="L877" s="505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ht="12.0" customHeight="1">
      <c r="A878" s="6"/>
      <c r="B878" s="6"/>
      <c r="C878" s="6"/>
      <c r="D878" s="6"/>
      <c r="E878" s="502"/>
      <c r="F878" s="6"/>
      <c r="G878" s="6"/>
      <c r="H878" s="503"/>
      <c r="I878" s="6"/>
      <c r="J878" s="254"/>
      <c r="K878" s="504"/>
      <c r="L878" s="505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ht="12.0" customHeight="1">
      <c r="A879" s="6"/>
      <c r="B879" s="6"/>
      <c r="C879" s="6"/>
      <c r="D879" s="6"/>
      <c r="E879" s="502"/>
      <c r="F879" s="6"/>
      <c r="G879" s="6"/>
      <c r="H879" s="503"/>
      <c r="I879" s="6"/>
      <c r="J879" s="254"/>
      <c r="K879" s="504"/>
      <c r="L879" s="505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ht="12.0" customHeight="1">
      <c r="A880" s="6"/>
      <c r="B880" s="6"/>
      <c r="C880" s="6"/>
      <c r="D880" s="6"/>
      <c r="E880" s="502"/>
      <c r="F880" s="6"/>
      <c r="G880" s="6"/>
      <c r="H880" s="503"/>
      <c r="I880" s="6"/>
      <c r="J880" s="254"/>
      <c r="K880" s="504"/>
      <c r="L880" s="505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ht="12.0" customHeight="1">
      <c r="A881" s="6"/>
      <c r="B881" s="6"/>
      <c r="C881" s="6"/>
      <c r="D881" s="6"/>
      <c r="E881" s="502"/>
      <c r="F881" s="6"/>
      <c r="G881" s="6"/>
      <c r="H881" s="503"/>
      <c r="I881" s="6"/>
      <c r="J881" s="254"/>
      <c r="K881" s="504"/>
      <c r="L881" s="505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ht="12.0" customHeight="1">
      <c r="A882" s="6"/>
      <c r="B882" s="6"/>
      <c r="C882" s="6"/>
      <c r="D882" s="6"/>
      <c r="E882" s="502"/>
      <c r="F882" s="6"/>
      <c r="G882" s="6"/>
      <c r="H882" s="503"/>
      <c r="I882" s="6"/>
      <c r="J882" s="254"/>
      <c r="K882" s="504"/>
      <c r="L882" s="505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ht="12.0" customHeight="1">
      <c r="A883" s="6"/>
      <c r="B883" s="6"/>
      <c r="C883" s="6"/>
      <c r="D883" s="6"/>
      <c r="E883" s="502"/>
      <c r="F883" s="6"/>
      <c r="G883" s="6"/>
      <c r="H883" s="503"/>
      <c r="I883" s="6"/>
      <c r="J883" s="254"/>
      <c r="K883" s="504"/>
      <c r="L883" s="505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ht="12.0" customHeight="1">
      <c r="A884" s="6"/>
      <c r="B884" s="6"/>
      <c r="C884" s="6"/>
      <c r="D884" s="6"/>
      <c r="E884" s="502"/>
      <c r="F884" s="6"/>
      <c r="G884" s="6"/>
      <c r="H884" s="503"/>
      <c r="I884" s="6"/>
      <c r="J884" s="254"/>
      <c r="K884" s="504"/>
      <c r="L884" s="505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ht="12.0" customHeight="1">
      <c r="A885" s="6"/>
      <c r="B885" s="6"/>
      <c r="C885" s="6"/>
      <c r="D885" s="6"/>
      <c r="E885" s="502"/>
      <c r="F885" s="6"/>
      <c r="G885" s="6"/>
      <c r="H885" s="503"/>
      <c r="I885" s="6"/>
      <c r="J885" s="254"/>
      <c r="K885" s="504"/>
      <c r="L885" s="505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ht="12.0" customHeight="1">
      <c r="A886" s="6"/>
      <c r="B886" s="6"/>
      <c r="C886" s="6"/>
      <c r="D886" s="6"/>
      <c r="E886" s="502"/>
      <c r="F886" s="6"/>
      <c r="G886" s="6"/>
      <c r="H886" s="503"/>
      <c r="I886" s="6"/>
      <c r="J886" s="254"/>
      <c r="K886" s="504"/>
      <c r="L886" s="505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ht="12.0" customHeight="1">
      <c r="A887" s="6"/>
      <c r="B887" s="6"/>
      <c r="C887" s="6"/>
      <c r="D887" s="6"/>
      <c r="E887" s="502"/>
      <c r="F887" s="6"/>
      <c r="G887" s="6"/>
      <c r="H887" s="503"/>
      <c r="I887" s="6"/>
      <c r="J887" s="254"/>
      <c r="K887" s="504"/>
      <c r="L887" s="505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ht="12.0" customHeight="1">
      <c r="A888" s="6"/>
      <c r="B888" s="6"/>
      <c r="C888" s="6"/>
      <c r="D888" s="6"/>
      <c r="E888" s="502"/>
      <c r="F888" s="6"/>
      <c r="G888" s="6"/>
      <c r="H888" s="503"/>
      <c r="I888" s="6"/>
      <c r="J888" s="254"/>
      <c r="K888" s="504"/>
      <c r="L888" s="505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ht="12.0" customHeight="1">
      <c r="A889" s="6"/>
      <c r="B889" s="6"/>
      <c r="C889" s="6"/>
      <c r="D889" s="6"/>
      <c r="E889" s="502"/>
      <c r="F889" s="6"/>
      <c r="G889" s="6"/>
      <c r="H889" s="503"/>
      <c r="I889" s="6"/>
      <c r="J889" s="254"/>
      <c r="K889" s="504"/>
      <c r="L889" s="505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ht="12.0" customHeight="1">
      <c r="A890" s="6"/>
      <c r="B890" s="6"/>
      <c r="C890" s="6"/>
      <c r="D890" s="6"/>
      <c r="E890" s="502"/>
      <c r="F890" s="6"/>
      <c r="G890" s="6"/>
      <c r="H890" s="503"/>
      <c r="I890" s="6"/>
      <c r="J890" s="254"/>
      <c r="K890" s="504"/>
      <c r="L890" s="505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ht="12.0" customHeight="1">
      <c r="A891" s="6"/>
      <c r="B891" s="6"/>
      <c r="C891" s="6"/>
      <c r="D891" s="6"/>
      <c r="E891" s="502"/>
      <c r="F891" s="6"/>
      <c r="G891" s="6"/>
      <c r="H891" s="503"/>
      <c r="I891" s="6"/>
      <c r="J891" s="254"/>
      <c r="K891" s="504"/>
      <c r="L891" s="505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ht="12.0" customHeight="1">
      <c r="A892" s="6"/>
      <c r="B892" s="6"/>
      <c r="C892" s="6"/>
      <c r="D892" s="6"/>
      <c r="E892" s="502"/>
      <c r="F892" s="6"/>
      <c r="G892" s="6"/>
      <c r="H892" s="503"/>
      <c r="I892" s="6"/>
      <c r="J892" s="254"/>
      <c r="K892" s="504"/>
      <c r="L892" s="505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ht="12.0" customHeight="1">
      <c r="A893" s="6"/>
      <c r="B893" s="6"/>
      <c r="C893" s="6"/>
      <c r="D893" s="6"/>
      <c r="E893" s="502"/>
      <c r="F893" s="6"/>
      <c r="G893" s="6"/>
      <c r="H893" s="503"/>
      <c r="I893" s="6"/>
      <c r="J893" s="254"/>
      <c r="K893" s="504"/>
      <c r="L893" s="505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ht="12.0" customHeight="1">
      <c r="A894" s="6"/>
      <c r="B894" s="6"/>
      <c r="C894" s="6"/>
      <c r="D894" s="6"/>
      <c r="E894" s="502"/>
      <c r="F894" s="6"/>
      <c r="G894" s="6"/>
      <c r="H894" s="503"/>
      <c r="I894" s="6"/>
      <c r="J894" s="254"/>
      <c r="K894" s="504"/>
      <c r="L894" s="505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ht="12.0" customHeight="1">
      <c r="A895" s="6"/>
      <c r="B895" s="6"/>
      <c r="C895" s="6"/>
      <c r="D895" s="6"/>
      <c r="E895" s="502"/>
      <c r="F895" s="6"/>
      <c r="G895" s="6"/>
      <c r="H895" s="503"/>
      <c r="I895" s="6"/>
      <c r="J895" s="254"/>
      <c r="K895" s="504"/>
      <c r="L895" s="505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ht="12.0" customHeight="1">
      <c r="A896" s="6"/>
      <c r="B896" s="6"/>
      <c r="C896" s="6"/>
      <c r="D896" s="6"/>
      <c r="E896" s="502"/>
      <c r="F896" s="6"/>
      <c r="G896" s="6"/>
      <c r="H896" s="503"/>
      <c r="I896" s="6"/>
      <c r="J896" s="254"/>
      <c r="K896" s="504"/>
      <c r="L896" s="505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ht="12.0" customHeight="1">
      <c r="A897" s="6"/>
      <c r="B897" s="6"/>
      <c r="C897" s="6"/>
      <c r="D897" s="6"/>
      <c r="E897" s="502"/>
      <c r="F897" s="6"/>
      <c r="G897" s="6"/>
      <c r="H897" s="503"/>
      <c r="I897" s="6"/>
      <c r="J897" s="254"/>
      <c r="K897" s="504"/>
      <c r="L897" s="505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ht="12.0" customHeight="1">
      <c r="A898" s="6"/>
      <c r="B898" s="6"/>
      <c r="C898" s="6"/>
      <c r="D898" s="6"/>
      <c r="E898" s="502"/>
      <c r="F898" s="6"/>
      <c r="G898" s="6"/>
      <c r="H898" s="503"/>
      <c r="I898" s="6"/>
      <c r="J898" s="254"/>
      <c r="K898" s="504"/>
      <c r="L898" s="505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ht="12.0" customHeight="1">
      <c r="A899" s="6"/>
      <c r="B899" s="6"/>
      <c r="C899" s="6"/>
      <c r="D899" s="6"/>
      <c r="E899" s="502"/>
      <c r="F899" s="6"/>
      <c r="G899" s="6"/>
      <c r="H899" s="503"/>
      <c r="I899" s="6"/>
      <c r="J899" s="254"/>
      <c r="K899" s="504"/>
      <c r="L899" s="505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ht="12.0" customHeight="1">
      <c r="A900" s="6"/>
      <c r="B900" s="6"/>
      <c r="C900" s="6"/>
      <c r="D900" s="6"/>
      <c r="E900" s="502"/>
      <c r="F900" s="6"/>
      <c r="G900" s="6"/>
      <c r="H900" s="503"/>
      <c r="I900" s="6"/>
      <c r="J900" s="254"/>
      <c r="K900" s="504"/>
      <c r="L900" s="505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ht="12.0" customHeight="1">
      <c r="A901" s="6"/>
      <c r="B901" s="6"/>
      <c r="C901" s="6"/>
      <c r="D901" s="6"/>
      <c r="E901" s="502"/>
      <c r="F901" s="6"/>
      <c r="G901" s="6"/>
      <c r="H901" s="503"/>
      <c r="I901" s="6"/>
      <c r="J901" s="254"/>
      <c r="K901" s="504"/>
      <c r="L901" s="505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ht="12.0" customHeight="1">
      <c r="A902" s="6"/>
      <c r="B902" s="6"/>
      <c r="C902" s="6"/>
      <c r="D902" s="6"/>
      <c r="E902" s="502"/>
      <c r="F902" s="6"/>
      <c r="G902" s="6"/>
      <c r="H902" s="503"/>
      <c r="I902" s="6"/>
      <c r="J902" s="254"/>
      <c r="K902" s="504"/>
      <c r="L902" s="505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ht="12.0" customHeight="1">
      <c r="A903" s="6"/>
      <c r="B903" s="6"/>
      <c r="C903" s="6"/>
      <c r="D903" s="6"/>
      <c r="E903" s="502"/>
      <c r="F903" s="6"/>
      <c r="G903" s="6"/>
      <c r="H903" s="503"/>
      <c r="I903" s="6"/>
      <c r="J903" s="254"/>
      <c r="K903" s="504"/>
      <c r="L903" s="505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ht="12.0" customHeight="1">
      <c r="A904" s="6"/>
      <c r="B904" s="6"/>
      <c r="C904" s="6"/>
      <c r="D904" s="6"/>
      <c r="E904" s="502"/>
      <c r="F904" s="6"/>
      <c r="G904" s="6"/>
      <c r="H904" s="503"/>
      <c r="I904" s="6"/>
      <c r="J904" s="254"/>
      <c r="K904" s="504"/>
      <c r="L904" s="505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ht="12.0" customHeight="1">
      <c r="A905" s="6"/>
      <c r="B905" s="6"/>
      <c r="C905" s="6"/>
      <c r="D905" s="6"/>
      <c r="E905" s="502"/>
      <c r="F905" s="6"/>
      <c r="G905" s="6"/>
      <c r="H905" s="503"/>
      <c r="I905" s="6"/>
      <c r="J905" s="254"/>
      <c r="K905" s="504"/>
      <c r="L905" s="505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ht="12.0" customHeight="1">
      <c r="A906" s="6"/>
      <c r="B906" s="6"/>
      <c r="C906" s="6"/>
      <c r="D906" s="6"/>
      <c r="E906" s="502"/>
      <c r="F906" s="6"/>
      <c r="G906" s="6"/>
      <c r="H906" s="503"/>
      <c r="I906" s="6"/>
      <c r="J906" s="254"/>
      <c r="K906" s="504"/>
      <c r="L906" s="505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ht="12.0" customHeight="1">
      <c r="A907" s="6"/>
      <c r="B907" s="6"/>
      <c r="C907" s="6"/>
      <c r="D907" s="6"/>
      <c r="E907" s="502"/>
      <c r="F907" s="6"/>
      <c r="G907" s="6"/>
      <c r="H907" s="503"/>
      <c r="I907" s="6"/>
      <c r="J907" s="254"/>
      <c r="K907" s="504"/>
      <c r="L907" s="505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ht="12.0" customHeight="1">
      <c r="A908" s="6"/>
      <c r="B908" s="6"/>
      <c r="C908" s="6"/>
      <c r="D908" s="6"/>
      <c r="E908" s="502"/>
      <c r="F908" s="6"/>
      <c r="G908" s="6"/>
      <c r="H908" s="503"/>
      <c r="I908" s="6"/>
      <c r="J908" s="254"/>
      <c r="K908" s="504"/>
      <c r="L908" s="505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ht="12.0" customHeight="1">
      <c r="A909" s="6"/>
      <c r="B909" s="6"/>
      <c r="C909" s="6"/>
      <c r="D909" s="6"/>
      <c r="E909" s="502"/>
      <c r="F909" s="6"/>
      <c r="G909" s="6"/>
      <c r="H909" s="503"/>
      <c r="I909" s="6"/>
      <c r="J909" s="254"/>
      <c r="K909" s="504"/>
      <c r="L909" s="505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ht="12.0" customHeight="1">
      <c r="A910" s="6"/>
      <c r="B910" s="6"/>
      <c r="C910" s="6"/>
      <c r="D910" s="6"/>
      <c r="E910" s="502"/>
      <c r="F910" s="6"/>
      <c r="G910" s="6"/>
      <c r="H910" s="503"/>
      <c r="I910" s="6"/>
      <c r="J910" s="254"/>
      <c r="K910" s="504"/>
      <c r="L910" s="505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ht="12.0" customHeight="1">
      <c r="A911" s="6"/>
      <c r="B911" s="6"/>
      <c r="C911" s="6"/>
      <c r="D911" s="6"/>
      <c r="E911" s="502"/>
      <c r="F911" s="6"/>
      <c r="G911" s="6"/>
      <c r="H911" s="503"/>
      <c r="I911" s="6"/>
      <c r="J911" s="254"/>
      <c r="K911" s="504"/>
      <c r="L911" s="505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ht="12.0" customHeight="1">
      <c r="A912" s="6"/>
      <c r="B912" s="6"/>
      <c r="C912" s="6"/>
      <c r="D912" s="6"/>
      <c r="E912" s="502"/>
      <c r="F912" s="6"/>
      <c r="G912" s="6"/>
      <c r="H912" s="503"/>
      <c r="I912" s="6"/>
      <c r="J912" s="254"/>
      <c r="K912" s="504"/>
      <c r="L912" s="505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ht="12.0" customHeight="1">
      <c r="A913" s="6"/>
      <c r="B913" s="6"/>
      <c r="C913" s="6"/>
      <c r="D913" s="6"/>
      <c r="E913" s="502"/>
      <c r="F913" s="6"/>
      <c r="G913" s="6"/>
      <c r="H913" s="503"/>
      <c r="I913" s="6"/>
      <c r="J913" s="254"/>
      <c r="K913" s="504"/>
      <c r="L913" s="505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ht="12.0" customHeight="1">
      <c r="A914" s="6"/>
      <c r="B914" s="6"/>
      <c r="C914" s="6"/>
      <c r="D914" s="6"/>
      <c r="E914" s="502"/>
      <c r="F914" s="6"/>
      <c r="G914" s="6"/>
      <c r="H914" s="503"/>
      <c r="I914" s="6"/>
      <c r="J914" s="254"/>
      <c r="K914" s="504"/>
      <c r="L914" s="505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ht="12.0" customHeight="1">
      <c r="A915" s="6"/>
      <c r="B915" s="6"/>
      <c r="C915" s="6"/>
      <c r="D915" s="6"/>
      <c r="E915" s="502"/>
      <c r="F915" s="6"/>
      <c r="G915" s="6"/>
      <c r="H915" s="503"/>
      <c r="I915" s="6"/>
      <c r="J915" s="254"/>
      <c r="K915" s="504"/>
      <c r="L915" s="505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ht="12.0" customHeight="1">
      <c r="A916" s="6"/>
      <c r="B916" s="6"/>
      <c r="C916" s="6"/>
      <c r="D916" s="6"/>
      <c r="E916" s="502"/>
      <c r="F916" s="6"/>
      <c r="G916" s="6"/>
      <c r="H916" s="503"/>
      <c r="I916" s="6"/>
      <c r="J916" s="254"/>
      <c r="K916" s="504"/>
      <c r="L916" s="505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ht="12.0" customHeight="1">
      <c r="A917" s="6"/>
      <c r="B917" s="6"/>
      <c r="C917" s="6"/>
      <c r="D917" s="6"/>
      <c r="E917" s="502"/>
      <c r="F917" s="6"/>
      <c r="G917" s="6"/>
      <c r="H917" s="503"/>
      <c r="I917" s="6"/>
      <c r="J917" s="254"/>
      <c r="K917" s="504"/>
      <c r="L917" s="505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ht="12.0" customHeight="1">
      <c r="A918" s="6"/>
      <c r="B918" s="6"/>
      <c r="C918" s="6"/>
      <c r="D918" s="6"/>
      <c r="E918" s="502"/>
      <c r="F918" s="6"/>
      <c r="G918" s="6"/>
      <c r="H918" s="503"/>
      <c r="I918" s="6"/>
      <c r="J918" s="254"/>
      <c r="K918" s="504"/>
      <c r="L918" s="505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ht="12.0" customHeight="1">
      <c r="A919" s="6"/>
      <c r="B919" s="6"/>
      <c r="C919" s="6"/>
      <c r="D919" s="6"/>
      <c r="E919" s="502"/>
      <c r="F919" s="6"/>
      <c r="G919" s="6"/>
      <c r="H919" s="503"/>
      <c r="I919" s="6"/>
      <c r="J919" s="254"/>
      <c r="K919" s="504"/>
      <c r="L919" s="505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ht="12.0" customHeight="1">
      <c r="A920" s="6"/>
      <c r="B920" s="6"/>
      <c r="C920" s="6"/>
      <c r="D920" s="6"/>
      <c r="E920" s="502"/>
      <c r="F920" s="6"/>
      <c r="G920" s="6"/>
      <c r="H920" s="503"/>
      <c r="I920" s="6"/>
      <c r="J920" s="254"/>
      <c r="K920" s="504"/>
      <c r="L920" s="505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ht="12.0" customHeight="1">
      <c r="A921" s="6"/>
      <c r="B921" s="6"/>
      <c r="C921" s="6"/>
      <c r="D921" s="6"/>
      <c r="E921" s="502"/>
      <c r="F921" s="6"/>
      <c r="G921" s="6"/>
      <c r="H921" s="503"/>
      <c r="I921" s="6"/>
      <c r="J921" s="254"/>
      <c r="K921" s="504"/>
      <c r="L921" s="505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ht="12.0" customHeight="1">
      <c r="A922" s="6"/>
      <c r="B922" s="6"/>
      <c r="C922" s="6"/>
      <c r="D922" s="6"/>
      <c r="E922" s="502"/>
      <c r="F922" s="6"/>
      <c r="G922" s="6"/>
      <c r="H922" s="503"/>
      <c r="I922" s="6"/>
      <c r="J922" s="254"/>
      <c r="K922" s="504"/>
      <c r="L922" s="505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ht="12.0" customHeight="1">
      <c r="A923" s="6"/>
      <c r="B923" s="6"/>
      <c r="C923" s="6"/>
      <c r="D923" s="6"/>
      <c r="E923" s="502"/>
      <c r="F923" s="6"/>
      <c r="G923" s="6"/>
      <c r="H923" s="503"/>
      <c r="I923" s="6"/>
      <c r="J923" s="254"/>
      <c r="K923" s="504"/>
      <c r="L923" s="505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ht="12.0" customHeight="1">
      <c r="A924" s="6"/>
      <c r="B924" s="6"/>
      <c r="C924" s="6"/>
      <c r="D924" s="6"/>
      <c r="E924" s="502"/>
      <c r="F924" s="6"/>
      <c r="G924" s="6"/>
      <c r="H924" s="503"/>
      <c r="I924" s="6"/>
      <c r="J924" s="254"/>
      <c r="K924" s="504"/>
      <c r="L924" s="505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ht="12.0" customHeight="1">
      <c r="A925" s="6"/>
      <c r="B925" s="6"/>
      <c r="C925" s="6"/>
      <c r="D925" s="6"/>
      <c r="E925" s="502"/>
      <c r="F925" s="6"/>
      <c r="G925" s="6"/>
      <c r="H925" s="503"/>
      <c r="I925" s="6"/>
      <c r="J925" s="254"/>
      <c r="K925" s="504"/>
      <c r="L925" s="505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ht="12.0" customHeight="1">
      <c r="A926" s="6"/>
      <c r="B926" s="6"/>
      <c r="C926" s="6"/>
      <c r="D926" s="6"/>
      <c r="E926" s="502"/>
      <c r="F926" s="6"/>
      <c r="G926" s="6"/>
      <c r="H926" s="503"/>
      <c r="I926" s="6"/>
      <c r="J926" s="254"/>
      <c r="K926" s="504"/>
      <c r="L926" s="505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ht="12.0" customHeight="1">
      <c r="A927" s="6"/>
      <c r="B927" s="6"/>
      <c r="C927" s="6"/>
      <c r="D927" s="6"/>
      <c r="E927" s="502"/>
      <c r="F927" s="6"/>
      <c r="G927" s="6"/>
      <c r="H927" s="503"/>
      <c r="I927" s="6"/>
      <c r="J927" s="254"/>
      <c r="K927" s="504"/>
      <c r="L927" s="505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ht="12.0" customHeight="1">
      <c r="A928" s="6"/>
      <c r="B928" s="6"/>
      <c r="C928" s="6"/>
      <c r="D928" s="6"/>
      <c r="E928" s="502"/>
      <c r="F928" s="6"/>
      <c r="G928" s="6"/>
      <c r="H928" s="503"/>
      <c r="I928" s="6"/>
      <c r="J928" s="254"/>
      <c r="K928" s="504"/>
      <c r="L928" s="505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ht="12.0" customHeight="1">
      <c r="A929" s="6"/>
      <c r="B929" s="6"/>
      <c r="C929" s="6"/>
      <c r="D929" s="6"/>
      <c r="E929" s="502"/>
      <c r="F929" s="6"/>
      <c r="G929" s="6"/>
      <c r="H929" s="503"/>
      <c r="I929" s="6"/>
      <c r="J929" s="254"/>
      <c r="K929" s="504"/>
      <c r="L929" s="505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ht="12.0" customHeight="1">
      <c r="A930" s="6"/>
      <c r="B930" s="6"/>
      <c r="C930" s="6"/>
      <c r="D930" s="6"/>
      <c r="E930" s="502"/>
      <c r="F930" s="6"/>
      <c r="G930" s="6"/>
      <c r="H930" s="503"/>
      <c r="I930" s="6"/>
      <c r="J930" s="254"/>
      <c r="K930" s="504"/>
      <c r="L930" s="505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ht="12.0" customHeight="1">
      <c r="A931" s="6"/>
      <c r="B931" s="6"/>
      <c r="C931" s="6"/>
      <c r="D931" s="6"/>
      <c r="E931" s="502"/>
      <c r="F931" s="6"/>
      <c r="G931" s="6"/>
      <c r="H931" s="503"/>
      <c r="I931" s="6"/>
      <c r="J931" s="254"/>
      <c r="K931" s="504"/>
      <c r="L931" s="505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ht="12.0" customHeight="1">
      <c r="A932" s="6"/>
      <c r="B932" s="6"/>
      <c r="C932" s="6"/>
      <c r="D932" s="6"/>
      <c r="E932" s="502"/>
      <c r="F932" s="6"/>
      <c r="G932" s="6"/>
      <c r="H932" s="503"/>
      <c r="I932" s="6"/>
      <c r="J932" s="254"/>
      <c r="K932" s="504"/>
      <c r="L932" s="505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ht="12.0" customHeight="1">
      <c r="A933" s="6"/>
      <c r="B933" s="6"/>
      <c r="C933" s="6"/>
      <c r="D933" s="6"/>
      <c r="E933" s="502"/>
      <c r="F933" s="6"/>
      <c r="G933" s="6"/>
      <c r="H933" s="503"/>
      <c r="I933" s="6"/>
      <c r="J933" s="254"/>
      <c r="K933" s="504"/>
      <c r="L933" s="505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ht="12.0" customHeight="1">
      <c r="A934" s="6"/>
      <c r="B934" s="6"/>
      <c r="C934" s="6"/>
      <c r="D934" s="6"/>
      <c r="E934" s="502"/>
      <c r="F934" s="6"/>
      <c r="G934" s="6"/>
      <c r="H934" s="503"/>
      <c r="I934" s="6"/>
      <c r="J934" s="254"/>
      <c r="K934" s="504"/>
      <c r="L934" s="505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ht="12.0" customHeight="1">
      <c r="A935" s="6"/>
      <c r="B935" s="6"/>
      <c r="C935" s="6"/>
      <c r="D935" s="6"/>
      <c r="E935" s="502"/>
      <c r="F935" s="6"/>
      <c r="G935" s="6"/>
      <c r="H935" s="503"/>
      <c r="I935" s="6"/>
      <c r="J935" s="254"/>
      <c r="K935" s="504"/>
      <c r="L935" s="505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ht="12.0" customHeight="1">
      <c r="A936" s="6"/>
      <c r="B936" s="6"/>
      <c r="C936" s="6"/>
      <c r="D936" s="6"/>
      <c r="E936" s="502"/>
      <c r="F936" s="6"/>
      <c r="G936" s="6"/>
      <c r="H936" s="503"/>
      <c r="I936" s="6"/>
      <c r="J936" s="254"/>
      <c r="K936" s="504"/>
      <c r="L936" s="505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ht="12.0" customHeight="1">
      <c r="A937" s="6"/>
      <c r="B937" s="6"/>
      <c r="C937" s="6"/>
      <c r="D937" s="6"/>
      <c r="E937" s="502"/>
      <c r="F937" s="6"/>
      <c r="G937" s="6"/>
      <c r="H937" s="503"/>
      <c r="I937" s="6"/>
      <c r="J937" s="254"/>
      <c r="K937" s="504"/>
      <c r="L937" s="505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ht="12.0" customHeight="1">
      <c r="A938" s="6"/>
      <c r="B938" s="6"/>
      <c r="C938" s="6"/>
      <c r="D938" s="6"/>
      <c r="E938" s="502"/>
      <c r="F938" s="6"/>
      <c r="G938" s="6"/>
      <c r="H938" s="503"/>
      <c r="I938" s="6"/>
      <c r="J938" s="254"/>
      <c r="K938" s="504"/>
      <c r="L938" s="505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ht="12.0" customHeight="1">
      <c r="A939" s="6"/>
      <c r="B939" s="6"/>
      <c r="C939" s="6"/>
      <c r="D939" s="6"/>
      <c r="E939" s="502"/>
      <c r="F939" s="6"/>
      <c r="G939" s="6"/>
      <c r="H939" s="503"/>
      <c r="I939" s="6"/>
      <c r="J939" s="254"/>
      <c r="K939" s="504"/>
      <c r="L939" s="505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ht="12.0" customHeight="1">
      <c r="A940" s="6"/>
      <c r="B940" s="6"/>
      <c r="C940" s="6"/>
      <c r="D940" s="6"/>
      <c r="E940" s="502"/>
      <c r="F940" s="6"/>
      <c r="G940" s="6"/>
      <c r="H940" s="503"/>
      <c r="I940" s="6"/>
      <c r="J940" s="254"/>
      <c r="K940" s="504"/>
      <c r="L940" s="505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ht="12.0" customHeight="1">
      <c r="A941" s="6"/>
      <c r="B941" s="6"/>
      <c r="C941" s="6"/>
      <c r="D941" s="6"/>
      <c r="E941" s="502"/>
      <c r="F941" s="6"/>
      <c r="G941" s="6"/>
      <c r="H941" s="503"/>
      <c r="I941" s="6"/>
      <c r="J941" s="254"/>
      <c r="K941" s="504"/>
      <c r="L941" s="505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ht="12.0" customHeight="1">
      <c r="A942" s="6"/>
      <c r="B942" s="6"/>
      <c r="C942" s="6"/>
      <c r="D942" s="6"/>
      <c r="E942" s="502"/>
      <c r="F942" s="6"/>
      <c r="G942" s="6"/>
      <c r="H942" s="503"/>
      <c r="I942" s="6"/>
      <c r="J942" s="254"/>
      <c r="K942" s="504"/>
      <c r="L942" s="505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ht="12.0" customHeight="1">
      <c r="A943" s="6"/>
      <c r="B943" s="6"/>
      <c r="C943" s="6"/>
      <c r="D943" s="6"/>
      <c r="E943" s="502"/>
      <c r="F943" s="6"/>
      <c r="G943" s="6"/>
      <c r="H943" s="503"/>
      <c r="I943" s="6"/>
      <c r="J943" s="254"/>
      <c r="K943" s="504"/>
      <c r="L943" s="505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ht="12.0" customHeight="1">
      <c r="A944" s="6"/>
      <c r="B944" s="6"/>
      <c r="C944" s="6"/>
      <c r="D944" s="6"/>
      <c r="E944" s="502"/>
      <c r="F944" s="6"/>
      <c r="G944" s="6"/>
      <c r="H944" s="503"/>
      <c r="I944" s="6"/>
      <c r="J944" s="254"/>
      <c r="K944" s="504"/>
      <c r="L944" s="505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ht="12.0" customHeight="1">
      <c r="A945" s="6"/>
      <c r="B945" s="6"/>
      <c r="C945" s="6"/>
      <c r="D945" s="6"/>
      <c r="E945" s="502"/>
      <c r="F945" s="6"/>
      <c r="G945" s="6"/>
      <c r="H945" s="503"/>
      <c r="I945" s="6"/>
      <c r="J945" s="254"/>
      <c r="K945" s="504"/>
      <c r="L945" s="505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ht="12.0" customHeight="1">
      <c r="A946" s="6"/>
      <c r="B946" s="6"/>
      <c r="C946" s="6"/>
      <c r="D946" s="6"/>
      <c r="E946" s="502"/>
      <c r="F946" s="6"/>
      <c r="G946" s="6"/>
      <c r="H946" s="503"/>
      <c r="I946" s="6"/>
      <c r="J946" s="254"/>
      <c r="K946" s="504"/>
      <c r="L946" s="505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ht="12.0" customHeight="1">
      <c r="A947" s="6"/>
      <c r="B947" s="6"/>
      <c r="C947" s="6"/>
      <c r="D947" s="6"/>
      <c r="E947" s="502"/>
      <c r="F947" s="6"/>
      <c r="G947" s="6"/>
      <c r="H947" s="503"/>
      <c r="I947" s="6"/>
      <c r="J947" s="254"/>
      <c r="K947" s="504"/>
      <c r="L947" s="505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ht="12.0" customHeight="1">
      <c r="A948" s="6"/>
      <c r="B948" s="6"/>
      <c r="C948" s="6"/>
      <c r="D948" s="6"/>
      <c r="E948" s="502"/>
      <c r="F948" s="6"/>
      <c r="G948" s="6"/>
      <c r="H948" s="503"/>
      <c r="I948" s="6"/>
      <c r="J948" s="254"/>
      <c r="K948" s="504"/>
      <c r="L948" s="505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ht="12.0" customHeight="1">
      <c r="A949" s="6"/>
      <c r="B949" s="6"/>
      <c r="C949" s="6"/>
      <c r="D949" s="6"/>
      <c r="E949" s="502"/>
      <c r="F949" s="6"/>
      <c r="G949" s="6"/>
      <c r="H949" s="503"/>
      <c r="I949" s="6"/>
      <c r="J949" s="254"/>
      <c r="K949" s="504"/>
      <c r="L949" s="505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ht="12.0" customHeight="1">
      <c r="A950" s="6"/>
      <c r="B950" s="6"/>
      <c r="C950" s="6"/>
      <c r="D950" s="6"/>
      <c r="E950" s="502"/>
      <c r="F950" s="6"/>
      <c r="G950" s="6"/>
      <c r="H950" s="503"/>
      <c r="I950" s="6"/>
      <c r="J950" s="254"/>
      <c r="K950" s="504"/>
      <c r="L950" s="505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ht="12.0" customHeight="1">
      <c r="A951" s="6"/>
      <c r="B951" s="6"/>
      <c r="C951" s="6"/>
      <c r="D951" s="6"/>
      <c r="E951" s="502"/>
      <c r="F951" s="6"/>
      <c r="G951" s="6"/>
      <c r="H951" s="503"/>
      <c r="I951" s="6"/>
      <c r="J951" s="254"/>
      <c r="K951" s="504"/>
      <c r="L951" s="505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ht="12.0" customHeight="1">
      <c r="A952" s="6"/>
      <c r="B952" s="6"/>
      <c r="C952" s="6"/>
      <c r="D952" s="6"/>
      <c r="E952" s="502"/>
      <c r="F952" s="6"/>
      <c r="G952" s="6"/>
      <c r="H952" s="503"/>
      <c r="I952" s="6"/>
      <c r="J952" s="254"/>
      <c r="K952" s="504"/>
      <c r="L952" s="505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ht="12.0" customHeight="1">
      <c r="A953" s="6"/>
      <c r="B953" s="6"/>
      <c r="C953" s="6"/>
      <c r="D953" s="6"/>
      <c r="E953" s="502"/>
      <c r="F953" s="6"/>
      <c r="G953" s="6"/>
      <c r="H953" s="503"/>
      <c r="I953" s="6"/>
      <c r="J953" s="254"/>
      <c r="K953" s="504"/>
      <c r="L953" s="505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ht="12.0" customHeight="1">
      <c r="A954" s="6"/>
      <c r="B954" s="6"/>
      <c r="C954" s="6"/>
      <c r="D954" s="6"/>
      <c r="E954" s="502"/>
      <c r="F954" s="6"/>
      <c r="G954" s="6"/>
      <c r="H954" s="503"/>
      <c r="I954" s="6"/>
      <c r="J954" s="254"/>
      <c r="K954" s="504"/>
      <c r="L954" s="505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ht="12.0" customHeight="1">
      <c r="A955" s="6"/>
      <c r="B955" s="6"/>
      <c r="C955" s="6"/>
      <c r="D955" s="6"/>
      <c r="E955" s="502"/>
      <c r="F955" s="6"/>
      <c r="G955" s="6"/>
      <c r="H955" s="503"/>
      <c r="I955" s="6"/>
      <c r="J955" s="254"/>
      <c r="K955" s="504"/>
      <c r="L955" s="505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ht="12.0" customHeight="1">
      <c r="A956" s="6"/>
      <c r="B956" s="6"/>
      <c r="C956" s="6"/>
      <c r="D956" s="6"/>
      <c r="E956" s="502"/>
      <c r="F956" s="6"/>
      <c r="G956" s="6"/>
      <c r="H956" s="503"/>
      <c r="I956" s="6"/>
      <c r="J956" s="254"/>
      <c r="K956" s="504"/>
      <c r="L956" s="505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ht="12.0" customHeight="1">
      <c r="A957" s="6"/>
      <c r="B957" s="6"/>
      <c r="C957" s="6"/>
      <c r="D957" s="6"/>
      <c r="E957" s="502"/>
      <c r="F957" s="6"/>
      <c r="G957" s="6"/>
      <c r="H957" s="503"/>
      <c r="I957" s="6"/>
      <c r="J957" s="254"/>
      <c r="K957" s="504"/>
      <c r="L957" s="505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ht="12.0" customHeight="1">
      <c r="A958" s="6"/>
      <c r="B958" s="6"/>
      <c r="C958" s="6"/>
      <c r="D958" s="6"/>
      <c r="E958" s="502"/>
      <c r="F958" s="6"/>
      <c r="G958" s="6"/>
      <c r="H958" s="503"/>
      <c r="I958" s="6"/>
      <c r="J958" s="254"/>
      <c r="K958" s="504"/>
      <c r="L958" s="505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ht="12.0" customHeight="1">
      <c r="A959" s="6"/>
      <c r="B959" s="6"/>
      <c r="C959" s="6"/>
      <c r="D959" s="6"/>
      <c r="E959" s="502"/>
      <c r="F959" s="6"/>
      <c r="G959" s="6"/>
      <c r="H959" s="503"/>
      <c r="I959" s="6"/>
      <c r="J959" s="254"/>
      <c r="K959" s="504"/>
      <c r="L959" s="505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ht="12.0" customHeight="1">
      <c r="A960" s="6"/>
      <c r="B960" s="6"/>
      <c r="C960" s="6"/>
      <c r="D960" s="6"/>
      <c r="E960" s="502"/>
      <c r="F960" s="6"/>
      <c r="G960" s="6"/>
      <c r="H960" s="503"/>
      <c r="I960" s="6"/>
      <c r="J960" s="254"/>
      <c r="K960" s="504"/>
      <c r="L960" s="505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ht="12.0" customHeight="1">
      <c r="A961" s="6"/>
      <c r="B961" s="6"/>
      <c r="C961" s="6"/>
      <c r="D961" s="6"/>
      <c r="E961" s="502"/>
      <c r="F961" s="6"/>
      <c r="G961" s="6"/>
      <c r="H961" s="503"/>
      <c r="I961" s="6"/>
      <c r="J961" s="254"/>
      <c r="K961" s="504"/>
      <c r="L961" s="505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ht="12.0" customHeight="1">
      <c r="A962" s="6"/>
      <c r="B962" s="6"/>
      <c r="C962" s="6"/>
      <c r="D962" s="6"/>
      <c r="E962" s="502"/>
      <c r="F962" s="6"/>
      <c r="G962" s="6"/>
      <c r="H962" s="503"/>
      <c r="I962" s="6"/>
      <c r="J962" s="254"/>
      <c r="K962" s="504"/>
      <c r="L962" s="505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ht="12.0" customHeight="1">
      <c r="A963" s="6"/>
      <c r="B963" s="6"/>
      <c r="C963" s="6"/>
      <c r="D963" s="6"/>
      <c r="E963" s="502"/>
      <c r="F963" s="6"/>
      <c r="G963" s="6"/>
      <c r="H963" s="503"/>
      <c r="I963" s="6"/>
      <c r="J963" s="254"/>
      <c r="K963" s="504"/>
      <c r="L963" s="505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ht="12.0" customHeight="1">
      <c r="A964" s="6"/>
      <c r="B964" s="6"/>
      <c r="C964" s="6"/>
      <c r="D964" s="6"/>
      <c r="E964" s="502"/>
      <c r="F964" s="6"/>
      <c r="G964" s="6"/>
      <c r="H964" s="503"/>
      <c r="I964" s="6"/>
      <c r="J964" s="254"/>
      <c r="K964" s="504"/>
      <c r="L964" s="505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ht="12.0" customHeight="1">
      <c r="A965" s="6"/>
      <c r="B965" s="6"/>
      <c r="C965" s="6"/>
      <c r="D965" s="6"/>
      <c r="E965" s="502"/>
      <c r="F965" s="6"/>
      <c r="G965" s="6"/>
      <c r="H965" s="503"/>
      <c r="I965" s="6"/>
      <c r="J965" s="254"/>
      <c r="K965" s="504"/>
      <c r="L965" s="505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ht="12.0" customHeight="1">
      <c r="A966" s="6"/>
      <c r="B966" s="6"/>
      <c r="C966" s="6"/>
      <c r="D966" s="6"/>
      <c r="E966" s="502"/>
      <c r="F966" s="6"/>
      <c r="G966" s="6"/>
      <c r="H966" s="503"/>
      <c r="I966" s="6"/>
      <c r="J966" s="254"/>
      <c r="K966" s="504"/>
      <c r="L966" s="505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ht="12.0" customHeight="1">
      <c r="A967" s="6"/>
      <c r="B967" s="6"/>
      <c r="C967" s="6"/>
      <c r="D967" s="6"/>
      <c r="E967" s="502"/>
      <c r="F967" s="6"/>
      <c r="G967" s="6"/>
      <c r="H967" s="503"/>
      <c r="I967" s="6"/>
      <c r="J967" s="254"/>
      <c r="K967" s="504"/>
      <c r="L967" s="505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ht="12.0" customHeight="1">
      <c r="A968" s="6"/>
      <c r="B968" s="6"/>
      <c r="C968" s="6"/>
      <c r="D968" s="6"/>
      <c r="E968" s="502"/>
      <c r="F968" s="6"/>
      <c r="G968" s="6"/>
      <c r="H968" s="503"/>
      <c r="I968" s="6"/>
      <c r="J968" s="254"/>
      <c r="K968" s="504"/>
      <c r="L968" s="505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ht="12.0" customHeight="1">
      <c r="A969" s="6"/>
      <c r="B969" s="6"/>
      <c r="C969" s="6"/>
      <c r="D969" s="6"/>
      <c r="E969" s="502"/>
      <c r="F969" s="6"/>
      <c r="G969" s="6"/>
      <c r="H969" s="503"/>
      <c r="I969" s="6"/>
      <c r="J969" s="254"/>
      <c r="K969" s="504"/>
      <c r="L969" s="505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ht="12.0" customHeight="1">
      <c r="A970" s="6"/>
      <c r="B970" s="6"/>
      <c r="C970" s="6"/>
      <c r="D970" s="6"/>
      <c r="E970" s="502"/>
      <c r="F970" s="6"/>
      <c r="G970" s="6"/>
      <c r="H970" s="503"/>
      <c r="I970" s="6"/>
      <c r="J970" s="254"/>
      <c r="K970" s="504"/>
      <c r="L970" s="505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ht="12.0" customHeight="1">
      <c r="A971" s="6"/>
      <c r="B971" s="6"/>
      <c r="C971" s="6"/>
      <c r="D971" s="6"/>
      <c r="E971" s="502"/>
      <c r="F971" s="6"/>
      <c r="G971" s="6"/>
      <c r="H971" s="503"/>
      <c r="I971" s="6"/>
      <c r="J971" s="254"/>
      <c r="K971" s="504"/>
      <c r="L971" s="505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ht="12.0" customHeight="1">
      <c r="A972" s="6"/>
      <c r="B972" s="6"/>
      <c r="C972" s="6"/>
      <c r="D972" s="6"/>
      <c r="E972" s="502"/>
      <c r="F972" s="6"/>
      <c r="G972" s="6"/>
      <c r="H972" s="503"/>
      <c r="I972" s="6"/>
      <c r="J972" s="254"/>
      <c r="K972" s="504"/>
      <c r="L972" s="505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ht="12.0" customHeight="1">
      <c r="A973" s="6"/>
      <c r="B973" s="6"/>
      <c r="C973" s="6"/>
      <c r="D973" s="6"/>
      <c r="E973" s="502"/>
      <c r="F973" s="6"/>
      <c r="G973" s="6"/>
      <c r="H973" s="503"/>
      <c r="I973" s="6"/>
      <c r="J973" s="254"/>
      <c r="K973" s="504"/>
      <c r="L973" s="505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ht="12.0" customHeight="1">
      <c r="A974" s="6"/>
      <c r="B974" s="6"/>
      <c r="C974" s="6"/>
      <c r="D974" s="6"/>
      <c r="E974" s="502"/>
      <c r="F974" s="6"/>
      <c r="G974" s="6"/>
      <c r="H974" s="503"/>
      <c r="I974" s="6"/>
      <c r="J974" s="254"/>
      <c r="K974" s="504"/>
      <c r="L974" s="505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ht="12.0" customHeight="1">
      <c r="A975" s="6"/>
      <c r="B975" s="6"/>
      <c r="C975" s="6"/>
      <c r="D975" s="6"/>
      <c r="E975" s="502"/>
      <c r="F975" s="6"/>
      <c r="G975" s="6"/>
      <c r="H975" s="503"/>
      <c r="I975" s="6"/>
      <c r="J975" s="254"/>
      <c r="K975" s="504"/>
      <c r="L975" s="505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ht="12.0" customHeight="1">
      <c r="A976" s="6"/>
      <c r="B976" s="6"/>
      <c r="C976" s="6"/>
      <c r="D976" s="6"/>
      <c r="E976" s="502"/>
      <c r="F976" s="6"/>
      <c r="G976" s="6"/>
      <c r="H976" s="503"/>
      <c r="I976" s="6"/>
      <c r="J976" s="254"/>
      <c r="K976" s="504"/>
      <c r="L976" s="505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ht="12.0" customHeight="1">
      <c r="A977" s="6"/>
      <c r="B977" s="6"/>
      <c r="C977" s="6"/>
      <c r="D977" s="6"/>
      <c r="E977" s="502"/>
      <c r="F977" s="6"/>
      <c r="G977" s="6"/>
      <c r="H977" s="503"/>
      <c r="I977" s="6"/>
      <c r="J977" s="254"/>
      <c r="K977" s="504"/>
      <c r="L977" s="505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ht="12.0" customHeight="1">
      <c r="A978" s="6"/>
      <c r="B978" s="6"/>
      <c r="C978" s="6"/>
      <c r="D978" s="6"/>
      <c r="E978" s="502"/>
      <c r="F978" s="6"/>
      <c r="G978" s="6"/>
      <c r="H978" s="503"/>
      <c r="I978" s="6"/>
      <c r="J978" s="254"/>
      <c r="K978" s="504"/>
      <c r="L978" s="505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ht="12.0" customHeight="1">
      <c r="A979" s="6"/>
      <c r="B979" s="6"/>
      <c r="C979" s="6"/>
      <c r="D979" s="6"/>
      <c r="E979" s="502"/>
      <c r="F979" s="6"/>
      <c r="G979" s="6"/>
      <c r="H979" s="503"/>
      <c r="I979" s="6"/>
      <c r="J979" s="254"/>
      <c r="K979" s="504"/>
      <c r="L979" s="505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ht="12.0" customHeight="1">
      <c r="A980" s="6"/>
      <c r="B980" s="6"/>
      <c r="C980" s="6"/>
      <c r="D980" s="6"/>
      <c r="E980" s="502"/>
      <c r="F980" s="6"/>
      <c r="G980" s="6"/>
      <c r="H980" s="503"/>
      <c r="I980" s="6"/>
      <c r="J980" s="254"/>
      <c r="K980" s="504"/>
      <c r="L980" s="505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ht="12.0" customHeight="1">
      <c r="A981" s="6"/>
      <c r="B981" s="6"/>
      <c r="C981" s="6"/>
      <c r="D981" s="6"/>
      <c r="E981" s="502"/>
      <c r="F981" s="6"/>
      <c r="G981" s="6"/>
      <c r="H981" s="503"/>
      <c r="I981" s="6"/>
      <c r="J981" s="254"/>
      <c r="K981" s="504"/>
      <c r="L981" s="505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ht="12.0" customHeight="1">
      <c r="A982" s="6"/>
      <c r="B982" s="6"/>
      <c r="C982" s="6"/>
      <c r="D982" s="6"/>
      <c r="E982" s="502"/>
      <c r="F982" s="6"/>
      <c r="G982" s="6"/>
      <c r="H982" s="503"/>
      <c r="I982" s="6"/>
      <c r="J982" s="254"/>
      <c r="K982" s="504"/>
      <c r="L982" s="505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ht="12.0" customHeight="1">
      <c r="A983" s="6"/>
      <c r="B983" s="6"/>
      <c r="C983" s="6"/>
      <c r="D983" s="6"/>
      <c r="E983" s="502"/>
      <c r="F983" s="6"/>
      <c r="G983" s="6"/>
      <c r="H983" s="503"/>
      <c r="I983" s="6"/>
      <c r="J983" s="254"/>
      <c r="K983" s="504"/>
      <c r="L983" s="505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ht="12.0" customHeight="1">
      <c r="A984" s="6"/>
      <c r="B984" s="6"/>
      <c r="C984" s="6"/>
      <c r="D984" s="6"/>
      <c r="E984" s="502"/>
      <c r="F984" s="6"/>
      <c r="G984" s="6"/>
      <c r="H984" s="503"/>
      <c r="I984" s="6"/>
      <c r="J984" s="254"/>
      <c r="K984" s="504"/>
      <c r="L984" s="505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ht="12.0" customHeight="1">
      <c r="A985" s="6"/>
      <c r="B985" s="6"/>
      <c r="C985" s="6"/>
      <c r="D985" s="6"/>
      <c r="E985" s="502"/>
      <c r="F985" s="6"/>
      <c r="G985" s="6"/>
      <c r="H985" s="503"/>
      <c r="I985" s="6"/>
      <c r="J985" s="254"/>
      <c r="K985" s="504"/>
      <c r="L985" s="505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ht="12.0" customHeight="1">
      <c r="A986" s="6"/>
      <c r="B986" s="6"/>
      <c r="C986" s="6"/>
      <c r="D986" s="6"/>
      <c r="E986" s="502"/>
      <c r="F986" s="6"/>
      <c r="G986" s="6"/>
      <c r="H986" s="503"/>
      <c r="I986" s="6"/>
      <c r="J986" s="254"/>
      <c r="K986" s="504"/>
      <c r="L986" s="505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ht="12.0" customHeight="1">
      <c r="A987" s="6"/>
      <c r="B987" s="6"/>
      <c r="C987" s="6"/>
      <c r="D987" s="6"/>
      <c r="E987" s="502"/>
      <c r="F987" s="6"/>
      <c r="G987" s="6"/>
      <c r="H987" s="503"/>
      <c r="I987" s="6"/>
      <c r="J987" s="254"/>
      <c r="K987" s="504"/>
      <c r="L987" s="505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ht="12.0" customHeight="1">
      <c r="A988" s="6"/>
      <c r="B988" s="6"/>
      <c r="C988" s="6"/>
      <c r="D988" s="6"/>
      <c r="E988" s="502"/>
      <c r="F988" s="6"/>
      <c r="G988" s="6"/>
      <c r="H988" s="503"/>
      <c r="I988" s="6"/>
      <c r="J988" s="254"/>
      <c r="K988" s="504"/>
      <c r="L988" s="505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ht="12.0" customHeight="1">
      <c r="A989" s="6"/>
      <c r="B989" s="6"/>
      <c r="C989" s="6"/>
      <c r="D989" s="6"/>
      <c r="E989" s="502"/>
      <c r="F989" s="6"/>
      <c r="G989" s="6"/>
      <c r="H989" s="503"/>
      <c r="I989" s="6"/>
      <c r="J989" s="254"/>
      <c r="K989" s="504"/>
      <c r="L989" s="505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</sheetData>
  <conditionalFormatting sqref="E111:E113 E261">
    <cfRule type="expression" dxfId="0" priority="1">
      <formula>H261=0</formula>
    </cfRule>
  </conditionalFormatting>
  <conditionalFormatting sqref="E111:E113 E261">
    <cfRule type="cellIs" dxfId="1" priority="2" operator="notEqual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2014-12-21T14:08:42Z</dcterms:created>
  <dc:creator>Alumno</dc:creator>
</cp:coreProperties>
</file>