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6020.Inecon_ModeloVanMedicion\6020.Inecon_ModeloVanMedicion\Code\Limpio\Excels\"/>
    </mc:Choice>
  </mc:AlternateContent>
  <xr:revisionPtr revIDLastSave="0" documentId="13_ncr:1_{1003B1AA-ED0E-49AF-A981-84B00176A449}" xr6:coauthVersionLast="47" xr6:coauthVersionMax="47" xr10:uidLastSave="{00000000-0000-0000-0000-000000000000}"/>
  <bookViews>
    <workbookView xWindow="-108" yWindow="-108" windowWidth="23256" windowHeight="12576" xr2:uid="{0B67A8E0-BE2B-4F48-8F89-95A6B35879D7}"/>
  </bookViews>
  <sheets>
    <sheet name="Datos_Tarifas" sheetId="13" r:id="rId1"/>
    <sheet name="FLUJO E1" sheetId="12" r:id="rId2"/>
    <sheet name="PARAMETROS" sheetId="7" r:id="rId3"/>
    <sheet name="PARAMETROS_NEO" sheetId="11" r:id="rId4"/>
    <sheet name="DATOS" sheetId="8" r:id="rId5"/>
    <sheet name="CAUDAL MODIFICADO" sheetId="4" r:id="rId6"/>
    <sheet name="PORC CAUDAL PENDIENTE" sheetId="6" r:id="rId7"/>
    <sheet name="EDAD" sheetId="2" r:id="rId8"/>
    <sheet name="PROGRAMA AUTOCONTROL" sheetId="5" r:id="rId9"/>
    <sheet name="CLASES" sheetId="3" r:id="rId10"/>
    <sheet name="REFERENCIA CLASES DECAIMIENTO" sheetId="10" r:id="rId11"/>
    <sheet name="CAUDAL ORIGINAL" sheetId="1" r:id="rId12"/>
  </sheets>
  <externalReferences>
    <externalReference r:id="rId13"/>
  </externalReferences>
  <definedNames>
    <definedName name="_xlnm._FilterDatabase" localSheetId="4" hidden="1">DATOS!$A$1:$G$1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1" i="12" l="1"/>
  <c r="H181" i="12"/>
  <c r="G181" i="12"/>
  <c r="M180" i="12"/>
  <c r="M179" i="12"/>
  <c r="M178" i="12"/>
  <c r="M177" i="12"/>
  <c r="M176" i="12"/>
  <c r="M175" i="12"/>
  <c r="M174" i="12"/>
  <c r="D158" i="12"/>
  <c r="B158" i="12"/>
  <c r="C158" i="12" s="1"/>
  <c r="L157" i="12"/>
  <c r="J157" i="12"/>
  <c r="F157" i="12"/>
  <c r="D157" i="12"/>
  <c r="C157" i="12"/>
  <c r="B157" i="12"/>
  <c r="M156" i="12"/>
  <c r="L156" i="12"/>
  <c r="H156" i="12"/>
  <c r="G156" i="12"/>
  <c r="D156" i="12"/>
  <c r="I156" i="12" s="1"/>
  <c r="C156" i="12"/>
  <c r="M155" i="12"/>
  <c r="K155" i="12"/>
  <c r="I155" i="12"/>
  <c r="G155" i="12"/>
  <c r="F155" i="12"/>
  <c r="D155" i="12"/>
  <c r="R153" i="12"/>
  <c r="Q153" i="12"/>
  <c r="P153" i="12"/>
  <c r="S152" i="12" s="1"/>
  <c r="O153" i="12"/>
  <c r="N153" i="12"/>
  <c r="T151" i="12"/>
  <c r="P151" i="12"/>
  <c r="O151" i="12"/>
  <c r="I151" i="12"/>
  <c r="E151" i="12"/>
  <c r="E65" i="12" s="1"/>
  <c r="D151" i="12"/>
  <c r="B151" i="12"/>
  <c r="T150" i="12"/>
  <c r="O150" i="12"/>
  <c r="J150" i="12"/>
  <c r="H150" i="12"/>
  <c r="D150" i="12"/>
  <c r="B150" i="12"/>
  <c r="L155" i="12" s="1"/>
  <c r="R149" i="12"/>
  <c r="R63" i="12" s="1"/>
  <c r="Q149" i="12"/>
  <c r="Q63" i="12" s="1"/>
  <c r="K149" i="12"/>
  <c r="G149" i="12"/>
  <c r="F149" i="12"/>
  <c r="F63" i="12" s="1"/>
  <c r="B149" i="12"/>
  <c r="T149" i="12" s="1"/>
  <c r="T148" i="12"/>
  <c r="P148" i="12"/>
  <c r="N148" i="12"/>
  <c r="N62" i="12" s="1"/>
  <c r="I148" i="12"/>
  <c r="E148" i="12"/>
  <c r="E62" i="12" s="1"/>
  <c r="D148" i="12"/>
  <c r="B148" i="12"/>
  <c r="J155" i="12" s="1"/>
  <c r="T147" i="12"/>
  <c r="Q147" i="12"/>
  <c r="Q61" i="12" s="1"/>
  <c r="P147" i="12"/>
  <c r="O147" i="12"/>
  <c r="M147" i="12"/>
  <c r="M61" i="12" s="1"/>
  <c r="L147" i="12"/>
  <c r="L61" i="12" s="1"/>
  <c r="K147" i="12"/>
  <c r="I147" i="12"/>
  <c r="H147" i="12"/>
  <c r="G147" i="12"/>
  <c r="G61" i="12" s="1"/>
  <c r="E147" i="12"/>
  <c r="D147" i="12"/>
  <c r="C147" i="12"/>
  <c r="B147" i="12"/>
  <c r="B146" i="12"/>
  <c r="S145" i="12"/>
  <c r="S59" i="12" s="1"/>
  <c r="O145" i="12"/>
  <c r="N145" i="12"/>
  <c r="J145" i="12"/>
  <c r="J59" i="12" s="1"/>
  <c r="I145" i="12"/>
  <c r="I59" i="12" s="1"/>
  <c r="E145" i="12"/>
  <c r="C145" i="12"/>
  <c r="B145" i="12"/>
  <c r="T145" i="12" s="1"/>
  <c r="Q145" i="12" s="1"/>
  <c r="Q59" i="12" s="1"/>
  <c r="T144" i="12"/>
  <c r="R144" i="12"/>
  <c r="Q144" i="12"/>
  <c r="P144" i="12"/>
  <c r="N144" i="12"/>
  <c r="M144" i="12"/>
  <c r="L144" i="12"/>
  <c r="J144" i="12"/>
  <c r="I144" i="12"/>
  <c r="H144" i="12"/>
  <c r="F144" i="12"/>
  <c r="E144" i="12"/>
  <c r="D144" i="12"/>
  <c r="E138" i="12"/>
  <c r="D138" i="12"/>
  <c r="C138" i="12"/>
  <c r="Q131" i="12"/>
  <c r="P131" i="12"/>
  <c r="J131" i="12"/>
  <c r="F131" i="12"/>
  <c r="G129" i="12"/>
  <c r="G130" i="12" s="1"/>
  <c r="N128" i="12"/>
  <c r="M128" i="12"/>
  <c r="F128" i="12"/>
  <c r="R127" i="12"/>
  <c r="R131" i="12" s="1"/>
  <c r="Q127" i="12"/>
  <c r="P127" i="12"/>
  <c r="O127" i="12"/>
  <c r="O131" i="12" s="1"/>
  <c r="N127" i="12"/>
  <c r="N131" i="12" s="1"/>
  <c r="M127" i="12"/>
  <c r="M131" i="12" s="1"/>
  <c r="L127" i="12"/>
  <c r="L131" i="12" s="1"/>
  <c r="K127" i="12"/>
  <c r="K131" i="12" s="1"/>
  <c r="J127" i="12"/>
  <c r="I127" i="12"/>
  <c r="I131" i="12" s="1"/>
  <c r="H127" i="12"/>
  <c r="H131" i="12" s="1"/>
  <c r="G127" i="12"/>
  <c r="G131" i="12" s="1"/>
  <c r="F127" i="12"/>
  <c r="R126" i="12"/>
  <c r="R128" i="12" s="1"/>
  <c r="Q126" i="12"/>
  <c r="Q128" i="12" s="1"/>
  <c r="P126" i="12"/>
  <c r="P128" i="12" s="1"/>
  <c r="O126" i="12"/>
  <c r="O128" i="12" s="1"/>
  <c r="N126" i="12"/>
  <c r="M126" i="12"/>
  <c r="L126" i="12"/>
  <c r="L128" i="12" s="1"/>
  <c r="K126" i="12"/>
  <c r="K128" i="12" s="1"/>
  <c r="J126" i="12"/>
  <c r="J128" i="12" s="1"/>
  <c r="I126" i="12"/>
  <c r="I128" i="12" s="1"/>
  <c r="H126" i="12"/>
  <c r="H128" i="12" s="1"/>
  <c r="O129" i="12" s="1"/>
  <c r="O130" i="12" s="1"/>
  <c r="O110" i="12" s="1"/>
  <c r="G126" i="12"/>
  <c r="G128" i="12" s="1"/>
  <c r="F126" i="12"/>
  <c r="R105" i="12"/>
  <c r="N105" i="12"/>
  <c r="M105" i="12"/>
  <c r="L105" i="12"/>
  <c r="J105" i="12"/>
  <c r="I105" i="12"/>
  <c r="H105" i="12"/>
  <c r="F105" i="12"/>
  <c r="S104" i="12"/>
  <c r="S105" i="12" s="1"/>
  <c r="R104" i="12"/>
  <c r="Q104" i="12"/>
  <c r="Q105" i="12" s="1"/>
  <c r="P104" i="12"/>
  <c r="P105" i="12" s="1"/>
  <c r="O104" i="12"/>
  <c r="O105" i="12" s="1"/>
  <c r="N104" i="12"/>
  <c r="M104" i="12"/>
  <c r="L104" i="12"/>
  <c r="K104" i="12"/>
  <c r="K105" i="12" s="1"/>
  <c r="J104" i="12"/>
  <c r="I104" i="12"/>
  <c r="H104" i="12"/>
  <c r="G104" i="12"/>
  <c r="G105" i="12" s="1"/>
  <c r="F104" i="12"/>
  <c r="E104" i="12"/>
  <c r="E105" i="12" s="1"/>
  <c r="D99" i="12"/>
  <c r="H98" i="12"/>
  <c r="I98" i="12" s="1"/>
  <c r="J98" i="12" s="1"/>
  <c r="K98" i="12" s="1"/>
  <c r="L98" i="12" s="1"/>
  <c r="M98" i="12" s="1"/>
  <c r="N98" i="12" s="1"/>
  <c r="O98" i="12" s="1"/>
  <c r="P98" i="12" s="1"/>
  <c r="Q98" i="12" s="1"/>
  <c r="R98" i="12" s="1"/>
  <c r="S98" i="12" s="1"/>
  <c r="F98" i="12"/>
  <c r="G98" i="12" s="1"/>
  <c r="E98" i="12"/>
  <c r="G97" i="12"/>
  <c r="E97" i="12"/>
  <c r="F97" i="12" s="1"/>
  <c r="C84" i="12"/>
  <c r="C83" i="12"/>
  <c r="C82" i="12"/>
  <c r="C81" i="12"/>
  <c r="C80" i="12"/>
  <c r="C79" i="12"/>
  <c r="C78" i="12"/>
  <c r="E75" i="12"/>
  <c r="E84" i="12" s="1"/>
  <c r="C75" i="12"/>
  <c r="C74" i="12"/>
  <c r="C73" i="12"/>
  <c r="C72" i="12"/>
  <c r="C71" i="12"/>
  <c r="C70" i="12"/>
  <c r="C69" i="12"/>
  <c r="P65" i="12"/>
  <c r="O65" i="12"/>
  <c r="I65" i="12"/>
  <c r="C65" i="12"/>
  <c r="O64" i="12"/>
  <c r="J64" i="12"/>
  <c r="H64" i="12"/>
  <c r="C64" i="12"/>
  <c r="K63" i="12"/>
  <c r="G63" i="12"/>
  <c r="C63" i="12"/>
  <c r="P62" i="12"/>
  <c r="I62" i="12"/>
  <c r="C62" i="12"/>
  <c r="P61" i="12"/>
  <c r="O61" i="12"/>
  <c r="K61" i="12"/>
  <c r="I61" i="12"/>
  <c r="H61" i="12"/>
  <c r="E61" i="12"/>
  <c r="C61" i="12"/>
  <c r="C60" i="12"/>
  <c r="O59" i="12"/>
  <c r="N59" i="12"/>
  <c r="E59" i="12"/>
  <c r="C59" i="12"/>
  <c r="R58" i="12"/>
  <c r="Q58" i="12"/>
  <c r="P58" i="12"/>
  <c r="N58" i="12"/>
  <c r="M58" i="12"/>
  <c r="L58" i="12"/>
  <c r="J58" i="12"/>
  <c r="I58" i="12"/>
  <c r="H58" i="12"/>
  <c r="F58" i="12"/>
  <c r="E58" i="12"/>
  <c r="H55" i="12"/>
  <c r="G55" i="12"/>
  <c r="F55" i="12"/>
  <c r="E55" i="12"/>
  <c r="C55" i="12"/>
  <c r="H54" i="12"/>
  <c r="G54" i="12"/>
  <c r="F54" i="12"/>
  <c r="E54" i="12"/>
  <c r="C54" i="12"/>
  <c r="S53" i="12"/>
  <c r="R53" i="12"/>
  <c r="R73" i="12" s="1"/>
  <c r="R82" i="12" s="1"/>
  <c r="O53" i="12"/>
  <c r="N53" i="12"/>
  <c r="K53" i="12"/>
  <c r="J53" i="12"/>
  <c r="G53" i="12"/>
  <c r="G73" i="12" s="1"/>
  <c r="G82" i="12" s="1"/>
  <c r="F53" i="12"/>
  <c r="F73" i="12" s="1"/>
  <c r="F82" i="12" s="1"/>
  <c r="E53" i="12" a="1"/>
  <c r="Q53" i="12" s="1"/>
  <c r="C53" i="12"/>
  <c r="S52" i="12"/>
  <c r="P52" i="12"/>
  <c r="P72" i="12" s="1"/>
  <c r="P81" i="12" s="1"/>
  <c r="K52" i="12"/>
  <c r="H52" i="12"/>
  <c r="E52" i="12" a="1"/>
  <c r="C52" i="12"/>
  <c r="Q51" i="12"/>
  <c r="Q71" i="12" s="1"/>
  <c r="Q80" i="12" s="1"/>
  <c r="I51" i="12"/>
  <c r="I71" i="12" s="1"/>
  <c r="I80" i="12" s="1"/>
  <c r="E51" i="12" a="1"/>
  <c r="M51" i="12" s="1"/>
  <c r="M71" i="12" s="1"/>
  <c r="M80" i="12" s="1"/>
  <c r="C51" i="12"/>
  <c r="R50" i="12"/>
  <c r="Q50" i="12"/>
  <c r="N50" i="12"/>
  <c r="M50" i="12"/>
  <c r="J50" i="12"/>
  <c r="I50" i="12"/>
  <c r="F50" i="12"/>
  <c r="E50" i="12"/>
  <c r="E50" i="12" a="1"/>
  <c r="P50" i="12" s="1"/>
  <c r="C50" i="12"/>
  <c r="S49" i="12"/>
  <c r="R49" i="12"/>
  <c r="Q49" i="12"/>
  <c r="Q69" i="12" s="1"/>
  <c r="Q78" i="12" s="1"/>
  <c r="O49" i="12"/>
  <c r="N49" i="12"/>
  <c r="N69" i="12" s="1"/>
  <c r="N78" i="12" s="1"/>
  <c r="M49" i="12"/>
  <c r="K49" i="12"/>
  <c r="J49" i="12"/>
  <c r="J69" i="12" s="1"/>
  <c r="J78" i="12" s="1"/>
  <c r="I49" i="12"/>
  <c r="I69" i="12" s="1"/>
  <c r="I78" i="12" s="1"/>
  <c r="G49" i="12"/>
  <c r="F49" i="12"/>
  <c r="E49" i="12"/>
  <c r="E69" i="12" s="1"/>
  <c r="E78" i="12" s="1"/>
  <c r="E49" i="12" a="1"/>
  <c r="P49" i="12" s="1"/>
  <c r="C49" i="12"/>
  <c r="E48" i="12" a="1"/>
  <c r="J47" i="12"/>
  <c r="J54" i="12" s="1"/>
  <c r="J74" i="12" s="1"/>
  <c r="J83" i="12" s="1"/>
  <c r="I47" i="12"/>
  <c r="I55" i="12" s="1"/>
  <c r="I75" i="12" s="1"/>
  <c r="I84" i="12" s="1"/>
  <c r="C44" i="12"/>
  <c r="C43" i="12"/>
  <c r="C42" i="12"/>
  <c r="C41" i="12"/>
  <c r="C40" i="12"/>
  <c r="C39" i="12"/>
  <c r="D38" i="12"/>
  <c r="C38" i="12"/>
  <c r="F24" i="12"/>
  <c r="E24" i="12"/>
  <c r="D24" i="12"/>
  <c r="F22" i="12"/>
  <c r="E22" i="12"/>
  <c r="D22" i="12"/>
  <c r="F21" i="12"/>
  <c r="E21" i="12"/>
  <c r="D21" i="12"/>
  <c r="F20" i="12"/>
  <c r="E20" i="12"/>
  <c r="D20" i="12"/>
  <c r="G14" i="12"/>
  <c r="F14" i="12"/>
  <c r="D14" i="12"/>
  <c r="I14" i="12" s="1"/>
  <c r="C14" i="12"/>
  <c r="E14" i="12" s="1"/>
  <c r="G13" i="12"/>
  <c r="F13" i="12"/>
  <c r="C13" i="12"/>
  <c r="H12" i="12"/>
  <c r="F12" i="12"/>
  <c r="E12" i="12"/>
  <c r="D12" i="12"/>
  <c r="I12" i="12" s="1"/>
  <c r="C12" i="12"/>
  <c r="G12" i="12" s="1"/>
  <c r="H11" i="12"/>
  <c r="G11" i="12"/>
  <c r="E11" i="12"/>
  <c r="C11" i="12"/>
  <c r="F11" i="12" s="1"/>
  <c r="G10" i="12"/>
  <c r="C10" i="12"/>
  <c r="E10" i="12" s="1"/>
  <c r="C9" i="12"/>
  <c r="H8" i="12"/>
  <c r="F8" i="12"/>
  <c r="E8" i="12"/>
  <c r="D8" i="12"/>
  <c r="I8" i="12" s="1"/>
  <c r="C8" i="12"/>
  <c r="G8" i="12" s="1"/>
  <c r="H7" i="12"/>
  <c r="G7" i="12"/>
  <c r="F7" i="12"/>
  <c r="E7" i="12"/>
  <c r="D7" i="12"/>
  <c r="I7" i="12" s="1"/>
  <c r="D26" i="12" l="1"/>
  <c r="D28" i="12" s="1"/>
  <c r="Q48" i="12"/>
  <c r="Q68" i="12" s="1"/>
  <c r="Q77" i="12" s="1"/>
  <c r="M48" i="12"/>
  <c r="M68" i="12" s="1"/>
  <c r="M77" i="12" s="1"/>
  <c r="I48" i="12"/>
  <c r="I68" i="12" s="1"/>
  <c r="I77" i="12" s="1"/>
  <c r="E48" i="12"/>
  <c r="E68" i="12" s="1"/>
  <c r="E77" i="12" s="1"/>
  <c r="J48" i="12"/>
  <c r="J68" i="12" s="1"/>
  <c r="J77" i="12" s="1"/>
  <c r="O48" i="12"/>
  <c r="J55" i="12"/>
  <c r="L158" i="12"/>
  <c r="H158" i="12"/>
  <c r="I158" i="12"/>
  <c r="M158" i="12"/>
  <c r="G158" i="12"/>
  <c r="K158" i="12"/>
  <c r="J158" i="12"/>
  <c r="F158" i="12"/>
  <c r="D137" i="12"/>
  <c r="K47" i="12"/>
  <c r="F48" i="12"/>
  <c r="F68" i="12" s="1"/>
  <c r="F77" i="12" s="1"/>
  <c r="K48" i="12"/>
  <c r="P48" i="12"/>
  <c r="P68" i="12" s="1"/>
  <c r="P77" i="12" s="1"/>
  <c r="S69" i="12"/>
  <c r="S78" i="12" s="1"/>
  <c r="F75" i="12"/>
  <c r="F84" i="12" s="1"/>
  <c r="E137" i="12"/>
  <c r="F23" i="12"/>
  <c r="E23" i="12"/>
  <c r="E25" i="12"/>
  <c r="E26" i="12" s="1"/>
  <c r="E28" i="12" s="1"/>
  <c r="D42" i="12"/>
  <c r="G48" i="12"/>
  <c r="O69" i="12"/>
  <c r="O78" i="12" s="1"/>
  <c r="E51" i="12"/>
  <c r="E71" i="12" s="1"/>
  <c r="E80" i="12" s="1"/>
  <c r="R52" i="12"/>
  <c r="N52" i="12"/>
  <c r="N72" i="12" s="1"/>
  <c r="N81" i="12" s="1"/>
  <c r="J52" i="12"/>
  <c r="F52" i="12"/>
  <c r="F72" i="12" s="1"/>
  <c r="F81" i="12" s="1"/>
  <c r="Q52" i="12"/>
  <c r="M52" i="12"/>
  <c r="I52" i="12"/>
  <c r="I72" i="12" s="1"/>
  <c r="I81" i="12" s="1"/>
  <c r="E52" i="12"/>
  <c r="E72" i="12" s="1"/>
  <c r="E81" i="12" s="1"/>
  <c r="L52" i="12"/>
  <c r="S148" i="12"/>
  <c r="S62" i="12" s="1"/>
  <c r="S72" i="12" s="1"/>
  <c r="S81" i="12" s="1"/>
  <c r="S144" i="12"/>
  <c r="S58" i="12" s="1"/>
  <c r="S151" i="12"/>
  <c r="S65" i="12" s="1"/>
  <c r="S149" i="12"/>
  <c r="S63" i="12" s="1"/>
  <c r="S73" i="12" s="1"/>
  <c r="S82" i="12" s="1"/>
  <c r="S146" i="12"/>
  <c r="S60" i="12" s="1"/>
  <c r="S150" i="12"/>
  <c r="S64" i="12" s="1"/>
  <c r="S147" i="12"/>
  <c r="S61" i="12" s="1"/>
  <c r="H9" i="12"/>
  <c r="D9" i="12"/>
  <c r="C137" i="12"/>
  <c r="D25" i="12"/>
  <c r="D37" i="12"/>
  <c r="H72" i="12"/>
  <c r="H81" i="12" s="1"/>
  <c r="H97" i="12"/>
  <c r="E9" i="12"/>
  <c r="H10" i="12"/>
  <c r="D23" i="12"/>
  <c r="S51" i="12"/>
  <c r="S71" i="12" s="1"/>
  <c r="S80" i="12" s="1"/>
  <c r="O51" i="12"/>
  <c r="O71" i="12" s="1"/>
  <c r="O80" i="12" s="1"/>
  <c r="K51" i="12"/>
  <c r="K71" i="12" s="1"/>
  <c r="K80" i="12" s="1"/>
  <c r="G51" i="12"/>
  <c r="G71" i="12" s="1"/>
  <c r="G80" i="12" s="1"/>
  <c r="R51" i="12"/>
  <c r="N51" i="12"/>
  <c r="N71" i="12" s="1"/>
  <c r="N80" i="12" s="1"/>
  <c r="J51" i="12"/>
  <c r="F51" i="12"/>
  <c r="L51" i="12"/>
  <c r="L71" i="12" s="1"/>
  <c r="L80" i="12" s="1"/>
  <c r="K72" i="12"/>
  <c r="K81" i="12" s="1"/>
  <c r="F9" i="12"/>
  <c r="D10" i="12"/>
  <c r="H13" i="12"/>
  <c r="D13" i="12"/>
  <c r="D44" i="12"/>
  <c r="L48" i="12"/>
  <c r="L68" i="12" s="1"/>
  <c r="L77" i="12" s="1"/>
  <c r="R48" i="12"/>
  <c r="R68" i="12" s="1"/>
  <c r="R77" i="12" s="1"/>
  <c r="G9" i="12"/>
  <c r="F10" i="12"/>
  <c r="D11" i="12"/>
  <c r="E13" i="12"/>
  <c r="H14" i="12"/>
  <c r="F25" i="12"/>
  <c r="F26" i="12" s="1"/>
  <c r="F28" i="12" s="1"/>
  <c r="H48" i="12"/>
  <c r="H68" i="12" s="1"/>
  <c r="H77" i="12" s="1"/>
  <c r="N48" i="12"/>
  <c r="N68" i="12" s="1"/>
  <c r="N77" i="12" s="1"/>
  <c r="S48" i="12"/>
  <c r="H51" i="12"/>
  <c r="H71" i="12" s="1"/>
  <c r="H80" i="12" s="1"/>
  <c r="P51" i="12"/>
  <c r="P71" i="12" s="1"/>
  <c r="P80" i="12" s="1"/>
  <c r="G52" i="12"/>
  <c r="O52" i="12"/>
  <c r="Q73" i="12"/>
  <c r="Q82" i="12" s="1"/>
  <c r="K73" i="12"/>
  <c r="K82" i="12" s="1"/>
  <c r="D120" i="12"/>
  <c r="E110" i="12"/>
  <c r="R129" i="12"/>
  <c r="R130" i="12" s="1"/>
  <c r="R110" i="12" s="1"/>
  <c r="N129" i="12"/>
  <c r="N130" i="12" s="1"/>
  <c r="N110" i="12" s="1"/>
  <c r="J129" i="12"/>
  <c r="J130" i="12" s="1"/>
  <c r="J110" i="12" s="1"/>
  <c r="F129" i="12"/>
  <c r="F130" i="12" s="1"/>
  <c r="F110" i="12" s="1"/>
  <c r="Q129" i="12"/>
  <c r="Q130" i="12" s="1"/>
  <c r="Q110" i="12" s="1"/>
  <c r="M129" i="12"/>
  <c r="M130" i="12" s="1"/>
  <c r="M110" i="12" s="1"/>
  <c r="I129" i="12"/>
  <c r="I130" i="12" s="1"/>
  <c r="I110" i="12" s="1"/>
  <c r="H129" i="12"/>
  <c r="H130" i="12" s="1"/>
  <c r="H110" i="12" s="1"/>
  <c r="P129" i="12"/>
  <c r="P130" i="12" s="1"/>
  <c r="P110" i="12" s="1"/>
  <c r="H155" i="12"/>
  <c r="T146" i="12"/>
  <c r="H49" i="12"/>
  <c r="L49" i="12"/>
  <c r="G50" i="12"/>
  <c r="K50" i="12"/>
  <c r="O50" i="12"/>
  <c r="S50" i="12"/>
  <c r="H53" i="12"/>
  <c r="L53" i="12"/>
  <c r="P53" i="12"/>
  <c r="H74" i="12"/>
  <c r="H83" i="12" s="1"/>
  <c r="R101" i="12"/>
  <c r="E109" i="12"/>
  <c r="E112" i="12" s="1"/>
  <c r="E113" i="12" s="1"/>
  <c r="K129" i="12"/>
  <c r="K130" i="12" s="1"/>
  <c r="K110" i="12" s="1"/>
  <c r="O148" i="12"/>
  <c r="O62" i="12" s="1"/>
  <c r="K148" i="12"/>
  <c r="K62" i="12" s="1"/>
  <c r="G148" i="12"/>
  <c r="G62" i="12" s="1"/>
  <c r="C148" i="12"/>
  <c r="R148" i="12"/>
  <c r="R62" i="12" s="1"/>
  <c r="M148" i="12"/>
  <c r="M62" i="12" s="1"/>
  <c r="H148" i="12"/>
  <c r="H62" i="12" s="1"/>
  <c r="Q148" i="12"/>
  <c r="Q62" i="12" s="1"/>
  <c r="L148" i="12"/>
  <c r="L62" i="12" s="1"/>
  <c r="F148" i="12"/>
  <c r="F62" i="12" s="1"/>
  <c r="Q150" i="12"/>
  <c r="Q64" i="12" s="1"/>
  <c r="M150" i="12"/>
  <c r="M64" i="12" s="1"/>
  <c r="I150" i="12"/>
  <c r="I64" i="12" s="1"/>
  <c r="E150" i="12"/>
  <c r="E64" i="12" s="1"/>
  <c r="E74" i="12" s="1"/>
  <c r="E83" i="12" s="1"/>
  <c r="R150" i="12"/>
  <c r="R64" i="12" s="1"/>
  <c r="L150" i="12"/>
  <c r="L64" i="12" s="1"/>
  <c r="G150" i="12"/>
  <c r="G64" i="12" s="1"/>
  <c r="G74" i="12" s="1"/>
  <c r="G83" i="12" s="1"/>
  <c r="P150" i="12"/>
  <c r="P64" i="12" s="1"/>
  <c r="K150" i="12"/>
  <c r="K64" i="12" s="1"/>
  <c r="F150" i="12"/>
  <c r="F64" i="12" s="1"/>
  <c r="F74" i="12" s="1"/>
  <c r="F83" i="12" s="1"/>
  <c r="R151" i="12"/>
  <c r="R65" i="12" s="1"/>
  <c r="N151" i="12"/>
  <c r="N65" i="12" s="1"/>
  <c r="J151" i="12"/>
  <c r="J65" i="12" s="1"/>
  <c r="F151" i="12"/>
  <c r="F65" i="12" s="1"/>
  <c r="M151" i="12"/>
  <c r="M65" i="12" s="1"/>
  <c r="H151" i="12"/>
  <c r="H65" i="12" s="1"/>
  <c r="H75" i="12" s="1"/>
  <c r="H84" i="12" s="1"/>
  <c r="C151" i="12"/>
  <c r="Q151" i="12"/>
  <c r="Q65" i="12" s="1"/>
  <c r="L151" i="12"/>
  <c r="L65" i="12" s="1"/>
  <c r="G151" i="12"/>
  <c r="G65" i="12" s="1"/>
  <c r="G75" i="12" s="1"/>
  <c r="G84" i="12" s="1"/>
  <c r="H50" i="12"/>
  <c r="L50" i="12"/>
  <c r="E53" i="12"/>
  <c r="E73" i="12" s="1"/>
  <c r="E82" i="12" s="1"/>
  <c r="I53" i="12"/>
  <c r="M53" i="12"/>
  <c r="I54" i="12"/>
  <c r="G110" i="12"/>
  <c r="D115" i="12"/>
  <c r="L129" i="12"/>
  <c r="L130" i="12" s="1"/>
  <c r="L110" i="12" s="1"/>
  <c r="J148" i="12"/>
  <c r="J62" i="12" s="1"/>
  <c r="P149" i="12"/>
  <c r="P63" i="12" s="1"/>
  <c r="L149" i="12"/>
  <c r="L63" i="12" s="1"/>
  <c r="H149" i="12"/>
  <c r="H63" i="12" s="1"/>
  <c r="D149" i="12"/>
  <c r="O149" i="12"/>
  <c r="O63" i="12" s="1"/>
  <c r="O73" i="12" s="1"/>
  <c r="O82" i="12" s="1"/>
  <c r="J149" i="12"/>
  <c r="J63" i="12" s="1"/>
  <c r="J73" i="12" s="1"/>
  <c r="J82" i="12" s="1"/>
  <c r="E149" i="12"/>
  <c r="E63" i="12" s="1"/>
  <c r="N149" i="12"/>
  <c r="N63" i="12" s="1"/>
  <c r="N73" i="12" s="1"/>
  <c r="N82" i="12" s="1"/>
  <c r="I149" i="12"/>
  <c r="I63" i="12" s="1"/>
  <c r="C149" i="12"/>
  <c r="M149" i="12"/>
  <c r="M63" i="12" s="1"/>
  <c r="C150" i="12"/>
  <c r="N150" i="12"/>
  <c r="N64" i="12" s="1"/>
  <c r="K151" i="12"/>
  <c r="K65" i="12" s="1"/>
  <c r="K157" i="12"/>
  <c r="G157" i="12"/>
  <c r="I157" i="12"/>
  <c r="M157" i="12"/>
  <c r="H157" i="12"/>
  <c r="O144" i="12"/>
  <c r="O58" i="12" s="1"/>
  <c r="K144" i="12"/>
  <c r="K58" i="12" s="1"/>
  <c r="G144" i="12"/>
  <c r="G58" i="12" s="1"/>
  <c r="C144" i="12"/>
  <c r="F145" i="12"/>
  <c r="F59" i="12" s="1"/>
  <c r="F69" i="12" s="1"/>
  <c r="F78" i="12" s="1"/>
  <c r="K145" i="12"/>
  <c r="K59" i="12" s="1"/>
  <c r="K69" i="12" s="1"/>
  <c r="K78" i="12" s="1"/>
  <c r="R147" i="12"/>
  <c r="R61" i="12" s="1"/>
  <c r="N147" i="12"/>
  <c r="N61" i="12" s="1"/>
  <c r="J147" i="12"/>
  <c r="J61" i="12" s="1"/>
  <c r="F147" i="12"/>
  <c r="F61" i="12" s="1"/>
  <c r="M181" i="12"/>
  <c r="P145" i="12"/>
  <c r="P59" i="12" s="1"/>
  <c r="P69" i="12" s="1"/>
  <c r="P78" i="12" s="1"/>
  <c r="L145" i="12"/>
  <c r="L59" i="12" s="1"/>
  <c r="H145" i="12"/>
  <c r="H59" i="12" s="1"/>
  <c r="D145" i="12"/>
  <c r="G145" i="12"/>
  <c r="G59" i="12" s="1"/>
  <c r="G69" i="12" s="1"/>
  <c r="G78" i="12" s="1"/>
  <c r="M145" i="12"/>
  <c r="M59" i="12" s="1"/>
  <c r="M69" i="12" s="1"/>
  <c r="M78" i="12" s="1"/>
  <c r="R145" i="12"/>
  <c r="R59" i="12" s="1"/>
  <c r="R69" i="12" s="1"/>
  <c r="R78" i="12" s="1"/>
  <c r="J156" i="12"/>
  <c r="F156" i="12"/>
  <c r="K156" i="12"/>
  <c r="B159" i="12"/>
  <c r="B160" i="12" l="1"/>
  <c r="C159" i="12"/>
  <c r="D159" i="12" s="1"/>
  <c r="P73" i="12"/>
  <c r="P82" i="12" s="1"/>
  <c r="F109" i="12"/>
  <c r="F112" i="12" s="1"/>
  <c r="D39" i="12"/>
  <c r="I9" i="12"/>
  <c r="I74" i="12"/>
  <c r="I83" i="12" s="1"/>
  <c r="L70" i="12"/>
  <c r="L79" i="12" s="1"/>
  <c r="S126" i="12"/>
  <c r="S128" i="12" s="1"/>
  <c r="S129" i="12" s="1"/>
  <c r="S130" i="12" s="1"/>
  <c r="S127" i="12"/>
  <c r="S131" i="12" s="1"/>
  <c r="L73" i="12"/>
  <c r="L82" i="12" s="1"/>
  <c r="Q146" i="12"/>
  <c r="Q60" i="12" s="1"/>
  <c r="Q70" i="12" s="1"/>
  <c r="Q79" i="12" s="1"/>
  <c r="M146" i="12"/>
  <c r="M60" i="12" s="1"/>
  <c r="M70" i="12" s="1"/>
  <c r="M79" i="12" s="1"/>
  <c r="I146" i="12"/>
  <c r="I60" i="12" s="1"/>
  <c r="I70" i="12" s="1"/>
  <c r="I79" i="12" s="1"/>
  <c r="E146" i="12"/>
  <c r="E60" i="12" s="1"/>
  <c r="E70" i="12" s="1"/>
  <c r="E79" i="12" s="1"/>
  <c r="O146" i="12"/>
  <c r="O60" i="12" s="1"/>
  <c r="J146" i="12"/>
  <c r="J60" i="12" s="1"/>
  <c r="J70" i="12" s="1"/>
  <c r="J79" i="12" s="1"/>
  <c r="D146" i="12"/>
  <c r="N146" i="12"/>
  <c r="N60" i="12" s="1"/>
  <c r="N70" i="12" s="1"/>
  <c r="N79" i="12" s="1"/>
  <c r="H146" i="12"/>
  <c r="H60" i="12" s="1"/>
  <c r="H70" i="12" s="1"/>
  <c r="H79" i="12" s="1"/>
  <c r="C146" i="12"/>
  <c r="R146" i="12"/>
  <c r="R60" i="12" s="1"/>
  <c r="R70" i="12" s="1"/>
  <c r="R79" i="12" s="1"/>
  <c r="G146" i="12"/>
  <c r="G60" i="12" s="1"/>
  <c r="G70" i="12" s="1"/>
  <c r="G79" i="12" s="1"/>
  <c r="P146" i="12"/>
  <c r="P60" i="12" s="1"/>
  <c r="P70" i="12" s="1"/>
  <c r="P79" i="12" s="1"/>
  <c r="F146" i="12"/>
  <c r="F60" i="12" s="1"/>
  <c r="F70" i="12" s="1"/>
  <c r="F79" i="12" s="1"/>
  <c r="L146" i="12"/>
  <c r="L60" i="12" s="1"/>
  <c r="K146" i="12"/>
  <c r="K60" i="12" s="1"/>
  <c r="K70" i="12" s="1"/>
  <c r="K79" i="12" s="1"/>
  <c r="S108" i="12"/>
  <c r="O72" i="12"/>
  <c r="O81" i="12" s="1"/>
  <c r="I10" i="12"/>
  <c r="D40" i="12"/>
  <c r="R71" i="12"/>
  <c r="R80" i="12" s="1"/>
  <c r="J72" i="12"/>
  <c r="J81" i="12" s="1"/>
  <c r="K68" i="12"/>
  <c r="K77" i="12" s="1"/>
  <c r="M73" i="12"/>
  <c r="M82" i="12" s="1"/>
  <c r="H73" i="12"/>
  <c r="H82" i="12" s="1"/>
  <c r="G72" i="12"/>
  <c r="G81" i="12" s="1"/>
  <c r="S68" i="12"/>
  <c r="S77" i="12" s="1"/>
  <c r="F71" i="12"/>
  <c r="F80" i="12" s="1"/>
  <c r="I97" i="12"/>
  <c r="H109" i="12"/>
  <c r="H112" i="12" s="1"/>
  <c r="M72" i="12"/>
  <c r="M81" i="12" s="1"/>
  <c r="G68" i="12"/>
  <c r="G77" i="12" s="1"/>
  <c r="J75" i="12"/>
  <c r="J84" i="12" s="1"/>
  <c r="O68" i="12"/>
  <c r="O77" i="12" s="1"/>
  <c r="E111" i="12"/>
  <c r="F113" i="12"/>
  <c r="O70" i="12"/>
  <c r="O79" i="12" s="1"/>
  <c r="H69" i="12"/>
  <c r="H78" i="12" s="1"/>
  <c r="E115" i="12"/>
  <c r="S110" i="12"/>
  <c r="I11" i="12"/>
  <c r="D41" i="12"/>
  <c r="D119" i="12"/>
  <c r="D116" i="12"/>
  <c r="E116" i="12" s="1"/>
  <c r="D118" i="12"/>
  <c r="I73" i="12"/>
  <c r="I82" i="12" s="1"/>
  <c r="S70" i="12"/>
  <c r="S79" i="12" s="1"/>
  <c r="L69" i="12"/>
  <c r="L78" i="12" s="1"/>
  <c r="D43" i="12"/>
  <c r="I13" i="12"/>
  <c r="J71" i="12"/>
  <c r="J80" i="12" s="1"/>
  <c r="G109" i="12"/>
  <c r="G112" i="12" s="1"/>
  <c r="H138" i="12"/>
  <c r="L72" i="12"/>
  <c r="L81" i="12" s="1"/>
  <c r="Q72" i="12"/>
  <c r="Q81" i="12" s="1"/>
  <c r="R72" i="12"/>
  <c r="R81" i="12" s="1"/>
  <c r="K55" i="12"/>
  <c r="K75" i="12" s="1"/>
  <c r="K84" i="12" s="1"/>
  <c r="K54" i="12"/>
  <c r="K74" i="12" s="1"/>
  <c r="K83" i="12" s="1"/>
  <c r="L47" i="12"/>
  <c r="B161" i="12" l="1"/>
  <c r="C160" i="12"/>
  <c r="D160" i="12" s="1"/>
  <c r="H115" i="12"/>
  <c r="J97" i="12"/>
  <c r="I109" i="12"/>
  <c r="M159" i="12"/>
  <c r="I159" i="12"/>
  <c r="H159" i="12"/>
  <c r="L159" i="12"/>
  <c r="G159" i="12"/>
  <c r="K159" i="12"/>
  <c r="J159" i="12"/>
  <c r="F159" i="12"/>
  <c r="G113" i="12"/>
  <c r="F111" i="12"/>
  <c r="L55" i="12"/>
  <c r="L75" i="12" s="1"/>
  <c r="L84" i="12" s="1"/>
  <c r="L54" i="12"/>
  <c r="L74" i="12" s="1"/>
  <c r="L83" i="12" s="1"/>
  <c r="M47" i="12"/>
  <c r="G115" i="12"/>
  <c r="F115" i="12"/>
  <c r="F116" i="12" s="1"/>
  <c r="G116" i="12" l="1"/>
  <c r="H116" i="12" s="1"/>
  <c r="M55" i="12"/>
  <c r="M75" i="12" s="1"/>
  <c r="M84" i="12" s="1"/>
  <c r="M54" i="12"/>
  <c r="M74" i="12" s="1"/>
  <c r="M83" i="12" s="1"/>
  <c r="N47" i="12"/>
  <c r="G111" i="12"/>
  <c r="H113" i="12"/>
  <c r="I112" i="12"/>
  <c r="I115" i="12"/>
  <c r="C161" i="12"/>
  <c r="D161" i="12" s="1"/>
  <c r="B162" i="12"/>
  <c r="J160" i="12"/>
  <c r="F160" i="12"/>
  <c r="M160" i="12"/>
  <c r="H160" i="12"/>
  <c r="L160" i="12"/>
  <c r="G160" i="12"/>
  <c r="K160" i="12"/>
  <c r="I160" i="12"/>
  <c r="K97" i="12"/>
  <c r="J109" i="12"/>
  <c r="C162" i="12" l="1"/>
  <c r="D162" i="12" s="1"/>
  <c r="B163" i="12"/>
  <c r="H111" i="12"/>
  <c r="I113" i="12"/>
  <c r="K161" i="12"/>
  <c r="G161" i="12"/>
  <c r="M161" i="12"/>
  <c r="H161" i="12"/>
  <c r="L161" i="12"/>
  <c r="F161" i="12"/>
  <c r="J161" i="12"/>
  <c r="I161" i="12"/>
  <c r="J112" i="12"/>
  <c r="J115" i="12"/>
  <c r="N54" i="12"/>
  <c r="N74" i="12" s="1"/>
  <c r="N83" i="12" s="1"/>
  <c r="O47" i="12"/>
  <c r="N55" i="12"/>
  <c r="N75" i="12" s="1"/>
  <c r="N84" i="12" s="1"/>
  <c r="K109" i="12"/>
  <c r="L97" i="12"/>
  <c r="I116" i="12"/>
  <c r="J116" i="12" l="1"/>
  <c r="O55" i="12"/>
  <c r="O75" i="12" s="1"/>
  <c r="O84" i="12" s="1"/>
  <c r="P47" i="12"/>
  <c r="O54" i="12"/>
  <c r="O74" i="12" s="1"/>
  <c r="O83" i="12" s="1"/>
  <c r="K112" i="12"/>
  <c r="K115" i="12"/>
  <c r="C163" i="12"/>
  <c r="D163" i="12" s="1"/>
  <c r="B164" i="12"/>
  <c r="I111" i="12"/>
  <c r="J113" i="12"/>
  <c r="L109" i="12"/>
  <c r="M97" i="12"/>
  <c r="L162" i="12"/>
  <c r="H162" i="12"/>
  <c r="M162" i="12"/>
  <c r="G162" i="12"/>
  <c r="K162" i="12"/>
  <c r="F162" i="12"/>
  <c r="J162" i="12"/>
  <c r="I162" i="12"/>
  <c r="K113" i="12" l="1"/>
  <c r="J111" i="12"/>
  <c r="B165" i="12"/>
  <c r="C164" i="12"/>
  <c r="D164" i="12" s="1"/>
  <c r="N97" i="12"/>
  <c r="M109" i="12"/>
  <c r="L112" i="12"/>
  <c r="L115" i="12"/>
  <c r="M163" i="12"/>
  <c r="I163" i="12"/>
  <c r="L163" i="12"/>
  <c r="G163" i="12"/>
  <c r="K163" i="12"/>
  <c r="F163" i="12"/>
  <c r="J163" i="12"/>
  <c r="H163" i="12"/>
  <c r="P55" i="12"/>
  <c r="P75" i="12" s="1"/>
  <c r="P84" i="12" s="1"/>
  <c r="P54" i="12"/>
  <c r="P74" i="12" s="1"/>
  <c r="P83" i="12" s="1"/>
  <c r="Q47" i="12"/>
  <c r="K116" i="12"/>
  <c r="L116" i="12" l="1"/>
  <c r="Q55" i="12"/>
  <c r="Q75" i="12" s="1"/>
  <c r="Q84" i="12" s="1"/>
  <c r="Q54" i="12"/>
  <c r="Q74" i="12" s="1"/>
  <c r="Q83" i="12" s="1"/>
  <c r="R47" i="12"/>
  <c r="M112" i="12"/>
  <c r="M115" i="12"/>
  <c r="J164" i="12"/>
  <c r="F164" i="12"/>
  <c r="L164" i="12"/>
  <c r="G164" i="12"/>
  <c r="K164" i="12"/>
  <c r="I164" i="12"/>
  <c r="H164" i="12"/>
  <c r="M164" i="12"/>
  <c r="B166" i="12"/>
  <c r="C165" i="12"/>
  <c r="D165" i="12" s="1"/>
  <c r="O97" i="12"/>
  <c r="N109" i="12"/>
  <c r="L113" i="12"/>
  <c r="K111" i="12"/>
  <c r="O109" i="12" l="1"/>
  <c r="P97" i="12"/>
  <c r="N112" i="12"/>
  <c r="N115" i="12"/>
  <c r="K165" i="12"/>
  <c r="G165" i="12"/>
  <c r="L165" i="12"/>
  <c r="F165" i="12"/>
  <c r="J165" i="12"/>
  <c r="I165" i="12"/>
  <c r="H165" i="12"/>
  <c r="M165" i="12"/>
  <c r="S47" i="12"/>
  <c r="R54" i="12"/>
  <c r="R74" i="12" s="1"/>
  <c r="R83" i="12" s="1"/>
  <c r="R55" i="12"/>
  <c r="R75" i="12" s="1"/>
  <c r="R84" i="12" s="1"/>
  <c r="L111" i="12"/>
  <c r="M113" i="12"/>
  <c r="C166" i="12"/>
  <c r="D166" i="12" s="1"/>
  <c r="B167" i="12"/>
  <c r="M116" i="12"/>
  <c r="L166" i="12" l="1"/>
  <c r="H166" i="12"/>
  <c r="K166" i="12"/>
  <c r="F166" i="12"/>
  <c r="J166" i="12"/>
  <c r="I166" i="12"/>
  <c r="G166" i="12"/>
  <c r="M166" i="12"/>
  <c r="N116" i="12"/>
  <c r="C167" i="12"/>
  <c r="D167" i="12" s="1"/>
  <c r="B168" i="12"/>
  <c r="P109" i="12"/>
  <c r="Q97" i="12"/>
  <c r="M111" i="12"/>
  <c r="N113" i="12"/>
  <c r="S54" i="12"/>
  <c r="S74" i="12" s="1"/>
  <c r="S83" i="12" s="1"/>
  <c r="S55" i="12"/>
  <c r="S75" i="12" s="1"/>
  <c r="S84" i="12" s="1"/>
  <c r="O112" i="12"/>
  <c r="O115" i="12"/>
  <c r="M167" i="12" l="1"/>
  <c r="I167" i="12"/>
  <c r="K167" i="12"/>
  <c r="F167" i="12"/>
  <c r="J167" i="12"/>
  <c r="H167" i="12"/>
  <c r="G167" i="12"/>
  <c r="L167" i="12"/>
  <c r="R97" i="12"/>
  <c r="Q109" i="12"/>
  <c r="P112" i="12"/>
  <c r="P115" i="12"/>
  <c r="O113" i="12"/>
  <c r="N111" i="12"/>
  <c r="B169" i="12"/>
  <c r="C168" i="12"/>
  <c r="D168" i="12" s="1"/>
  <c r="O116" i="12"/>
  <c r="B170" i="12" l="1"/>
  <c r="C170" i="12" s="1"/>
  <c r="D170" i="12" s="1"/>
  <c r="C169" i="12"/>
  <c r="D169" i="12" s="1"/>
  <c r="Q112" i="12"/>
  <c r="Q115" i="12"/>
  <c r="J168" i="12"/>
  <c r="F168" i="12"/>
  <c r="K168" i="12"/>
  <c r="I168" i="12"/>
  <c r="H168" i="12"/>
  <c r="G168" i="12"/>
  <c r="M168" i="12"/>
  <c r="L168" i="12"/>
  <c r="P116" i="12"/>
  <c r="Q116" i="12" s="1"/>
  <c r="O111" i="12"/>
  <c r="P113" i="12"/>
  <c r="S97" i="12"/>
  <c r="S109" i="12" s="1"/>
  <c r="R109" i="12"/>
  <c r="S112" i="12" l="1"/>
  <c r="S115" i="12"/>
  <c r="P111" i="12"/>
  <c r="Q113" i="12"/>
  <c r="K169" i="12"/>
  <c r="G169" i="12"/>
  <c r="J169" i="12"/>
  <c r="I169" i="12"/>
  <c r="H169" i="12"/>
  <c r="F169" i="12"/>
  <c r="M169" i="12"/>
  <c r="L169" i="12"/>
  <c r="R112" i="12"/>
  <c r="R115" i="12"/>
  <c r="R116" i="12"/>
  <c r="S116" i="12" s="1"/>
  <c r="L170" i="12"/>
  <c r="H170" i="12"/>
  <c r="J170" i="12"/>
  <c r="I170" i="12"/>
  <c r="G170" i="12"/>
  <c r="F170" i="12"/>
  <c r="M170" i="12"/>
  <c r="K170" i="12"/>
  <c r="Q111" i="12" l="1"/>
  <c r="R113" i="12"/>
  <c r="D121" i="12"/>
  <c r="R117" i="12"/>
  <c r="S113" i="12" l="1"/>
  <c r="S111" i="12" s="1"/>
  <c r="R111" i="12"/>
  <c r="G21" i="8" l="1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" i="8"/>
  <c r="F59" i="5" l="1"/>
  <c r="F58" i="5"/>
  <c r="F57" i="5"/>
  <c r="F60" i="5" s="1"/>
  <c r="E57" i="5"/>
  <c r="D57" i="5"/>
  <c r="E56" i="5"/>
  <c r="F56" i="5"/>
  <c r="D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3" i="5"/>
  <c r="F32" i="5"/>
  <c r="F31" i="5"/>
  <c r="F30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4" i="5"/>
  <c r="F2" i="5"/>
  <c r="D58" i="5" l="1"/>
  <c r="E58" i="5"/>
  <c r="E60" i="5" s="1"/>
  <c r="E59" i="5"/>
  <c r="D59" i="5" l="1"/>
  <c r="D60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7" authorId="0" shapeId="0" xr:uid="{172844C6-B089-46DF-94EC-85444708B090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sharedStrings.xml><?xml version="1.0" encoding="utf-8"?>
<sst xmlns="http://schemas.openxmlformats.org/spreadsheetml/2006/main" count="779" uniqueCount="278">
  <si>
    <t>Intervalo (l/h)</t>
  </si>
  <si>
    <t>% Consumo</t>
  </si>
  <si>
    <t>Año 0</t>
  </si>
  <si>
    <t>Marca</t>
  </si>
  <si>
    <t>Clase</t>
  </si>
  <si>
    <t>0-4</t>
  </si>
  <si>
    <t>4-8</t>
  </si>
  <si>
    <t>8-16</t>
  </si>
  <si>
    <t>16-32</t>
  </si>
  <si>
    <t>32-66</t>
  </si>
  <si>
    <t>66-132</t>
  </si>
  <si>
    <t>MAIPO TMII</t>
  </si>
  <si>
    <t>B-19</t>
  </si>
  <si>
    <t>C-19</t>
  </si>
  <si>
    <t>FLODIS</t>
  </si>
  <si>
    <t>ELSTER M170</t>
  </si>
  <si>
    <t>ELSTER M171</t>
  </si>
  <si>
    <t>ELSTER M172</t>
  </si>
  <si>
    <t>ELSTER M173</t>
  </si>
  <si>
    <t>ELSTER M174</t>
  </si>
  <si>
    <t>ELSTER M175</t>
  </si>
  <si>
    <t>B-13</t>
  </si>
  <si>
    <t>C-13</t>
  </si>
  <si>
    <t>C-25</t>
  </si>
  <si>
    <t>Años</t>
  </si>
  <si>
    <t>Rendimiento</t>
  </si>
  <si>
    <t>A</t>
  </si>
  <si>
    <t>B</t>
  </si>
  <si>
    <t>C</t>
  </si>
  <si>
    <t>R160</t>
  </si>
  <si>
    <t>R250</t>
  </si>
  <si>
    <t>R315</t>
  </si>
  <si>
    <t>R325</t>
  </si>
  <si>
    <t>R400</t>
  </si>
  <si>
    <t>R800</t>
  </si>
  <si>
    <t>ULTRA</t>
  </si>
  <si>
    <t>Clase corregida</t>
  </si>
  <si>
    <t>LOCALIDAD</t>
  </si>
  <si>
    <t>Q1 sin outliers</t>
  </si>
  <si>
    <t>Q2 sin outliers</t>
  </si>
  <si>
    <t>Q1 sin outliers %</t>
  </si>
  <si>
    <t>Q2 sin outliers %</t>
  </si>
  <si>
    <t>Promedio Q %</t>
  </si>
  <si>
    <t>Bajo</t>
  </si>
  <si>
    <t>Alto</t>
  </si>
  <si>
    <t>Regimen</t>
  </si>
  <si>
    <t>Porcentaje</t>
  </si>
  <si>
    <t>Item</t>
  </si>
  <si>
    <t>Valor</t>
  </si>
  <si>
    <t>Sectores</t>
  </si>
  <si>
    <t>Fecha estudio</t>
  </si>
  <si>
    <t>Localidad</t>
  </si>
  <si>
    <t>Q1 &gt;=38 mm</t>
  </si>
  <si>
    <t>Q2 &gt;=38 mm</t>
  </si>
  <si>
    <t>Error caudal alto &lt; 38mm</t>
  </si>
  <si>
    <t>Promedio</t>
  </si>
  <si>
    <t>Problema Calidad de Agua</t>
  </si>
  <si>
    <t>NO</t>
  </si>
  <si>
    <t>DIAMETRO_MEDIDOR</t>
  </si>
  <si>
    <t>FECHA_MONTAJE</t>
  </si>
  <si>
    <t>CLASE</t>
  </si>
  <si>
    <t>INSTALACION</t>
  </si>
  <si>
    <t>CONSUMO PROMEDIO</t>
  </si>
  <si>
    <t>SECTOR AP</t>
  </si>
  <si>
    <t>AB-13/19</t>
  </si>
  <si>
    <t>Grupo</t>
  </si>
  <si>
    <t>Clase referencia</t>
  </si>
  <si>
    <t>AB-25</t>
  </si>
  <si>
    <t>Edad minima decaimiento</t>
  </si>
  <si>
    <t>Edad máxima decaimiento</t>
  </si>
  <si>
    <t>Edad extra decaimiento</t>
  </si>
  <si>
    <t>Edad inicial (estudio inicial y final)</t>
  </si>
  <si>
    <t>Edad final (estudio inicial y final)</t>
  </si>
  <si>
    <t>D</t>
  </si>
  <si>
    <t>ALGARROBO</t>
  </si>
  <si>
    <t>ALGARROBO NORTE</t>
  </si>
  <si>
    <t>ARTIFICIO</t>
  </si>
  <si>
    <t>BRISAS DE MIRASOL</t>
  </si>
  <si>
    <t>CABILDO</t>
  </si>
  <si>
    <t>CACHAGUA</t>
  </si>
  <si>
    <t>CALLE LARGA</t>
  </si>
  <si>
    <t>CARTAGENA</t>
  </si>
  <si>
    <t>CASABLANCA</t>
  </si>
  <si>
    <t>CATEMU</t>
  </si>
  <si>
    <t>CHEPICAL</t>
  </si>
  <si>
    <t>CHINCOLCO</t>
  </si>
  <si>
    <t>CONCON</t>
  </si>
  <si>
    <t>CURAUMA</t>
  </si>
  <si>
    <t>EL ALMENDRAL</t>
  </si>
  <si>
    <t>EL QUISCO</t>
  </si>
  <si>
    <t>EL TABO</t>
  </si>
  <si>
    <t>HIJUELAS</t>
  </si>
  <si>
    <t>ISLA NEGRA</t>
  </si>
  <si>
    <t>LA CALERA</t>
  </si>
  <si>
    <t>LA CRUZ</t>
  </si>
  <si>
    <t>LA LAGUNA</t>
  </si>
  <si>
    <t>LA LIGUA</t>
  </si>
  <si>
    <t>LAS CRUCES</t>
  </si>
  <si>
    <t>LIMACHE</t>
  </si>
  <si>
    <t>LLAY LLAY</t>
  </si>
  <si>
    <t>LOS ANDES</t>
  </si>
  <si>
    <t>MIRASOL</t>
  </si>
  <si>
    <t>NOGALES</t>
  </si>
  <si>
    <t>PAPUDO</t>
  </si>
  <si>
    <t>PETORCA</t>
  </si>
  <si>
    <t>PLACILLA</t>
  </si>
  <si>
    <t>PLACILLA LIGUA</t>
  </si>
  <si>
    <t>PUCHUNCAVI</t>
  </si>
  <si>
    <t>PUNTA DE TRALCA</t>
  </si>
  <si>
    <t>PUNTA PUYAI</t>
  </si>
  <si>
    <t>PUTAENDO</t>
  </si>
  <si>
    <t>QUILLOTA</t>
  </si>
  <si>
    <t>QUILPUE</t>
  </si>
  <si>
    <t>QUINTERO</t>
  </si>
  <si>
    <t>REAL CURIMON</t>
  </si>
  <si>
    <t>RENACA</t>
  </si>
  <si>
    <t>RINCONADA</t>
  </si>
  <si>
    <t>SAN ANTONIO</t>
  </si>
  <si>
    <t>SAN ESTEBAN</t>
  </si>
  <si>
    <t>SAN FELIPE</t>
  </si>
  <si>
    <t>SAN ISIDRO</t>
  </si>
  <si>
    <t>SAN PEDRO</t>
  </si>
  <si>
    <t>SAN SEBASTIAN</t>
  </si>
  <si>
    <t>SANTA MARIA</t>
  </si>
  <si>
    <t>VALPARAISO</t>
  </si>
  <si>
    <t>VILLA ALEMANA</t>
  </si>
  <si>
    <t>VINA DEL MAR</t>
  </si>
  <si>
    <t>ZAPALLAR</t>
  </si>
  <si>
    <t>R100</t>
  </si>
  <si>
    <t>TALCA</t>
  </si>
  <si>
    <t>CURICO</t>
  </si>
  <si>
    <t>TENO</t>
  </si>
  <si>
    <t>YERBAS BUENAS</t>
  </si>
  <si>
    <t>LINARES</t>
  </si>
  <si>
    <t>Sector</t>
  </si>
  <si>
    <t>CANTIDAD DE MEDIDORES POR DIAMETRO*</t>
  </si>
  <si>
    <t>SI</t>
  </si>
  <si>
    <t>*En este archivo solo están medidores hasta 25 mm y hay otro para los superiores pero la idea es unificar todo en un solo modelo</t>
  </si>
  <si>
    <t>ROMERAL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</si>
  <si>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</si>
  <si>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</si>
  <si>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</si>
  <si>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</si>
  <si>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</si>
  <si>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</si>
  <si>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</si>
  <si>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</si>
  <si>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</si>
  <si>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</si>
  <si>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**Puede ser suficiente con un solo parámetro de % de casos con sobrecosto de instalación (20% en este caso) y monto asociado a ese sobrecosto (4 UF en este caso)</t>
  </si>
  <si>
    <t>Clase C</t>
  </si>
  <si>
    <t>%</t>
  </si>
  <si>
    <t>Sobrecosto</t>
  </si>
  <si>
    <t>% Medidores con sobrecosto de instalación</t>
  </si>
  <si>
    <t>% Problema de Acceso o Negación</t>
  </si>
  <si>
    <t>% Sobrecosto de instalación</t>
  </si>
  <si>
    <t>UF</t>
  </si>
  <si>
    <t xml:space="preserve">Inversión </t>
  </si>
  <si>
    <t>Tarfia Media $/m3</t>
  </si>
  <si>
    <t>CONSUMO PROYECTADO</t>
  </si>
  <si>
    <t>Elasticidad</t>
  </si>
  <si>
    <t>Año reposición</t>
  </si>
  <si>
    <t>Tarifa</t>
  </si>
  <si>
    <t>Vida útil técnica</t>
  </si>
  <si>
    <t>FLUJO ESCENARIO VAN &gt; 0</t>
  </si>
  <si>
    <t>Plan de Acción Priorizado</t>
  </si>
  <si>
    <t>Tipo Gasto</t>
  </si>
  <si>
    <t>1. REPOSICIÓN DE MICROMEDIDORES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</si>
  <si>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</si>
  <si>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</si>
  <si>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</si>
  <si>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</si>
  <si>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</si>
  <si>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</si>
  <si>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</si>
  <si>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</si>
  <si>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</si>
  <si>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</si>
  <si>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</si>
  <si>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</si>
  <si>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Auxiliar contador Payback: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</si>
  <si>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</si>
  <si>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</si>
  <si>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</si>
  <si>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</si>
  <si>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</si>
  <si>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</si>
  <si>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</si>
  <si>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</si>
  <si>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</si>
  <si>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Proyección Consumo</t>
  </si>
  <si>
    <t>Margen Restricción Presupuestaria</t>
  </si>
  <si>
    <t>Margen inferior</t>
  </si>
  <si>
    <t>Margen intemedio 1</t>
  </si>
  <si>
    <t>CORFO</t>
  </si>
  <si>
    <t>EL MANZANO-NH-SNJUAN-12 FEB</t>
  </si>
  <si>
    <t>MEM-BAQ</t>
  </si>
  <si>
    <t>MIR DE NOG-QUEBRADA</t>
  </si>
  <si>
    <t>SANCHINA</t>
  </si>
  <si>
    <t>SANTA JULIA</t>
  </si>
  <si>
    <t>Grupos</t>
  </si>
  <si>
    <t>Region</t>
  </si>
  <si>
    <t>Tarifa ($)</t>
  </si>
  <si>
    <t>Base</t>
  </si>
  <si>
    <t>Modelo</t>
  </si>
  <si>
    <t>Suministro (UF)</t>
  </si>
  <si>
    <t>Instalación (UF)</t>
  </si>
  <si>
    <t>CURANIPE</t>
  </si>
  <si>
    <t>Maule</t>
  </si>
  <si>
    <t>ARAUCO</t>
  </si>
  <si>
    <t>O’Higgins</t>
  </si>
  <si>
    <t>ILOCA</t>
  </si>
  <si>
    <t>CAUQUENES</t>
  </si>
  <si>
    <t>CHILLAN</t>
  </si>
  <si>
    <t>Bio Bio - Ñuble</t>
  </si>
  <si>
    <t>LOS ANGELES</t>
  </si>
  <si>
    <t>CHIMBARONGO</t>
  </si>
  <si>
    <t>PELLUHUE</t>
  </si>
  <si>
    <t>CODEGUA</t>
  </si>
  <si>
    <t>CODEGUA - LA PUNTA</t>
  </si>
  <si>
    <t>RANCAGUA - MACHALI</t>
  </si>
  <si>
    <t>LA PUNTA</t>
  </si>
  <si>
    <t>REQUINOA</t>
  </si>
  <si>
    <t>COINCO</t>
  </si>
  <si>
    <t>COLTAUCO</t>
  </si>
  <si>
    <t>ROSARIO</t>
  </si>
  <si>
    <t>CONCEPCION</t>
  </si>
  <si>
    <t>CONCEPCION - TALCAHUANO</t>
  </si>
  <si>
    <t>SANTA CRUZ - PALMILLA</t>
  </si>
  <si>
    <t>TALCAHUANO</t>
  </si>
  <si>
    <t>CONSTITUCION</t>
  </si>
  <si>
    <t>CORONEL</t>
  </si>
  <si>
    <t>COYA</t>
  </si>
  <si>
    <t>DOÃ‘IHUE</t>
  </si>
  <si>
    <t>DOÑIHUE</t>
  </si>
  <si>
    <t>EMPEDRADO</t>
  </si>
  <si>
    <t>FLORIDA</t>
  </si>
  <si>
    <t>GUALLECO</t>
  </si>
  <si>
    <t>LOTA</t>
  </si>
  <si>
    <t>QUILLON</t>
  </si>
  <si>
    <t>LAJA</t>
  </si>
  <si>
    <t>LEBU</t>
  </si>
  <si>
    <t>LO MIRANDA</t>
  </si>
  <si>
    <t>LONGAVI</t>
  </si>
  <si>
    <t>LOS QUEÃ‘ES</t>
  </si>
  <si>
    <t>LOS QUEÑES</t>
  </si>
  <si>
    <t>NANCAGUA</t>
  </si>
  <si>
    <t>ÑIPAS</t>
  </si>
  <si>
    <t>NINHUE</t>
  </si>
  <si>
    <t>PELARCO</t>
  </si>
  <si>
    <t>Ã‘IPAS</t>
  </si>
  <si>
    <t>PENCO - LIRQUEN</t>
  </si>
  <si>
    <t>PICHILEMU</t>
  </si>
  <si>
    <t>PUENTE NEGRO</t>
  </si>
  <si>
    <t>LIRQUEN</t>
  </si>
  <si>
    <t>RENGO</t>
  </si>
  <si>
    <t>PENCO</t>
  </si>
  <si>
    <t>RETIRO</t>
  </si>
  <si>
    <t>SAN FERNANDO</t>
  </si>
  <si>
    <t>SAN FRANCISCO DE MOSTAZAL</t>
  </si>
  <si>
    <t>QUILACO</t>
  </si>
  <si>
    <t>SAN JAVIER</t>
  </si>
  <si>
    <t>SAN PEDRO DE LA PAZ</t>
  </si>
  <si>
    <t>QUINTA DE TILCOCO</t>
  </si>
  <si>
    <t>SAN VICENTE DE TAGUA TAGUA</t>
  </si>
  <si>
    <t>QUIRIHUE</t>
  </si>
  <si>
    <t>MACHALI</t>
  </si>
  <si>
    <t>RANCAGUA</t>
  </si>
  <si>
    <t>SAN FRANCISCO</t>
  </si>
  <si>
    <t>SAN RAFAEL</t>
  </si>
  <si>
    <t>SAN ROSENDO</t>
  </si>
  <si>
    <t>SANTA CLARA</t>
  </si>
  <si>
    <t>SAN VICENTE</t>
  </si>
  <si>
    <t>SANTA JUANA</t>
  </si>
  <si>
    <t>TOME</t>
  </si>
  <si>
    <t>PALMILLA</t>
  </si>
  <si>
    <t>SANTA CRUZ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</si>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</sst>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 * #,##0_ ;_ * \-#,##0_ ;_ * &quot;-&quot;_ ;_ @_ "/>
    <numFmt numFmtId="165" formatCode="_-* #,##0_-;\-* #,##0_-;_-* &quot;-&quot;_-;_-@_-"/>
    <numFmt numFmtId="166" formatCode="0.0%"/>
    <numFmt numFmtId="167" formatCode="_ * #,##0.0_ ;_ * \-#,##0.0_ ;_ * &quot;-&quot;_ ;_ @_ "/>
    <numFmt numFmtId="168" formatCode="0.000%"/>
    <numFmt numFmtId="169" formatCode="_ * #,##0.00_ ;_ * \-#,##0.00_ ;_ * &quot;-&quot;_ ;_ @_ "/>
    <numFmt numFmtId="170" formatCode="_ * #,##0.00_ ;_ * \-#,##0.00_ ;_ * &quot;-&quot;??_ ;_ @_ "/>
    <numFmt numFmtId="171" formatCode="_ * #,##0.000_ ;_ * \-#,##0.000_ ;_ * &quot;-&quot;_ ;_ @_ "/>
    <numFmt numFmtId="172" formatCode="_ * #,##0.000000000_ ;_ * \-#,##0.000000000_ ;_ * &quot;-&quot;_ ;_ @_ "/>
    <numFmt numFmtId="173" formatCode="_ &quot;$&quot;* #,##0_ ;_ &quot;$&quot;* \-#,##0_ ;_ &quot;$&quot;* &quot;-&quot;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Univers"/>
      <family val="2"/>
    </font>
    <font>
      <sz val="11"/>
      <color theme="1"/>
      <name val="Univers"/>
      <family val="2"/>
    </font>
    <font>
      <i/>
      <sz val="9"/>
      <color theme="1"/>
      <name val="Univers"/>
      <family val="2"/>
    </font>
    <font>
      <i/>
      <sz val="11"/>
      <color theme="1"/>
      <name val="Univers"/>
      <family val="2"/>
    </font>
    <font>
      <b/>
      <sz val="11"/>
      <color theme="1"/>
      <name val="Univers"/>
      <family val="2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Univers"/>
      <family val="2"/>
    </font>
    <font>
      <sz val="11"/>
      <color theme="0"/>
      <name val="Univer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3" fontId="1" fillId="0" borderId="0" applyFont="0" applyFill="0" applyBorder="0" applyAlignment="0" applyProtection="0"/>
  </cellStyleXfs>
  <cellXfs count="14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1" xfId="2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167" fontId="4" fillId="0" borderId="1" xfId="1" applyNumberFormat="1" applyFont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167" fontId="4" fillId="0" borderId="2" xfId="1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10" fontId="0" fillId="4" borderId="1" xfId="2" applyNumberFormat="1" applyFont="1" applyFill="1" applyBorder="1" applyAlignment="1">
      <alignment horizontal="center"/>
    </xf>
    <xf numFmtId="0" fontId="6" fillId="5" borderId="6" xfId="3" applyFont="1" applyFill="1" applyBorder="1" applyAlignment="1">
      <alignment vertical="center" wrapText="1"/>
    </xf>
    <xf numFmtId="0" fontId="6" fillId="5" borderId="7" xfId="3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8" fontId="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0" fillId="7" borderId="0" xfId="0" applyFill="1" applyProtection="1">
      <protection locked="0"/>
    </xf>
    <xf numFmtId="14" fontId="0" fillId="7" borderId="0" xfId="0" applyNumberFormat="1" applyFill="1" applyProtection="1">
      <protection locked="0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0" fontId="0" fillId="0" borderId="0" xfId="2" applyNumberFormat="1" applyFont="1" applyFill="1" applyBorder="1" applyAlignment="1">
      <alignment horizontal="center" vertical="center"/>
    </xf>
    <xf numFmtId="10" fontId="0" fillId="0" borderId="0" xfId="2" applyNumberFormat="1" applyFont="1" applyFill="1" applyBorder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9" fillId="0" borderId="1" xfId="0" applyFont="1" applyBorder="1"/>
    <xf numFmtId="0" fontId="11" fillId="0" borderId="0" xfId="0" applyFont="1"/>
    <xf numFmtId="169" fontId="9" fillId="3" borderId="0" xfId="5" applyNumberFormat="1" applyFont="1" applyFill="1"/>
    <xf numFmtId="169" fontId="9" fillId="0" borderId="0" xfId="5" applyNumberFormat="1" applyFont="1" applyFill="1"/>
    <xf numFmtId="2" fontId="9" fillId="0" borderId="0" xfId="0" applyNumberFormat="1" applyFont="1" applyAlignment="1">
      <alignment horizontal="center"/>
    </xf>
    <xf numFmtId="9" fontId="9" fillId="0" borderId="0" xfId="2" applyFont="1"/>
    <xf numFmtId="9" fontId="9" fillId="0" borderId="0" xfId="2" applyFont="1" applyFill="1"/>
    <xf numFmtId="170" fontId="9" fillId="0" borderId="0" xfId="0" applyNumberFormat="1" applyFont="1"/>
    <xf numFmtId="170" fontId="12" fillId="0" borderId="0" xfId="0" applyNumberFormat="1" applyFont="1"/>
    <xf numFmtId="164" fontId="9" fillId="0" borderId="0" xfId="0" applyNumberFormat="1" applyFont="1"/>
    <xf numFmtId="164" fontId="12" fillId="0" borderId="0" xfId="0" applyNumberFormat="1" applyFont="1"/>
    <xf numFmtId="169" fontId="9" fillId="0" borderId="0" xfId="0" applyNumberFormat="1" applyFont="1"/>
    <xf numFmtId="170" fontId="9" fillId="10" borderId="0" xfId="0" applyNumberFormat="1" applyFont="1" applyFill="1"/>
    <xf numFmtId="9" fontId="9" fillId="11" borderId="0" xfId="2" applyFont="1" applyFill="1"/>
    <xf numFmtId="164" fontId="9" fillId="0" borderId="0" xfId="5" applyFont="1"/>
    <xf numFmtId="0" fontId="9" fillId="0" borderId="0" xfId="0" applyFont="1" applyAlignment="1">
      <alignment horizontal="center"/>
    </xf>
    <xf numFmtId="9" fontId="9" fillId="0" borderId="0" xfId="0" applyNumberFormat="1" applyFont="1"/>
    <xf numFmtId="167" fontId="9" fillId="0" borderId="0" xfId="5" applyNumberFormat="1" applyFont="1"/>
    <xf numFmtId="164" fontId="9" fillId="3" borderId="0" xfId="5" applyFont="1" applyFill="1"/>
    <xf numFmtId="0" fontId="4" fillId="12" borderId="9" xfId="0" applyFont="1" applyFill="1" applyBorder="1" applyAlignment="1">
      <alignment horizontal="center" vertical="center"/>
    </xf>
    <xf numFmtId="0" fontId="12" fillId="0" borderId="0" xfId="0" applyFont="1"/>
    <xf numFmtId="10" fontId="9" fillId="0" borderId="0" xfId="2" applyNumberFormat="1" applyFont="1"/>
    <xf numFmtId="166" fontId="9" fillId="0" borderId="0" xfId="2" applyNumberFormat="1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12" borderId="1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12" borderId="10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/>
    <xf numFmtId="0" fontId="4" fillId="0" borderId="13" xfId="0" applyFont="1" applyBorder="1" applyAlignment="1">
      <alignment horizontal="left"/>
    </xf>
    <xf numFmtId="164" fontId="4" fillId="0" borderId="12" xfId="5" applyFont="1" applyBorder="1" applyAlignment="1">
      <alignment horizontal="center"/>
    </xf>
    <xf numFmtId="0" fontId="4" fillId="0" borderId="0" xfId="0" applyFont="1" applyAlignment="1">
      <alignment horizontal="left"/>
    </xf>
    <xf numFmtId="164" fontId="4" fillId="0" borderId="14" xfId="5" applyFont="1" applyBorder="1" applyAlignment="1">
      <alignment horizontal="center"/>
    </xf>
    <xf numFmtId="164" fontId="4" fillId="0" borderId="14" xfId="5" applyFont="1" applyFill="1" applyBorder="1" applyAlignment="1">
      <alignment horizontal="center"/>
    </xf>
    <xf numFmtId="3" fontId="4" fillId="0" borderId="0" xfId="0" applyNumberFormat="1" applyFont="1"/>
    <xf numFmtId="0" fontId="4" fillId="0" borderId="15" xfId="0" applyFont="1" applyBorder="1"/>
    <xf numFmtId="164" fontId="4" fillId="0" borderId="9" xfId="5" applyFont="1" applyFill="1" applyBorder="1" applyAlignment="1">
      <alignment horizontal="center"/>
    </xf>
    <xf numFmtId="171" fontId="4" fillId="0" borderId="9" xfId="5" applyNumberFormat="1" applyFont="1" applyFill="1" applyBorder="1" applyAlignment="1">
      <alignment horizontal="center"/>
    </xf>
    <xf numFmtId="0" fontId="4" fillId="0" borderId="14" xfId="0" applyFont="1" applyBorder="1" applyAlignment="1">
      <alignment horizontal="left"/>
    </xf>
    <xf numFmtId="164" fontId="4" fillId="0" borderId="0" xfId="0" applyNumberFormat="1" applyFont="1"/>
    <xf numFmtId="9" fontId="6" fillId="0" borderId="0" xfId="0" applyNumberFormat="1" applyFont="1"/>
    <xf numFmtId="0" fontId="4" fillId="0" borderId="9" xfId="0" applyFont="1" applyBorder="1" applyAlignment="1">
      <alignment horizontal="left"/>
    </xf>
    <xf numFmtId="0" fontId="13" fillId="0" borderId="0" xfId="0" applyFont="1"/>
    <xf numFmtId="0" fontId="13" fillId="0" borderId="13" xfId="0" applyFont="1" applyBorder="1" applyAlignment="1">
      <alignment horizontal="center" vertical="center"/>
    </xf>
    <xf numFmtId="164" fontId="13" fillId="0" borderId="0" xfId="5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3" fontId="13" fillId="0" borderId="0" xfId="0" applyNumberFormat="1" applyFont="1" applyAlignment="1">
      <alignment horizontal="center"/>
    </xf>
    <xf numFmtId="164" fontId="13" fillId="0" borderId="0" xfId="5" applyFont="1"/>
    <xf numFmtId="0" fontId="6" fillId="0" borderId="10" xfId="0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0" fontId="6" fillId="0" borderId="0" xfId="0" applyFont="1"/>
    <xf numFmtId="164" fontId="14" fillId="0" borderId="0" xfId="5" applyFont="1" applyFill="1" applyBorder="1" applyAlignment="1">
      <alignment horizontal="center"/>
    </xf>
    <xf numFmtId="0" fontId="4" fillId="0" borderId="10" xfId="0" applyFont="1" applyBorder="1"/>
    <xf numFmtId="9" fontId="15" fillId="0" borderId="10" xfId="0" applyNumberFormat="1" applyFont="1" applyBorder="1" applyAlignment="1">
      <alignment horizontal="center"/>
    </xf>
    <xf numFmtId="164" fontId="4" fillId="0" borderId="0" xfId="5" applyFont="1" applyFill="1" applyBorder="1" applyAlignment="1">
      <alignment horizontal="center"/>
    </xf>
    <xf numFmtId="164" fontId="4" fillId="11" borderId="0" xfId="5" applyFont="1" applyFill="1" applyBorder="1" applyAlignment="1">
      <alignment horizontal="left"/>
    </xf>
    <xf numFmtId="164" fontId="4" fillId="11" borderId="0" xfId="5" applyFont="1" applyFill="1" applyBorder="1" applyAlignment="1">
      <alignment horizontal="center"/>
    </xf>
    <xf numFmtId="0" fontId="14" fillId="11" borderId="0" xfId="5" applyNumberFormat="1" applyFont="1" applyFill="1" applyBorder="1" applyAlignment="1">
      <alignment horizontal="center"/>
    </xf>
    <xf numFmtId="164" fontId="15" fillId="0" borderId="10" xfId="5" applyFont="1" applyBorder="1" applyAlignment="1">
      <alignment horizontal="center"/>
    </xf>
    <xf numFmtId="172" fontId="4" fillId="0" borderId="0" xfId="5" applyNumberFormat="1" applyFont="1" applyFill="1" applyBorder="1" applyAlignment="1">
      <alignment horizontal="center"/>
    </xf>
    <xf numFmtId="166" fontId="15" fillId="0" borderId="10" xfId="0" applyNumberFormat="1" applyFont="1" applyBorder="1" applyAlignment="1">
      <alignment horizontal="center"/>
    </xf>
    <xf numFmtId="164" fontId="4" fillId="0" borderId="0" xfId="5" applyFont="1" applyBorder="1" applyAlignment="1">
      <alignment horizontal="center"/>
    </xf>
    <xf numFmtId="167" fontId="4" fillId="0" borderId="0" xfId="5" applyNumberFormat="1" applyFont="1" applyBorder="1" applyAlignment="1">
      <alignment horizontal="center"/>
    </xf>
    <xf numFmtId="173" fontId="15" fillId="0" borderId="10" xfId="6" applyFont="1" applyBorder="1" applyAlignment="1">
      <alignment horizontal="center"/>
    </xf>
    <xf numFmtId="169" fontId="15" fillId="0" borderId="10" xfId="5" applyNumberFormat="1" applyFont="1" applyBorder="1" applyAlignment="1">
      <alignment horizontal="center"/>
    </xf>
    <xf numFmtId="169" fontId="9" fillId="0" borderId="0" xfId="5" applyNumberFormat="1" applyFont="1"/>
    <xf numFmtId="0" fontId="16" fillId="13" borderId="16" xfId="0" applyFont="1" applyFill="1" applyBorder="1"/>
    <xf numFmtId="9" fontId="17" fillId="13" borderId="16" xfId="2" applyFont="1" applyFill="1" applyBorder="1" applyAlignment="1">
      <alignment horizontal="center"/>
    </xf>
    <xf numFmtId="2" fontId="9" fillId="0" borderId="0" xfId="0" applyNumberFormat="1" applyFont="1"/>
    <xf numFmtId="166" fontId="0" fillId="0" borderId="0" xfId="2" applyNumberFormat="1" applyFont="1"/>
    <xf numFmtId="166" fontId="9" fillId="0" borderId="0" xfId="0" applyNumberFormat="1" applyFont="1"/>
    <xf numFmtId="9" fontId="9" fillId="0" borderId="1" xfId="2" applyFont="1" applyBorder="1"/>
    <xf numFmtId="164" fontId="9" fillId="0" borderId="1" xfId="5" applyFont="1" applyBorder="1"/>
    <xf numFmtId="164" fontId="9" fillId="4" borderId="0" xfId="0" applyNumberFormat="1" applyFont="1" applyFill="1"/>
    <xf numFmtId="10" fontId="9" fillId="4" borderId="0" xfId="2" applyNumberFormat="1" applyFont="1" applyFill="1"/>
    <xf numFmtId="0" fontId="4" fillId="0" borderId="1" xfId="0" applyFont="1" applyBorder="1"/>
    <xf numFmtId="164" fontId="4" fillId="0" borderId="0" xfId="5" applyFont="1"/>
    <xf numFmtId="164" fontId="4" fillId="0" borderId="1" xfId="5" applyFont="1" applyBorder="1"/>
    <xf numFmtId="0" fontId="17" fillId="6" borderId="1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/>
    </xf>
    <xf numFmtId="0" fontId="20" fillId="6" borderId="7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/>
    <xf numFmtId="3" fontId="0" fillId="0" borderId="7" xfId="0" applyNumberFormat="1" applyBorder="1" applyAlignment="1">
      <alignment horizontal="center"/>
    </xf>
    <xf numFmtId="4" fontId="0" fillId="0" borderId="7" xfId="0" applyNumberFormat="1" applyBorder="1" applyAlignment="1">
      <alignment horizontal="left"/>
    </xf>
    <xf numFmtId="4" fontId="0" fillId="0" borderId="7" xfId="0" applyNumberForma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</cellXfs>
  <cellStyles count="7">
    <cellStyle name="Comma [0]" xfId="1" builtinId="6"/>
    <cellStyle name="Comma [0] 2" xfId="5" xr:uid="{53C0AEB3-41FE-40E5-BF5E-341EA09EC77B}"/>
    <cellStyle name="Currency [0] 2" xfId="6" xr:uid="{DB8DC379-91AB-46CC-926E-47FA19E08AD0}"/>
    <cellStyle name="Millares [0] 2" xfId="4" xr:uid="{F81F171C-A33E-43AE-8D7B-FD76D10D0459}"/>
    <cellStyle name="Normal" xfId="0" builtinId="0"/>
    <cellStyle name="Normal 2" xfId="3" xr:uid="{95AB7D82-70C6-4489-B31A-733E3E846161}"/>
    <cellStyle name="Percent" xfId="2" builtinId="5"/>
  </cellStyles>
  <dxfs count="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GitHub\6020.Inecon_ModeloVanMedicion\6020.Inecon_ModeloVanMedicion\Code\Limpio\Parametros\VAN_Parametros.xlsx" TargetMode="External"/><Relationship Id="rId1" Type="http://schemas.openxmlformats.org/officeDocument/2006/relationships/externalLinkPath" Target="/GitHub/6020.Inecon_ModeloVanMedicion/6020.Inecon_ModeloVanMedicion/Code/Limpio/Parametros/VAN_Paramet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UJO E1"/>
      <sheetName val="Clase A"/>
      <sheetName val="Datos"/>
    </sheetNames>
    <sheetDataSet>
      <sheetData sheetId="0"/>
      <sheetData sheetId="1">
        <row r="3">
          <cell r="B3">
            <v>13</v>
          </cell>
          <cell r="C3">
            <v>14740</v>
          </cell>
          <cell r="D3">
            <v>2760</v>
          </cell>
          <cell r="E3">
            <v>17500</v>
          </cell>
          <cell r="F3">
            <v>0.74827895839568992</v>
          </cell>
          <cell r="G3">
            <v>0.75175050474676752</v>
          </cell>
          <cell r="H3">
            <v>0.76519457804984692</v>
          </cell>
        </row>
        <row r="4">
          <cell r="B4">
            <v>19</v>
          </cell>
          <cell r="C4">
            <v>3358</v>
          </cell>
          <cell r="D4">
            <v>1119</v>
          </cell>
          <cell r="E4">
            <v>4477</v>
          </cell>
          <cell r="F4">
            <v>0.1914311369564288</v>
          </cell>
          <cell r="G4">
            <v>0.19231925770007302</v>
          </cell>
          <cell r="H4">
            <v>0.19575863576738084</v>
          </cell>
        </row>
        <row r="5">
          <cell r="B5">
            <v>25</v>
          </cell>
          <cell r="C5">
            <v>730</v>
          </cell>
          <cell r="D5">
            <v>163</v>
          </cell>
          <cell r="E5">
            <v>893</v>
          </cell>
          <cell r="F5">
            <v>3.8183606276991494E-2</v>
          </cell>
          <cell r="G5">
            <v>3.8360754327935051E-2</v>
          </cell>
          <cell r="H5">
            <v>3.9046786182772193E-2</v>
          </cell>
        </row>
        <row r="6">
          <cell r="B6">
            <v>38</v>
          </cell>
          <cell r="C6">
            <v>41</v>
          </cell>
          <cell r="D6">
            <v>11</v>
          </cell>
          <cell r="E6">
            <v>52</v>
          </cell>
          <cell r="F6">
            <v>2.2234574763757642E-3</v>
          </cell>
          <cell r="G6">
            <v>2.2337729283903947E-3</v>
          </cell>
        </row>
        <row r="7">
          <cell r="B7">
            <v>50</v>
          </cell>
          <cell r="C7">
            <v>347</v>
          </cell>
          <cell r="D7">
            <v>10</v>
          </cell>
          <cell r="E7">
            <v>357</v>
          </cell>
          <cell r="F7">
            <v>1.5264890751272074E-2</v>
          </cell>
          <cell r="G7">
            <v>1.5335710296834056E-2</v>
          </cell>
        </row>
        <row r="8">
          <cell r="B8">
            <v>75</v>
          </cell>
          <cell r="C8">
            <v>15</v>
          </cell>
          <cell r="D8">
            <v>5</v>
          </cell>
          <cell r="E8">
            <v>20</v>
          </cell>
          <cell r="F8">
            <v>8.5517595245221704E-4</v>
          </cell>
        </row>
        <row r="9">
          <cell r="B9">
            <v>80</v>
          </cell>
          <cell r="C9">
            <v>48</v>
          </cell>
          <cell r="E9">
            <v>48</v>
          </cell>
          <cell r="F9">
            <v>2.052422285885321E-3</v>
          </cell>
        </row>
        <row r="10">
          <cell r="B10">
            <v>100</v>
          </cell>
          <cell r="C10">
            <v>26</v>
          </cell>
          <cell r="D10">
            <v>7</v>
          </cell>
          <cell r="E10">
            <v>33</v>
          </cell>
          <cell r="F10">
            <v>1.4110403215461581E-3</v>
          </cell>
        </row>
        <row r="11">
          <cell r="B11">
            <v>150</v>
          </cell>
          <cell r="C11">
            <v>6</v>
          </cell>
          <cell r="D11">
            <v>1</v>
          </cell>
          <cell r="E11">
            <v>7</v>
          </cell>
          <cell r="F11">
            <v>2.9931158335827599E-4</v>
          </cell>
        </row>
        <row r="12">
          <cell r="E12">
            <v>23387</v>
          </cell>
          <cell r="F12" t="b">
            <v>1</v>
          </cell>
          <cell r="G12" t="b">
            <v>1</v>
          </cell>
        </row>
        <row r="13">
          <cell r="E13">
            <v>23279</v>
          </cell>
        </row>
        <row r="14">
          <cell r="E14">
            <v>22870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DB39-1CEA-4193-8528-81639ECABCD3}">
  <dimension ref="A1:Q64"/>
  <sheetViews>
    <sheetView showGridLines="0" tabSelected="1" topLeftCell="A43" workbookViewId="0">
      <selection activeCell="C56" sqref="C56"/>
    </sheetView>
  </sheetViews>
  <sheetFormatPr defaultColWidth="11.5546875" defaultRowHeight="14.4" x14ac:dyDescent="0.3"/>
  <cols>
    <col min="1" max="1" width="9" style="20" bestFit="1" customWidth="1"/>
    <col min="2" max="2" width="27.33203125" bestFit="1" customWidth="1"/>
    <col min="3" max="3" width="13.109375" bestFit="1" customWidth="1"/>
    <col min="4" max="4" width="10.5546875" bestFit="1" customWidth="1"/>
    <col min="6" max="6" width="18.21875" bestFit="1" customWidth="1"/>
    <col min="7" max="7" width="27.33203125" bestFit="1" customWidth="1"/>
    <col min="9" max="9" width="14" bestFit="1" customWidth="1"/>
    <col min="14" max="14" width="14.109375" bestFit="1" customWidth="1"/>
  </cols>
  <sheetData>
    <row r="1" spans="1:17" x14ac:dyDescent="0.3">
      <c r="A1" s="140" t="s">
        <v>200</v>
      </c>
      <c r="B1" s="140" t="s">
        <v>51</v>
      </c>
      <c r="C1" s="141" t="s">
        <v>201</v>
      </c>
      <c r="D1" s="141" t="s">
        <v>202</v>
      </c>
      <c r="F1" s="140" t="s">
        <v>203</v>
      </c>
      <c r="G1" s="140" t="s">
        <v>204</v>
      </c>
      <c r="I1" s="10" t="s">
        <v>205</v>
      </c>
      <c r="J1" s="140">
        <v>13</v>
      </c>
      <c r="K1" s="140">
        <v>19</v>
      </c>
      <c r="L1" s="140">
        <v>25</v>
      </c>
      <c r="N1" s="10" t="s">
        <v>206</v>
      </c>
      <c r="O1" s="140">
        <v>13</v>
      </c>
      <c r="P1" s="140">
        <v>19</v>
      </c>
      <c r="Q1" s="140">
        <v>25</v>
      </c>
    </row>
    <row r="2" spans="1:17" x14ac:dyDescent="0.3">
      <c r="A2" s="142">
        <v>1</v>
      </c>
      <c r="B2" s="143" t="s">
        <v>207</v>
      </c>
      <c r="C2" s="143" t="s">
        <v>208</v>
      </c>
      <c r="D2" s="144">
        <v>1759.7890044861028</v>
      </c>
      <c r="F2" s="143" t="s">
        <v>209</v>
      </c>
      <c r="G2" s="143" t="s">
        <v>209</v>
      </c>
      <c r="I2" s="145" t="s">
        <v>210</v>
      </c>
      <c r="J2" s="146">
        <v>0.51851638533364042</v>
      </c>
      <c r="K2" s="146">
        <v>0.63671103836798548</v>
      </c>
      <c r="L2" s="146">
        <v>3.6735393096672793</v>
      </c>
      <c r="N2" s="145" t="s">
        <v>210</v>
      </c>
      <c r="O2" s="146">
        <v>0.61520456741054219</v>
      </c>
      <c r="P2" s="146">
        <v>0.84398391313298304</v>
      </c>
      <c r="Q2" s="146">
        <v>1.1054458381491326</v>
      </c>
    </row>
    <row r="3" spans="1:17" x14ac:dyDescent="0.3">
      <c r="A3" s="142">
        <v>1</v>
      </c>
      <c r="B3" s="143" t="s">
        <v>211</v>
      </c>
      <c r="C3" s="143" t="s">
        <v>208</v>
      </c>
      <c r="D3" s="144">
        <v>1759.7890044861028</v>
      </c>
      <c r="F3" s="143" t="s">
        <v>212</v>
      </c>
      <c r="G3" s="143" t="s">
        <v>212</v>
      </c>
      <c r="I3" s="145" t="s">
        <v>208</v>
      </c>
      <c r="J3" s="146">
        <v>0.51851638533364042</v>
      </c>
      <c r="K3" s="146">
        <v>0.66197734941433417</v>
      </c>
      <c r="L3" s="146">
        <v>3.6769104444290792</v>
      </c>
      <c r="N3" s="145" t="s">
        <v>208</v>
      </c>
      <c r="O3" s="146">
        <v>0.71133018023512073</v>
      </c>
      <c r="P3" s="146">
        <v>1.0189327866070119</v>
      </c>
      <c r="Q3" s="146">
        <v>1.2111840122561688</v>
      </c>
    </row>
    <row r="4" spans="1:17" x14ac:dyDescent="0.3">
      <c r="A4" s="142">
        <v>1</v>
      </c>
      <c r="B4" s="143" t="s">
        <v>133</v>
      </c>
      <c r="C4" s="143" t="s">
        <v>208</v>
      </c>
      <c r="D4" s="144">
        <v>1094.0834376633352</v>
      </c>
      <c r="F4" s="143" t="s">
        <v>213</v>
      </c>
      <c r="G4" s="143" t="s">
        <v>213</v>
      </c>
      <c r="I4" s="145" t="s">
        <v>214</v>
      </c>
      <c r="J4" s="146">
        <v>0.51851638533364042</v>
      </c>
      <c r="K4" s="146">
        <v>0.65585082797477701</v>
      </c>
      <c r="L4" s="146">
        <v>3.7219735723674274</v>
      </c>
      <c r="N4" s="145" t="s">
        <v>214</v>
      </c>
      <c r="O4" s="146">
        <v>0.58890433386444252</v>
      </c>
      <c r="P4" s="146">
        <v>0.58890433386444252</v>
      </c>
      <c r="Q4" s="146">
        <v>1.1777709157343212</v>
      </c>
    </row>
    <row r="5" spans="1:17" x14ac:dyDescent="0.3">
      <c r="A5" s="142">
        <v>1</v>
      </c>
      <c r="B5" s="143" t="s">
        <v>215</v>
      </c>
      <c r="C5" s="143" t="s">
        <v>214</v>
      </c>
      <c r="D5" s="144">
        <v>1056.7596910360717</v>
      </c>
      <c r="F5" s="143" t="s">
        <v>216</v>
      </c>
      <c r="G5" s="143" t="s">
        <v>216</v>
      </c>
    </row>
    <row r="6" spans="1:17" x14ac:dyDescent="0.3">
      <c r="A6" s="142">
        <v>1</v>
      </c>
      <c r="B6" s="143" t="s">
        <v>217</v>
      </c>
      <c r="C6" s="143" t="s">
        <v>208</v>
      </c>
      <c r="D6" s="144">
        <v>1759.7890044861028</v>
      </c>
      <c r="F6" s="143" t="s">
        <v>218</v>
      </c>
      <c r="G6" s="143" t="s">
        <v>219</v>
      </c>
    </row>
    <row r="7" spans="1:17" x14ac:dyDescent="0.3">
      <c r="A7" s="142">
        <v>1</v>
      </c>
      <c r="B7" s="143" t="s">
        <v>220</v>
      </c>
      <c r="C7" s="143" t="s">
        <v>210</v>
      </c>
      <c r="D7" s="144">
        <v>1128.6646199616048</v>
      </c>
      <c r="F7" s="143" t="s">
        <v>221</v>
      </c>
      <c r="G7" s="143" t="s">
        <v>219</v>
      </c>
    </row>
    <row r="8" spans="1:17" x14ac:dyDescent="0.3">
      <c r="A8" s="142">
        <v>1</v>
      </c>
      <c r="B8" s="143" t="s">
        <v>222</v>
      </c>
      <c r="C8" s="143" t="s">
        <v>210</v>
      </c>
      <c r="D8" s="144">
        <v>1372.1337611196966</v>
      </c>
      <c r="F8" s="143" t="s">
        <v>223</v>
      </c>
      <c r="G8" s="143" t="s">
        <v>223</v>
      </c>
    </row>
    <row r="9" spans="1:17" x14ac:dyDescent="0.3">
      <c r="A9" s="142">
        <v>1</v>
      </c>
      <c r="B9" s="143" t="s">
        <v>138</v>
      </c>
      <c r="C9" s="143" t="s">
        <v>208</v>
      </c>
      <c r="D9" s="144">
        <v>1645.5464470395568</v>
      </c>
      <c r="F9" s="143" t="s">
        <v>224</v>
      </c>
      <c r="G9" s="143" t="s">
        <v>224</v>
      </c>
    </row>
    <row r="10" spans="1:17" x14ac:dyDescent="0.3">
      <c r="A10" s="142">
        <v>1</v>
      </c>
      <c r="B10" s="143" t="s">
        <v>225</v>
      </c>
      <c r="C10" s="143" t="s">
        <v>210</v>
      </c>
      <c r="D10" s="144">
        <v>1372.1337611196966</v>
      </c>
      <c r="F10" s="143" t="s">
        <v>226</v>
      </c>
      <c r="G10" s="143" t="s">
        <v>227</v>
      </c>
    </row>
    <row r="11" spans="1:17" x14ac:dyDescent="0.3">
      <c r="A11" s="142">
        <v>1</v>
      </c>
      <c r="B11" s="143" t="s">
        <v>228</v>
      </c>
      <c r="C11" s="143" t="s">
        <v>210</v>
      </c>
      <c r="D11" s="144">
        <v>1509.8622494360493</v>
      </c>
      <c r="F11" s="143" t="s">
        <v>229</v>
      </c>
      <c r="G11" s="143" t="s">
        <v>227</v>
      </c>
    </row>
    <row r="12" spans="1:17" x14ac:dyDescent="0.3">
      <c r="A12" s="142">
        <v>1</v>
      </c>
      <c r="B12" s="143" t="s">
        <v>129</v>
      </c>
      <c r="C12" s="143" t="s">
        <v>208</v>
      </c>
      <c r="D12" s="144">
        <v>1280.7942581472241</v>
      </c>
      <c r="F12" s="143" t="s">
        <v>230</v>
      </c>
      <c r="G12" s="143" t="s">
        <v>230</v>
      </c>
    </row>
    <row r="13" spans="1:17" x14ac:dyDescent="0.3">
      <c r="A13" s="142">
        <v>1</v>
      </c>
      <c r="B13" s="143" t="s">
        <v>131</v>
      </c>
      <c r="C13" s="143" t="s">
        <v>208</v>
      </c>
      <c r="D13" s="144">
        <v>1645.5464470395568</v>
      </c>
      <c r="F13" s="143" t="s">
        <v>231</v>
      </c>
      <c r="G13" s="143" t="s">
        <v>231</v>
      </c>
    </row>
    <row r="14" spans="1:17" x14ac:dyDescent="0.3">
      <c r="A14" s="142">
        <v>2</v>
      </c>
      <c r="B14" s="143" t="s">
        <v>212</v>
      </c>
      <c r="C14" s="143" t="s">
        <v>208</v>
      </c>
      <c r="D14" s="144">
        <v>1280.7942581472241</v>
      </c>
      <c r="F14" s="143" t="s">
        <v>232</v>
      </c>
      <c r="G14" s="143" t="s">
        <v>232</v>
      </c>
    </row>
    <row r="15" spans="1:17" x14ac:dyDescent="0.3">
      <c r="A15" s="142">
        <v>2</v>
      </c>
      <c r="B15" s="143" t="s">
        <v>213</v>
      </c>
      <c r="C15" s="143" t="s">
        <v>214</v>
      </c>
      <c r="D15" s="144">
        <v>1438.5432708929466</v>
      </c>
      <c r="F15" s="143" t="s">
        <v>207</v>
      </c>
      <c r="G15" s="143" t="s">
        <v>207</v>
      </c>
    </row>
    <row r="16" spans="1:17" x14ac:dyDescent="0.3">
      <c r="A16" s="142">
        <v>2</v>
      </c>
      <c r="B16" s="143" t="s">
        <v>219</v>
      </c>
      <c r="C16" s="143" t="s">
        <v>210</v>
      </c>
      <c r="D16" s="144">
        <v>1372.1337611196966</v>
      </c>
      <c r="F16" s="143" t="s">
        <v>130</v>
      </c>
      <c r="G16" s="143" t="s">
        <v>130</v>
      </c>
    </row>
    <row r="17" spans="1:7" x14ac:dyDescent="0.3">
      <c r="A17" s="142">
        <v>2</v>
      </c>
      <c r="B17" s="143" t="s">
        <v>227</v>
      </c>
      <c r="C17" s="143" t="s">
        <v>214</v>
      </c>
      <c r="D17" s="144">
        <v>1056.7596910360717</v>
      </c>
      <c r="F17" s="143" t="s">
        <v>233</v>
      </c>
      <c r="G17" s="143" t="s">
        <v>234</v>
      </c>
    </row>
    <row r="18" spans="1:7" x14ac:dyDescent="0.3">
      <c r="A18" s="142">
        <v>2</v>
      </c>
      <c r="B18" s="143" t="s">
        <v>230</v>
      </c>
      <c r="C18" s="143" t="s">
        <v>208</v>
      </c>
      <c r="D18" s="144">
        <v>1759.7890044861028</v>
      </c>
      <c r="F18" s="143" t="s">
        <v>235</v>
      </c>
      <c r="G18" s="143" t="s">
        <v>235</v>
      </c>
    </row>
    <row r="19" spans="1:7" x14ac:dyDescent="0.3">
      <c r="A19" s="142">
        <v>2</v>
      </c>
      <c r="B19" s="143" t="s">
        <v>130</v>
      </c>
      <c r="C19" s="143" t="s">
        <v>208</v>
      </c>
      <c r="D19" s="144">
        <v>1155.5587003118246</v>
      </c>
      <c r="F19" s="143" t="s">
        <v>236</v>
      </c>
      <c r="G19" s="143" t="s">
        <v>236</v>
      </c>
    </row>
    <row r="20" spans="1:7" x14ac:dyDescent="0.3">
      <c r="A20" s="142">
        <v>2</v>
      </c>
      <c r="B20" s="143" t="s">
        <v>236</v>
      </c>
      <c r="C20" s="143" t="s">
        <v>214</v>
      </c>
      <c r="D20" s="144">
        <v>1308.779718369919</v>
      </c>
      <c r="F20" s="143" t="s">
        <v>237</v>
      </c>
      <c r="G20" s="143" t="s">
        <v>237</v>
      </c>
    </row>
    <row r="21" spans="1:7" x14ac:dyDescent="0.3">
      <c r="A21" s="142">
        <v>2</v>
      </c>
      <c r="B21" s="143" t="s">
        <v>238</v>
      </c>
      <c r="C21" s="143" t="s">
        <v>214</v>
      </c>
      <c r="D21" s="144">
        <v>1056.7596910360717</v>
      </c>
      <c r="F21" s="143" t="s">
        <v>211</v>
      </c>
      <c r="G21" s="143" t="s">
        <v>211</v>
      </c>
    </row>
    <row r="22" spans="1:7" x14ac:dyDescent="0.3">
      <c r="A22" s="142">
        <v>2</v>
      </c>
      <c r="B22" s="143" t="s">
        <v>239</v>
      </c>
      <c r="C22" s="143" t="s">
        <v>214</v>
      </c>
      <c r="D22" s="144">
        <v>1438.5432708929466</v>
      </c>
      <c r="F22" s="143" t="s">
        <v>240</v>
      </c>
      <c r="G22" s="143" t="s">
        <v>240</v>
      </c>
    </row>
    <row r="23" spans="1:7" x14ac:dyDescent="0.3">
      <c r="A23" s="142">
        <v>3</v>
      </c>
      <c r="B23" s="143" t="s">
        <v>216</v>
      </c>
      <c r="C23" s="143" t="s">
        <v>210</v>
      </c>
      <c r="D23" s="144">
        <v>1509.8622494360493</v>
      </c>
      <c r="F23" s="143" t="s">
        <v>241</v>
      </c>
      <c r="G23" s="143" t="s">
        <v>241</v>
      </c>
    </row>
    <row r="24" spans="1:7" x14ac:dyDescent="0.3">
      <c r="A24" s="142">
        <v>3</v>
      </c>
      <c r="B24" s="143" t="s">
        <v>224</v>
      </c>
      <c r="C24" s="143" t="s">
        <v>210</v>
      </c>
      <c r="D24" s="144">
        <v>1372.1337611196966</v>
      </c>
      <c r="F24" s="143" t="s">
        <v>133</v>
      </c>
      <c r="G24" s="143" t="s">
        <v>133</v>
      </c>
    </row>
    <row r="25" spans="1:7" x14ac:dyDescent="0.3">
      <c r="A25" s="142">
        <v>3</v>
      </c>
      <c r="B25" s="143" t="s">
        <v>231</v>
      </c>
      <c r="C25" s="143" t="s">
        <v>214</v>
      </c>
      <c r="D25" s="144">
        <v>1056.7596910360717</v>
      </c>
      <c r="F25" s="143" t="s">
        <v>242</v>
      </c>
      <c r="G25" s="143" t="s">
        <v>242</v>
      </c>
    </row>
    <row r="26" spans="1:7" x14ac:dyDescent="0.3">
      <c r="A26" s="142">
        <v>3</v>
      </c>
      <c r="B26" s="143" t="s">
        <v>234</v>
      </c>
      <c r="C26" s="143" t="s">
        <v>210</v>
      </c>
      <c r="D26" s="144">
        <v>1372.1337611196966</v>
      </c>
      <c r="F26" s="143" t="s">
        <v>243</v>
      </c>
      <c r="G26" s="143" t="s">
        <v>243</v>
      </c>
    </row>
    <row r="27" spans="1:7" x14ac:dyDescent="0.3">
      <c r="A27" s="142">
        <v>3</v>
      </c>
      <c r="B27" s="143" t="s">
        <v>241</v>
      </c>
      <c r="C27" s="143" t="s">
        <v>214</v>
      </c>
      <c r="D27" s="144">
        <v>1308.779718369919</v>
      </c>
      <c r="F27" s="143" t="s">
        <v>215</v>
      </c>
      <c r="G27" s="143" t="s">
        <v>215</v>
      </c>
    </row>
    <row r="28" spans="1:7" x14ac:dyDescent="0.3">
      <c r="A28" s="142">
        <v>3</v>
      </c>
      <c r="B28" s="143" t="s">
        <v>242</v>
      </c>
      <c r="C28" s="143" t="s">
        <v>210</v>
      </c>
      <c r="D28" s="144">
        <v>1372.1337611196966</v>
      </c>
      <c r="F28" s="143" t="s">
        <v>244</v>
      </c>
      <c r="G28" s="143" t="s">
        <v>245</v>
      </c>
    </row>
    <row r="29" spans="1:7" x14ac:dyDescent="0.3">
      <c r="A29" s="142">
        <v>3</v>
      </c>
      <c r="B29" s="143" t="s">
        <v>243</v>
      </c>
      <c r="C29" s="143" t="s">
        <v>208</v>
      </c>
      <c r="D29" s="144">
        <v>1584.0711843910672</v>
      </c>
      <c r="F29" s="143" t="s">
        <v>238</v>
      </c>
      <c r="G29" s="143" t="s">
        <v>238</v>
      </c>
    </row>
    <row r="30" spans="1:7" x14ac:dyDescent="0.3">
      <c r="A30" s="142">
        <v>3</v>
      </c>
      <c r="B30" s="143" t="s">
        <v>246</v>
      </c>
      <c r="C30" s="143" t="s">
        <v>210</v>
      </c>
      <c r="D30" s="144">
        <v>1509.8622494360493</v>
      </c>
      <c r="F30" s="143" t="s">
        <v>246</v>
      </c>
      <c r="G30" s="143" t="s">
        <v>246</v>
      </c>
    </row>
    <row r="31" spans="1:7" x14ac:dyDescent="0.3">
      <c r="A31" s="142">
        <v>3</v>
      </c>
      <c r="B31" s="143" t="s">
        <v>247</v>
      </c>
      <c r="C31" s="143" t="s">
        <v>214</v>
      </c>
      <c r="D31" s="144">
        <v>1438.5432708929466</v>
      </c>
      <c r="F31" s="143" t="s">
        <v>248</v>
      </c>
      <c r="G31" s="143" t="s">
        <v>248</v>
      </c>
    </row>
    <row r="32" spans="1:7" x14ac:dyDescent="0.3">
      <c r="A32" s="142">
        <v>3</v>
      </c>
      <c r="B32" s="143" t="s">
        <v>249</v>
      </c>
      <c r="C32" s="143" t="s">
        <v>208</v>
      </c>
      <c r="D32" s="144">
        <v>1584.0711843910672</v>
      </c>
      <c r="F32" s="143" t="s">
        <v>250</v>
      </c>
      <c r="G32" s="143" t="s">
        <v>247</v>
      </c>
    </row>
    <row r="33" spans="1:7" x14ac:dyDescent="0.3">
      <c r="A33" s="142">
        <v>3</v>
      </c>
      <c r="B33" s="143" t="s">
        <v>251</v>
      </c>
      <c r="C33" s="143" t="s">
        <v>214</v>
      </c>
      <c r="D33" s="144">
        <v>1056.7596910360717</v>
      </c>
      <c r="F33" s="143" t="s">
        <v>249</v>
      </c>
      <c r="G33" s="143" t="s">
        <v>249</v>
      </c>
    </row>
    <row r="34" spans="1:7" x14ac:dyDescent="0.3">
      <c r="A34" s="142">
        <v>3</v>
      </c>
      <c r="B34" s="143" t="s">
        <v>252</v>
      </c>
      <c r="C34" s="143" t="s">
        <v>210</v>
      </c>
      <c r="D34" s="144">
        <v>1509.8622494360493</v>
      </c>
      <c r="F34" s="143" t="s">
        <v>217</v>
      </c>
      <c r="G34" s="143" t="s">
        <v>217</v>
      </c>
    </row>
    <row r="35" spans="1:7" x14ac:dyDescent="0.3">
      <c r="A35" s="142">
        <v>3</v>
      </c>
      <c r="B35" s="143" t="s">
        <v>253</v>
      </c>
      <c r="C35" s="143" t="s">
        <v>210</v>
      </c>
      <c r="D35" s="144">
        <v>1509.8622494360493</v>
      </c>
      <c r="F35" s="143" t="s">
        <v>254</v>
      </c>
      <c r="G35" s="143" t="s">
        <v>251</v>
      </c>
    </row>
    <row r="36" spans="1:7" x14ac:dyDescent="0.3">
      <c r="A36" s="142">
        <v>3</v>
      </c>
      <c r="B36" s="143" t="s">
        <v>255</v>
      </c>
      <c r="C36" s="143" t="s">
        <v>210</v>
      </c>
      <c r="D36" s="144">
        <v>1128.6646199616048</v>
      </c>
      <c r="F36" s="143" t="s">
        <v>256</v>
      </c>
      <c r="G36" s="143" t="s">
        <v>251</v>
      </c>
    </row>
    <row r="37" spans="1:7" x14ac:dyDescent="0.3">
      <c r="A37" s="142">
        <v>3</v>
      </c>
      <c r="B37" s="143" t="s">
        <v>257</v>
      </c>
      <c r="C37" s="143" t="s">
        <v>208</v>
      </c>
      <c r="D37" s="144">
        <v>1584.0711843910672</v>
      </c>
      <c r="F37" s="143" t="s">
        <v>252</v>
      </c>
      <c r="G37" s="143" t="s">
        <v>252</v>
      </c>
    </row>
    <row r="38" spans="1:7" x14ac:dyDescent="0.3">
      <c r="A38" s="142">
        <v>3</v>
      </c>
      <c r="B38" s="143" t="s">
        <v>258</v>
      </c>
      <c r="C38" s="143" t="s">
        <v>210</v>
      </c>
      <c r="D38" s="144">
        <v>1266.3931082779577</v>
      </c>
      <c r="F38" s="143" t="s">
        <v>253</v>
      </c>
      <c r="G38" s="143" t="s">
        <v>253</v>
      </c>
    </row>
    <row r="39" spans="1:7" x14ac:dyDescent="0.3">
      <c r="A39" s="142">
        <v>3</v>
      </c>
      <c r="B39" s="143" t="s">
        <v>259</v>
      </c>
      <c r="C39" s="143" t="s">
        <v>210</v>
      </c>
      <c r="D39" s="144">
        <v>1372.1337611196966</v>
      </c>
      <c r="F39" s="143" t="s">
        <v>260</v>
      </c>
      <c r="G39" s="143" t="s">
        <v>260</v>
      </c>
    </row>
    <row r="40" spans="1:7" x14ac:dyDescent="0.3">
      <c r="A40" s="142">
        <v>3</v>
      </c>
      <c r="B40" s="143" t="s">
        <v>261</v>
      </c>
      <c r="C40" s="143" t="s">
        <v>208</v>
      </c>
      <c r="D40" s="144">
        <v>1584.0711843910672</v>
      </c>
      <c r="F40" s="143" t="s">
        <v>239</v>
      </c>
      <c r="G40" s="143" t="s">
        <v>239</v>
      </c>
    </row>
    <row r="41" spans="1:7" x14ac:dyDescent="0.3">
      <c r="A41" s="142">
        <v>3</v>
      </c>
      <c r="B41" s="143" t="s">
        <v>262</v>
      </c>
      <c r="C41" s="143" t="s">
        <v>214</v>
      </c>
      <c r="D41" s="144">
        <v>1056.7596910360717</v>
      </c>
      <c r="F41" s="143" t="s">
        <v>263</v>
      </c>
      <c r="G41" s="143" t="s">
        <v>263</v>
      </c>
    </row>
    <row r="42" spans="1:7" x14ac:dyDescent="0.3">
      <c r="A42" s="142">
        <v>3</v>
      </c>
      <c r="B42" s="143" t="s">
        <v>264</v>
      </c>
      <c r="C42" s="143" t="s">
        <v>210</v>
      </c>
      <c r="D42" s="144">
        <v>1372.1337611196966</v>
      </c>
      <c r="F42" s="143" t="s">
        <v>265</v>
      </c>
      <c r="G42" s="143" t="s">
        <v>265</v>
      </c>
    </row>
    <row r="43" spans="1:7" x14ac:dyDescent="0.3">
      <c r="A43" s="142">
        <v>4</v>
      </c>
      <c r="B43" s="143" t="s">
        <v>209</v>
      </c>
      <c r="C43" s="143" t="s">
        <v>214</v>
      </c>
      <c r="D43" s="144">
        <v>1308.779718369919</v>
      </c>
      <c r="F43" s="143" t="s">
        <v>266</v>
      </c>
      <c r="G43" s="143" t="s">
        <v>220</v>
      </c>
    </row>
    <row r="44" spans="1:7" x14ac:dyDescent="0.3">
      <c r="A44" s="142">
        <v>4</v>
      </c>
      <c r="B44" s="143" t="s">
        <v>223</v>
      </c>
      <c r="C44" s="143" t="s">
        <v>210</v>
      </c>
      <c r="D44" s="144">
        <v>1372.1337611196966</v>
      </c>
      <c r="F44" s="143" t="s">
        <v>267</v>
      </c>
      <c r="G44" s="143" t="s">
        <v>220</v>
      </c>
    </row>
    <row r="45" spans="1:7" x14ac:dyDescent="0.3">
      <c r="A45" s="142">
        <v>4</v>
      </c>
      <c r="B45" s="143" t="s">
        <v>232</v>
      </c>
      <c r="C45" s="143" t="s">
        <v>210</v>
      </c>
      <c r="D45" s="144">
        <v>1372.1337611196966</v>
      </c>
      <c r="F45" s="143" t="s">
        <v>255</v>
      </c>
      <c r="G45" s="143" t="s">
        <v>255</v>
      </c>
    </row>
    <row r="46" spans="1:7" x14ac:dyDescent="0.3">
      <c r="A46" s="142">
        <v>4</v>
      </c>
      <c r="B46" s="143" t="s">
        <v>235</v>
      </c>
      <c r="C46" s="143" t="s">
        <v>208</v>
      </c>
      <c r="D46" s="144">
        <v>1584.0711843910672</v>
      </c>
      <c r="F46" s="143" t="s">
        <v>222</v>
      </c>
      <c r="G46" s="143" t="s">
        <v>222</v>
      </c>
    </row>
    <row r="47" spans="1:7" x14ac:dyDescent="0.3">
      <c r="A47" s="142">
        <v>4</v>
      </c>
      <c r="B47" s="143" t="s">
        <v>237</v>
      </c>
      <c r="C47" s="143" t="s">
        <v>208</v>
      </c>
      <c r="D47" s="144">
        <v>1584.0711843910672</v>
      </c>
      <c r="F47" s="143" t="s">
        <v>257</v>
      </c>
      <c r="G47" s="143" t="s">
        <v>257</v>
      </c>
    </row>
    <row r="48" spans="1:7" x14ac:dyDescent="0.3">
      <c r="A48" s="142">
        <v>4</v>
      </c>
      <c r="B48" s="143" t="s">
        <v>240</v>
      </c>
      <c r="C48" s="143" t="s">
        <v>214</v>
      </c>
      <c r="D48" s="144">
        <v>1308.779718369919</v>
      </c>
      <c r="F48" s="143" t="s">
        <v>138</v>
      </c>
      <c r="G48" s="143" t="s">
        <v>138</v>
      </c>
    </row>
    <row r="49" spans="1:7" x14ac:dyDescent="0.3">
      <c r="A49" s="142">
        <v>4</v>
      </c>
      <c r="B49" s="143" t="s">
        <v>245</v>
      </c>
      <c r="C49" s="143" t="s">
        <v>208</v>
      </c>
      <c r="D49" s="144">
        <v>1645.5464470395568</v>
      </c>
      <c r="F49" s="143" t="s">
        <v>225</v>
      </c>
      <c r="G49" s="143" t="s">
        <v>225</v>
      </c>
    </row>
    <row r="50" spans="1:7" x14ac:dyDescent="0.3">
      <c r="A50" s="142">
        <v>4</v>
      </c>
      <c r="B50" s="143" t="s">
        <v>248</v>
      </c>
      <c r="C50" s="143" t="s">
        <v>214</v>
      </c>
      <c r="D50" s="144">
        <v>1438.5432708929466</v>
      </c>
      <c r="F50" s="143" t="s">
        <v>258</v>
      </c>
      <c r="G50" s="143" t="s">
        <v>258</v>
      </c>
    </row>
    <row r="51" spans="1:7" x14ac:dyDescent="0.3">
      <c r="A51" s="142">
        <v>4</v>
      </c>
      <c r="B51" s="143" t="s">
        <v>260</v>
      </c>
      <c r="C51" s="143" t="s">
        <v>214</v>
      </c>
      <c r="D51" s="144">
        <v>1308.779718369919</v>
      </c>
      <c r="F51" s="143" t="s">
        <v>268</v>
      </c>
      <c r="G51" s="143" t="s">
        <v>259</v>
      </c>
    </row>
    <row r="52" spans="1:7" x14ac:dyDescent="0.3">
      <c r="A52" s="142">
        <v>4</v>
      </c>
      <c r="B52" s="143" t="s">
        <v>263</v>
      </c>
      <c r="C52" s="143" t="s">
        <v>210</v>
      </c>
      <c r="D52" s="144">
        <v>1372.1337611196966</v>
      </c>
      <c r="F52" s="143" t="s">
        <v>261</v>
      </c>
      <c r="G52" s="143" t="s">
        <v>261</v>
      </c>
    </row>
    <row r="53" spans="1:7" x14ac:dyDescent="0.3">
      <c r="A53" s="142">
        <v>4</v>
      </c>
      <c r="B53" s="143" t="s">
        <v>265</v>
      </c>
      <c r="C53" s="143" t="s">
        <v>214</v>
      </c>
      <c r="D53" s="144">
        <v>1438.5432708929466</v>
      </c>
      <c r="F53" s="143" t="s">
        <v>121</v>
      </c>
      <c r="G53" s="143" t="s">
        <v>262</v>
      </c>
    </row>
    <row r="54" spans="1:7" x14ac:dyDescent="0.3">
      <c r="A54" s="142">
        <v>4</v>
      </c>
      <c r="B54" s="143" t="s">
        <v>269</v>
      </c>
      <c r="C54" s="143" t="s">
        <v>208</v>
      </c>
      <c r="D54" s="144">
        <v>1584.0711843910672</v>
      </c>
      <c r="F54" s="143" t="s">
        <v>269</v>
      </c>
      <c r="G54" s="143" t="s">
        <v>269</v>
      </c>
    </row>
    <row r="55" spans="1:7" x14ac:dyDescent="0.3">
      <c r="A55" s="142">
        <v>4</v>
      </c>
      <c r="B55" s="143" t="s">
        <v>270</v>
      </c>
      <c r="C55" s="143" t="s">
        <v>214</v>
      </c>
      <c r="D55" s="144">
        <v>1308.779718369919</v>
      </c>
      <c r="F55" s="143" t="s">
        <v>270</v>
      </c>
      <c r="G55" s="143" t="s">
        <v>270</v>
      </c>
    </row>
    <row r="56" spans="1:7" x14ac:dyDescent="0.3">
      <c r="A56" s="142">
        <v>4</v>
      </c>
      <c r="B56" s="143" t="s">
        <v>271</v>
      </c>
      <c r="C56" s="143" t="s">
        <v>214</v>
      </c>
      <c r="D56" s="144">
        <v>1438.5432708929466</v>
      </c>
      <c r="F56" s="143" t="s">
        <v>272</v>
      </c>
      <c r="G56" s="143" t="s">
        <v>264</v>
      </c>
    </row>
    <row r="57" spans="1:7" x14ac:dyDescent="0.3">
      <c r="A57" s="142">
        <v>4</v>
      </c>
      <c r="B57" s="143" t="s">
        <v>273</v>
      </c>
      <c r="C57" s="143" t="s">
        <v>214</v>
      </c>
      <c r="D57" s="144">
        <v>1308.779718369919</v>
      </c>
      <c r="F57" s="143" t="s">
        <v>271</v>
      </c>
      <c r="G57" s="143" t="s">
        <v>271</v>
      </c>
    </row>
    <row r="58" spans="1:7" x14ac:dyDescent="0.3">
      <c r="A58" s="142">
        <v>4</v>
      </c>
      <c r="B58" s="143" t="s">
        <v>274</v>
      </c>
      <c r="C58" s="143" t="s">
        <v>214</v>
      </c>
      <c r="D58" s="144">
        <v>1056.7596910360717</v>
      </c>
      <c r="F58" s="143" t="s">
        <v>275</v>
      </c>
      <c r="G58" s="143" t="s">
        <v>228</v>
      </c>
    </row>
    <row r="59" spans="1:7" x14ac:dyDescent="0.3">
      <c r="A59" s="142">
        <v>4</v>
      </c>
      <c r="B59" s="143" t="s">
        <v>132</v>
      </c>
      <c r="C59" s="143" t="s">
        <v>208</v>
      </c>
      <c r="D59" s="144">
        <v>1584.0711843910672</v>
      </c>
      <c r="F59" s="143" t="s">
        <v>276</v>
      </c>
      <c r="G59" s="143" t="s">
        <v>228</v>
      </c>
    </row>
    <row r="60" spans="1:7" x14ac:dyDescent="0.3">
      <c r="A60" s="147">
        <v>5</v>
      </c>
      <c r="B60" s="148" t="s">
        <v>104</v>
      </c>
      <c r="C60" s="148" t="s">
        <v>277</v>
      </c>
      <c r="D60" s="144">
        <v>1584.0711843910672</v>
      </c>
      <c r="F60" s="143" t="s">
        <v>273</v>
      </c>
      <c r="G60" s="143" t="s">
        <v>273</v>
      </c>
    </row>
    <row r="61" spans="1:7" x14ac:dyDescent="0.3">
      <c r="F61" s="143" t="s">
        <v>129</v>
      </c>
      <c r="G61" s="143" t="s">
        <v>129</v>
      </c>
    </row>
    <row r="62" spans="1:7" x14ac:dyDescent="0.3">
      <c r="F62" s="143" t="s">
        <v>131</v>
      </c>
      <c r="G62" s="143" t="s">
        <v>131</v>
      </c>
    </row>
    <row r="63" spans="1:7" x14ac:dyDescent="0.3">
      <c r="F63" s="143" t="s">
        <v>274</v>
      </c>
      <c r="G63" s="143" t="s">
        <v>274</v>
      </c>
    </row>
    <row r="64" spans="1:7" x14ac:dyDescent="0.3">
      <c r="F64" s="143" t="s">
        <v>132</v>
      </c>
      <c r="G64" s="14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CF10-FD0E-41F5-B28A-9400C49D0C69}">
  <sheetPr>
    <tabColor rgb="FF00B050"/>
  </sheetPr>
  <dimension ref="A3:V181"/>
  <sheetViews>
    <sheetView showGridLines="0" zoomScale="85" zoomScaleNormal="85" workbookViewId="0">
      <selection activeCell="C6" sqref="C6"/>
    </sheetView>
  </sheetViews>
  <sheetFormatPr defaultColWidth="11.5546875" defaultRowHeight="14.4" outlineLevelRow="1" x14ac:dyDescent="0.3"/>
  <cols>
    <col min="1" max="1" width="4.33203125" style="54" customWidth="1"/>
    <col min="2" max="2" width="16" style="54" customWidth="1"/>
    <col min="3" max="3" width="48.33203125" style="54" bestFit="1" customWidth="1"/>
    <col min="4" max="4" width="14.5546875" style="54" customWidth="1"/>
    <col min="5" max="5" width="20.5546875" style="54" customWidth="1"/>
    <col min="6" max="6" width="14.44140625" style="54" bestFit="1" customWidth="1"/>
    <col min="7" max="7" width="14.5546875" style="54" bestFit="1" customWidth="1"/>
    <col min="8" max="8" width="14.44140625" style="54" bestFit="1" customWidth="1"/>
    <col min="9" max="12" width="12.6640625" style="54" bestFit="1" customWidth="1"/>
    <col min="13" max="18" width="12.77734375" style="54" bestFit="1" customWidth="1"/>
    <col min="19" max="19" width="16.109375" style="54" customWidth="1"/>
    <col min="20" max="16384" width="11.5546875" style="54"/>
  </cols>
  <sheetData>
    <row r="3" spans="3:10" ht="15.6" x14ac:dyDescent="0.3">
      <c r="C3" s="53" t="s">
        <v>135</v>
      </c>
    </row>
    <row r="4" spans="3:10" ht="15.6" x14ac:dyDescent="0.3">
      <c r="C4" s="53"/>
    </row>
    <row r="5" spans="3:10" x14ac:dyDescent="0.3">
      <c r="D5" s="55">
        <v>2</v>
      </c>
      <c r="E5" s="55">
        <v>3</v>
      </c>
      <c r="F5" s="55">
        <v>4</v>
      </c>
      <c r="G5" s="55">
        <v>5</v>
      </c>
      <c r="H5" s="55">
        <v>6</v>
      </c>
    </row>
    <row r="6" spans="3:10" x14ac:dyDescent="0.3">
      <c r="C6" s="54" t="s">
        <v>136</v>
      </c>
      <c r="D6" s="56">
        <v>13</v>
      </c>
      <c r="E6" s="56">
        <v>19</v>
      </c>
      <c r="F6" s="56">
        <v>25</v>
      </c>
      <c r="G6" s="56">
        <v>38</v>
      </c>
      <c r="H6" s="56">
        <v>50</v>
      </c>
      <c r="J6" s="57" t="s">
        <v>137</v>
      </c>
    </row>
    <row r="7" spans="3:10" hidden="1" x14ac:dyDescent="0.3">
      <c r="C7" s="54" t="s">
        <v>138</v>
      </c>
      <c r="D7" s="54" t="e">
        <f>+COUNTIFS(#REF!,'FLUJO E1'!$C$6,#REF!,'FLUJO E1'!D$6,#REF!,'FLUJO E1'!$C7)</f>
        <v>#REF!</v>
      </c>
      <c r="E7" s="54" t="e">
        <f>+COUNTIFS(#REF!,'FLUJO E1'!$C$6,#REF!,'FLUJO E1'!E$6,#REF!,'FLUJO E1'!$C7)</f>
        <v>#REF!</v>
      </c>
      <c r="F7" s="54" t="e">
        <f>+COUNTIFS(#REF!,'FLUJO E1'!$C$6,#REF!,'FLUJO E1'!F$6,#REF!,'FLUJO E1'!$C7)</f>
        <v>#REF!</v>
      </c>
      <c r="G7" s="54" t="e">
        <f>+COUNTIFS(#REF!,'FLUJO E1'!$C$6,#REF!,'FLUJO E1'!G$6,#REF!,'FLUJO E1'!$C7)</f>
        <v>#REF!</v>
      </c>
      <c r="H7" s="54" t="e">
        <f>+COUNTIFS(#REF!,'FLUJO E1'!$C$6,#REF!,'FLUJO E1'!H$6,#REF!,'FLUJO E1'!$C7)</f>
        <v>#REF!</v>
      </c>
      <c r="I7" s="54" t="e">
        <f>+SUM(D7:H7)</f>
        <v>#REF!</v>
      </c>
    </row>
    <row r="8" spans="3:10" hidden="1" x14ac:dyDescent="0.3">
      <c r="C8" s="54" t="e">
        <f>#REF!</f>
        <v>#REF!</v>
      </c>
      <c r="D8" s="54" t="e">
        <f>+COUNTIFS(#REF!,'FLUJO E1'!$C$6,#REF!,'FLUJO E1'!D$6,#REF!,'FLUJO E1'!$C8)</f>
        <v>#REF!</v>
      </c>
      <c r="E8" s="54" t="e">
        <f>+COUNTIFS(#REF!,'FLUJO E1'!$C$6,#REF!,'FLUJO E1'!E$6,#REF!,'FLUJO E1'!$C8)</f>
        <v>#REF!</v>
      </c>
      <c r="F8" s="54" t="e">
        <f>+COUNTIFS(#REF!,'FLUJO E1'!$C$6,#REF!,'FLUJO E1'!F$6,#REF!,'FLUJO E1'!$C8)</f>
        <v>#REF!</v>
      </c>
      <c r="G8" s="54" t="e">
        <f>+COUNTIFS(#REF!,'FLUJO E1'!$C$6,#REF!,'FLUJO E1'!G$6,#REF!,'FLUJO E1'!$C8)</f>
        <v>#REF!</v>
      </c>
      <c r="H8" s="54" t="e">
        <f>+COUNTIFS(#REF!,'FLUJO E1'!$C$6,#REF!,'FLUJO E1'!H$6,#REF!,'FLUJO E1'!$C8)</f>
        <v>#REF!</v>
      </c>
      <c r="I8" s="54" t="e">
        <f t="shared" ref="I8:I14" si="0">+SUM(D8:H8)</f>
        <v>#REF!</v>
      </c>
    </row>
    <row r="9" spans="3:10" hidden="1" x14ac:dyDescent="0.3">
      <c r="C9" s="54" t="e">
        <f>#REF!</f>
        <v>#REF!</v>
      </c>
      <c r="D9" s="54" t="e">
        <f>+COUNTIFS(#REF!,'FLUJO E1'!$C$6,#REF!,'FLUJO E1'!D$6,#REF!,'FLUJO E1'!$C9)</f>
        <v>#REF!</v>
      </c>
      <c r="E9" s="54" t="e">
        <f>+COUNTIFS(#REF!,'FLUJO E1'!$C$6,#REF!,'FLUJO E1'!E$6,#REF!,'FLUJO E1'!$C9)</f>
        <v>#REF!</v>
      </c>
      <c r="F9" s="54" t="e">
        <f>+COUNTIFS(#REF!,'FLUJO E1'!$C$6,#REF!,'FLUJO E1'!F$6,#REF!,'FLUJO E1'!$C9)</f>
        <v>#REF!</v>
      </c>
      <c r="G9" s="54" t="e">
        <f>+COUNTIFS(#REF!,'FLUJO E1'!$C$6,#REF!,'FLUJO E1'!G$6,#REF!,'FLUJO E1'!$C9)</f>
        <v>#REF!</v>
      </c>
      <c r="H9" s="54" t="e">
        <f>+COUNTIFS(#REF!,'FLUJO E1'!$C$6,#REF!,'FLUJO E1'!H$6,#REF!,'FLUJO E1'!$C9)</f>
        <v>#REF!</v>
      </c>
      <c r="I9" s="54" t="e">
        <f t="shared" si="0"/>
        <v>#REF!</v>
      </c>
    </row>
    <row r="10" spans="3:10" hidden="1" x14ac:dyDescent="0.3">
      <c r="C10" s="54" t="e">
        <f>#REF!</f>
        <v>#REF!</v>
      </c>
      <c r="D10" s="54" t="e">
        <f>+COUNTIFS(#REF!,'FLUJO E1'!$C$6,#REF!,'FLUJO E1'!D$6,#REF!,'FLUJO E1'!$C10)</f>
        <v>#REF!</v>
      </c>
      <c r="E10" s="54" t="e">
        <f>+COUNTIFS(#REF!,'FLUJO E1'!$C$6,#REF!,'FLUJO E1'!E$6,#REF!,'FLUJO E1'!$C10)</f>
        <v>#REF!</v>
      </c>
      <c r="F10" s="54" t="e">
        <f>+COUNTIFS(#REF!,'FLUJO E1'!$C$6,#REF!,'FLUJO E1'!F$6,#REF!,'FLUJO E1'!$C10)</f>
        <v>#REF!</v>
      </c>
      <c r="G10" s="54" t="e">
        <f>+COUNTIFS(#REF!,'FLUJO E1'!$C$6,#REF!,'FLUJO E1'!G$6,#REF!,'FLUJO E1'!$C10)</f>
        <v>#REF!</v>
      </c>
      <c r="H10" s="54" t="e">
        <f>+COUNTIFS(#REF!,'FLUJO E1'!$C$6,#REF!,'FLUJO E1'!H$6,#REF!,'FLUJO E1'!$C10)</f>
        <v>#REF!</v>
      </c>
      <c r="I10" s="54" t="e">
        <f t="shared" si="0"/>
        <v>#REF!</v>
      </c>
    </row>
    <row r="11" spans="3:10" hidden="1" x14ac:dyDescent="0.3">
      <c r="C11" s="54" t="e">
        <f>#REF!</f>
        <v>#REF!</v>
      </c>
      <c r="D11" s="54" t="e">
        <f>+COUNTIFS(#REF!,'FLUJO E1'!$C$6,#REF!,'FLUJO E1'!D$6,#REF!,'FLUJO E1'!$C11)</f>
        <v>#REF!</v>
      </c>
      <c r="E11" s="54" t="e">
        <f>+COUNTIFS(#REF!,'FLUJO E1'!$C$6,#REF!,'FLUJO E1'!E$6,#REF!,'FLUJO E1'!$C11)</f>
        <v>#REF!</v>
      </c>
      <c r="F11" s="54" t="e">
        <f>+COUNTIFS(#REF!,'FLUJO E1'!$C$6,#REF!,'FLUJO E1'!F$6,#REF!,'FLUJO E1'!$C11)</f>
        <v>#REF!</v>
      </c>
      <c r="G11" s="54" t="e">
        <f>+COUNTIFS(#REF!,'FLUJO E1'!$C$6,#REF!,'FLUJO E1'!G$6,#REF!,'FLUJO E1'!$C11)</f>
        <v>#REF!</v>
      </c>
      <c r="H11" s="54" t="e">
        <f>+COUNTIFS(#REF!,'FLUJO E1'!$C$6,#REF!,'FLUJO E1'!H$6,#REF!,'FLUJO E1'!$C11)</f>
        <v>#REF!</v>
      </c>
      <c r="I11" s="54" t="e">
        <f t="shared" si="0"/>
        <v>#REF!</v>
      </c>
    </row>
    <row r="12" spans="3:10" hidden="1" x14ac:dyDescent="0.3">
      <c r="C12" s="54" t="e">
        <f>#REF!</f>
        <v>#REF!</v>
      </c>
      <c r="D12" s="54" t="e">
        <f>+COUNTIFS(#REF!,'FLUJO E1'!$C$6,#REF!,'FLUJO E1'!D$6,#REF!,'FLUJO E1'!$C12)</f>
        <v>#REF!</v>
      </c>
      <c r="E12" s="54" t="e">
        <f>+COUNTIFS(#REF!,'FLUJO E1'!$C$6,#REF!,'FLUJO E1'!E$6,#REF!,'FLUJO E1'!$C12)</f>
        <v>#REF!</v>
      </c>
      <c r="F12" s="54" t="e">
        <f>+COUNTIFS(#REF!,'FLUJO E1'!$C$6,#REF!,'FLUJO E1'!F$6,#REF!,'FLUJO E1'!$C12)</f>
        <v>#REF!</v>
      </c>
      <c r="G12" s="54" t="e">
        <f>+COUNTIFS(#REF!,'FLUJO E1'!$C$6,#REF!,'FLUJO E1'!G$6,#REF!,'FLUJO E1'!$C12)</f>
        <v>#REF!</v>
      </c>
      <c r="H12" s="54" t="e">
        <f>+COUNTIFS(#REF!,'FLUJO E1'!$C$6,#REF!,'FLUJO E1'!H$6,#REF!,'FLUJO E1'!$C12)</f>
        <v>#REF!</v>
      </c>
      <c r="I12" s="54" t="e">
        <f t="shared" si="0"/>
        <v>#REF!</v>
      </c>
    </row>
    <row r="13" spans="3:10" hidden="1" x14ac:dyDescent="0.3">
      <c r="C13" s="54" t="e">
        <f>#REF!</f>
        <v>#REF!</v>
      </c>
      <c r="D13" s="54" t="e">
        <f>+COUNTIFS(#REF!,'FLUJO E1'!$C$6,#REF!,'FLUJO E1'!D$6,#REF!,'FLUJO E1'!$C13)</f>
        <v>#REF!</v>
      </c>
      <c r="E13" s="54" t="e">
        <f>+COUNTIFS(#REF!,'FLUJO E1'!$C$6,#REF!,'FLUJO E1'!E$6,#REF!,'FLUJO E1'!$C13)</f>
        <v>#REF!</v>
      </c>
      <c r="F13" s="54" t="e">
        <f>+COUNTIFS(#REF!,'FLUJO E1'!$C$6,#REF!,'FLUJO E1'!F$6,#REF!,'FLUJO E1'!$C13)</f>
        <v>#REF!</v>
      </c>
      <c r="G13" s="54" t="e">
        <f>+COUNTIFS(#REF!,'FLUJO E1'!$C$6,#REF!,'FLUJO E1'!G$6,#REF!,'FLUJO E1'!$C13)</f>
        <v>#REF!</v>
      </c>
      <c r="H13" s="54" t="e">
        <f>+COUNTIFS(#REF!,'FLUJO E1'!$C$6,#REF!,'FLUJO E1'!H$6,#REF!,'FLUJO E1'!$C13)</f>
        <v>#REF!</v>
      </c>
      <c r="I13" s="54" t="e">
        <f t="shared" si="0"/>
        <v>#REF!</v>
      </c>
    </row>
    <row r="14" spans="3:10" hidden="1" x14ac:dyDescent="0.3">
      <c r="C14" s="54" t="e">
        <f>#REF!</f>
        <v>#REF!</v>
      </c>
      <c r="D14" s="54" t="e">
        <f>+COUNTIFS(#REF!,'FLUJO E1'!$C$6,#REF!,'FLUJO E1'!D$6,#REF!,'FLUJO E1'!$C14)</f>
        <v>#REF!</v>
      </c>
      <c r="E14" s="54" t="e">
        <f>+COUNTIFS(#REF!,'FLUJO E1'!$C$6,#REF!,'FLUJO E1'!E$6,#REF!,'FLUJO E1'!$C14)</f>
        <v>#REF!</v>
      </c>
      <c r="F14" s="54" t="e">
        <f>+COUNTIFS(#REF!,'FLUJO E1'!$C$6,#REF!,'FLUJO E1'!F$6,#REF!,'FLUJO E1'!$C14)</f>
        <v>#REF!</v>
      </c>
      <c r="G14" s="54" t="e">
        <f>+COUNTIFS(#REF!,'FLUJO E1'!$C$6,#REF!,'FLUJO E1'!G$6,#REF!,'FLUJO E1'!$C14)</f>
        <v>#REF!</v>
      </c>
      <c r="H14" s="54" t="e">
        <f>+COUNTIFS(#REF!,'FLUJO E1'!$C$6,#REF!,'FLUJO E1'!H$6,#REF!,'FLUJO E1'!$C14)</f>
        <v>#REF!</v>
      </c>
      <c r="I14" s="54" t="e">
        <f t="shared" si="0"/>
        <v>#REF!</v>
      </c>
    </row>
    <row r="15" spans="3:10" hidden="1" x14ac:dyDescent="0.3"/>
    <row r="16" spans="3:10" hidden="1" x14ac:dyDescent="0.3"/>
    <row r="17" spans="3:13" x14ac:dyDescent="0.3">
      <c r="C17" s="54" t="s">
        <v>139</v>
      </c>
      <c r="D17" s="58">
        <v>0.51851638533364042</v>
      </c>
      <c r="E17" s="58">
        <v>0.63671103836798548</v>
      </c>
      <c r="F17" s="58">
        <v>3.6735393096672793</v>
      </c>
      <c r="G17" s="59"/>
      <c r="H17" s="59"/>
      <c r="K17" s="60"/>
      <c r="L17" s="60"/>
      <c r="M17" s="60"/>
    </row>
    <row r="18" spans="3:13" x14ac:dyDescent="0.3">
      <c r="C18" s="54" t="s">
        <v>140</v>
      </c>
      <c r="D18" s="61">
        <v>0.22209999999999999</v>
      </c>
      <c r="E18" s="61">
        <v>0.18279999999999999</v>
      </c>
      <c r="F18" s="61">
        <v>0.1588</v>
      </c>
      <c r="G18" s="62"/>
      <c r="H18" s="62"/>
      <c r="J18" s="63"/>
      <c r="K18" s="63"/>
      <c r="L18" s="63"/>
      <c r="M18" s="63"/>
    </row>
    <row r="19" spans="3:13" x14ac:dyDescent="0.3">
      <c r="C19" s="54" t="s">
        <v>141</v>
      </c>
      <c r="D19" s="58">
        <v>0.61520456741054219</v>
      </c>
      <c r="E19" s="58">
        <v>0.84398391313298304</v>
      </c>
      <c r="F19" s="58">
        <v>1.1054458381491326</v>
      </c>
      <c r="G19" s="59"/>
      <c r="H19" s="59"/>
      <c r="K19" s="60"/>
      <c r="L19" s="60"/>
      <c r="M19" s="60"/>
    </row>
    <row r="20" spans="3:13" x14ac:dyDescent="0.3">
      <c r="C20" s="54" t="s">
        <v>142</v>
      </c>
      <c r="D20" s="64">
        <f>+D17*(1+$D$27)+D19</f>
        <v>1.1337209527441825</v>
      </c>
      <c r="E20" s="64">
        <f>+E17*(1+$D$27)+E19</f>
        <v>1.4806949515009684</v>
      </c>
      <c r="F20" s="64">
        <f>+F17*(1+$D$27)+F19</f>
        <v>4.778985147816412</v>
      </c>
      <c r="G20" s="64"/>
      <c r="H20" s="64"/>
    </row>
    <row r="21" spans="3:13" x14ac:dyDescent="0.3">
      <c r="C21" s="54" t="s">
        <v>143</v>
      </c>
      <c r="D21" s="65">
        <f>+D17*$D$87*(1+$D$27)</f>
        <v>16069.724999999999</v>
      </c>
      <c r="E21" s="65">
        <f>+E17*$D$87*(1+$D$27)</f>
        <v>19732.782956230632</v>
      </c>
      <c r="F21" s="65">
        <f>+F17*$D$87*(1+$D$27)</f>
        <v>113849.37516498781</v>
      </c>
      <c r="G21" s="65"/>
      <c r="H21" s="65"/>
    </row>
    <row r="22" spans="3:13" x14ac:dyDescent="0.3">
      <c r="C22" s="54" t="s">
        <v>144</v>
      </c>
      <c r="D22" s="65">
        <f t="shared" ref="D22:F23" si="1">+D19*$D$87</f>
        <v>19066.259999999998</v>
      </c>
      <c r="E22" s="65">
        <f t="shared" si="1"/>
        <v>26156.53</v>
      </c>
      <c r="F22" s="65">
        <f t="shared" si="1"/>
        <v>34259.69</v>
      </c>
      <c r="G22" s="65"/>
      <c r="H22" s="65"/>
    </row>
    <row r="23" spans="3:13" x14ac:dyDescent="0.3">
      <c r="C23" s="54" t="s">
        <v>145</v>
      </c>
      <c r="D23" s="66">
        <f t="shared" si="1"/>
        <v>35135.984999999993</v>
      </c>
      <c r="E23" s="66">
        <f t="shared" si="1"/>
        <v>45889.312956230628</v>
      </c>
      <c r="F23" s="66">
        <f t="shared" si="1"/>
        <v>148109.06516498781</v>
      </c>
      <c r="G23" s="66"/>
      <c r="H23" s="66"/>
    </row>
    <row r="24" spans="3:13" x14ac:dyDescent="0.3">
      <c r="C24" s="54" t="s">
        <v>146</v>
      </c>
      <c r="D24" s="67">
        <f>+D17+D19*(1+$D$33)</f>
        <v>1.1337209527441825</v>
      </c>
      <c r="E24" s="67">
        <f>+E17+E19*(1+$D$33)</f>
        <v>1.4806949515009684</v>
      </c>
      <c r="F24" s="67">
        <f>+F17+F19*(1+$D$33)</f>
        <v>4.778985147816412</v>
      </c>
      <c r="G24" s="67"/>
      <c r="H24" s="67"/>
    </row>
    <row r="25" spans="3:13" x14ac:dyDescent="0.3">
      <c r="C25" s="54" t="s">
        <v>147</v>
      </c>
      <c r="D25" s="67">
        <f>+D20+$E$33</f>
        <v>5.1337209527441825</v>
      </c>
      <c r="E25" s="67">
        <f>+E20+$E$33</f>
        <v>5.4806949515009684</v>
      </c>
      <c r="F25" s="67">
        <f>+F20+$E$33</f>
        <v>8.778985147816412</v>
      </c>
      <c r="G25" s="67"/>
      <c r="H25" s="67"/>
    </row>
    <row r="26" spans="3:13" x14ac:dyDescent="0.3">
      <c r="C26" s="54" t="s">
        <v>148</v>
      </c>
      <c r="D26" s="68">
        <f>D20*0.8+D25*0.2</f>
        <v>1.9337209527441828</v>
      </c>
      <c r="E26" s="68">
        <f t="shared" ref="E26:F26" si="2">E20*0.8+E25*0.2</f>
        <v>2.2806949515009682</v>
      </c>
      <c r="F26" s="68">
        <f t="shared" si="2"/>
        <v>5.5789851478164127</v>
      </c>
      <c r="H26" s="57" t="s">
        <v>149</v>
      </c>
    </row>
    <row r="27" spans="3:13" x14ac:dyDescent="0.3">
      <c r="C27" s="54" t="s">
        <v>150</v>
      </c>
      <c r="D27" s="69">
        <v>0</v>
      </c>
    </row>
    <row r="28" spans="3:13" x14ac:dyDescent="0.3">
      <c r="D28" s="70">
        <f>D26*$D$87</f>
        <v>59929.377</v>
      </c>
      <c r="E28" s="70">
        <f t="shared" ref="E28:F28" si="3">E26*$D$87</f>
        <v>70682.70495623062</v>
      </c>
      <c r="F28" s="70">
        <f t="shared" si="3"/>
        <v>172902.45716498783</v>
      </c>
    </row>
    <row r="30" spans="3:13" x14ac:dyDescent="0.3">
      <c r="D30" s="71" t="s">
        <v>151</v>
      </c>
      <c r="E30" s="71" t="s">
        <v>152</v>
      </c>
    </row>
    <row r="31" spans="3:13" x14ac:dyDescent="0.3">
      <c r="C31" s="54" t="s">
        <v>153</v>
      </c>
      <c r="D31" s="61">
        <v>0.4</v>
      </c>
    </row>
    <row r="32" spans="3:13" x14ac:dyDescent="0.3">
      <c r="C32" s="54" t="s">
        <v>154</v>
      </c>
      <c r="D32" s="61">
        <v>0.5</v>
      </c>
      <c r="E32" s="72">
        <v>0.5</v>
      </c>
    </row>
    <row r="33" spans="2:19" x14ac:dyDescent="0.3">
      <c r="C33" s="54" t="s">
        <v>155</v>
      </c>
      <c r="D33" s="69">
        <v>0</v>
      </c>
      <c r="E33" s="54">
        <v>4</v>
      </c>
      <c r="F33" s="54" t="s">
        <v>156</v>
      </c>
    </row>
    <row r="36" spans="2:19" hidden="1" x14ac:dyDescent="0.3">
      <c r="D36" s="54" t="s">
        <v>157</v>
      </c>
      <c r="E36" s="54" t="s">
        <v>158</v>
      </c>
    </row>
    <row r="37" spans="2:19" hidden="1" x14ac:dyDescent="0.3">
      <c r="B37" s="54">
        <v>1</v>
      </c>
      <c r="C37" s="54" t="s">
        <v>138</v>
      </c>
      <c r="D37" s="73" t="e">
        <f t="shared" ref="D37:D44" si="4">+(SUMPRODUCT(D7:H7,$D$20:$H$20)*(1-$D$31)+SUMPRODUCT(D7:H7,$D$25:$H$25)*$D$31*(1-$D$32)+SUMPRODUCT(D7:H7,$D$24:$H$24)*$D$31*$D$32)</f>
        <v>#REF!</v>
      </c>
      <c r="E37" s="74"/>
    </row>
    <row r="38" spans="2:19" hidden="1" x14ac:dyDescent="0.3">
      <c r="B38" s="54">
        <v>2</v>
      </c>
      <c r="C38" s="54" t="e">
        <f>#REF!</f>
        <v>#REF!</v>
      </c>
      <c r="D38" s="73" t="e">
        <f t="shared" si="4"/>
        <v>#REF!</v>
      </c>
      <c r="E38" s="74"/>
    </row>
    <row r="39" spans="2:19" hidden="1" x14ac:dyDescent="0.3">
      <c r="B39" s="54">
        <v>3</v>
      </c>
      <c r="C39" s="54" t="e">
        <f>#REF!</f>
        <v>#REF!</v>
      </c>
      <c r="D39" s="73" t="e">
        <f t="shared" si="4"/>
        <v>#REF!</v>
      </c>
      <c r="E39" s="74"/>
    </row>
    <row r="40" spans="2:19" hidden="1" x14ac:dyDescent="0.3">
      <c r="B40" s="54">
        <v>4</v>
      </c>
      <c r="C40" s="54" t="e">
        <f>#REF!</f>
        <v>#REF!</v>
      </c>
      <c r="D40" s="73" t="e">
        <f t="shared" si="4"/>
        <v>#REF!</v>
      </c>
      <c r="E40" s="74"/>
    </row>
    <row r="41" spans="2:19" hidden="1" x14ac:dyDescent="0.3">
      <c r="B41" s="54">
        <v>5</v>
      </c>
      <c r="C41" s="54" t="e">
        <f>#REF!</f>
        <v>#REF!</v>
      </c>
      <c r="D41" s="73" t="e">
        <f t="shared" si="4"/>
        <v>#REF!</v>
      </c>
      <c r="E41" s="74"/>
    </row>
    <row r="42" spans="2:19" hidden="1" x14ac:dyDescent="0.3">
      <c r="B42" s="54">
        <v>6</v>
      </c>
      <c r="C42" s="54" t="e">
        <f>#REF!</f>
        <v>#REF!</v>
      </c>
      <c r="D42" s="73" t="e">
        <f t="shared" si="4"/>
        <v>#REF!</v>
      </c>
      <c r="E42" s="74"/>
    </row>
    <row r="43" spans="2:19" hidden="1" x14ac:dyDescent="0.3">
      <c r="B43" s="54">
        <v>7</v>
      </c>
      <c r="C43" s="54" t="e">
        <f>#REF!</f>
        <v>#REF!</v>
      </c>
      <c r="D43" s="73" t="e">
        <f t="shared" si="4"/>
        <v>#REF!</v>
      </c>
      <c r="E43" s="74"/>
    </row>
    <row r="44" spans="2:19" hidden="1" x14ac:dyDescent="0.3">
      <c r="B44" s="54">
        <v>8</v>
      </c>
      <c r="C44" s="54" t="e">
        <f>#REF!</f>
        <v>#REF!</v>
      </c>
      <c r="D44" s="73" t="e">
        <f t="shared" si="4"/>
        <v>#REF!</v>
      </c>
      <c r="E44" s="74"/>
    </row>
    <row r="45" spans="2:19" hidden="1" x14ac:dyDescent="0.3">
      <c r="D45" s="73"/>
      <c r="E45" s="70"/>
    </row>
    <row r="46" spans="2:19" hidden="1" x14ac:dyDescent="0.3">
      <c r="E46" s="75">
        <v>2022</v>
      </c>
      <c r="F46" s="75">
        <v>2023</v>
      </c>
      <c r="G46" s="75">
        <v>2024</v>
      </c>
      <c r="H46" s="75">
        <v>2025</v>
      </c>
      <c r="I46" s="75">
        <v>2026</v>
      </c>
      <c r="J46" s="75">
        <v>2027</v>
      </c>
      <c r="K46" s="75">
        <v>2028</v>
      </c>
      <c r="L46" s="75">
        <v>2029</v>
      </c>
      <c r="M46" s="75">
        <v>2030</v>
      </c>
      <c r="N46" s="75">
        <v>2031</v>
      </c>
      <c r="O46" s="75">
        <v>2032</v>
      </c>
      <c r="P46" s="75">
        <v>2033</v>
      </c>
      <c r="Q46" s="75">
        <v>2034</v>
      </c>
      <c r="R46" s="75">
        <v>2035</v>
      </c>
      <c r="S46" s="75">
        <v>2036</v>
      </c>
    </row>
    <row r="47" spans="2:19" hidden="1" x14ac:dyDescent="0.3">
      <c r="E47" s="54">
        <v>1</v>
      </c>
      <c r="F47" s="54">
        <v>2</v>
      </c>
      <c r="G47" s="54">
        <v>3</v>
      </c>
      <c r="H47" s="54">
        <v>4</v>
      </c>
      <c r="I47" s="54">
        <f>+H47+1</f>
        <v>5</v>
      </c>
      <c r="J47" s="54">
        <f t="shared" ref="J47:S47" si="5">+I47+1</f>
        <v>6</v>
      </c>
      <c r="K47" s="54">
        <f t="shared" si="5"/>
        <v>7</v>
      </c>
      <c r="L47" s="54">
        <f t="shared" si="5"/>
        <v>8</v>
      </c>
      <c r="M47" s="54">
        <f t="shared" si="5"/>
        <v>9</v>
      </c>
      <c r="N47" s="54">
        <f t="shared" si="5"/>
        <v>10</v>
      </c>
      <c r="O47" s="54">
        <f t="shared" si="5"/>
        <v>11</v>
      </c>
      <c r="P47" s="54">
        <f t="shared" si="5"/>
        <v>12</v>
      </c>
      <c r="Q47" s="54">
        <f t="shared" si="5"/>
        <v>13</v>
      </c>
      <c r="R47" s="54">
        <f>+Q47+1</f>
        <v>14</v>
      </c>
      <c r="S47" s="54">
        <f t="shared" si="5"/>
        <v>15</v>
      </c>
    </row>
    <row r="48" spans="2:19" hidden="1" x14ac:dyDescent="0.3">
      <c r="C48" s="54" t="s">
        <v>138</v>
      </c>
      <c r="E48" s="70" t="e">
        <f t="array" ref="E48:S48">+TRANSPOSE(#REF!)</f>
        <v>#REF!</v>
      </c>
      <c r="F48" s="70" t="e">
        <v>#REF!</v>
      </c>
      <c r="G48" s="70" t="e">
        <v>#REF!</v>
      </c>
      <c r="H48" s="70" t="e">
        <v>#REF!</v>
      </c>
      <c r="I48" s="70" t="e">
        <v>#REF!</v>
      </c>
      <c r="J48" s="70" t="e">
        <v>#REF!</v>
      </c>
      <c r="K48" s="70" t="e">
        <v>#REF!</v>
      </c>
      <c r="L48" s="70" t="e">
        <v>#REF!</v>
      </c>
      <c r="M48" s="70" t="e">
        <v>#REF!</v>
      </c>
      <c r="N48" s="70" t="e">
        <v>#REF!</v>
      </c>
      <c r="O48" s="70" t="e">
        <v>#REF!</v>
      </c>
      <c r="P48" s="70" t="e">
        <v>#REF!</v>
      </c>
      <c r="Q48" s="70" t="e">
        <v>#REF!</v>
      </c>
      <c r="R48" s="70" t="e">
        <v>#REF!</v>
      </c>
      <c r="S48" s="70" t="e">
        <v>#REF!</v>
      </c>
    </row>
    <row r="49" spans="3:19" hidden="1" x14ac:dyDescent="0.3">
      <c r="C49" s="54" t="e">
        <f>#REF!</f>
        <v>#REF!</v>
      </c>
      <c r="E49" s="70" t="e">
        <f t="array" ref="E49:S49">+TRANSPOSE(#REF!)</f>
        <v>#REF!</v>
      </c>
      <c r="F49" s="70" t="e">
        <v>#REF!</v>
      </c>
      <c r="G49" s="70" t="e">
        <v>#REF!</v>
      </c>
      <c r="H49" s="70" t="e">
        <v>#REF!</v>
      </c>
      <c r="I49" s="70" t="e">
        <v>#REF!</v>
      </c>
      <c r="J49" s="70" t="e">
        <v>#REF!</v>
      </c>
      <c r="K49" s="70" t="e">
        <v>#REF!</v>
      </c>
      <c r="L49" s="70" t="e">
        <v>#REF!</v>
      </c>
      <c r="M49" s="70" t="e">
        <v>#REF!</v>
      </c>
      <c r="N49" s="70" t="e">
        <v>#REF!</v>
      </c>
      <c r="O49" s="70" t="e">
        <v>#REF!</v>
      </c>
      <c r="P49" s="70" t="e">
        <v>#REF!</v>
      </c>
      <c r="Q49" s="70" t="e">
        <v>#REF!</v>
      </c>
      <c r="R49" s="70" t="e">
        <v>#REF!</v>
      </c>
      <c r="S49" s="70" t="e">
        <v>#REF!</v>
      </c>
    </row>
    <row r="50" spans="3:19" hidden="1" x14ac:dyDescent="0.3">
      <c r="C50" s="54" t="e">
        <f>#REF!</f>
        <v>#REF!</v>
      </c>
      <c r="E50" s="70" t="e">
        <f t="array" ref="E50:S50">+TRANSPOSE(#REF!)</f>
        <v>#REF!</v>
      </c>
      <c r="F50" s="70" t="e">
        <v>#REF!</v>
      </c>
      <c r="G50" s="70" t="e">
        <v>#REF!</v>
      </c>
      <c r="H50" s="70" t="e">
        <v>#REF!</v>
      </c>
      <c r="I50" s="70" t="e">
        <v>#REF!</v>
      </c>
      <c r="J50" s="70" t="e">
        <v>#REF!</v>
      </c>
      <c r="K50" s="70" t="e">
        <v>#REF!</v>
      </c>
      <c r="L50" s="70" t="e">
        <v>#REF!</v>
      </c>
      <c r="M50" s="70" t="e">
        <v>#REF!</v>
      </c>
      <c r="N50" s="70" t="e">
        <v>#REF!</v>
      </c>
      <c r="O50" s="70" t="e">
        <v>#REF!</v>
      </c>
      <c r="P50" s="70" t="e">
        <v>#REF!</v>
      </c>
      <c r="Q50" s="70" t="e">
        <v>#REF!</v>
      </c>
      <c r="R50" s="70" t="e">
        <v>#REF!</v>
      </c>
      <c r="S50" s="70" t="e">
        <v>#REF!</v>
      </c>
    </row>
    <row r="51" spans="3:19" hidden="1" x14ac:dyDescent="0.3">
      <c r="C51" s="54" t="e">
        <f>#REF!</f>
        <v>#REF!</v>
      </c>
      <c r="E51" s="70" t="e">
        <f t="array" ref="E51:S51">+TRANSPOSE(#REF!)</f>
        <v>#REF!</v>
      </c>
      <c r="F51" s="70" t="e">
        <v>#REF!</v>
      </c>
      <c r="G51" s="70" t="e">
        <v>#REF!</v>
      </c>
      <c r="H51" s="70" t="e">
        <v>#REF!</v>
      </c>
      <c r="I51" s="70" t="e">
        <v>#REF!</v>
      </c>
      <c r="J51" s="70" t="e">
        <v>#REF!</v>
      </c>
      <c r="K51" s="70" t="e">
        <v>#REF!</v>
      </c>
      <c r="L51" s="70" t="e">
        <v>#REF!</v>
      </c>
      <c r="M51" s="70" t="e">
        <v>#REF!</v>
      </c>
      <c r="N51" s="70" t="e">
        <v>#REF!</v>
      </c>
      <c r="O51" s="70" t="e">
        <v>#REF!</v>
      </c>
      <c r="P51" s="70" t="e">
        <v>#REF!</v>
      </c>
      <c r="Q51" s="70" t="e">
        <v>#REF!</v>
      </c>
      <c r="R51" s="70" t="e">
        <v>#REF!</v>
      </c>
      <c r="S51" s="70" t="e">
        <v>#REF!</v>
      </c>
    </row>
    <row r="52" spans="3:19" hidden="1" x14ac:dyDescent="0.3">
      <c r="C52" s="54" t="e">
        <f>#REF!</f>
        <v>#REF!</v>
      </c>
      <c r="E52" s="70" t="e">
        <f t="array" ref="E52:S52">+TRANSPOSE(#REF!)</f>
        <v>#REF!</v>
      </c>
      <c r="F52" s="70" t="e">
        <v>#REF!</v>
      </c>
      <c r="G52" s="70" t="e">
        <v>#REF!</v>
      </c>
      <c r="H52" s="70" t="e">
        <v>#REF!</v>
      </c>
      <c r="I52" s="70" t="e">
        <v>#REF!</v>
      </c>
      <c r="J52" s="70" t="e">
        <v>#REF!</v>
      </c>
      <c r="K52" s="70" t="e">
        <v>#REF!</v>
      </c>
      <c r="L52" s="70" t="e">
        <v>#REF!</v>
      </c>
      <c r="M52" s="70" t="e">
        <v>#REF!</v>
      </c>
      <c r="N52" s="70" t="e">
        <v>#REF!</v>
      </c>
      <c r="O52" s="70" t="e">
        <v>#REF!</v>
      </c>
      <c r="P52" s="70" t="e">
        <v>#REF!</v>
      </c>
      <c r="Q52" s="70" t="e">
        <v>#REF!</v>
      </c>
      <c r="R52" s="70" t="e">
        <v>#REF!</v>
      </c>
      <c r="S52" s="70" t="e">
        <v>#REF!</v>
      </c>
    </row>
    <row r="53" spans="3:19" hidden="1" x14ac:dyDescent="0.3">
      <c r="C53" s="54" t="e">
        <f>#REF!</f>
        <v>#REF!</v>
      </c>
      <c r="E53" s="70" t="e">
        <f t="array" ref="E53:S53">+TRANSPOSE(#REF!)</f>
        <v>#REF!</v>
      </c>
      <c r="F53" s="70" t="e">
        <v>#REF!</v>
      </c>
      <c r="G53" s="70" t="e">
        <v>#REF!</v>
      </c>
      <c r="H53" s="70" t="e">
        <v>#REF!</v>
      </c>
      <c r="I53" s="70" t="e">
        <v>#REF!</v>
      </c>
      <c r="J53" s="70" t="e">
        <v>#REF!</v>
      </c>
      <c r="K53" s="70" t="e">
        <v>#REF!</v>
      </c>
      <c r="L53" s="70" t="e">
        <v>#REF!</v>
      </c>
      <c r="M53" s="70" t="e">
        <v>#REF!</v>
      </c>
      <c r="N53" s="70" t="e">
        <v>#REF!</v>
      </c>
      <c r="O53" s="70" t="e">
        <v>#REF!</v>
      </c>
      <c r="P53" s="70" t="e">
        <v>#REF!</v>
      </c>
      <c r="Q53" s="70" t="e">
        <v>#REF!</v>
      </c>
      <c r="R53" s="70" t="e">
        <v>#REF!</v>
      </c>
      <c r="S53" s="70" t="e">
        <v>#REF!</v>
      </c>
    </row>
    <row r="54" spans="3:19" hidden="1" x14ac:dyDescent="0.3">
      <c r="C54" s="54" t="e">
        <f>#REF!</f>
        <v>#REF!</v>
      </c>
      <c r="E54" s="70" t="e">
        <f>VLOOKUP(E47,#REF!,12,0)</f>
        <v>#REF!</v>
      </c>
      <c r="F54" s="70" t="e">
        <f>VLOOKUP(F47,#REF!,12,0)</f>
        <v>#REF!</v>
      </c>
      <c r="G54" s="70" t="e">
        <f>VLOOKUP(G47,#REF!,12,0)</f>
        <v>#REF!</v>
      </c>
      <c r="H54" s="70" t="e">
        <f>VLOOKUP(H47,#REF!,12,0)</f>
        <v>#REF!</v>
      </c>
      <c r="I54" s="70" t="e">
        <f>VLOOKUP(I47,#REF!,12,0)</f>
        <v>#REF!</v>
      </c>
      <c r="J54" s="70" t="e">
        <f>VLOOKUP(J47,#REF!,12,0)</f>
        <v>#REF!</v>
      </c>
      <c r="K54" s="70" t="e">
        <f>VLOOKUP(K47,#REF!,12,0)</f>
        <v>#REF!</v>
      </c>
      <c r="L54" s="70" t="e">
        <f>VLOOKUP(L47,#REF!,12,0)</f>
        <v>#REF!</v>
      </c>
      <c r="M54" s="70" t="e">
        <f>VLOOKUP(M47,#REF!,12,0)</f>
        <v>#REF!</v>
      </c>
      <c r="N54" s="70" t="e">
        <f>VLOOKUP(N47,#REF!,12,0)</f>
        <v>#REF!</v>
      </c>
      <c r="O54" s="70" t="e">
        <f>VLOOKUP(O47,#REF!,12,0)</f>
        <v>#REF!</v>
      </c>
      <c r="P54" s="70" t="e">
        <f>VLOOKUP(P47,#REF!,12,0)</f>
        <v>#REF!</v>
      </c>
      <c r="Q54" s="70" t="e">
        <f>VLOOKUP(Q47,#REF!,12,0)</f>
        <v>#REF!</v>
      </c>
      <c r="R54" s="70" t="e">
        <f>VLOOKUP(R47,#REF!,12,0)</f>
        <v>#REF!</v>
      </c>
      <c r="S54" s="70" t="e">
        <f>VLOOKUP(S47,#REF!,12,0)</f>
        <v>#REF!</v>
      </c>
    </row>
    <row r="55" spans="3:19" hidden="1" x14ac:dyDescent="0.3">
      <c r="C55" s="54" t="e">
        <f>#REF!</f>
        <v>#REF!</v>
      </c>
      <c r="E55" s="70" t="e">
        <f>VLOOKUP(E47,#REF!,12,0)</f>
        <v>#REF!</v>
      </c>
      <c r="F55" s="70" t="e">
        <f>VLOOKUP(F47,#REF!,12,0)</f>
        <v>#REF!</v>
      </c>
      <c r="G55" s="70" t="e">
        <f>VLOOKUP(G47,#REF!,12,0)</f>
        <v>#REF!</v>
      </c>
      <c r="H55" s="70" t="e">
        <f>VLOOKUP(H47,#REF!,12,0)</f>
        <v>#REF!</v>
      </c>
      <c r="I55" s="70" t="e">
        <f>VLOOKUP(I47,#REF!,12,0)</f>
        <v>#REF!</v>
      </c>
      <c r="J55" s="70" t="e">
        <f>VLOOKUP(J47,#REF!,12,0)</f>
        <v>#REF!</v>
      </c>
      <c r="K55" s="70" t="e">
        <f>VLOOKUP(K47,#REF!,12,0)</f>
        <v>#REF!</v>
      </c>
      <c r="L55" s="70" t="e">
        <f>VLOOKUP(L47,#REF!,12,0)</f>
        <v>#REF!</v>
      </c>
      <c r="M55" s="70" t="e">
        <f>VLOOKUP(M47,#REF!,12,0)</f>
        <v>#REF!</v>
      </c>
      <c r="N55" s="70" t="e">
        <f>VLOOKUP(N47,#REF!,12,0)</f>
        <v>#REF!</v>
      </c>
      <c r="O55" s="70" t="e">
        <f>VLOOKUP(O47,#REF!,12,0)</f>
        <v>#REF!</v>
      </c>
      <c r="P55" s="70" t="e">
        <f>VLOOKUP(P47,#REF!,12,0)</f>
        <v>#REF!</v>
      </c>
      <c r="Q55" s="70" t="e">
        <f>VLOOKUP(Q47,#REF!,12,0)</f>
        <v>#REF!</v>
      </c>
      <c r="R55" s="70" t="e">
        <f>VLOOKUP(R47,#REF!,12,0)</f>
        <v>#REF!</v>
      </c>
      <c r="S55" s="70" t="e">
        <f>VLOOKUP(S47,#REF!,12,0)</f>
        <v>#REF!</v>
      </c>
    </row>
    <row r="56" spans="3:19" hidden="1" x14ac:dyDescent="0.3"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</row>
    <row r="57" spans="3:19" hidden="1" x14ac:dyDescent="0.3">
      <c r="C57" s="76" t="s">
        <v>159</v>
      </c>
      <c r="E57" s="70"/>
      <c r="F57" s="70"/>
      <c r="G57" s="70"/>
      <c r="H57" s="70"/>
      <c r="I57" s="77"/>
      <c r="J57" s="70"/>
      <c r="K57" s="70"/>
      <c r="L57" s="70"/>
      <c r="M57" s="70"/>
      <c r="N57" s="70"/>
      <c r="O57" s="70"/>
      <c r="P57" s="70"/>
      <c r="Q57" s="70"/>
      <c r="R57" s="70"/>
      <c r="S57" s="70"/>
    </row>
    <row r="58" spans="3:19" hidden="1" x14ac:dyDescent="0.3">
      <c r="C58" s="54" t="s">
        <v>138</v>
      </c>
      <c r="E58" s="70" t="e">
        <f>+E144</f>
        <v>#REF!</v>
      </c>
      <c r="F58" s="70" t="e">
        <f t="shared" ref="F58:S58" si="6">+F144</f>
        <v>#REF!</v>
      </c>
      <c r="G58" s="70" t="e">
        <f t="shared" si="6"/>
        <v>#REF!</v>
      </c>
      <c r="H58" s="70" t="e">
        <f t="shared" si="6"/>
        <v>#REF!</v>
      </c>
      <c r="I58" s="70" t="e">
        <f t="shared" si="6"/>
        <v>#REF!</v>
      </c>
      <c r="J58" s="70" t="e">
        <f t="shared" si="6"/>
        <v>#REF!</v>
      </c>
      <c r="K58" s="70" t="e">
        <f t="shared" si="6"/>
        <v>#REF!</v>
      </c>
      <c r="L58" s="70" t="e">
        <f t="shared" si="6"/>
        <v>#REF!</v>
      </c>
      <c r="M58" s="70" t="e">
        <f t="shared" si="6"/>
        <v>#REF!</v>
      </c>
      <c r="N58" s="70" t="e">
        <f t="shared" si="6"/>
        <v>#REF!</v>
      </c>
      <c r="O58" s="70" t="e">
        <f t="shared" si="6"/>
        <v>#REF!</v>
      </c>
      <c r="P58" s="70" t="e">
        <f t="shared" si="6"/>
        <v>#REF!</v>
      </c>
      <c r="Q58" s="70" t="e">
        <f t="shared" si="6"/>
        <v>#REF!</v>
      </c>
      <c r="R58" s="70" t="e">
        <f t="shared" si="6"/>
        <v>#REF!</v>
      </c>
      <c r="S58" s="70" t="e">
        <f t="shared" si="6"/>
        <v>#REF!</v>
      </c>
    </row>
    <row r="59" spans="3:19" hidden="1" x14ac:dyDescent="0.3">
      <c r="C59" s="54" t="e">
        <f>#REF!</f>
        <v>#REF!</v>
      </c>
      <c r="E59" s="70" t="e">
        <f t="shared" ref="E59:S65" si="7">+E145</f>
        <v>#REF!</v>
      </c>
      <c r="F59" s="70" t="e">
        <f t="shared" si="7"/>
        <v>#REF!</v>
      </c>
      <c r="G59" s="70" t="e">
        <f t="shared" si="7"/>
        <v>#REF!</v>
      </c>
      <c r="H59" s="70" t="e">
        <f t="shared" si="7"/>
        <v>#REF!</v>
      </c>
      <c r="I59" s="70" t="e">
        <f t="shared" si="7"/>
        <v>#REF!</v>
      </c>
      <c r="J59" s="70" t="e">
        <f t="shared" si="7"/>
        <v>#REF!</v>
      </c>
      <c r="K59" s="70" t="e">
        <f t="shared" si="7"/>
        <v>#REF!</v>
      </c>
      <c r="L59" s="70" t="e">
        <f t="shared" si="7"/>
        <v>#REF!</v>
      </c>
      <c r="M59" s="70" t="e">
        <f t="shared" si="7"/>
        <v>#REF!</v>
      </c>
      <c r="N59" s="70" t="e">
        <f t="shared" si="7"/>
        <v>#REF!</v>
      </c>
      <c r="O59" s="70" t="e">
        <f t="shared" si="7"/>
        <v>#REF!</v>
      </c>
      <c r="P59" s="70" t="e">
        <f t="shared" si="7"/>
        <v>#REF!</v>
      </c>
      <c r="Q59" s="70" t="e">
        <f t="shared" si="7"/>
        <v>#REF!</v>
      </c>
      <c r="R59" s="70" t="e">
        <f t="shared" si="7"/>
        <v>#REF!</v>
      </c>
      <c r="S59" s="70" t="e">
        <f t="shared" si="7"/>
        <v>#REF!</v>
      </c>
    </row>
    <row r="60" spans="3:19" hidden="1" x14ac:dyDescent="0.3">
      <c r="C60" s="54" t="e">
        <f>#REF!</f>
        <v>#REF!</v>
      </c>
      <c r="E60" s="70" t="e">
        <f t="shared" si="7"/>
        <v>#REF!</v>
      </c>
      <c r="F60" s="70" t="e">
        <f t="shared" si="7"/>
        <v>#REF!</v>
      </c>
      <c r="G60" s="70" t="e">
        <f t="shared" si="7"/>
        <v>#REF!</v>
      </c>
      <c r="H60" s="70" t="e">
        <f t="shared" si="7"/>
        <v>#REF!</v>
      </c>
      <c r="I60" s="70" t="e">
        <f t="shared" si="7"/>
        <v>#REF!</v>
      </c>
      <c r="J60" s="70" t="e">
        <f t="shared" si="7"/>
        <v>#REF!</v>
      </c>
      <c r="K60" s="70" t="e">
        <f t="shared" si="7"/>
        <v>#REF!</v>
      </c>
      <c r="L60" s="70" t="e">
        <f t="shared" si="7"/>
        <v>#REF!</v>
      </c>
      <c r="M60" s="70" t="e">
        <f t="shared" si="7"/>
        <v>#REF!</v>
      </c>
      <c r="N60" s="70" t="e">
        <f t="shared" si="7"/>
        <v>#REF!</v>
      </c>
      <c r="O60" s="70" t="e">
        <f t="shared" si="7"/>
        <v>#REF!</v>
      </c>
      <c r="P60" s="70" t="e">
        <f t="shared" si="7"/>
        <v>#REF!</v>
      </c>
      <c r="Q60" s="70" t="e">
        <f t="shared" si="7"/>
        <v>#REF!</v>
      </c>
      <c r="R60" s="70" t="e">
        <f t="shared" si="7"/>
        <v>#REF!</v>
      </c>
      <c r="S60" s="70" t="e">
        <f t="shared" si="7"/>
        <v>#REF!</v>
      </c>
    </row>
    <row r="61" spans="3:19" hidden="1" x14ac:dyDescent="0.3">
      <c r="C61" s="54" t="e">
        <f>#REF!</f>
        <v>#REF!</v>
      </c>
      <c r="E61" s="70" t="e">
        <f t="shared" si="7"/>
        <v>#REF!</v>
      </c>
      <c r="F61" s="70" t="e">
        <f t="shared" si="7"/>
        <v>#REF!</v>
      </c>
      <c r="G61" s="70" t="e">
        <f t="shared" si="7"/>
        <v>#REF!</v>
      </c>
      <c r="H61" s="70" t="e">
        <f t="shared" si="7"/>
        <v>#REF!</v>
      </c>
      <c r="I61" s="70" t="e">
        <f t="shared" si="7"/>
        <v>#REF!</v>
      </c>
      <c r="J61" s="70" t="e">
        <f t="shared" si="7"/>
        <v>#REF!</v>
      </c>
      <c r="K61" s="70" t="e">
        <f t="shared" si="7"/>
        <v>#REF!</v>
      </c>
      <c r="L61" s="70" t="e">
        <f t="shared" si="7"/>
        <v>#REF!</v>
      </c>
      <c r="M61" s="70" t="e">
        <f t="shared" si="7"/>
        <v>#REF!</v>
      </c>
      <c r="N61" s="70" t="e">
        <f t="shared" si="7"/>
        <v>#REF!</v>
      </c>
      <c r="O61" s="70" t="e">
        <f t="shared" si="7"/>
        <v>#REF!</v>
      </c>
      <c r="P61" s="70" t="e">
        <f t="shared" si="7"/>
        <v>#REF!</v>
      </c>
      <c r="Q61" s="70" t="e">
        <f t="shared" si="7"/>
        <v>#REF!</v>
      </c>
      <c r="R61" s="70" t="e">
        <f t="shared" si="7"/>
        <v>#REF!</v>
      </c>
      <c r="S61" s="70" t="e">
        <f t="shared" si="7"/>
        <v>#REF!</v>
      </c>
    </row>
    <row r="62" spans="3:19" hidden="1" x14ac:dyDescent="0.3">
      <c r="C62" s="54" t="e">
        <f>#REF!</f>
        <v>#REF!</v>
      </c>
      <c r="E62" s="70" t="e">
        <f t="shared" si="7"/>
        <v>#REF!</v>
      </c>
      <c r="F62" s="70" t="e">
        <f t="shared" si="7"/>
        <v>#REF!</v>
      </c>
      <c r="G62" s="70" t="e">
        <f t="shared" si="7"/>
        <v>#REF!</v>
      </c>
      <c r="H62" s="70" t="e">
        <f t="shared" si="7"/>
        <v>#REF!</v>
      </c>
      <c r="I62" s="70" t="e">
        <f t="shared" si="7"/>
        <v>#REF!</v>
      </c>
      <c r="J62" s="70" t="e">
        <f t="shared" si="7"/>
        <v>#REF!</v>
      </c>
      <c r="K62" s="70" t="e">
        <f t="shared" si="7"/>
        <v>#REF!</v>
      </c>
      <c r="L62" s="70" t="e">
        <f t="shared" si="7"/>
        <v>#REF!</v>
      </c>
      <c r="M62" s="70" t="e">
        <f t="shared" si="7"/>
        <v>#REF!</v>
      </c>
      <c r="N62" s="70" t="e">
        <f t="shared" si="7"/>
        <v>#REF!</v>
      </c>
      <c r="O62" s="70" t="e">
        <f t="shared" si="7"/>
        <v>#REF!</v>
      </c>
      <c r="P62" s="70" t="e">
        <f t="shared" si="7"/>
        <v>#REF!</v>
      </c>
      <c r="Q62" s="70" t="e">
        <f t="shared" si="7"/>
        <v>#REF!</v>
      </c>
      <c r="R62" s="70" t="e">
        <f t="shared" si="7"/>
        <v>#REF!</v>
      </c>
      <c r="S62" s="70" t="e">
        <f t="shared" si="7"/>
        <v>#REF!</v>
      </c>
    </row>
    <row r="63" spans="3:19" hidden="1" x14ac:dyDescent="0.3">
      <c r="C63" s="54" t="e">
        <f>#REF!</f>
        <v>#REF!</v>
      </c>
      <c r="E63" s="70" t="e">
        <f t="shared" si="7"/>
        <v>#REF!</v>
      </c>
      <c r="F63" s="70" t="e">
        <f t="shared" si="7"/>
        <v>#REF!</v>
      </c>
      <c r="G63" s="70" t="e">
        <f t="shared" si="7"/>
        <v>#REF!</v>
      </c>
      <c r="H63" s="70" t="e">
        <f t="shared" si="7"/>
        <v>#REF!</v>
      </c>
      <c r="I63" s="70" t="e">
        <f t="shared" si="7"/>
        <v>#REF!</v>
      </c>
      <c r="J63" s="70" t="e">
        <f t="shared" si="7"/>
        <v>#REF!</v>
      </c>
      <c r="K63" s="70" t="e">
        <f t="shared" si="7"/>
        <v>#REF!</v>
      </c>
      <c r="L63" s="70" t="e">
        <f t="shared" si="7"/>
        <v>#REF!</v>
      </c>
      <c r="M63" s="70" t="e">
        <f t="shared" si="7"/>
        <v>#REF!</v>
      </c>
      <c r="N63" s="70" t="e">
        <f t="shared" si="7"/>
        <v>#REF!</v>
      </c>
      <c r="O63" s="70" t="e">
        <f t="shared" si="7"/>
        <v>#REF!</v>
      </c>
      <c r="P63" s="70" t="e">
        <f t="shared" si="7"/>
        <v>#REF!</v>
      </c>
      <c r="Q63" s="70" t="e">
        <f t="shared" si="7"/>
        <v>#REF!</v>
      </c>
      <c r="R63" s="70" t="e">
        <f t="shared" si="7"/>
        <v>#REF!</v>
      </c>
      <c r="S63" s="70" t="e">
        <f t="shared" si="7"/>
        <v>#REF!</v>
      </c>
    </row>
    <row r="64" spans="3:19" hidden="1" x14ac:dyDescent="0.3">
      <c r="C64" s="54" t="e">
        <f>#REF!</f>
        <v>#REF!</v>
      </c>
      <c r="E64" s="70" t="e">
        <f t="shared" si="7"/>
        <v>#REF!</v>
      </c>
      <c r="F64" s="70" t="e">
        <f t="shared" si="7"/>
        <v>#REF!</v>
      </c>
      <c r="G64" s="70" t="e">
        <f t="shared" si="7"/>
        <v>#REF!</v>
      </c>
      <c r="H64" s="70" t="e">
        <f t="shared" si="7"/>
        <v>#REF!</v>
      </c>
      <c r="I64" s="70" t="e">
        <f t="shared" si="7"/>
        <v>#REF!</v>
      </c>
      <c r="J64" s="70" t="e">
        <f t="shared" si="7"/>
        <v>#REF!</v>
      </c>
      <c r="K64" s="70" t="e">
        <f t="shared" si="7"/>
        <v>#REF!</v>
      </c>
      <c r="L64" s="70" t="e">
        <f t="shared" si="7"/>
        <v>#REF!</v>
      </c>
      <c r="M64" s="70" t="e">
        <f t="shared" si="7"/>
        <v>#REF!</v>
      </c>
      <c r="N64" s="70" t="e">
        <f t="shared" si="7"/>
        <v>#REF!</v>
      </c>
      <c r="O64" s="70" t="e">
        <f t="shared" si="7"/>
        <v>#REF!</v>
      </c>
      <c r="P64" s="70" t="e">
        <f t="shared" si="7"/>
        <v>#REF!</v>
      </c>
      <c r="Q64" s="70" t="e">
        <f t="shared" si="7"/>
        <v>#REF!</v>
      </c>
      <c r="R64" s="70" t="e">
        <f t="shared" si="7"/>
        <v>#REF!</v>
      </c>
      <c r="S64" s="70" t="e">
        <f t="shared" si="7"/>
        <v>#REF!</v>
      </c>
    </row>
    <row r="65" spans="3:19" hidden="1" x14ac:dyDescent="0.3">
      <c r="C65" s="54" t="e">
        <f>#REF!</f>
        <v>#REF!</v>
      </c>
      <c r="E65" s="70" t="e">
        <f t="shared" si="7"/>
        <v>#REF!</v>
      </c>
      <c r="F65" s="70" t="e">
        <f t="shared" si="7"/>
        <v>#REF!</v>
      </c>
      <c r="G65" s="70" t="e">
        <f t="shared" si="7"/>
        <v>#REF!</v>
      </c>
      <c r="H65" s="70" t="e">
        <f t="shared" si="7"/>
        <v>#REF!</v>
      </c>
      <c r="I65" s="70" t="e">
        <f t="shared" si="7"/>
        <v>#REF!</v>
      </c>
      <c r="J65" s="70" t="e">
        <f t="shared" si="7"/>
        <v>#REF!</v>
      </c>
      <c r="K65" s="70" t="e">
        <f t="shared" si="7"/>
        <v>#REF!</v>
      </c>
      <c r="L65" s="70" t="e">
        <f t="shared" si="7"/>
        <v>#REF!</v>
      </c>
      <c r="M65" s="70" t="e">
        <f t="shared" si="7"/>
        <v>#REF!</v>
      </c>
      <c r="N65" s="70" t="e">
        <f t="shared" si="7"/>
        <v>#REF!</v>
      </c>
      <c r="O65" s="70" t="e">
        <f t="shared" si="7"/>
        <v>#REF!</v>
      </c>
      <c r="P65" s="70" t="e">
        <f t="shared" si="7"/>
        <v>#REF!</v>
      </c>
      <c r="Q65" s="70" t="e">
        <f t="shared" si="7"/>
        <v>#REF!</v>
      </c>
      <c r="R65" s="70" t="e">
        <f t="shared" si="7"/>
        <v>#REF!</v>
      </c>
      <c r="S65" s="70" t="e">
        <f t="shared" si="7"/>
        <v>#REF!</v>
      </c>
    </row>
    <row r="66" spans="3:19" hidden="1" x14ac:dyDescent="0.3"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</row>
    <row r="67" spans="3:19" hidden="1" x14ac:dyDescent="0.3"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</row>
    <row r="68" spans="3:19" hidden="1" x14ac:dyDescent="0.3">
      <c r="C68" s="54" t="s">
        <v>138</v>
      </c>
      <c r="E68" s="78" t="e">
        <f t="shared" ref="E68:S75" si="8">+E48/E58</f>
        <v>#REF!</v>
      </c>
      <c r="F68" s="78" t="e">
        <f t="shared" si="8"/>
        <v>#REF!</v>
      </c>
      <c r="G68" s="78" t="e">
        <f t="shared" si="8"/>
        <v>#REF!</v>
      </c>
      <c r="H68" s="78" t="e">
        <f t="shared" si="8"/>
        <v>#REF!</v>
      </c>
      <c r="I68" s="78" t="e">
        <f t="shared" si="8"/>
        <v>#REF!</v>
      </c>
      <c r="J68" s="78" t="e">
        <f t="shared" si="8"/>
        <v>#REF!</v>
      </c>
      <c r="K68" s="78" t="e">
        <f t="shared" si="8"/>
        <v>#REF!</v>
      </c>
      <c r="L68" s="78" t="e">
        <f t="shared" si="8"/>
        <v>#REF!</v>
      </c>
      <c r="M68" s="78" t="e">
        <f t="shared" si="8"/>
        <v>#REF!</v>
      </c>
      <c r="N68" s="78" t="e">
        <f t="shared" si="8"/>
        <v>#REF!</v>
      </c>
      <c r="O68" s="78" t="e">
        <f t="shared" si="8"/>
        <v>#REF!</v>
      </c>
      <c r="P68" s="78" t="e">
        <f t="shared" si="8"/>
        <v>#REF!</v>
      </c>
      <c r="Q68" s="78" t="e">
        <f t="shared" si="8"/>
        <v>#REF!</v>
      </c>
      <c r="R68" s="78" t="e">
        <f t="shared" si="8"/>
        <v>#REF!</v>
      </c>
      <c r="S68" s="78" t="e">
        <f t="shared" si="8"/>
        <v>#REF!</v>
      </c>
    </row>
    <row r="69" spans="3:19" hidden="1" x14ac:dyDescent="0.3">
      <c r="C69" s="54" t="e">
        <f>#REF!</f>
        <v>#REF!</v>
      </c>
      <c r="E69" s="78" t="e">
        <f t="shared" si="8"/>
        <v>#REF!</v>
      </c>
      <c r="F69" s="78" t="e">
        <f t="shared" si="8"/>
        <v>#REF!</v>
      </c>
      <c r="G69" s="78" t="e">
        <f t="shared" si="8"/>
        <v>#REF!</v>
      </c>
      <c r="H69" s="78" t="e">
        <f t="shared" si="8"/>
        <v>#REF!</v>
      </c>
      <c r="I69" s="78" t="e">
        <f t="shared" si="8"/>
        <v>#REF!</v>
      </c>
      <c r="J69" s="78" t="e">
        <f t="shared" si="8"/>
        <v>#REF!</v>
      </c>
      <c r="K69" s="78" t="e">
        <f t="shared" si="8"/>
        <v>#REF!</v>
      </c>
      <c r="L69" s="78" t="e">
        <f t="shared" si="8"/>
        <v>#REF!</v>
      </c>
      <c r="M69" s="78" t="e">
        <f t="shared" si="8"/>
        <v>#REF!</v>
      </c>
      <c r="N69" s="78" t="e">
        <f t="shared" si="8"/>
        <v>#REF!</v>
      </c>
      <c r="O69" s="78" t="e">
        <f t="shared" si="8"/>
        <v>#REF!</v>
      </c>
      <c r="P69" s="78" t="e">
        <f t="shared" si="8"/>
        <v>#REF!</v>
      </c>
      <c r="Q69" s="78" t="e">
        <f t="shared" si="8"/>
        <v>#REF!</v>
      </c>
      <c r="R69" s="78" t="e">
        <f t="shared" si="8"/>
        <v>#REF!</v>
      </c>
      <c r="S69" s="78" t="e">
        <f t="shared" si="8"/>
        <v>#REF!</v>
      </c>
    </row>
    <row r="70" spans="3:19" hidden="1" x14ac:dyDescent="0.3">
      <c r="C70" s="54" t="e">
        <f>#REF!</f>
        <v>#REF!</v>
      </c>
      <c r="E70" s="78" t="e">
        <f t="shared" si="8"/>
        <v>#REF!</v>
      </c>
      <c r="F70" s="78" t="e">
        <f t="shared" si="8"/>
        <v>#REF!</v>
      </c>
      <c r="G70" s="78" t="e">
        <f t="shared" si="8"/>
        <v>#REF!</v>
      </c>
      <c r="H70" s="78" t="e">
        <f t="shared" si="8"/>
        <v>#REF!</v>
      </c>
      <c r="I70" s="78" t="e">
        <f t="shared" si="8"/>
        <v>#REF!</v>
      </c>
      <c r="J70" s="78" t="e">
        <f t="shared" si="8"/>
        <v>#REF!</v>
      </c>
      <c r="K70" s="78" t="e">
        <f t="shared" si="8"/>
        <v>#REF!</v>
      </c>
      <c r="L70" s="78" t="e">
        <f t="shared" si="8"/>
        <v>#REF!</v>
      </c>
      <c r="M70" s="78" t="e">
        <f t="shared" si="8"/>
        <v>#REF!</v>
      </c>
      <c r="N70" s="78" t="e">
        <f t="shared" si="8"/>
        <v>#REF!</v>
      </c>
      <c r="O70" s="78" t="e">
        <f t="shared" si="8"/>
        <v>#REF!</v>
      </c>
      <c r="P70" s="78" t="e">
        <f t="shared" si="8"/>
        <v>#REF!</v>
      </c>
      <c r="Q70" s="78" t="e">
        <f t="shared" si="8"/>
        <v>#REF!</v>
      </c>
      <c r="R70" s="78" t="e">
        <f t="shared" si="8"/>
        <v>#REF!</v>
      </c>
      <c r="S70" s="78" t="e">
        <f t="shared" si="8"/>
        <v>#REF!</v>
      </c>
    </row>
    <row r="71" spans="3:19" hidden="1" x14ac:dyDescent="0.3">
      <c r="C71" s="54" t="e">
        <f>#REF!</f>
        <v>#REF!</v>
      </c>
      <c r="E71" s="78" t="e">
        <f t="shared" si="8"/>
        <v>#REF!</v>
      </c>
      <c r="F71" s="78" t="e">
        <f t="shared" si="8"/>
        <v>#REF!</v>
      </c>
      <c r="G71" s="78" t="e">
        <f t="shared" si="8"/>
        <v>#REF!</v>
      </c>
      <c r="H71" s="78" t="e">
        <f t="shared" si="8"/>
        <v>#REF!</v>
      </c>
      <c r="I71" s="78" t="e">
        <f t="shared" si="8"/>
        <v>#REF!</v>
      </c>
      <c r="J71" s="78" t="e">
        <f t="shared" si="8"/>
        <v>#REF!</v>
      </c>
      <c r="K71" s="78" t="e">
        <f t="shared" si="8"/>
        <v>#REF!</v>
      </c>
      <c r="L71" s="78" t="e">
        <f t="shared" si="8"/>
        <v>#REF!</v>
      </c>
      <c r="M71" s="78" t="e">
        <f t="shared" si="8"/>
        <v>#REF!</v>
      </c>
      <c r="N71" s="78" t="e">
        <f t="shared" si="8"/>
        <v>#REF!</v>
      </c>
      <c r="O71" s="78" t="e">
        <f t="shared" si="8"/>
        <v>#REF!</v>
      </c>
      <c r="P71" s="78" t="e">
        <f t="shared" si="8"/>
        <v>#REF!</v>
      </c>
      <c r="Q71" s="78" t="e">
        <f t="shared" si="8"/>
        <v>#REF!</v>
      </c>
      <c r="R71" s="78" t="e">
        <f t="shared" si="8"/>
        <v>#REF!</v>
      </c>
      <c r="S71" s="78" t="e">
        <f t="shared" si="8"/>
        <v>#REF!</v>
      </c>
    </row>
    <row r="72" spans="3:19" hidden="1" x14ac:dyDescent="0.3">
      <c r="C72" s="54" t="e">
        <f>#REF!</f>
        <v>#REF!</v>
      </c>
      <c r="E72" s="78" t="e">
        <f t="shared" si="8"/>
        <v>#REF!</v>
      </c>
      <c r="F72" s="78" t="e">
        <f t="shared" si="8"/>
        <v>#REF!</v>
      </c>
      <c r="G72" s="78" t="e">
        <f t="shared" si="8"/>
        <v>#REF!</v>
      </c>
      <c r="H72" s="78" t="e">
        <f t="shared" si="8"/>
        <v>#REF!</v>
      </c>
      <c r="I72" s="78" t="e">
        <f t="shared" si="8"/>
        <v>#REF!</v>
      </c>
      <c r="J72" s="78" t="e">
        <f t="shared" si="8"/>
        <v>#REF!</v>
      </c>
      <c r="K72" s="78" t="e">
        <f t="shared" si="8"/>
        <v>#REF!</v>
      </c>
      <c r="L72" s="78" t="e">
        <f t="shared" si="8"/>
        <v>#REF!</v>
      </c>
      <c r="M72" s="78" t="e">
        <f t="shared" si="8"/>
        <v>#REF!</v>
      </c>
      <c r="N72" s="78" t="e">
        <f t="shared" si="8"/>
        <v>#REF!</v>
      </c>
      <c r="O72" s="78" t="e">
        <f t="shared" si="8"/>
        <v>#REF!</v>
      </c>
      <c r="P72" s="78" t="e">
        <f t="shared" si="8"/>
        <v>#REF!</v>
      </c>
      <c r="Q72" s="78" t="e">
        <f t="shared" si="8"/>
        <v>#REF!</v>
      </c>
      <c r="R72" s="78" t="e">
        <f t="shared" si="8"/>
        <v>#REF!</v>
      </c>
      <c r="S72" s="78" t="e">
        <f t="shared" si="8"/>
        <v>#REF!</v>
      </c>
    </row>
    <row r="73" spans="3:19" hidden="1" x14ac:dyDescent="0.3">
      <c r="C73" s="54" t="e">
        <f>#REF!</f>
        <v>#REF!</v>
      </c>
      <c r="E73" s="78" t="e">
        <f t="shared" si="8"/>
        <v>#REF!</v>
      </c>
      <c r="F73" s="78" t="e">
        <f t="shared" si="8"/>
        <v>#REF!</v>
      </c>
      <c r="G73" s="78" t="e">
        <f t="shared" si="8"/>
        <v>#REF!</v>
      </c>
      <c r="H73" s="78" t="e">
        <f t="shared" si="8"/>
        <v>#REF!</v>
      </c>
      <c r="I73" s="78" t="e">
        <f t="shared" si="8"/>
        <v>#REF!</v>
      </c>
      <c r="J73" s="78" t="e">
        <f t="shared" si="8"/>
        <v>#REF!</v>
      </c>
      <c r="K73" s="78" t="e">
        <f t="shared" si="8"/>
        <v>#REF!</v>
      </c>
      <c r="L73" s="78" t="e">
        <f t="shared" si="8"/>
        <v>#REF!</v>
      </c>
      <c r="M73" s="78" t="e">
        <f t="shared" si="8"/>
        <v>#REF!</v>
      </c>
      <c r="N73" s="78" t="e">
        <f t="shared" si="8"/>
        <v>#REF!</v>
      </c>
      <c r="O73" s="78" t="e">
        <f t="shared" si="8"/>
        <v>#REF!</v>
      </c>
      <c r="P73" s="78" t="e">
        <f t="shared" si="8"/>
        <v>#REF!</v>
      </c>
      <c r="Q73" s="78" t="e">
        <f t="shared" si="8"/>
        <v>#REF!</v>
      </c>
      <c r="R73" s="78" t="e">
        <f t="shared" si="8"/>
        <v>#REF!</v>
      </c>
      <c r="S73" s="78" t="e">
        <f t="shared" si="8"/>
        <v>#REF!</v>
      </c>
    </row>
    <row r="74" spans="3:19" hidden="1" x14ac:dyDescent="0.3">
      <c r="C74" s="54" t="e">
        <f>#REF!</f>
        <v>#REF!</v>
      </c>
      <c r="E74" s="78" t="e">
        <f t="shared" si="8"/>
        <v>#REF!</v>
      </c>
      <c r="F74" s="78" t="e">
        <f t="shared" si="8"/>
        <v>#REF!</v>
      </c>
      <c r="G74" s="78" t="e">
        <f t="shared" si="8"/>
        <v>#REF!</v>
      </c>
      <c r="H74" s="78" t="e">
        <f t="shared" si="8"/>
        <v>#REF!</v>
      </c>
      <c r="I74" s="78" t="e">
        <f t="shared" si="8"/>
        <v>#REF!</v>
      </c>
      <c r="J74" s="78" t="e">
        <f t="shared" si="8"/>
        <v>#REF!</v>
      </c>
      <c r="K74" s="78" t="e">
        <f t="shared" si="8"/>
        <v>#REF!</v>
      </c>
      <c r="L74" s="78" t="e">
        <f t="shared" si="8"/>
        <v>#REF!</v>
      </c>
      <c r="M74" s="78" t="e">
        <f t="shared" si="8"/>
        <v>#REF!</v>
      </c>
      <c r="N74" s="78" t="e">
        <f t="shared" si="8"/>
        <v>#REF!</v>
      </c>
      <c r="O74" s="78" t="e">
        <f t="shared" si="8"/>
        <v>#REF!</v>
      </c>
      <c r="P74" s="78" t="e">
        <f t="shared" si="8"/>
        <v>#REF!</v>
      </c>
      <c r="Q74" s="78" t="e">
        <f t="shared" si="8"/>
        <v>#REF!</v>
      </c>
      <c r="R74" s="78" t="e">
        <f t="shared" si="8"/>
        <v>#REF!</v>
      </c>
      <c r="S74" s="78" t="e">
        <f t="shared" si="8"/>
        <v>#REF!</v>
      </c>
    </row>
    <row r="75" spans="3:19" hidden="1" x14ac:dyDescent="0.3">
      <c r="C75" s="54" t="e">
        <f>#REF!</f>
        <v>#REF!</v>
      </c>
      <c r="E75" s="78" t="e">
        <f t="shared" si="8"/>
        <v>#REF!</v>
      </c>
      <c r="F75" s="78" t="e">
        <f t="shared" si="8"/>
        <v>#REF!</v>
      </c>
      <c r="G75" s="78" t="e">
        <f t="shared" si="8"/>
        <v>#REF!</v>
      </c>
      <c r="H75" s="78" t="e">
        <f t="shared" si="8"/>
        <v>#REF!</v>
      </c>
      <c r="I75" s="78" t="e">
        <f t="shared" si="8"/>
        <v>#REF!</v>
      </c>
      <c r="J75" s="78" t="e">
        <f t="shared" si="8"/>
        <v>#REF!</v>
      </c>
      <c r="K75" s="78" t="e">
        <f t="shared" si="8"/>
        <v>#REF!</v>
      </c>
      <c r="L75" s="78" t="e">
        <f t="shared" si="8"/>
        <v>#REF!</v>
      </c>
      <c r="M75" s="78" t="e">
        <f t="shared" si="8"/>
        <v>#REF!</v>
      </c>
      <c r="N75" s="78" t="e">
        <f t="shared" si="8"/>
        <v>#REF!</v>
      </c>
      <c r="O75" s="78" t="e">
        <f t="shared" si="8"/>
        <v>#REF!</v>
      </c>
      <c r="P75" s="78" t="e">
        <f t="shared" si="8"/>
        <v>#REF!</v>
      </c>
      <c r="Q75" s="78" t="e">
        <f t="shared" si="8"/>
        <v>#REF!</v>
      </c>
      <c r="R75" s="78" t="e">
        <f t="shared" si="8"/>
        <v>#REF!</v>
      </c>
      <c r="S75" s="78" t="e">
        <f t="shared" si="8"/>
        <v>#REF!</v>
      </c>
    </row>
    <row r="76" spans="3:19" hidden="1" x14ac:dyDescent="0.3"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</row>
    <row r="77" spans="3:19" hidden="1" x14ac:dyDescent="0.3">
      <c r="C77" s="54" t="s">
        <v>138</v>
      </c>
      <c r="E77" s="70" t="e">
        <f t="shared" ref="E77:S84" si="9">+$E37-(1+E68*$D$88)*$E37</f>
        <v>#REF!</v>
      </c>
      <c r="F77" s="70" t="e">
        <f t="shared" si="9"/>
        <v>#REF!</v>
      </c>
      <c r="G77" s="70" t="e">
        <f t="shared" si="9"/>
        <v>#REF!</v>
      </c>
      <c r="H77" s="70" t="e">
        <f t="shared" si="9"/>
        <v>#REF!</v>
      </c>
      <c r="I77" s="70" t="e">
        <f t="shared" si="9"/>
        <v>#REF!</v>
      </c>
      <c r="J77" s="70" t="e">
        <f t="shared" si="9"/>
        <v>#REF!</v>
      </c>
      <c r="K77" s="70" t="e">
        <f t="shared" si="9"/>
        <v>#REF!</v>
      </c>
      <c r="L77" s="70" t="e">
        <f t="shared" si="9"/>
        <v>#REF!</v>
      </c>
      <c r="M77" s="70" t="e">
        <f t="shared" si="9"/>
        <v>#REF!</v>
      </c>
      <c r="N77" s="70" t="e">
        <f t="shared" si="9"/>
        <v>#REF!</v>
      </c>
      <c r="O77" s="70" t="e">
        <f t="shared" si="9"/>
        <v>#REF!</v>
      </c>
      <c r="P77" s="70" t="e">
        <f t="shared" si="9"/>
        <v>#REF!</v>
      </c>
      <c r="Q77" s="70" t="e">
        <f t="shared" si="9"/>
        <v>#REF!</v>
      </c>
      <c r="R77" s="70" t="e">
        <f t="shared" si="9"/>
        <v>#REF!</v>
      </c>
      <c r="S77" s="70" t="e">
        <f t="shared" si="9"/>
        <v>#REF!</v>
      </c>
    </row>
    <row r="78" spans="3:19" hidden="1" x14ac:dyDescent="0.3">
      <c r="C78" s="54" t="e">
        <f>#REF!</f>
        <v>#REF!</v>
      </c>
      <c r="E78" s="70" t="e">
        <f t="shared" si="9"/>
        <v>#REF!</v>
      </c>
      <c r="F78" s="70" t="e">
        <f t="shared" si="9"/>
        <v>#REF!</v>
      </c>
      <c r="G78" s="70" t="e">
        <f t="shared" si="9"/>
        <v>#REF!</v>
      </c>
      <c r="H78" s="70" t="e">
        <f t="shared" si="9"/>
        <v>#REF!</v>
      </c>
      <c r="I78" s="70" t="e">
        <f t="shared" si="9"/>
        <v>#REF!</v>
      </c>
      <c r="J78" s="70" t="e">
        <f t="shared" si="9"/>
        <v>#REF!</v>
      </c>
      <c r="K78" s="70" t="e">
        <f t="shared" si="9"/>
        <v>#REF!</v>
      </c>
      <c r="L78" s="70" t="e">
        <f t="shared" si="9"/>
        <v>#REF!</v>
      </c>
      <c r="M78" s="70" t="e">
        <f t="shared" si="9"/>
        <v>#REF!</v>
      </c>
      <c r="N78" s="70" t="e">
        <f t="shared" si="9"/>
        <v>#REF!</v>
      </c>
      <c r="O78" s="70" t="e">
        <f t="shared" si="9"/>
        <v>#REF!</v>
      </c>
      <c r="P78" s="70" t="e">
        <f t="shared" si="9"/>
        <v>#REF!</v>
      </c>
      <c r="Q78" s="70" t="e">
        <f t="shared" si="9"/>
        <v>#REF!</v>
      </c>
      <c r="R78" s="70" t="e">
        <f t="shared" si="9"/>
        <v>#REF!</v>
      </c>
      <c r="S78" s="70" t="e">
        <f t="shared" si="9"/>
        <v>#REF!</v>
      </c>
    </row>
    <row r="79" spans="3:19" hidden="1" x14ac:dyDescent="0.3">
      <c r="C79" s="54" t="e">
        <f>#REF!</f>
        <v>#REF!</v>
      </c>
      <c r="E79" s="70" t="e">
        <f t="shared" si="9"/>
        <v>#REF!</v>
      </c>
      <c r="F79" s="70" t="e">
        <f t="shared" si="9"/>
        <v>#REF!</v>
      </c>
      <c r="G79" s="70" t="e">
        <f t="shared" si="9"/>
        <v>#REF!</v>
      </c>
      <c r="H79" s="70" t="e">
        <f t="shared" si="9"/>
        <v>#REF!</v>
      </c>
      <c r="I79" s="70" t="e">
        <f t="shared" si="9"/>
        <v>#REF!</v>
      </c>
      <c r="J79" s="70" t="e">
        <f t="shared" si="9"/>
        <v>#REF!</v>
      </c>
      <c r="K79" s="70" t="e">
        <f t="shared" si="9"/>
        <v>#REF!</v>
      </c>
      <c r="L79" s="70" t="e">
        <f t="shared" si="9"/>
        <v>#REF!</v>
      </c>
      <c r="M79" s="70" t="e">
        <f t="shared" si="9"/>
        <v>#REF!</v>
      </c>
      <c r="N79" s="70" t="e">
        <f t="shared" si="9"/>
        <v>#REF!</v>
      </c>
      <c r="O79" s="70" t="e">
        <f t="shared" si="9"/>
        <v>#REF!</v>
      </c>
      <c r="P79" s="70" t="e">
        <f t="shared" si="9"/>
        <v>#REF!</v>
      </c>
      <c r="Q79" s="70" t="e">
        <f t="shared" si="9"/>
        <v>#REF!</v>
      </c>
      <c r="R79" s="70" t="e">
        <f t="shared" si="9"/>
        <v>#REF!</v>
      </c>
      <c r="S79" s="70" t="e">
        <f t="shared" si="9"/>
        <v>#REF!</v>
      </c>
    </row>
    <row r="80" spans="3:19" hidden="1" x14ac:dyDescent="0.3">
      <c r="C80" s="54" t="e">
        <f>#REF!</f>
        <v>#REF!</v>
      </c>
      <c r="E80" s="70" t="e">
        <f t="shared" si="9"/>
        <v>#REF!</v>
      </c>
      <c r="F80" s="70" t="e">
        <f t="shared" si="9"/>
        <v>#REF!</v>
      </c>
      <c r="G80" s="70" t="e">
        <f t="shared" si="9"/>
        <v>#REF!</v>
      </c>
      <c r="H80" s="70" t="e">
        <f t="shared" si="9"/>
        <v>#REF!</v>
      </c>
      <c r="I80" s="70" t="e">
        <f t="shared" si="9"/>
        <v>#REF!</v>
      </c>
      <c r="J80" s="70" t="e">
        <f t="shared" si="9"/>
        <v>#REF!</v>
      </c>
      <c r="K80" s="70" t="e">
        <f t="shared" si="9"/>
        <v>#REF!</v>
      </c>
      <c r="L80" s="70" t="e">
        <f t="shared" si="9"/>
        <v>#REF!</v>
      </c>
      <c r="M80" s="70" t="e">
        <f t="shared" si="9"/>
        <v>#REF!</v>
      </c>
      <c r="N80" s="70" t="e">
        <f t="shared" si="9"/>
        <v>#REF!</v>
      </c>
      <c r="O80" s="70" t="e">
        <f t="shared" si="9"/>
        <v>#REF!</v>
      </c>
      <c r="P80" s="70" t="e">
        <f t="shared" si="9"/>
        <v>#REF!</v>
      </c>
      <c r="Q80" s="70" t="e">
        <f t="shared" si="9"/>
        <v>#REF!</v>
      </c>
      <c r="R80" s="70" t="e">
        <f t="shared" si="9"/>
        <v>#REF!</v>
      </c>
      <c r="S80" s="70" t="e">
        <f t="shared" si="9"/>
        <v>#REF!</v>
      </c>
    </row>
    <row r="81" spans="3:19" hidden="1" x14ac:dyDescent="0.3">
      <c r="C81" s="54" t="e">
        <f>#REF!</f>
        <v>#REF!</v>
      </c>
      <c r="E81" s="70" t="e">
        <f t="shared" si="9"/>
        <v>#REF!</v>
      </c>
      <c r="F81" s="70" t="e">
        <f t="shared" si="9"/>
        <v>#REF!</v>
      </c>
      <c r="G81" s="70" t="e">
        <f t="shared" si="9"/>
        <v>#REF!</v>
      </c>
      <c r="H81" s="70" t="e">
        <f t="shared" si="9"/>
        <v>#REF!</v>
      </c>
      <c r="I81" s="70" t="e">
        <f t="shared" si="9"/>
        <v>#REF!</v>
      </c>
      <c r="J81" s="70" t="e">
        <f t="shared" si="9"/>
        <v>#REF!</v>
      </c>
      <c r="K81" s="70" t="e">
        <f t="shared" si="9"/>
        <v>#REF!</v>
      </c>
      <c r="L81" s="70" t="e">
        <f t="shared" si="9"/>
        <v>#REF!</v>
      </c>
      <c r="M81" s="70" t="e">
        <f t="shared" si="9"/>
        <v>#REF!</v>
      </c>
      <c r="N81" s="70" t="e">
        <f t="shared" si="9"/>
        <v>#REF!</v>
      </c>
      <c r="O81" s="70" t="e">
        <f t="shared" si="9"/>
        <v>#REF!</v>
      </c>
      <c r="P81" s="70" t="e">
        <f t="shared" si="9"/>
        <v>#REF!</v>
      </c>
      <c r="Q81" s="70" t="e">
        <f t="shared" si="9"/>
        <v>#REF!</v>
      </c>
      <c r="R81" s="70" t="e">
        <f t="shared" si="9"/>
        <v>#REF!</v>
      </c>
      <c r="S81" s="70" t="e">
        <f t="shared" si="9"/>
        <v>#REF!</v>
      </c>
    </row>
    <row r="82" spans="3:19" hidden="1" x14ac:dyDescent="0.3">
      <c r="C82" s="54" t="e">
        <f>#REF!</f>
        <v>#REF!</v>
      </c>
      <c r="E82" s="70" t="e">
        <f t="shared" si="9"/>
        <v>#REF!</v>
      </c>
      <c r="F82" s="70" t="e">
        <f t="shared" si="9"/>
        <v>#REF!</v>
      </c>
      <c r="G82" s="70" t="e">
        <f t="shared" si="9"/>
        <v>#REF!</v>
      </c>
      <c r="H82" s="70" t="e">
        <f t="shared" si="9"/>
        <v>#REF!</v>
      </c>
      <c r="I82" s="70" t="e">
        <f t="shared" si="9"/>
        <v>#REF!</v>
      </c>
      <c r="J82" s="70" t="e">
        <f t="shared" si="9"/>
        <v>#REF!</v>
      </c>
      <c r="K82" s="70" t="e">
        <f t="shared" si="9"/>
        <v>#REF!</v>
      </c>
      <c r="L82" s="70" t="e">
        <f t="shared" si="9"/>
        <v>#REF!</v>
      </c>
      <c r="M82" s="70" t="e">
        <f t="shared" si="9"/>
        <v>#REF!</v>
      </c>
      <c r="N82" s="70" t="e">
        <f t="shared" si="9"/>
        <v>#REF!</v>
      </c>
      <c r="O82" s="70" t="e">
        <f t="shared" si="9"/>
        <v>#REF!</v>
      </c>
      <c r="P82" s="70" t="e">
        <f t="shared" si="9"/>
        <v>#REF!</v>
      </c>
      <c r="Q82" s="70" t="e">
        <f t="shared" si="9"/>
        <v>#REF!</v>
      </c>
      <c r="R82" s="70" t="e">
        <f t="shared" si="9"/>
        <v>#REF!</v>
      </c>
      <c r="S82" s="70" t="e">
        <f t="shared" si="9"/>
        <v>#REF!</v>
      </c>
    </row>
    <row r="83" spans="3:19" hidden="1" x14ac:dyDescent="0.3">
      <c r="C83" s="54" t="e">
        <f>#REF!</f>
        <v>#REF!</v>
      </c>
      <c r="E83" s="70" t="e">
        <f t="shared" si="9"/>
        <v>#REF!</v>
      </c>
      <c r="F83" s="70" t="e">
        <f t="shared" si="9"/>
        <v>#REF!</v>
      </c>
      <c r="G83" s="70" t="e">
        <f t="shared" si="9"/>
        <v>#REF!</v>
      </c>
      <c r="H83" s="70" t="e">
        <f t="shared" si="9"/>
        <v>#REF!</v>
      </c>
      <c r="I83" s="70" t="e">
        <f t="shared" si="9"/>
        <v>#REF!</v>
      </c>
      <c r="J83" s="70" t="e">
        <f t="shared" si="9"/>
        <v>#REF!</v>
      </c>
      <c r="K83" s="70" t="e">
        <f t="shared" si="9"/>
        <v>#REF!</v>
      </c>
      <c r="L83" s="70" t="e">
        <f t="shared" si="9"/>
        <v>#REF!</v>
      </c>
      <c r="M83" s="70" t="e">
        <f t="shared" si="9"/>
        <v>#REF!</v>
      </c>
      <c r="N83" s="70" t="e">
        <f t="shared" si="9"/>
        <v>#REF!</v>
      </c>
      <c r="O83" s="70" t="e">
        <f t="shared" si="9"/>
        <v>#REF!</v>
      </c>
      <c r="P83" s="70" t="e">
        <f t="shared" si="9"/>
        <v>#REF!</v>
      </c>
      <c r="Q83" s="70" t="e">
        <f t="shared" si="9"/>
        <v>#REF!</v>
      </c>
      <c r="R83" s="70" t="e">
        <f t="shared" si="9"/>
        <v>#REF!</v>
      </c>
      <c r="S83" s="70" t="e">
        <f t="shared" si="9"/>
        <v>#REF!</v>
      </c>
    </row>
    <row r="84" spans="3:19" hidden="1" x14ac:dyDescent="0.3">
      <c r="C84" s="54" t="e">
        <f>#REF!</f>
        <v>#REF!</v>
      </c>
      <c r="E84" s="70" t="e">
        <f t="shared" si="9"/>
        <v>#REF!</v>
      </c>
      <c r="F84" s="70" t="e">
        <f t="shared" si="9"/>
        <v>#REF!</v>
      </c>
      <c r="G84" s="70" t="e">
        <f t="shared" si="9"/>
        <v>#REF!</v>
      </c>
      <c r="H84" s="70" t="e">
        <f t="shared" si="9"/>
        <v>#REF!</v>
      </c>
      <c r="I84" s="70" t="e">
        <f t="shared" si="9"/>
        <v>#REF!</v>
      </c>
      <c r="J84" s="70" t="e">
        <f t="shared" si="9"/>
        <v>#REF!</v>
      </c>
      <c r="K84" s="70" t="e">
        <f t="shared" si="9"/>
        <v>#REF!</v>
      </c>
      <c r="L84" s="70" t="e">
        <f t="shared" si="9"/>
        <v>#REF!</v>
      </c>
      <c r="M84" s="70" t="e">
        <f t="shared" si="9"/>
        <v>#REF!</v>
      </c>
      <c r="N84" s="70" t="e">
        <f t="shared" si="9"/>
        <v>#REF!</v>
      </c>
      <c r="O84" s="70" t="e">
        <f t="shared" si="9"/>
        <v>#REF!</v>
      </c>
      <c r="P84" s="70" t="e">
        <f t="shared" si="9"/>
        <v>#REF!</v>
      </c>
      <c r="Q84" s="70" t="e">
        <f t="shared" si="9"/>
        <v>#REF!</v>
      </c>
      <c r="R84" s="70" t="e">
        <f t="shared" si="9"/>
        <v>#REF!</v>
      </c>
      <c r="S84" s="70" t="e">
        <f t="shared" si="9"/>
        <v>#REF!</v>
      </c>
    </row>
    <row r="85" spans="3:19" hidden="1" x14ac:dyDescent="0.3"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</row>
    <row r="86" spans="3:19" hidden="1" x14ac:dyDescent="0.3"/>
    <row r="87" spans="3:19" x14ac:dyDescent="0.3">
      <c r="C87" s="54" t="s">
        <v>156</v>
      </c>
      <c r="D87" s="70">
        <v>30991.74</v>
      </c>
    </row>
    <row r="88" spans="3:19" x14ac:dyDescent="0.3">
      <c r="C88" s="54" t="s">
        <v>160</v>
      </c>
      <c r="D88" s="54">
        <v>-0.45</v>
      </c>
    </row>
    <row r="90" spans="3:19" x14ac:dyDescent="0.3">
      <c r="C90" s="54" t="s">
        <v>161</v>
      </c>
      <c r="D90" s="54">
        <v>14</v>
      </c>
    </row>
    <row r="91" spans="3:19" x14ac:dyDescent="0.3">
      <c r="C91" s="54" t="s">
        <v>162</v>
      </c>
    </row>
    <row r="92" spans="3:19" x14ac:dyDescent="0.3">
      <c r="C92" s="54" t="s">
        <v>163</v>
      </c>
      <c r="D92" s="54">
        <v>10</v>
      </c>
    </row>
    <row r="96" spans="3:19" x14ac:dyDescent="0.3">
      <c r="E96" s="65"/>
    </row>
    <row r="97" spans="1:22" s="79" customFormat="1" ht="13.8" x14ac:dyDescent="0.3">
      <c r="C97" s="80" t="s">
        <v>164</v>
      </c>
      <c r="D97" s="81">
        <v>0</v>
      </c>
      <c r="E97" s="81">
        <f>+D97+1</f>
        <v>1</v>
      </c>
      <c r="F97" s="81">
        <f t="shared" ref="F97:S98" si="10">+E97+1</f>
        <v>2</v>
      </c>
      <c r="G97" s="81">
        <f t="shared" si="10"/>
        <v>3</v>
      </c>
      <c r="H97" s="81">
        <f t="shared" si="10"/>
        <v>4</v>
      </c>
      <c r="I97" s="81">
        <f t="shared" si="10"/>
        <v>5</v>
      </c>
      <c r="J97" s="81">
        <f t="shared" si="10"/>
        <v>6</v>
      </c>
      <c r="K97" s="81">
        <f t="shared" si="10"/>
        <v>7</v>
      </c>
      <c r="L97" s="81">
        <f t="shared" si="10"/>
        <v>8</v>
      </c>
      <c r="M97" s="81">
        <f t="shared" si="10"/>
        <v>9</v>
      </c>
      <c r="N97" s="81">
        <f t="shared" si="10"/>
        <v>10</v>
      </c>
      <c r="O97" s="81">
        <f t="shared" si="10"/>
        <v>11</v>
      </c>
      <c r="P97" s="81">
        <f t="shared" si="10"/>
        <v>12</v>
      </c>
      <c r="Q97" s="81">
        <f t="shared" si="10"/>
        <v>13</v>
      </c>
      <c r="R97" s="81">
        <f t="shared" si="10"/>
        <v>14</v>
      </c>
      <c r="S97" s="81">
        <f t="shared" si="10"/>
        <v>15</v>
      </c>
    </row>
    <row r="98" spans="1:22" s="82" customFormat="1" ht="23.25" customHeight="1" x14ac:dyDescent="0.3">
      <c r="B98" s="83" t="s">
        <v>165</v>
      </c>
      <c r="C98" s="84" t="s">
        <v>166</v>
      </c>
      <c r="D98" s="75">
        <v>2021</v>
      </c>
      <c r="E98" s="75">
        <f>+D98+1</f>
        <v>2022</v>
      </c>
      <c r="F98" s="75">
        <f t="shared" si="10"/>
        <v>2023</v>
      </c>
      <c r="G98" s="75">
        <f t="shared" si="10"/>
        <v>2024</v>
      </c>
      <c r="H98" s="75">
        <f t="shared" si="10"/>
        <v>2025</v>
      </c>
      <c r="I98" s="75">
        <f t="shared" si="10"/>
        <v>2026</v>
      </c>
      <c r="J98" s="75">
        <f t="shared" si="10"/>
        <v>2027</v>
      </c>
      <c r="K98" s="75">
        <f t="shared" si="10"/>
        <v>2028</v>
      </c>
      <c r="L98" s="75">
        <f t="shared" si="10"/>
        <v>2029</v>
      </c>
      <c r="M98" s="75">
        <f t="shared" si="10"/>
        <v>2030</v>
      </c>
      <c r="N98" s="75">
        <f t="shared" si="10"/>
        <v>2031</v>
      </c>
      <c r="O98" s="75">
        <f t="shared" si="10"/>
        <v>2032</v>
      </c>
      <c r="P98" s="75">
        <f t="shared" si="10"/>
        <v>2033</v>
      </c>
      <c r="Q98" s="75">
        <f t="shared" si="10"/>
        <v>2034</v>
      </c>
      <c r="R98" s="75">
        <f t="shared" si="10"/>
        <v>2035</v>
      </c>
      <c r="S98" s="75">
        <f t="shared" si="10"/>
        <v>2036</v>
      </c>
      <c r="V98" s="85"/>
    </row>
    <row r="99" spans="1:22" s="86" customFormat="1" ht="13.8" customHeight="1" x14ac:dyDescent="0.3">
      <c r="B99" s="137" t="s">
        <v>167</v>
      </c>
      <c r="C99" s="87" t="s">
        <v>168</v>
      </c>
      <c r="D99" s="88" t="e">
        <f>SUMIF(#REF!,"&gt;"&amp;0,#REF!)</f>
        <v>#REF!</v>
      </c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</row>
    <row r="100" spans="1:22" s="86" customFormat="1" ht="13.8" x14ac:dyDescent="0.3">
      <c r="B100" s="138"/>
      <c r="C100" s="89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</row>
    <row r="101" spans="1:22" s="86" customFormat="1" ht="13.8" x14ac:dyDescent="0.3">
      <c r="B101" s="138"/>
      <c r="C101" s="86" t="s">
        <v>169</v>
      </c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 t="e">
        <f>D99</f>
        <v>#REF!</v>
      </c>
      <c r="S101" s="90"/>
    </row>
    <row r="102" spans="1:22" s="86" customFormat="1" ht="13.8" x14ac:dyDescent="0.3">
      <c r="B102" s="138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</row>
    <row r="103" spans="1:22" s="86" customFormat="1" ht="13.8" x14ac:dyDescent="0.3">
      <c r="B103" s="138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</row>
    <row r="104" spans="1:22" s="86" customFormat="1" ht="13.8" x14ac:dyDescent="0.3">
      <c r="B104" s="138"/>
      <c r="C104" s="89" t="s">
        <v>170</v>
      </c>
      <c r="D104" s="91"/>
      <c r="E104" s="91" t="e">
        <f>#REF!</f>
        <v>#REF!</v>
      </c>
      <c r="F104" s="91" t="e">
        <f>#REF!</f>
        <v>#REF!</v>
      </c>
      <c r="G104" s="91" t="e">
        <f>#REF!</f>
        <v>#REF!</v>
      </c>
      <c r="H104" s="91" t="e">
        <f>#REF!</f>
        <v>#REF!</v>
      </c>
      <c r="I104" s="91" t="e">
        <f>#REF!</f>
        <v>#REF!</v>
      </c>
      <c r="J104" s="91" t="e">
        <f>#REF!</f>
        <v>#REF!</v>
      </c>
      <c r="K104" s="91" t="e">
        <f>#REF!</f>
        <v>#REF!</v>
      </c>
      <c r="L104" s="91" t="e">
        <f>#REF!</f>
        <v>#REF!</v>
      </c>
      <c r="M104" s="91" t="e">
        <f>#REF!</f>
        <v>#REF!</v>
      </c>
      <c r="N104" s="91" t="e">
        <f>#REF!</f>
        <v>#REF!</v>
      </c>
      <c r="O104" s="91" t="e">
        <f>#REF!</f>
        <v>#REF!</v>
      </c>
      <c r="P104" s="91" t="e">
        <f>#REF!</f>
        <v>#REF!</v>
      </c>
      <c r="Q104" s="91" t="e">
        <f>#REF!</f>
        <v>#REF!</v>
      </c>
      <c r="R104" s="91" t="e">
        <f>#REF!</f>
        <v>#REF!</v>
      </c>
      <c r="S104" s="91" t="e">
        <f>#REF!</f>
        <v>#REF!</v>
      </c>
      <c r="U104" s="92"/>
    </row>
    <row r="105" spans="1:22" s="86" customFormat="1" ht="13.8" x14ac:dyDescent="0.3">
      <c r="A105" s="86">
        <v>1</v>
      </c>
      <c r="B105" s="138"/>
      <c r="C105" s="86" t="s">
        <v>171</v>
      </c>
      <c r="D105" s="91"/>
      <c r="E105" s="91" t="e">
        <f>E104*$D$88</f>
        <v>#REF!</v>
      </c>
      <c r="F105" s="91" t="e">
        <f t="shared" ref="F105:S105" si="11">F104*$D$88</f>
        <v>#REF!</v>
      </c>
      <c r="G105" s="91" t="e">
        <f t="shared" si="11"/>
        <v>#REF!</v>
      </c>
      <c r="H105" s="91" t="e">
        <f t="shared" si="11"/>
        <v>#REF!</v>
      </c>
      <c r="I105" s="91" t="e">
        <f t="shared" si="11"/>
        <v>#REF!</v>
      </c>
      <c r="J105" s="91" t="e">
        <f t="shared" si="11"/>
        <v>#REF!</v>
      </c>
      <c r="K105" s="91" t="e">
        <f t="shared" si="11"/>
        <v>#REF!</v>
      </c>
      <c r="L105" s="91" t="e">
        <f t="shared" si="11"/>
        <v>#REF!</v>
      </c>
      <c r="M105" s="91" t="e">
        <f t="shared" si="11"/>
        <v>#REF!</v>
      </c>
      <c r="N105" s="91" t="e">
        <f t="shared" si="11"/>
        <v>#REF!</v>
      </c>
      <c r="O105" s="91" t="e">
        <f t="shared" si="11"/>
        <v>#REF!</v>
      </c>
      <c r="P105" s="91" t="e">
        <f t="shared" si="11"/>
        <v>#REF!</v>
      </c>
      <c r="Q105" s="91" t="e">
        <f t="shared" si="11"/>
        <v>#REF!</v>
      </c>
      <c r="R105" s="91" t="e">
        <f t="shared" si="11"/>
        <v>#REF!</v>
      </c>
      <c r="S105" s="91" t="e">
        <f t="shared" si="11"/>
        <v>#REF!</v>
      </c>
      <c r="U105" s="92"/>
    </row>
    <row r="106" spans="1:22" s="86" customFormat="1" ht="13.8" x14ac:dyDescent="0.3">
      <c r="B106" s="138"/>
      <c r="C106" s="93"/>
      <c r="D106" s="94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</row>
    <row r="107" spans="1:22" s="86" customFormat="1" ht="13.8" x14ac:dyDescent="0.3">
      <c r="B107" s="138"/>
      <c r="C107" s="86" t="s">
        <v>172</v>
      </c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</row>
    <row r="108" spans="1:22" s="86" customFormat="1" ht="13.8" x14ac:dyDescent="0.3">
      <c r="B108" s="138"/>
      <c r="C108" s="96" t="s">
        <v>173</v>
      </c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 t="e">
        <f>-SUM(D99:S101)+SUM(E109:S109)</f>
        <v>#REF!</v>
      </c>
      <c r="T108" s="97"/>
    </row>
    <row r="109" spans="1:22" s="86" customFormat="1" ht="13.8" x14ac:dyDescent="0.3">
      <c r="B109" s="138"/>
      <c r="C109" s="96" t="s">
        <v>174</v>
      </c>
      <c r="D109" s="91"/>
      <c r="E109" s="91" t="e">
        <f>D99/D92</f>
        <v>#REF!</v>
      </c>
      <c r="F109" s="91" t="e">
        <f>IF(F97&lt;=$D$90,IF(-SUM($E109:E109)&lt;-$D$99,$D$99/$D$92,0),$D$99/10)</f>
        <v>#REF!</v>
      </c>
      <c r="G109" s="91" t="e">
        <f>IF(G97&lt;=$D$90,IF(-SUM($E109:F109)&lt;-$D$99,$D$99/$D$92,0),$D$99/10)</f>
        <v>#REF!</v>
      </c>
      <c r="H109" s="91" t="e">
        <f>IF(H97&lt;=$D$90,IF(-SUM($E109:G109)&lt;-$D$99,$D$99/$D$92,0),$D$99/10)</f>
        <v>#REF!</v>
      </c>
      <c r="I109" s="91" t="e">
        <f>IF(I97&lt;=$D$90,IF(-SUM($E109:H109)&lt;-$D$99,$D$99/$D$92,0),$D$99/10)</f>
        <v>#REF!</v>
      </c>
      <c r="J109" s="91" t="e">
        <f>IF(J97&lt;=$D$90,IF(-SUM($E109:I109)&lt;-$D$99,$D$99/$D$92,0),$D$99/10)</f>
        <v>#REF!</v>
      </c>
      <c r="K109" s="91" t="e">
        <f>IF(K97&lt;=$D$90,IF(-SUM($E109:J109)&lt;-$D$99,$D$99/$D$92,0),$D$99/10)</f>
        <v>#REF!</v>
      </c>
      <c r="L109" s="91" t="e">
        <f>IF(L97&lt;=$D$90,IF(-SUM($E109:K109)&lt;-$D$99,$D$99/$D$92,0),$D$99/10)</f>
        <v>#REF!</v>
      </c>
      <c r="M109" s="91" t="e">
        <f>IF(M97&lt;=$D$90,IF(-SUM($E109:L109)&lt;-$D$99,$D$99/$D$92,0),$D$99/10)</f>
        <v>#REF!</v>
      </c>
      <c r="N109" s="91" t="e">
        <f>IF(N97&lt;=$D$90,IF(-SUM($E109:M109)&lt;-$D$99,$D$99/$D$92,0),$D$99/10)</f>
        <v>#REF!</v>
      </c>
      <c r="O109" s="91" t="e">
        <f>IF(O97&lt;=$D$90,IF(-SUM($E109:N109)&lt;-$D$99,$D$99/$D$92,0),$D$99/10)</f>
        <v>#REF!</v>
      </c>
      <c r="P109" s="91" t="e">
        <f>IF(P97&lt;=$D$90,IF(-SUM($E109:O109)&lt;-$D$99,$D$99/$D$92,0),$D$99/10)</f>
        <v>#REF!</v>
      </c>
      <c r="Q109" s="91" t="e">
        <f>IF(Q97&lt;=$D$90,IF(-SUM($E109:P109)&lt;-$D$99,$D$99/$D$92,0),$D$99/10)</f>
        <v>#REF!</v>
      </c>
      <c r="R109" s="91" t="e">
        <f>IF(R97&lt;=$D$90,IF(-SUM($E109:Q109)&lt;-$D$99,$D$99/$D$92,0),$D$99/10)</f>
        <v>#REF!</v>
      </c>
      <c r="S109" s="91" t="e">
        <f>IF(S97&lt;=$D$90,IF(-SUM($E109:R109)&lt;-$D$99,$D$99/$D$92,0),$D$99/10)</f>
        <v>#REF!</v>
      </c>
      <c r="T109" s="97"/>
    </row>
    <row r="110" spans="1:22" s="86" customFormat="1" ht="13.8" x14ac:dyDescent="0.3">
      <c r="A110" s="86">
        <v>10</v>
      </c>
      <c r="B110" s="138"/>
      <c r="C110" s="96" t="s">
        <v>175</v>
      </c>
      <c r="D110" s="91"/>
      <c r="E110" s="91" t="e">
        <f>+$D$99/(3.33333333333333)</f>
        <v>#REF!</v>
      </c>
      <c r="F110" s="91" t="e">
        <f>+$D$99/(3.33333333333333)+F130</f>
        <v>#REF!</v>
      </c>
      <c r="G110" s="91" t="e">
        <f>+$D$99/(3.33333333333333)+G130</f>
        <v>#REF!</v>
      </c>
      <c r="H110" s="91" t="e">
        <f>+D99-SUM(E110:G110)+H130</f>
        <v>#REF!</v>
      </c>
      <c r="I110" s="91">
        <f t="shared" ref="I110:R110" si="12">+I130</f>
        <v>0</v>
      </c>
      <c r="J110" s="91">
        <f t="shared" si="12"/>
        <v>0</v>
      </c>
      <c r="K110" s="91">
        <f t="shared" si="12"/>
        <v>0</v>
      </c>
      <c r="L110" s="91">
        <f t="shared" si="12"/>
        <v>0</v>
      </c>
      <c r="M110" s="91">
        <f t="shared" si="12"/>
        <v>0</v>
      </c>
      <c r="N110" s="91">
        <f t="shared" si="12"/>
        <v>0</v>
      </c>
      <c r="O110" s="91">
        <f t="shared" si="12"/>
        <v>0</v>
      </c>
      <c r="P110" s="91">
        <f t="shared" si="12"/>
        <v>0</v>
      </c>
      <c r="Q110" s="91">
        <f t="shared" si="12"/>
        <v>0</v>
      </c>
      <c r="R110" s="91">
        <f t="shared" si="12"/>
        <v>0</v>
      </c>
      <c r="S110" s="91" t="e">
        <f>E110</f>
        <v>#REF!</v>
      </c>
    </row>
    <row r="111" spans="1:22" s="86" customFormat="1" ht="13.8" x14ac:dyDescent="0.3">
      <c r="A111" s="98">
        <v>0.27</v>
      </c>
      <c r="B111" s="139"/>
      <c r="C111" s="99" t="s">
        <v>176</v>
      </c>
      <c r="D111" s="94"/>
      <c r="E111" s="94" t="e">
        <f>+IF(E113&lt;0,0,-E113*$A111)</f>
        <v>#REF!</v>
      </c>
      <c r="F111" s="94" t="e">
        <f t="shared" ref="F111:S111" si="13">+IF(F113&lt;0,0,-F113*$A111)</f>
        <v>#REF!</v>
      </c>
      <c r="G111" s="94" t="e">
        <f t="shared" si="13"/>
        <v>#REF!</v>
      </c>
      <c r="H111" s="94" t="e">
        <f t="shared" si="13"/>
        <v>#REF!</v>
      </c>
      <c r="I111" s="94" t="e">
        <f t="shared" si="13"/>
        <v>#REF!</v>
      </c>
      <c r="J111" s="94" t="e">
        <f t="shared" si="13"/>
        <v>#REF!</v>
      </c>
      <c r="K111" s="94" t="e">
        <f t="shared" si="13"/>
        <v>#REF!</v>
      </c>
      <c r="L111" s="94" t="e">
        <f t="shared" si="13"/>
        <v>#REF!</v>
      </c>
      <c r="M111" s="94" t="e">
        <f t="shared" si="13"/>
        <v>#REF!</v>
      </c>
      <c r="N111" s="94" t="e">
        <f t="shared" si="13"/>
        <v>#REF!</v>
      </c>
      <c r="O111" s="94" t="e">
        <f t="shared" si="13"/>
        <v>#REF!</v>
      </c>
      <c r="P111" s="94" t="e">
        <f t="shared" si="13"/>
        <v>#REF!</v>
      </c>
      <c r="Q111" s="94" t="e">
        <f t="shared" si="13"/>
        <v>#REF!</v>
      </c>
      <c r="R111" s="94" t="e">
        <f t="shared" si="13"/>
        <v>#REF!</v>
      </c>
      <c r="S111" s="94" t="e">
        <f t="shared" si="13"/>
        <v>#REF!</v>
      </c>
    </row>
    <row r="112" spans="1:22" s="100" customFormat="1" ht="12" outlineLevel="1" x14ac:dyDescent="0.25">
      <c r="C112" s="101" t="s">
        <v>177</v>
      </c>
      <c r="D112" s="102"/>
      <c r="E112" s="102" t="e">
        <f>SUM(E102:E110)-E109</f>
        <v>#REF!</v>
      </c>
      <c r="F112" s="102" t="e">
        <f t="shared" ref="F112:S112" si="14">SUM(F102:F110)-F109</f>
        <v>#REF!</v>
      </c>
      <c r="G112" s="102" t="e">
        <f t="shared" si="14"/>
        <v>#REF!</v>
      </c>
      <c r="H112" s="102" t="e">
        <f t="shared" si="14"/>
        <v>#REF!</v>
      </c>
      <c r="I112" s="102" t="e">
        <f t="shared" si="14"/>
        <v>#REF!</v>
      </c>
      <c r="J112" s="102" t="e">
        <f t="shared" si="14"/>
        <v>#REF!</v>
      </c>
      <c r="K112" s="102" t="e">
        <f t="shared" si="14"/>
        <v>#REF!</v>
      </c>
      <c r="L112" s="102" t="e">
        <f t="shared" si="14"/>
        <v>#REF!</v>
      </c>
      <c r="M112" s="102" t="e">
        <f t="shared" si="14"/>
        <v>#REF!</v>
      </c>
      <c r="N112" s="102" t="e">
        <f t="shared" si="14"/>
        <v>#REF!</v>
      </c>
      <c r="O112" s="102" t="e">
        <f t="shared" si="14"/>
        <v>#REF!</v>
      </c>
      <c r="P112" s="102" t="e">
        <f t="shared" si="14"/>
        <v>#REF!</v>
      </c>
      <c r="Q112" s="102" t="e">
        <f t="shared" si="14"/>
        <v>#REF!</v>
      </c>
      <c r="R112" s="102" t="e">
        <f t="shared" si="14"/>
        <v>#REF!</v>
      </c>
      <c r="S112" s="102" t="e">
        <f t="shared" si="14"/>
        <v>#REF!</v>
      </c>
      <c r="V112" s="102"/>
    </row>
    <row r="113" spans="3:22" s="100" customFormat="1" ht="12" customHeight="1" outlineLevel="1" x14ac:dyDescent="0.25">
      <c r="C113" s="103"/>
      <c r="D113" s="102"/>
      <c r="E113" s="102" t="e">
        <f>E112</f>
        <v>#REF!</v>
      </c>
      <c r="F113" s="102" t="e">
        <f>IF(E113&lt;0,F112+E113,F112)</f>
        <v>#REF!</v>
      </c>
      <c r="G113" s="102" t="e">
        <f t="shared" ref="G113:S113" si="15">IF(F113&lt;0,G112+F113,G112)</f>
        <v>#REF!</v>
      </c>
      <c r="H113" s="102" t="e">
        <f t="shared" si="15"/>
        <v>#REF!</v>
      </c>
      <c r="I113" s="102" t="e">
        <f t="shared" si="15"/>
        <v>#REF!</v>
      </c>
      <c r="J113" s="102" t="e">
        <f t="shared" si="15"/>
        <v>#REF!</v>
      </c>
      <c r="K113" s="102" t="e">
        <f t="shared" si="15"/>
        <v>#REF!</v>
      </c>
      <c r="L113" s="102" t="e">
        <f t="shared" si="15"/>
        <v>#REF!</v>
      </c>
      <c r="M113" s="102" t="e">
        <f t="shared" si="15"/>
        <v>#REF!</v>
      </c>
      <c r="N113" s="102" t="e">
        <f t="shared" si="15"/>
        <v>#REF!</v>
      </c>
      <c r="O113" s="102" t="e">
        <f t="shared" si="15"/>
        <v>#REF!</v>
      </c>
      <c r="P113" s="102" t="e">
        <f t="shared" si="15"/>
        <v>#REF!</v>
      </c>
      <c r="Q113" s="102" t="e">
        <f t="shared" si="15"/>
        <v>#REF!</v>
      </c>
      <c r="R113" s="102" t="e">
        <f t="shared" si="15"/>
        <v>#REF!</v>
      </c>
      <c r="S113" s="102" t="e">
        <f t="shared" si="15"/>
        <v>#REF!</v>
      </c>
      <c r="V113" s="104"/>
    </row>
    <row r="114" spans="3:22" s="100" customFormat="1" ht="12" x14ac:dyDescent="0.25"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</row>
    <row r="115" spans="3:22" s="108" customFormat="1" ht="13.8" x14ac:dyDescent="0.3">
      <c r="C115" s="106" t="s">
        <v>178</v>
      </c>
      <c r="D115" s="107" t="e">
        <f>SUM(D99:D111)-D110</f>
        <v>#REF!</v>
      </c>
      <c r="E115" s="107" t="e">
        <f>SUM(E99:E111)-E110-E109</f>
        <v>#REF!</v>
      </c>
      <c r="F115" s="107" t="e">
        <f t="shared" ref="F115:S115" si="16">SUM(F99:F111)-F110-F109</f>
        <v>#REF!</v>
      </c>
      <c r="G115" s="107" t="e">
        <f t="shared" si="16"/>
        <v>#REF!</v>
      </c>
      <c r="H115" s="107" t="e">
        <f t="shared" si="16"/>
        <v>#REF!</v>
      </c>
      <c r="I115" s="107" t="e">
        <f t="shared" si="16"/>
        <v>#REF!</v>
      </c>
      <c r="J115" s="107" t="e">
        <f t="shared" si="16"/>
        <v>#REF!</v>
      </c>
      <c r="K115" s="107" t="e">
        <f t="shared" si="16"/>
        <v>#REF!</v>
      </c>
      <c r="L115" s="107" t="e">
        <f t="shared" si="16"/>
        <v>#REF!</v>
      </c>
      <c r="M115" s="107" t="e">
        <f t="shared" si="16"/>
        <v>#REF!</v>
      </c>
      <c r="N115" s="107" t="e">
        <f t="shared" si="16"/>
        <v>#REF!</v>
      </c>
      <c r="O115" s="107" t="e">
        <f t="shared" si="16"/>
        <v>#REF!</v>
      </c>
      <c r="P115" s="107" t="e">
        <f t="shared" si="16"/>
        <v>#REF!</v>
      </c>
      <c r="Q115" s="107" t="e">
        <f t="shared" si="16"/>
        <v>#REF!</v>
      </c>
      <c r="R115" s="107" t="e">
        <f t="shared" si="16"/>
        <v>#REF!</v>
      </c>
      <c r="S115" s="107" t="e">
        <f t="shared" si="16"/>
        <v>#REF!</v>
      </c>
    </row>
    <row r="116" spans="3:22" s="86" customFormat="1" ht="13.8" x14ac:dyDescent="0.3">
      <c r="C116" s="89"/>
      <c r="D116" s="109" t="e">
        <f>+D115</f>
        <v>#REF!</v>
      </c>
      <c r="E116" s="109" t="e">
        <f>+D116+E115</f>
        <v>#REF!</v>
      </c>
      <c r="F116" s="109" t="e">
        <f t="shared" ref="F116:S116" si="17">+E116+F115</f>
        <v>#REF!</v>
      </c>
      <c r="G116" s="109" t="e">
        <f t="shared" si="17"/>
        <v>#REF!</v>
      </c>
      <c r="H116" s="109" t="e">
        <f t="shared" si="17"/>
        <v>#REF!</v>
      </c>
      <c r="I116" s="109" t="e">
        <f t="shared" si="17"/>
        <v>#REF!</v>
      </c>
      <c r="J116" s="109" t="e">
        <f t="shared" si="17"/>
        <v>#REF!</v>
      </c>
      <c r="K116" s="109" t="e">
        <f t="shared" si="17"/>
        <v>#REF!</v>
      </c>
      <c r="L116" s="109" t="e">
        <f t="shared" si="17"/>
        <v>#REF!</v>
      </c>
      <c r="M116" s="109" t="e">
        <f t="shared" si="17"/>
        <v>#REF!</v>
      </c>
      <c r="N116" s="109" t="e">
        <f t="shared" si="17"/>
        <v>#REF!</v>
      </c>
      <c r="O116" s="109" t="e">
        <f t="shared" si="17"/>
        <v>#REF!</v>
      </c>
      <c r="P116" s="109" t="e">
        <f t="shared" si="17"/>
        <v>#REF!</v>
      </c>
      <c r="Q116" s="109" t="e">
        <f t="shared" si="17"/>
        <v>#REF!</v>
      </c>
      <c r="R116" s="109" t="e">
        <f t="shared" si="17"/>
        <v>#REF!</v>
      </c>
      <c r="S116" s="109" t="e">
        <f t="shared" si="17"/>
        <v>#REF!</v>
      </c>
    </row>
    <row r="117" spans="3:22" s="86" customFormat="1" ht="13.8" x14ac:dyDescent="0.3">
      <c r="C117" s="110" t="s">
        <v>179</v>
      </c>
      <c r="D117" s="111">
        <v>7.0000000000000007E-2</v>
      </c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3" t="s">
        <v>180</v>
      </c>
      <c r="Q117" s="114"/>
      <c r="R117" s="115" t="e">
        <f>IF(COUNTIF(E116:S116,"&lt;0")&lt;14,IF(R116&lt;0,1,0),0)</f>
        <v>#REF!</v>
      </c>
      <c r="S117" s="112"/>
      <c r="T117" s="97"/>
    </row>
    <row r="118" spans="3:22" s="86" customFormat="1" ht="13.8" x14ac:dyDescent="0.3">
      <c r="C118" s="110" t="s">
        <v>181</v>
      </c>
      <c r="D118" s="116" t="e">
        <f>+NPV(D117,E115:S115)+D115</f>
        <v>#REF!</v>
      </c>
      <c r="E118" s="117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</row>
    <row r="119" spans="3:22" s="86" customFormat="1" ht="13.8" x14ac:dyDescent="0.3">
      <c r="C119" s="110" t="s">
        <v>182</v>
      </c>
      <c r="D119" s="118" t="e">
        <f>+IRR(D115:S115)</f>
        <v>#VALUE!</v>
      </c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20"/>
    </row>
    <row r="120" spans="3:22" s="86" customFormat="1" ht="13.8" x14ac:dyDescent="0.3">
      <c r="C120" s="110" t="s">
        <v>183</v>
      </c>
      <c r="D120" s="121" t="e">
        <f>+D99*-1</f>
        <v>#REF!</v>
      </c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</row>
    <row r="121" spans="3:22" x14ac:dyDescent="0.3">
      <c r="C121" s="110" t="s">
        <v>184</v>
      </c>
      <c r="D121" s="122" t="str">
        <f>+IFERROR(IF(COUNTIF(E116:S116,"&lt;0")=15,"&gt; 15",(COUNTIF(E116:S116,"&lt;0")-$R$117)+ABS(INDEX(E116:S116,1,(COUNTIF(E116:S116,"&lt;0")-$R$117)))/INDEX(E115:S115,1,(COUNTIF(E116:S116,"&lt;0")-$R$117)+1)),"AÑO 0")</f>
        <v>AÑO 0</v>
      </c>
      <c r="E121" s="123"/>
    </row>
    <row r="123" spans="3:22" x14ac:dyDescent="0.3">
      <c r="D123" s="67"/>
      <c r="E123" s="123"/>
    </row>
    <row r="124" spans="3:22" x14ac:dyDescent="0.3">
      <c r="D124" s="70"/>
      <c r="E124" s="70"/>
    </row>
    <row r="125" spans="3:22" ht="34.200000000000003" customHeight="1" x14ac:dyDescent="0.3"/>
    <row r="126" spans="3:22" x14ac:dyDescent="0.3">
      <c r="C126" s="54" t="s">
        <v>185</v>
      </c>
      <c r="F126" s="70">
        <f>+SUM($E$101:E101)/(10/3)</f>
        <v>0</v>
      </c>
      <c r="G126" s="70">
        <f>+SUM($E$101:F101)/(10/3)</f>
        <v>0</v>
      </c>
      <c r="H126" s="70">
        <f>+SUM($E$101:G101)/(10/3)</f>
        <v>0</v>
      </c>
      <c r="I126" s="70">
        <f>+SUM($E$101:H101)/(10/3)</f>
        <v>0</v>
      </c>
      <c r="J126" s="70">
        <f>+SUM($E$101:I101)/(10/3)</f>
        <v>0</v>
      </c>
      <c r="K126" s="70">
        <f>+SUM($E$101:J101)/(10/3)</f>
        <v>0</v>
      </c>
      <c r="L126" s="70">
        <f>+SUM($E$101:K101)/(10/3)</f>
        <v>0</v>
      </c>
      <c r="M126" s="70">
        <f>+SUM($E$101:L101)/(10/3)</f>
        <v>0</v>
      </c>
      <c r="N126" s="70">
        <f>+SUM($E$101:M101)/(10/3)</f>
        <v>0</v>
      </c>
      <c r="O126" s="70">
        <f>+SUM($E$101:N101)/(10/3)</f>
        <v>0</v>
      </c>
      <c r="P126" s="70">
        <f>+SUM($E$101:O101)/(10/3)</f>
        <v>0</v>
      </c>
      <c r="Q126" s="70">
        <f>+SUM($E$101:P101)/(10/3)</f>
        <v>0</v>
      </c>
      <c r="R126" s="70">
        <f>+SUM($E$101:Q101)/(10/3)</f>
        <v>0</v>
      </c>
      <c r="S126" s="70" t="e">
        <f>+SUM($E$101:R101)/(10/3)</f>
        <v>#REF!</v>
      </c>
    </row>
    <row r="127" spans="3:22" x14ac:dyDescent="0.3">
      <c r="C127" s="54" t="s">
        <v>186</v>
      </c>
      <c r="F127" s="70">
        <f>+SUM($E$101:E101)/10</f>
        <v>0</v>
      </c>
      <c r="G127" s="70">
        <f>+SUM($E$101:F101)/10</f>
        <v>0</v>
      </c>
      <c r="H127" s="70">
        <f>+SUM($E$101:G101)/10</f>
        <v>0</v>
      </c>
      <c r="I127" s="70">
        <f>+SUM($E$101:H101)/10</f>
        <v>0</v>
      </c>
      <c r="J127" s="70">
        <f>+SUM($E$101:I101)/10</f>
        <v>0</v>
      </c>
      <c r="K127" s="70">
        <f>+SUM($E$101:J101)/10</f>
        <v>0</v>
      </c>
      <c r="L127" s="70">
        <f>+SUM($E$101:K101)/10</f>
        <v>0</v>
      </c>
      <c r="M127" s="70">
        <f>+SUM($E$101:L101)/10</f>
        <v>0</v>
      </c>
      <c r="N127" s="70">
        <f>+SUM($E$101:M101)/10</f>
        <v>0</v>
      </c>
      <c r="O127" s="70">
        <f>+SUM($E$101:N101)/10</f>
        <v>0</v>
      </c>
      <c r="P127" s="70">
        <f>+SUM($E$101:O101)/10</f>
        <v>0</v>
      </c>
      <c r="Q127" s="70">
        <f>+SUM($E$101:P101)/10</f>
        <v>0</v>
      </c>
      <c r="R127" s="70">
        <f>+SUM($E$101:Q101)/10</f>
        <v>0</v>
      </c>
      <c r="S127" s="70" t="e">
        <f>+SUM($E$101:R101)/10</f>
        <v>#REF!</v>
      </c>
    </row>
    <row r="128" spans="3:22" x14ac:dyDescent="0.3">
      <c r="F128" s="70">
        <f t="shared" ref="F128:S128" si="18">+IF(F126=0,0,1)</f>
        <v>0</v>
      </c>
      <c r="G128" s="70">
        <f t="shared" si="18"/>
        <v>0</v>
      </c>
      <c r="H128" s="70">
        <f t="shared" si="18"/>
        <v>0</v>
      </c>
      <c r="I128" s="70">
        <f t="shared" si="18"/>
        <v>0</v>
      </c>
      <c r="J128" s="70">
        <f t="shared" si="18"/>
        <v>0</v>
      </c>
      <c r="K128" s="70">
        <f t="shared" si="18"/>
        <v>0</v>
      </c>
      <c r="L128" s="70">
        <f t="shared" si="18"/>
        <v>0</v>
      </c>
      <c r="M128" s="70">
        <f t="shared" si="18"/>
        <v>0</v>
      </c>
      <c r="N128" s="70">
        <f t="shared" si="18"/>
        <v>0</v>
      </c>
      <c r="O128" s="70">
        <f t="shared" si="18"/>
        <v>0</v>
      </c>
      <c r="P128" s="70">
        <f t="shared" si="18"/>
        <v>0</v>
      </c>
      <c r="Q128" s="70">
        <f t="shared" si="18"/>
        <v>0</v>
      </c>
      <c r="R128" s="70">
        <f t="shared" si="18"/>
        <v>0</v>
      </c>
      <c r="S128" s="70" t="e">
        <f t="shared" si="18"/>
        <v>#REF!</v>
      </c>
    </row>
    <row r="129" spans="2:20" x14ac:dyDescent="0.3">
      <c r="F129" s="70">
        <f>+COUNTIF($E$128:F128,1)</f>
        <v>0</v>
      </c>
      <c r="G129" s="70">
        <f>+COUNTIF($E$128:G128,1)</f>
        <v>0</v>
      </c>
      <c r="H129" s="70">
        <f>+COUNTIF($E$128:H128,1)</f>
        <v>0</v>
      </c>
      <c r="I129" s="70">
        <f>+COUNTIF($E$128:I128,1)</f>
        <v>0</v>
      </c>
      <c r="J129" s="70">
        <f>+COUNTIF($E$128:J128,1)</f>
        <v>0</v>
      </c>
      <c r="K129" s="70">
        <f>+COUNTIF($E$128:K128,1)</f>
        <v>0</v>
      </c>
      <c r="L129" s="70">
        <f>+COUNTIF($E$128:L128,1)</f>
        <v>0</v>
      </c>
      <c r="M129" s="70">
        <f>+COUNTIF($E$128:M128,1)</f>
        <v>0</v>
      </c>
      <c r="N129" s="70">
        <f>+COUNTIF($E$128:N128,1)</f>
        <v>0</v>
      </c>
      <c r="O129" s="70">
        <f>+COUNTIF($E$128:O128,1)</f>
        <v>0</v>
      </c>
      <c r="P129" s="70">
        <f>+COUNTIF($E$128:P128,1)</f>
        <v>0</v>
      </c>
      <c r="Q129" s="70">
        <f>+COUNTIF($E$128:Q128,1)</f>
        <v>0</v>
      </c>
      <c r="R129" s="70">
        <f>+COUNTIF($E$128:R128,1)</f>
        <v>0</v>
      </c>
      <c r="S129" s="70">
        <f>+COUNTIF($E$128:S128,1)</f>
        <v>0</v>
      </c>
    </row>
    <row r="130" spans="2:20" x14ac:dyDescent="0.3">
      <c r="C130" s="54" t="s">
        <v>187</v>
      </c>
      <c r="F130" s="70">
        <f>+IF(F129=4,$D$99-SUM($E$126:E126),IF(F129&gt;=5,0,F126))</f>
        <v>0</v>
      </c>
      <c r="G130" s="70">
        <f>+IF(G129=4,$D$99-SUM($E$126:F126),IF(G129&gt;=5,0,G126))</f>
        <v>0</v>
      </c>
      <c r="H130" s="70">
        <f>+IF(H129=4,$D$99-SUM($E$126:G126),IF(H129&gt;=5,0,H126))</f>
        <v>0</v>
      </c>
      <c r="I130" s="70">
        <f>+IF(I129=4,$D$99-SUM($E$126:H126),IF(I129&gt;=5,0,I126))</f>
        <v>0</v>
      </c>
      <c r="J130" s="70">
        <f>+IF(J129=4,$D$99-SUM($E$126:I126),IF(J129&gt;=5,0,J126))</f>
        <v>0</v>
      </c>
      <c r="K130" s="70">
        <f>+IF(K129=4,$D$99-SUM($E$126:J126),IF(K129&gt;=5,0,K126))</f>
        <v>0</v>
      </c>
      <c r="L130" s="70">
        <f>+IF(L129=4,$D$99-SUM($E$126:K126),IF(L129&gt;=5,0,L126))</f>
        <v>0</v>
      </c>
      <c r="M130" s="70">
        <f>+IF(M129=4,$D$99-SUM($E$126:L126),IF(M129&gt;=5,0,M126))</f>
        <v>0</v>
      </c>
      <c r="N130" s="70">
        <f>+IF(N129=4,$D$99-SUM($E$126:M126),IF(N129&gt;=5,0,N126))</f>
        <v>0</v>
      </c>
      <c r="O130" s="70">
        <f>+IF(O129=4,$D$99-SUM($E$126:N126),IF(O129&gt;=5,0,O126))</f>
        <v>0</v>
      </c>
      <c r="P130" s="70">
        <f>+IF(P129=4,$D$99-SUM($E$126:O126),IF(P129&gt;=5,0,P126))</f>
        <v>0</v>
      </c>
      <c r="Q130" s="70">
        <f>+IF(Q129=4,$D$99-SUM($E$126:P126),IF(Q129&gt;=5,0,Q126))</f>
        <v>0</v>
      </c>
      <c r="R130" s="70">
        <f>+IF(R129=4,$D$99-SUM($E$126:Q126),IF(R129&gt;=5,0,R126))</f>
        <v>0</v>
      </c>
      <c r="S130" s="70" t="e">
        <f>+IF(S129=4,$D$99-SUM($E$126:R126),IF(S129&gt;=5,0,S126))</f>
        <v>#REF!</v>
      </c>
    </row>
    <row r="131" spans="2:20" x14ac:dyDescent="0.3">
      <c r="C131" s="54" t="s">
        <v>188</v>
      </c>
      <c r="F131" s="70">
        <f>+IF(F127=0,0,$D$99-SUM($F$127:F127))</f>
        <v>0</v>
      </c>
      <c r="G131" s="70">
        <f>+IF(G127=0,0,$D$99-SUM($F$127:G127))</f>
        <v>0</v>
      </c>
      <c r="H131" s="70">
        <f>+IF(H127=0,0,$D$99-SUM($F$127:H127))</f>
        <v>0</v>
      </c>
      <c r="I131" s="70">
        <f>+IF(I127=0,0,$D$99-SUM($F$127:I127))</f>
        <v>0</v>
      </c>
      <c r="J131" s="70">
        <f>+IF(J127=0,0,$D$99-SUM($F$127:J127))</f>
        <v>0</v>
      </c>
      <c r="K131" s="70">
        <f>+IF(K127=0,0,$D$99-SUM($F$127:K127))</f>
        <v>0</v>
      </c>
      <c r="L131" s="70">
        <f>+IF(L127=0,0,$D$99-SUM($F$127:L127))</f>
        <v>0</v>
      </c>
      <c r="M131" s="70">
        <f>+IF(M127=0,0,$D$99-SUM($F$127:M127))</f>
        <v>0</v>
      </c>
      <c r="N131" s="70">
        <f>+IF(N127=0,0,$D$99-SUM($F$127:N127))</f>
        <v>0</v>
      </c>
      <c r="O131" s="70">
        <f>+IF(O127=0,0,$D$99-SUM($F$127:O127))</f>
        <v>0</v>
      </c>
      <c r="P131" s="70">
        <f>+IF(P127=0,0,$D$99-SUM($F$127:P127))</f>
        <v>0</v>
      </c>
      <c r="Q131" s="70">
        <f>+IF(Q127=0,0,$D$99-SUM($F$127:Q127))</f>
        <v>0</v>
      </c>
      <c r="R131" s="70">
        <f>+IF(R127=0,0,$D$99-SUM($F$127:R127))</f>
        <v>0</v>
      </c>
      <c r="S131" s="70" t="e">
        <f>+IF(S127=0,0,$D$99-SUM($F$127:S127))</f>
        <v>#REF!</v>
      </c>
    </row>
    <row r="134" spans="2:20" x14ac:dyDescent="0.3">
      <c r="C134" s="124" t="s">
        <v>189</v>
      </c>
      <c r="D134" s="125">
        <v>1</v>
      </c>
    </row>
    <row r="136" spans="2:20" x14ac:dyDescent="0.3">
      <c r="C136" s="54">
        <v>13</v>
      </c>
      <c r="D136" s="54">
        <v>19</v>
      </c>
      <c r="E136" s="54">
        <v>25</v>
      </c>
    </row>
    <row r="137" spans="2:20" x14ac:dyDescent="0.3">
      <c r="C137" s="126">
        <f>+D20</f>
        <v>1.1337209527441825</v>
      </c>
      <c r="D137" s="126">
        <f>+E20</f>
        <v>1.4806949515009684</v>
      </c>
      <c r="E137" s="126">
        <f>+F20</f>
        <v>4.778985147816412</v>
      </c>
      <c r="F137" s="126"/>
      <c r="G137" s="126"/>
    </row>
    <row r="138" spans="2:20" x14ac:dyDescent="0.3">
      <c r="C138" s="127">
        <f>VLOOKUP(C136,'[1]Clase A'!$B$3:$H411,7,0)</f>
        <v>0.76519457804984692</v>
      </c>
      <c r="D138" s="127">
        <f>VLOOKUP(D136,'[1]Clase A'!$B$3:$H411,7,0)</f>
        <v>0.19575863576738084</v>
      </c>
      <c r="E138" s="127">
        <f>VLOOKUP(E136,'[1]Clase A'!$B$3:$H411,7,0)</f>
        <v>3.9046786182772193E-2</v>
      </c>
      <c r="F138" s="127"/>
      <c r="G138" s="127"/>
      <c r="H138" s="54">
        <f>+SUMPRODUCT(C137:G137,C138:G138)</f>
        <v>1.3439799609922642</v>
      </c>
    </row>
    <row r="139" spans="2:20" x14ac:dyDescent="0.3">
      <c r="G139" s="128"/>
    </row>
    <row r="140" spans="2:20" x14ac:dyDescent="0.3">
      <c r="B140" s="76" t="s">
        <v>190</v>
      </c>
    </row>
    <row r="142" spans="2:20" x14ac:dyDescent="0.3">
      <c r="B142" s="56"/>
      <c r="C142" s="56"/>
      <c r="D142" s="129"/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  <c r="Q142" s="129"/>
      <c r="R142" s="129"/>
      <c r="S142" s="129"/>
    </row>
    <row r="143" spans="2:20" x14ac:dyDescent="0.3">
      <c r="B143" s="56"/>
      <c r="C143" s="56">
        <v>2020</v>
      </c>
      <c r="D143" s="56">
        <v>2021</v>
      </c>
      <c r="E143" s="56">
        <v>2022</v>
      </c>
      <c r="F143" s="56">
        <v>2023</v>
      </c>
      <c r="G143" s="56">
        <v>2024</v>
      </c>
      <c r="H143" s="56">
        <v>2025</v>
      </c>
      <c r="I143" s="56">
        <v>2026</v>
      </c>
      <c r="J143" s="56">
        <v>2027</v>
      </c>
      <c r="K143" s="56">
        <v>2028</v>
      </c>
      <c r="L143" s="56">
        <v>2029</v>
      </c>
      <c r="M143" s="56">
        <v>2030</v>
      </c>
      <c r="N143" s="56">
        <v>2031</v>
      </c>
      <c r="O143" s="56">
        <v>2032</v>
      </c>
      <c r="P143" s="56">
        <v>2033</v>
      </c>
      <c r="Q143" s="56">
        <v>2034</v>
      </c>
      <c r="R143" s="56">
        <v>2035</v>
      </c>
      <c r="S143" s="56">
        <v>2036</v>
      </c>
    </row>
    <row r="144" spans="2:20" x14ac:dyDescent="0.3">
      <c r="B144" s="54" t="s">
        <v>138</v>
      </c>
      <c r="C144" s="130" t="e">
        <f t="shared" ref="C144:S151" si="19">C$152*$T144</f>
        <v>#REF!</v>
      </c>
      <c r="D144" s="130" t="e">
        <f t="shared" si="19"/>
        <v>#REF!</v>
      </c>
      <c r="E144" s="130" t="e">
        <f t="shared" si="19"/>
        <v>#REF!</v>
      </c>
      <c r="F144" s="130" t="e">
        <f t="shared" si="19"/>
        <v>#REF!</v>
      </c>
      <c r="G144" s="130" t="e">
        <f t="shared" si="19"/>
        <v>#REF!</v>
      </c>
      <c r="H144" s="130" t="e">
        <f t="shared" si="19"/>
        <v>#REF!</v>
      </c>
      <c r="I144" s="130" t="e">
        <f t="shared" si="19"/>
        <v>#REF!</v>
      </c>
      <c r="J144" s="130" t="e">
        <f t="shared" si="19"/>
        <v>#REF!</v>
      </c>
      <c r="K144" s="130" t="e">
        <f t="shared" si="19"/>
        <v>#REF!</v>
      </c>
      <c r="L144" s="130" t="e">
        <f t="shared" si="19"/>
        <v>#REF!</v>
      </c>
      <c r="M144" s="130" t="e">
        <f t="shared" si="19"/>
        <v>#REF!</v>
      </c>
      <c r="N144" s="130" t="e">
        <f t="shared" si="19"/>
        <v>#REF!</v>
      </c>
      <c r="O144" s="130" t="e">
        <f t="shared" si="19"/>
        <v>#REF!</v>
      </c>
      <c r="P144" s="130" t="e">
        <f t="shared" si="19"/>
        <v>#REF!</v>
      </c>
      <c r="Q144" s="130" t="e">
        <f t="shared" si="19"/>
        <v>#REF!</v>
      </c>
      <c r="R144" s="130" t="e">
        <f t="shared" si="19"/>
        <v>#REF!</v>
      </c>
      <c r="S144" s="130" t="e">
        <f t="shared" si="19"/>
        <v>#REF!</v>
      </c>
      <c r="T144" s="78" t="e">
        <f>SUMIFS(#REF!,#REF!,'FLUJO E1'!B144)/SUM(#REF!)</f>
        <v>#REF!</v>
      </c>
    </row>
    <row r="145" spans="2:20" x14ac:dyDescent="0.3">
      <c r="B145" s="56" t="e">
        <f>#REF!</f>
        <v>#REF!</v>
      </c>
      <c r="C145" s="130" t="e">
        <f t="shared" si="19"/>
        <v>#REF!</v>
      </c>
      <c r="D145" s="130" t="e">
        <f t="shared" si="19"/>
        <v>#REF!</v>
      </c>
      <c r="E145" s="130" t="e">
        <f t="shared" si="19"/>
        <v>#REF!</v>
      </c>
      <c r="F145" s="130" t="e">
        <f t="shared" si="19"/>
        <v>#REF!</v>
      </c>
      <c r="G145" s="130" t="e">
        <f t="shared" si="19"/>
        <v>#REF!</v>
      </c>
      <c r="H145" s="130" t="e">
        <f t="shared" si="19"/>
        <v>#REF!</v>
      </c>
      <c r="I145" s="130" t="e">
        <f t="shared" si="19"/>
        <v>#REF!</v>
      </c>
      <c r="J145" s="130" t="e">
        <f t="shared" si="19"/>
        <v>#REF!</v>
      </c>
      <c r="K145" s="130" t="e">
        <f t="shared" si="19"/>
        <v>#REF!</v>
      </c>
      <c r="L145" s="130" t="e">
        <f t="shared" si="19"/>
        <v>#REF!</v>
      </c>
      <c r="M145" s="130" t="e">
        <f t="shared" si="19"/>
        <v>#REF!</v>
      </c>
      <c r="N145" s="130" t="e">
        <f t="shared" si="19"/>
        <v>#REF!</v>
      </c>
      <c r="O145" s="130" t="e">
        <f t="shared" si="19"/>
        <v>#REF!</v>
      </c>
      <c r="P145" s="130" t="e">
        <f t="shared" si="19"/>
        <v>#REF!</v>
      </c>
      <c r="Q145" s="130" t="e">
        <f t="shared" si="19"/>
        <v>#REF!</v>
      </c>
      <c r="R145" s="130" t="e">
        <f t="shared" si="19"/>
        <v>#REF!</v>
      </c>
      <c r="S145" s="130" t="e">
        <f t="shared" si="19"/>
        <v>#REF!</v>
      </c>
      <c r="T145" s="78" t="e">
        <f>SUMIFS(#REF!,#REF!,'FLUJO E1'!B145)/SUM(#REF!)</f>
        <v>#REF!</v>
      </c>
    </row>
    <row r="146" spans="2:20" x14ac:dyDescent="0.3">
      <c r="B146" s="56" t="e">
        <f>#REF!</f>
        <v>#REF!</v>
      </c>
      <c r="C146" s="130" t="e">
        <f t="shared" si="19"/>
        <v>#REF!</v>
      </c>
      <c r="D146" s="130" t="e">
        <f t="shared" si="19"/>
        <v>#REF!</v>
      </c>
      <c r="E146" s="130" t="e">
        <f t="shared" si="19"/>
        <v>#REF!</v>
      </c>
      <c r="F146" s="130" t="e">
        <f t="shared" si="19"/>
        <v>#REF!</v>
      </c>
      <c r="G146" s="130" t="e">
        <f t="shared" si="19"/>
        <v>#REF!</v>
      </c>
      <c r="H146" s="130" t="e">
        <f t="shared" si="19"/>
        <v>#REF!</v>
      </c>
      <c r="I146" s="130" t="e">
        <f t="shared" si="19"/>
        <v>#REF!</v>
      </c>
      <c r="J146" s="130" t="e">
        <f t="shared" si="19"/>
        <v>#REF!</v>
      </c>
      <c r="K146" s="130" t="e">
        <f t="shared" si="19"/>
        <v>#REF!</v>
      </c>
      <c r="L146" s="130" t="e">
        <f t="shared" si="19"/>
        <v>#REF!</v>
      </c>
      <c r="M146" s="130" t="e">
        <f t="shared" si="19"/>
        <v>#REF!</v>
      </c>
      <c r="N146" s="130" t="e">
        <f t="shared" si="19"/>
        <v>#REF!</v>
      </c>
      <c r="O146" s="130" t="e">
        <f t="shared" si="19"/>
        <v>#REF!</v>
      </c>
      <c r="P146" s="130" t="e">
        <f t="shared" si="19"/>
        <v>#REF!</v>
      </c>
      <c r="Q146" s="130" t="e">
        <f t="shared" si="19"/>
        <v>#REF!</v>
      </c>
      <c r="R146" s="130" t="e">
        <f t="shared" si="19"/>
        <v>#REF!</v>
      </c>
      <c r="S146" s="130" t="e">
        <f t="shared" si="19"/>
        <v>#REF!</v>
      </c>
      <c r="T146" s="78" t="e">
        <f>SUMIFS(#REF!,#REF!,'FLUJO E1'!B146)/SUM(#REF!)</f>
        <v>#REF!</v>
      </c>
    </row>
    <row r="147" spans="2:20" x14ac:dyDescent="0.3">
      <c r="B147" s="56" t="e">
        <f>#REF!</f>
        <v>#REF!</v>
      </c>
      <c r="C147" s="130" t="e">
        <f t="shared" si="19"/>
        <v>#REF!</v>
      </c>
      <c r="D147" s="130" t="e">
        <f t="shared" si="19"/>
        <v>#REF!</v>
      </c>
      <c r="E147" s="130" t="e">
        <f t="shared" si="19"/>
        <v>#REF!</v>
      </c>
      <c r="F147" s="130" t="e">
        <f t="shared" si="19"/>
        <v>#REF!</v>
      </c>
      <c r="G147" s="130" t="e">
        <f t="shared" si="19"/>
        <v>#REF!</v>
      </c>
      <c r="H147" s="130" t="e">
        <f t="shared" si="19"/>
        <v>#REF!</v>
      </c>
      <c r="I147" s="130" t="e">
        <f t="shared" si="19"/>
        <v>#REF!</v>
      </c>
      <c r="J147" s="130" t="e">
        <f t="shared" si="19"/>
        <v>#REF!</v>
      </c>
      <c r="K147" s="130" t="e">
        <f t="shared" si="19"/>
        <v>#REF!</v>
      </c>
      <c r="L147" s="130" t="e">
        <f t="shared" si="19"/>
        <v>#REF!</v>
      </c>
      <c r="M147" s="130" t="e">
        <f t="shared" si="19"/>
        <v>#REF!</v>
      </c>
      <c r="N147" s="130" t="e">
        <f t="shared" si="19"/>
        <v>#REF!</v>
      </c>
      <c r="O147" s="130" t="e">
        <f t="shared" si="19"/>
        <v>#REF!</v>
      </c>
      <c r="P147" s="130" t="e">
        <f t="shared" si="19"/>
        <v>#REF!</v>
      </c>
      <c r="Q147" s="130" t="e">
        <f t="shared" si="19"/>
        <v>#REF!</v>
      </c>
      <c r="R147" s="130" t="e">
        <f t="shared" si="19"/>
        <v>#REF!</v>
      </c>
      <c r="S147" s="130" t="e">
        <f t="shared" si="19"/>
        <v>#REF!</v>
      </c>
      <c r="T147" s="78" t="e">
        <f>SUMIFS(#REF!,#REF!,'FLUJO E1'!B147)/SUM(#REF!)</f>
        <v>#REF!</v>
      </c>
    </row>
    <row r="148" spans="2:20" x14ac:dyDescent="0.3">
      <c r="B148" s="56" t="e">
        <f>#REF!</f>
        <v>#REF!</v>
      </c>
      <c r="C148" s="130" t="e">
        <f t="shared" si="19"/>
        <v>#REF!</v>
      </c>
      <c r="D148" s="130" t="e">
        <f t="shared" si="19"/>
        <v>#REF!</v>
      </c>
      <c r="E148" s="130" t="e">
        <f t="shared" si="19"/>
        <v>#REF!</v>
      </c>
      <c r="F148" s="130" t="e">
        <f t="shared" si="19"/>
        <v>#REF!</v>
      </c>
      <c r="G148" s="130" t="e">
        <f t="shared" si="19"/>
        <v>#REF!</v>
      </c>
      <c r="H148" s="130" t="e">
        <f t="shared" si="19"/>
        <v>#REF!</v>
      </c>
      <c r="I148" s="130" t="e">
        <f t="shared" si="19"/>
        <v>#REF!</v>
      </c>
      <c r="J148" s="130" t="e">
        <f t="shared" si="19"/>
        <v>#REF!</v>
      </c>
      <c r="K148" s="130" t="e">
        <f t="shared" si="19"/>
        <v>#REF!</v>
      </c>
      <c r="L148" s="130" t="e">
        <f t="shared" si="19"/>
        <v>#REF!</v>
      </c>
      <c r="M148" s="130" t="e">
        <f t="shared" si="19"/>
        <v>#REF!</v>
      </c>
      <c r="N148" s="130" t="e">
        <f t="shared" si="19"/>
        <v>#REF!</v>
      </c>
      <c r="O148" s="130" t="e">
        <f t="shared" si="19"/>
        <v>#REF!</v>
      </c>
      <c r="P148" s="130" t="e">
        <f t="shared" si="19"/>
        <v>#REF!</v>
      </c>
      <c r="Q148" s="130" t="e">
        <f t="shared" si="19"/>
        <v>#REF!</v>
      </c>
      <c r="R148" s="130" t="e">
        <f t="shared" si="19"/>
        <v>#REF!</v>
      </c>
      <c r="S148" s="130" t="e">
        <f t="shared" si="19"/>
        <v>#REF!</v>
      </c>
      <c r="T148" s="78" t="e">
        <f>SUMIFS(#REF!,#REF!,'FLUJO E1'!B148)/SUM(#REF!)</f>
        <v>#REF!</v>
      </c>
    </row>
    <row r="149" spans="2:20" x14ac:dyDescent="0.3">
      <c r="B149" s="56" t="e">
        <f>#REF!</f>
        <v>#REF!</v>
      </c>
      <c r="C149" s="130" t="e">
        <f t="shared" si="19"/>
        <v>#REF!</v>
      </c>
      <c r="D149" s="130" t="e">
        <f t="shared" si="19"/>
        <v>#REF!</v>
      </c>
      <c r="E149" s="130" t="e">
        <f t="shared" si="19"/>
        <v>#REF!</v>
      </c>
      <c r="F149" s="130" t="e">
        <f t="shared" si="19"/>
        <v>#REF!</v>
      </c>
      <c r="G149" s="130" t="e">
        <f t="shared" si="19"/>
        <v>#REF!</v>
      </c>
      <c r="H149" s="130" t="e">
        <f t="shared" si="19"/>
        <v>#REF!</v>
      </c>
      <c r="I149" s="130" t="e">
        <f t="shared" si="19"/>
        <v>#REF!</v>
      </c>
      <c r="J149" s="130" t="e">
        <f t="shared" si="19"/>
        <v>#REF!</v>
      </c>
      <c r="K149" s="130" t="e">
        <f t="shared" si="19"/>
        <v>#REF!</v>
      </c>
      <c r="L149" s="130" t="e">
        <f t="shared" si="19"/>
        <v>#REF!</v>
      </c>
      <c r="M149" s="130" t="e">
        <f t="shared" si="19"/>
        <v>#REF!</v>
      </c>
      <c r="N149" s="130" t="e">
        <f t="shared" si="19"/>
        <v>#REF!</v>
      </c>
      <c r="O149" s="130" t="e">
        <f t="shared" si="19"/>
        <v>#REF!</v>
      </c>
      <c r="P149" s="130" t="e">
        <f t="shared" si="19"/>
        <v>#REF!</v>
      </c>
      <c r="Q149" s="130" t="e">
        <f t="shared" si="19"/>
        <v>#REF!</v>
      </c>
      <c r="R149" s="130" t="e">
        <f t="shared" si="19"/>
        <v>#REF!</v>
      </c>
      <c r="S149" s="130" t="e">
        <f t="shared" si="19"/>
        <v>#REF!</v>
      </c>
      <c r="T149" s="78" t="e">
        <f>SUMIFS(#REF!,#REF!,'FLUJO E1'!B149)/SUM(#REF!)</f>
        <v>#REF!</v>
      </c>
    </row>
    <row r="150" spans="2:20" x14ac:dyDescent="0.3">
      <c r="B150" s="56" t="e">
        <f>#REF!</f>
        <v>#REF!</v>
      </c>
      <c r="C150" s="130" t="e">
        <f t="shared" si="19"/>
        <v>#REF!</v>
      </c>
      <c r="D150" s="130" t="e">
        <f t="shared" si="19"/>
        <v>#REF!</v>
      </c>
      <c r="E150" s="130" t="e">
        <f t="shared" si="19"/>
        <v>#REF!</v>
      </c>
      <c r="F150" s="130" t="e">
        <f t="shared" si="19"/>
        <v>#REF!</v>
      </c>
      <c r="G150" s="130" t="e">
        <f t="shared" si="19"/>
        <v>#REF!</v>
      </c>
      <c r="H150" s="130" t="e">
        <f t="shared" si="19"/>
        <v>#REF!</v>
      </c>
      <c r="I150" s="130" t="e">
        <f t="shared" si="19"/>
        <v>#REF!</v>
      </c>
      <c r="J150" s="130" t="e">
        <f t="shared" si="19"/>
        <v>#REF!</v>
      </c>
      <c r="K150" s="130" t="e">
        <f t="shared" si="19"/>
        <v>#REF!</v>
      </c>
      <c r="L150" s="130" t="e">
        <f t="shared" si="19"/>
        <v>#REF!</v>
      </c>
      <c r="M150" s="130" t="e">
        <f t="shared" si="19"/>
        <v>#REF!</v>
      </c>
      <c r="N150" s="130" t="e">
        <f t="shared" si="19"/>
        <v>#REF!</v>
      </c>
      <c r="O150" s="130" t="e">
        <f t="shared" si="19"/>
        <v>#REF!</v>
      </c>
      <c r="P150" s="130" t="e">
        <f t="shared" si="19"/>
        <v>#REF!</v>
      </c>
      <c r="Q150" s="130" t="e">
        <f t="shared" si="19"/>
        <v>#REF!</v>
      </c>
      <c r="R150" s="130" t="e">
        <f t="shared" si="19"/>
        <v>#REF!</v>
      </c>
      <c r="S150" s="130" t="e">
        <f t="shared" si="19"/>
        <v>#REF!</v>
      </c>
      <c r="T150" s="78" t="e">
        <f>SUMIFS(#REF!,#REF!,'FLUJO E1'!B150)/SUM(#REF!)</f>
        <v>#REF!</v>
      </c>
    </row>
    <row r="151" spans="2:20" x14ac:dyDescent="0.3">
      <c r="B151" s="56" t="e">
        <f>#REF!</f>
        <v>#REF!</v>
      </c>
      <c r="C151" s="130" t="e">
        <f t="shared" si="19"/>
        <v>#REF!</v>
      </c>
      <c r="D151" s="130" t="e">
        <f t="shared" si="19"/>
        <v>#REF!</v>
      </c>
      <c r="E151" s="130" t="e">
        <f t="shared" si="19"/>
        <v>#REF!</v>
      </c>
      <c r="F151" s="130" t="e">
        <f t="shared" si="19"/>
        <v>#REF!</v>
      </c>
      <c r="G151" s="130" t="e">
        <f t="shared" si="19"/>
        <v>#REF!</v>
      </c>
      <c r="H151" s="130" t="e">
        <f t="shared" si="19"/>
        <v>#REF!</v>
      </c>
      <c r="I151" s="130" t="e">
        <f t="shared" si="19"/>
        <v>#REF!</v>
      </c>
      <c r="J151" s="130" t="e">
        <f t="shared" si="19"/>
        <v>#REF!</v>
      </c>
      <c r="K151" s="130" t="e">
        <f t="shared" si="19"/>
        <v>#REF!</v>
      </c>
      <c r="L151" s="130" t="e">
        <f t="shared" si="19"/>
        <v>#REF!</v>
      </c>
      <c r="M151" s="130" t="e">
        <f t="shared" si="19"/>
        <v>#REF!</v>
      </c>
      <c r="N151" s="130" t="e">
        <f t="shared" si="19"/>
        <v>#REF!</v>
      </c>
      <c r="O151" s="130" t="e">
        <f t="shared" si="19"/>
        <v>#REF!</v>
      </c>
      <c r="P151" s="130" t="e">
        <f t="shared" si="19"/>
        <v>#REF!</v>
      </c>
      <c r="Q151" s="130" t="e">
        <f t="shared" si="19"/>
        <v>#REF!</v>
      </c>
      <c r="R151" s="130" t="e">
        <f t="shared" si="19"/>
        <v>#REF!</v>
      </c>
      <c r="S151" s="130" t="e">
        <f t="shared" si="19"/>
        <v>#REF!</v>
      </c>
      <c r="T151" s="78" t="e">
        <f>SUMIFS(#REF!,#REF!,'FLUJO E1'!B151)/SUM(#REF!)</f>
        <v>#REF!</v>
      </c>
    </row>
    <row r="152" spans="2:20" x14ac:dyDescent="0.3">
      <c r="C152" s="74">
        <v>461215.59574351693</v>
      </c>
      <c r="D152" s="74">
        <v>466993.03291566949</v>
      </c>
      <c r="E152" s="74">
        <v>498984.97823854059</v>
      </c>
      <c r="F152" s="74">
        <v>525993.43391907902</v>
      </c>
      <c r="G152" s="74">
        <v>545672.8642284798</v>
      </c>
      <c r="H152" s="74">
        <v>566462.60548088199</v>
      </c>
      <c r="I152" s="74">
        <v>586389.05378498521</v>
      </c>
      <c r="J152" s="74">
        <v>606703.14540000306</v>
      </c>
      <c r="K152" s="74">
        <v>627526.75338115124</v>
      </c>
      <c r="L152" s="74">
        <v>648076.9924326418</v>
      </c>
      <c r="M152" s="74">
        <v>668890.34935409215</v>
      </c>
      <c r="N152" s="74">
        <v>689983.16635361302</v>
      </c>
      <c r="O152" s="74">
        <v>711049.08982799889</v>
      </c>
      <c r="P152" s="74">
        <v>732315.08470575756</v>
      </c>
      <c r="Q152" s="74">
        <v>753774.50121432776</v>
      </c>
      <c r="R152" s="74">
        <v>775309.12770475238</v>
      </c>
      <c r="S152" s="131">
        <f>R152*(1+AVERAGE(N153:R153))</f>
        <v>798544.46176535299</v>
      </c>
    </row>
    <row r="153" spans="2:20" x14ac:dyDescent="0.3">
      <c r="N153" s="132">
        <f t="shared" ref="N153:Q153" si="20">(N152-M152)/M152</f>
        <v>3.1534042941251818E-2</v>
      </c>
      <c r="O153" s="132">
        <f t="shared" si="20"/>
        <v>3.0531068729856062E-2</v>
      </c>
      <c r="P153" s="132">
        <f t="shared" si="20"/>
        <v>2.9907913788206751E-2</v>
      </c>
      <c r="Q153" s="132">
        <f t="shared" si="20"/>
        <v>2.9303529255023525E-2</v>
      </c>
      <c r="R153" s="132">
        <f>(R152-Q152)/Q152</f>
        <v>2.8569056734782647E-2</v>
      </c>
    </row>
    <row r="155" spans="2:20" x14ac:dyDescent="0.3">
      <c r="C155" s="54" t="s">
        <v>138</v>
      </c>
      <c r="D155" s="86" t="str">
        <f>+C155</f>
        <v>ROMERAL</v>
      </c>
      <c r="F155" s="133" t="str">
        <f>B144</f>
        <v>ROMERAL</v>
      </c>
      <c r="G155" s="133" t="e">
        <f>B145</f>
        <v>#REF!</v>
      </c>
      <c r="H155" s="133" t="e">
        <f>B146</f>
        <v>#REF!</v>
      </c>
      <c r="I155" s="133" t="e">
        <f>B147</f>
        <v>#REF!</v>
      </c>
      <c r="J155" s="133" t="e">
        <f>B148</f>
        <v>#REF!</v>
      </c>
      <c r="K155" s="133" t="e">
        <f>B149</f>
        <v>#REF!</v>
      </c>
      <c r="L155" s="133" t="e">
        <f>B150</f>
        <v>#REF!</v>
      </c>
      <c r="M155" s="133" t="e">
        <f>B150</f>
        <v>#REF!</v>
      </c>
    </row>
    <row r="156" spans="2:20" x14ac:dyDescent="0.3">
      <c r="B156" s="86">
        <v>1</v>
      </c>
      <c r="C156" s="86" t="str">
        <f>+B156&amp;$C$155</f>
        <v>1ROMERAL</v>
      </c>
      <c r="D156" s="134" t="e">
        <f>+VLOOKUP(C156,#REF!,2,0)</f>
        <v>#REF!</v>
      </c>
      <c r="F156" s="135" t="e">
        <f>$D156</f>
        <v>#REF!</v>
      </c>
      <c r="G156" s="135" t="e">
        <f t="shared" ref="G156:M170" si="21">$D156</f>
        <v>#REF!</v>
      </c>
      <c r="H156" s="135" t="e">
        <f t="shared" si="21"/>
        <v>#REF!</v>
      </c>
      <c r="I156" s="135" t="e">
        <f t="shared" si="21"/>
        <v>#REF!</v>
      </c>
      <c r="J156" s="135" t="e">
        <f t="shared" si="21"/>
        <v>#REF!</v>
      </c>
      <c r="K156" s="135" t="e">
        <f t="shared" si="21"/>
        <v>#REF!</v>
      </c>
      <c r="L156" s="135" t="e">
        <f t="shared" si="21"/>
        <v>#REF!</v>
      </c>
      <c r="M156" s="135" t="e">
        <f t="shared" si="21"/>
        <v>#REF!</v>
      </c>
    </row>
    <row r="157" spans="2:20" x14ac:dyDescent="0.3">
      <c r="B157" s="86">
        <f>+B156+1</f>
        <v>2</v>
      </c>
      <c r="C157" s="86" t="str">
        <f t="shared" ref="C157:C170" si="22">+B157&amp;$C$155</f>
        <v>2ROMERAL</v>
      </c>
      <c r="D157" s="134" t="e">
        <f>+VLOOKUP(C157,#REF!,2,0)</f>
        <v>#REF!</v>
      </c>
      <c r="F157" s="135" t="e">
        <f t="shared" ref="F157:F170" si="23">$D157</f>
        <v>#REF!</v>
      </c>
      <c r="G157" s="135" t="e">
        <f t="shared" si="21"/>
        <v>#REF!</v>
      </c>
      <c r="H157" s="135" t="e">
        <f t="shared" si="21"/>
        <v>#REF!</v>
      </c>
      <c r="I157" s="135" t="e">
        <f t="shared" si="21"/>
        <v>#REF!</v>
      </c>
      <c r="J157" s="135" t="e">
        <f t="shared" si="21"/>
        <v>#REF!</v>
      </c>
      <c r="K157" s="135" t="e">
        <f t="shared" si="21"/>
        <v>#REF!</v>
      </c>
      <c r="L157" s="135" t="e">
        <f t="shared" si="21"/>
        <v>#REF!</v>
      </c>
      <c r="M157" s="135" t="e">
        <f t="shared" si="21"/>
        <v>#REF!</v>
      </c>
    </row>
    <row r="158" spans="2:20" x14ac:dyDescent="0.3">
      <c r="B158" s="86">
        <f t="shared" ref="B158:B170" si="24">+B157+1</f>
        <v>3</v>
      </c>
      <c r="C158" s="86" t="str">
        <f t="shared" si="22"/>
        <v>3ROMERAL</v>
      </c>
      <c r="D158" s="134" t="e">
        <f>+VLOOKUP(C158,#REF!,2,0)</f>
        <v>#REF!</v>
      </c>
      <c r="F158" s="135" t="e">
        <f t="shared" si="23"/>
        <v>#REF!</v>
      </c>
      <c r="G158" s="135" t="e">
        <f t="shared" si="21"/>
        <v>#REF!</v>
      </c>
      <c r="H158" s="135" t="e">
        <f t="shared" si="21"/>
        <v>#REF!</v>
      </c>
      <c r="I158" s="135" t="e">
        <f t="shared" si="21"/>
        <v>#REF!</v>
      </c>
      <c r="J158" s="135" t="e">
        <f t="shared" si="21"/>
        <v>#REF!</v>
      </c>
      <c r="K158" s="135" t="e">
        <f t="shared" si="21"/>
        <v>#REF!</v>
      </c>
      <c r="L158" s="135" t="e">
        <f t="shared" si="21"/>
        <v>#REF!</v>
      </c>
      <c r="M158" s="135" t="e">
        <f t="shared" si="21"/>
        <v>#REF!</v>
      </c>
    </row>
    <row r="159" spans="2:20" x14ac:dyDescent="0.3">
      <c r="B159" s="86">
        <f t="shared" si="24"/>
        <v>4</v>
      </c>
      <c r="C159" s="86" t="str">
        <f t="shared" si="22"/>
        <v>4ROMERAL</v>
      </c>
      <c r="D159" s="134" t="e">
        <f>+VLOOKUP(C159,#REF!,2,0)</f>
        <v>#REF!</v>
      </c>
      <c r="F159" s="135" t="e">
        <f t="shared" si="23"/>
        <v>#REF!</v>
      </c>
      <c r="G159" s="135" t="e">
        <f t="shared" si="21"/>
        <v>#REF!</v>
      </c>
      <c r="H159" s="135" t="e">
        <f t="shared" si="21"/>
        <v>#REF!</v>
      </c>
      <c r="I159" s="135" t="e">
        <f t="shared" si="21"/>
        <v>#REF!</v>
      </c>
      <c r="J159" s="135" t="e">
        <f t="shared" si="21"/>
        <v>#REF!</v>
      </c>
      <c r="K159" s="135" t="e">
        <f t="shared" si="21"/>
        <v>#REF!</v>
      </c>
      <c r="L159" s="135" t="e">
        <f t="shared" si="21"/>
        <v>#REF!</v>
      </c>
      <c r="M159" s="135" t="e">
        <f t="shared" si="21"/>
        <v>#REF!</v>
      </c>
    </row>
    <row r="160" spans="2:20" x14ac:dyDescent="0.3">
      <c r="B160" s="86">
        <f t="shared" si="24"/>
        <v>5</v>
      </c>
      <c r="C160" s="86" t="str">
        <f t="shared" si="22"/>
        <v>5ROMERAL</v>
      </c>
      <c r="D160" s="134" t="e">
        <f>+VLOOKUP(C160,#REF!,2,0)</f>
        <v>#REF!</v>
      </c>
      <c r="F160" s="135" t="e">
        <f t="shared" si="23"/>
        <v>#REF!</v>
      </c>
      <c r="G160" s="135" t="e">
        <f t="shared" si="21"/>
        <v>#REF!</v>
      </c>
      <c r="H160" s="135" t="e">
        <f t="shared" si="21"/>
        <v>#REF!</v>
      </c>
      <c r="I160" s="135" t="e">
        <f t="shared" si="21"/>
        <v>#REF!</v>
      </c>
      <c r="J160" s="135" t="e">
        <f t="shared" si="21"/>
        <v>#REF!</v>
      </c>
      <c r="K160" s="135" t="e">
        <f t="shared" si="21"/>
        <v>#REF!</v>
      </c>
      <c r="L160" s="135" t="e">
        <f t="shared" si="21"/>
        <v>#REF!</v>
      </c>
      <c r="M160" s="135" t="e">
        <f t="shared" si="21"/>
        <v>#REF!</v>
      </c>
    </row>
    <row r="161" spans="2:13" x14ac:dyDescent="0.3">
      <c r="B161" s="86">
        <f t="shared" si="24"/>
        <v>6</v>
      </c>
      <c r="C161" s="86" t="str">
        <f t="shared" si="22"/>
        <v>6ROMERAL</v>
      </c>
      <c r="D161" s="134" t="e">
        <f>+VLOOKUP(C161,#REF!,2,0)</f>
        <v>#REF!</v>
      </c>
      <c r="F161" s="135" t="e">
        <f t="shared" si="23"/>
        <v>#REF!</v>
      </c>
      <c r="G161" s="135" t="e">
        <f t="shared" si="21"/>
        <v>#REF!</v>
      </c>
      <c r="H161" s="135" t="e">
        <f t="shared" si="21"/>
        <v>#REF!</v>
      </c>
      <c r="I161" s="135" t="e">
        <f t="shared" si="21"/>
        <v>#REF!</v>
      </c>
      <c r="J161" s="135" t="e">
        <f t="shared" si="21"/>
        <v>#REF!</v>
      </c>
      <c r="K161" s="135" t="e">
        <f t="shared" si="21"/>
        <v>#REF!</v>
      </c>
      <c r="L161" s="135" t="e">
        <f t="shared" si="21"/>
        <v>#REF!</v>
      </c>
      <c r="M161" s="135" t="e">
        <f t="shared" si="21"/>
        <v>#REF!</v>
      </c>
    </row>
    <row r="162" spans="2:13" x14ac:dyDescent="0.3">
      <c r="B162" s="86">
        <f t="shared" si="24"/>
        <v>7</v>
      </c>
      <c r="C162" s="86" t="str">
        <f t="shared" si="22"/>
        <v>7ROMERAL</v>
      </c>
      <c r="D162" s="134" t="e">
        <f>+VLOOKUP(C162,#REF!,2,0)</f>
        <v>#REF!</v>
      </c>
      <c r="F162" s="135" t="e">
        <f t="shared" si="23"/>
        <v>#REF!</v>
      </c>
      <c r="G162" s="135" t="e">
        <f t="shared" si="21"/>
        <v>#REF!</v>
      </c>
      <c r="H162" s="135" t="e">
        <f t="shared" si="21"/>
        <v>#REF!</v>
      </c>
      <c r="I162" s="135" t="e">
        <f t="shared" si="21"/>
        <v>#REF!</v>
      </c>
      <c r="J162" s="135" t="e">
        <f t="shared" si="21"/>
        <v>#REF!</v>
      </c>
      <c r="K162" s="135" t="e">
        <f t="shared" si="21"/>
        <v>#REF!</v>
      </c>
      <c r="L162" s="135" t="e">
        <f t="shared" si="21"/>
        <v>#REF!</v>
      </c>
      <c r="M162" s="135" t="e">
        <f t="shared" si="21"/>
        <v>#REF!</v>
      </c>
    </row>
    <row r="163" spans="2:13" x14ac:dyDescent="0.3">
      <c r="B163" s="86">
        <f t="shared" si="24"/>
        <v>8</v>
      </c>
      <c r="C163" s="86" t="str">
        <f t="shared" si="22"/>
        <v>8ROMERAL</v>
      </c>
      <c r="D163" s="134" t="e">
        <f>+VLOOKUP(C163,#REF!,2,0)</f>
        <v>#REF!</v>
      </c>
      <c r="F163" s="135" t="e">
        <f t="shared" si="23"/>
        <v>#REF!</v>
      </c>
      <c r="G163" s="135" t="e">
        <f t="shared" si="21"/>
        <v>#REF!</v>
      </c>
      <c r="H163" s="135" t="e">
        <f t="shared" si="21"/>
        <v>#REF!</v>
      </c>
      <c r="I163" s="135" t="e">
        <f t="shared" si="21"/>
        <v>#REF!</v>
      </c>
      <c r="J163" s="135" t="e">
        <f t="shared" si="21"/>
        <v>#REF!</v>
      </c>
      <c r="K163" s="135" t="e">
        <f t="shared" si="21"/>
        <v>#REF!</v>
      </c>
      <c r="L163" s="135" t="e">
        <f t="shared" si="21"/>
        <v>#REF!</v>
      </c>
      <c r="M163" s="135" t="e">
        <f t="shared" si="21"/>
        <v>#REF!</v>
      </c>
    </row>
    <row r="164" spans="2:13" x14ac:dyDescent="0.3">
      <c r="B164" s="86">
        <f t="shared" si="24"/>
        <v>9</v>
      </c>
      <c r="C164" s="86" t="str">
        <f t="shared" si="22"/>
        <v>9ROMERAL</v>
      </c>
      <c r="D164" s="134" t="e">
        <f>+VLOOKUP(C164,#REF!,2,0)</f>
        <v>#REF!</v>
      </c>
      <c r="F164" s="135" t="e">
        <f t="shared" si="23"/>
        <v>#REF!</v>
      </c>
      <c r="G164" s="135" t="e">
        <f t="shared" si="21"/>
        <v>#REF!</v>
      </c>
      <c r="H164" s="135" t="e">
        <f t="shared" si="21"/>
        <v>#REF!</v>
      </c>
      <c r="I164" s="135" t="e">
        <f t="shared" si="21"/>
        <v>#REF!</v>
      </c>
      <c r="J164" s="135" t="e">
        <f t="shared" si="21"/>
        <v>#REF!</v>
      </c>
      <c r="K164" s="135" t="e">
        <f t="shared" si="21"/>
        <v>#REF!</v>
      </c>
      <c r="L164" s="135" t="e">
        <f t="shared" si="21"/>
        <v>#REF!</v>
      </c>
      <c r="M164" s="135" t="e">
        <f t="shared" si="21"/>
        <v>#REF!</v>
      </c>
    </row>
    <row r="165" spans="2:13" x14ac:dyDescent="0.3">
      <c r="B165" s="86">
        <f t="shared" si="24"/>
        <v>10</v>
      </c>
      <c r="C165" s="86" t="str">
        <f t="shared" si="22"/>
        <v>10ROMERAL</v>
      </c>
      <c r="D165" s="134" t="e">
        <f>+VLOOKUP(C165,#REF!,2,0)</f>
        <v>#REF!</v>
      </c>
      <c r="F165" s="135" t="e">
        <f t="shared" si="23"/>
        <v>#REF!</v>
      </c>
      <c r="G165" s="135" t="e">
        <f t="shared" si="21"/>
        <v>#REF!</v>
      </c>
      <c r="H165" s="135" t="e">
        <f t="shared" si="21"/>
        <v>#REF!</v>
      </c>
      <c r="I165" s="135" t="e">
        <f t="shared" si="21"/>
        <v>#REF!</v>
      </c>
      <c r="J165" s="135" t="e">
        <f t="shared" si="21"/>
        <v>#REF!</v>
      </c>
      <c r="K165" s="135" t="e">
        <f t="shared" si="21"/>
        <v>#REF!</v>
      </c>
      <c r="L165" s="135" t="e">
        <f t="shared" si="21"/>
        <v>#REF!</v>
      </c>
      <c r="M165" s="135" t="e">
        <f t="shared" si="21"/>
        <v>#REF!</v>
      </c>
    </row>
    <row r="166" spans="2:13" x14ac:dyDescent="0.3">
      <c r="B166" s="86">
        <f t="shared" si="24"/>
        <v>11</v>
      </c>
      <c r="C166" s="86" t="str">
        <f t="shared" si="22"/>
        <v>11ROMERAL</v>
      </c>
      <c r="D166" s="134" t="e">
        <f>+VLOOKUP(C166,#REF!,2,0)</f>
        <v>#REF!</v>
      </c>
      <c r="F166" s="135" t="e">
        <f t="shared" si="23"/>
        <v>#REF!</v>
      </c>
      <c r="G166" s="135" t="e">
        <f t="shared" si="21"/>
        <v>#REF!</v>
      </c>
      <c r="H166" s="135" t="e">
        <f t="shared" si="21"/>
        <v>#REF!</v>
      </c>
      <c r="I166" s="135" t="e">
        <f t="shared" si="21"/>
        <v>#REF!</v>
      </c>
      <c r="J166" s="135" t="e">
        <f t="shared" si="21"/>
        <v>#REF!</v>
      </c>
      <c r="K166" s="135" t="e">
        <f t="shared" si="21"/>
        <v>#REF!</v>
      </c>
      <c r="L166" s="135" t="e">
        <f t="shared" si="21"/>
        <v>#REF!</v>
      </c>
      <c r="M166" s="135" t="e">
        <f t="shared" si="21"/>
        <v>#REF!</v>
      </c>
    </row>
    <row r="167" spans="2:13" x14ac:dyDescent="0.3">
      <c r="B167" s="86">
        <f t="shared" si="24"/>
        <v>12</v>
      </c>
      <c r="C167" s="86" t="str">
        <f t="shared" si="22"/>
        <v>12ROMERAL</v>
      </c>
      <c r="D167" s="134" t="e">
        <f>+VLOOKUP(C167,#REF!,2,0)</f>
        <v>#REF!</v>
      </c>
      <c r="F167" s="135" t="e">
        <f t="shared" si="23"/>
        <v>#REF!</v>
      </c>
      <c r="G167" s="135" t="e">
        <f t="shared" si="21"/>
        <v>#REF!</v>
      </c>
      <c r="H167" s="135" t="e">
        <f t="shared" si="21"/>
        <v>#REF!</v>
      </c>
      <c r="I167" s="135" t="e">
        <f t="shared" si="21"/>
        <v>#REF!</v>
      </c>
      <c r="J167" s="135" t="e">
        <f t="shared" si="21"/>
        <v>#REF!</v>
      </c>
      <c r="K167" s="135" t="e">
        <f t="shared" si="21"/>
        <v>#REF!</v>
      </c>
      <c r="L167" s="135" t="e">
        <f t="shared" si="21"/>
        <v>#REF!</v>
      </c>
      <c r="M167" s="135" t="e">
        <f t="shared" si="21"/>
        <v>#REF!</v>
      </c>
    </row>
    <row r="168" spans="2:13" x14ac:dyDescent="0.3">
      <c r="B168" s="86">
        <f t="shared" si="24"/>
        <v>13</v>
      </c>
      <c r="C168" s="86" t="str">
        <f t="shared" si="22"/>
        <v>13ROMERAL</v>
      </c>
      <c r="D168" s="134" t="e">
        <f>+VLOOKUP(C168,#REF!,2,0)</f>
        <v>#REF!</v>
      </c>
      <c r="F168" s="135" t="e">
        <f t="shared" si="23"/>
        <v>#REF!</v>
      </c>
      <c r="G168" s="135" t="e">
        <f t="shared" si="21"/>
        <v>#REF!</v>
      </c>
      <c r="H168" s="135" t="e">
        <f t="shared" si="21"/>
        <v>#REF!</v>
      </c>
      <c r="I168" s="135" t="e">
        <f t="shared" si="21"/>
        <v>#REF!</v>
      </c>
      <c r="J168" s="135" t="e">
        <f t="shared" si="21"/>
        <v>#REF!</v>
      </c>
      <c r="K168" s="135" t="e">
        <f t="shared" si="21"/>
        <v>#REF!</v>
      </c>
      <c r="L168" s="135" t="e">
        <f t="shared" si="21"/>
        <v>#REF!</v>
      </c>
      <c r="M168" s="135" t="e">
        <f t="shared" si="21"/>
        <v>#REF!</v>
      </c>
    </row>
    <row r="169" spans="2:13" x14ac:dyDescent="0.3">
      <c r="B169" s="86">
        <f t="shared" si="24"/>
        <v>14</v>
      </c>
      <c r="C169" s="86" t="str">
        <f t="shared" si="22"/>
        <v>14ROMERAL</v>
      </c>
      <c r="D169" s="134" t="e">
        <f>+VLOOKUP(C169,#REF!,2,0)</f>
        <v>#REF!</v>
      </c>
      <c r="F169" s="135" t="e">
        <f t="shared" si="23"/>
        <v>#REF!</v>
      </c>
      <c r="G169" s="135" t="e">
        <f t="shared" si="21"/>
        <v>#REF!</v>
      </c>
      <c r="H169" s="135" t="e">
        <f t="shared" si="21"/>
        <v>#REF!</v>
      </c>
      <c r="I169" s="135" t="e">
        <f t="shared" si="21"/>
        <v>#REF!</v>
      </c>
      <c r="J169" s="135" t="e">
        <f t="shared" si="21"/>
        <v>#REF!</v>
      </c>
      <c r="K169" s="135" t="e">
        <f t="shared" si="21"/>
        <v>#REF!</v>
      </c>
      <c r="L169" s="135" t="e">
        <f t="shared" si="21"/>
        <v>#REF!</v>
      </c>
      <c r="M169" s="135" t="e">
        <f t="shared" si="21"/>
        <v>#REF!</v>
      </c>
    </row>
    <row r="170" spans="2:13" x14ac:dyDescent="0.3">
      <c r="B170" s="86">
        <f t="shared" si="24"/>
        <v>15</v>
      </c>
      <c r="C170" s="86" t="str">
        <f t="shared" si="22"/>
        <v>15ROMERAL</v>
      </c>
      <c r="D170" s="134" t="e">
        <f>+VLOOKUP(C170,#REF!,2,0)</f>
        <v>#REF!</v>
      </c>
      <c r="F170" s="135" t="e">
        <f t="shared" si="23"/>
        <v>#REF!</v>
      </c>
      <c r="G170" s="135" t="e">
        <f t="shared" si="21"/>
        <v>#REF!</v>
      </c>
      <c r="H170" s="135" t="e">
        <f t="shared" si="21"/>
        <v>#REF!</v>
      </c>
      <c r="I170" s="135" t="e">
        <f t="shared" si="21"/>
        <v>#REF!</v>
      </c>
      <c r="J170" s="135" t="e">
        <f t="shared" si="21"/>
        <v>#REF!</v>
      </c>
      <c r="K170" s="135" t="e">
        <f t="shared" si="21"/>
        <v>#REF!</v>
      </c>
      <c r="L170" s="135" t="e">
        <f t="shared" si="21"/>
        <v>#REF!</v>
      </c>
      <c r="M170" s="135" t="e">
        <f t="shared" si="21"/>
        <v>#REF!</v>
      </c>
    </row>
    <row r="173" spans="2:13" ht="57.6" x14ac:dyDescent="0.3">
      <c r="F173"/>
      <c r="G173" s="136" t="s">
        <v>191</v>
      </c>
      <c r="H173" s="136" t="s">
        <v>192</v>
      </c>
      <c r="I173" s="136" t="s">
        <v>193</v>
      </c>
    </row>
    <row r="174" spans="2:13" x14ac:dyDescent="0.3">
      <c r="E174" s="56" t="s">
        <v>194</v>
      </c>
      <c r="G174" s="70">
        <v>6132.9572415134908</v>
      </c>
      <c r="H174" s="70">
        <v>17314.747043266241</v>
      </c>
      <c r="I174" s="70">
        <v>39477.394641646577</v>
      </c>
      <c r="K174" s="70">
        <v>22986.530307610876</v>
      </c>
      <c r="L174" s="70">
        <v>111878.10551973293</v>
      </c>
      <c r="M174" s="65">
        <f>+L174-K174</f>
        <v>88891.575212122058</v>
      </c>
    </row>
    <row r="175" spans="2:13" x14ac:dyDescent="0.3">
      <c r="E175" s="56" t="s">
        <v>195</v>
      </c>
      <c r="G175" s="70">
        <v>8529.355007103477</v>
      </c>
      <c r="H175" s="70">
        <v>25161.409359724828</v>
      </c>
      <c r="I175" s="70">
        <v>33168.775194417729</v>
      </c>
      <c r="K175" s="70">
        <v>15185.177458825592</v>
      </c>
      <c r="L175" s="70">
        <v>92158.433067118138</v>
      </c>
      <c r="M175" s="65">
        <f>+L175-K175</f>
        <v>76973.255608292544</v>
      </c>
    </row>
    <row r="176" spans="2:13" x14ac:dyDescent="0.3">
      <c r="E176" s="56" t="s">
        <v>196</v>
      </c>
      <c r="G176" s="70">
        <v>31123.904488844928</v>
      </c>
      <c r="H176" s="70">
        <v>71892.450724640395</v>
      </c>
      <c r="I176" s="70">
        <v>180404.90972483339</v>
      </c>
      <c r="K176" s="70">
        <v>46760.196937043118</v>
      </c>
      <c r="L176" s="70">
        <v>326759.86051046429</v>
      </c>
      <c r="M176" s="65">
        <f t="shared" ref="M176:M180" si="25">+L176-K176</f>
        <v>279999.66357342119</v>
      </c>
    </row>
    <row r="177" spans="5:13" x14ac:dyDescent="0.3">
      <c r="E177" s="56" t="s">
        <v>197</v>
      </c>
      <c r="G177" s="70">
        <v>1972.0214522433257</v>
      </c>
      <c r="H177" s="70">
        <v>2798.9634141696642</v>
      </c>
      <c r="I177" s="70">
        <v>5724.8977841331189</v>
      </c>
      <c r="K177" s="70">
        <v>1268.7009721526636</v>
      </c>
      <c r="L177" s="70">
        <v>10083.090066761457</v>
      </c>
      <c r="M177" s="65">
        <f t="shared" si="25"/>
        <v>8814.389094608794</v>
      </c>
    </row>
    <row r="178" spans="5:13" x14ac:dyDescent="0.3">
      <c r="E178" s="56" t="s">
        <v>102</v>
      </c>
      <c r="G178" s="70">
        <v>6476.3917477160767</v>
      </c>
      <c r="H178" s="70">
        <v>12526.263392858735</v>
      </c>
      <c r="I178" s="70">
        <v>23897.335511760055</v>
      </c>
      <c r="K178" s="70">
        <v>22168.579522832526</v>
      </c>
      <c r="L178" s="70">
        <v>110224.94593188829</v>
      </c>
      <c r="M178" s="65">
        <f t="shared" si="25"/>
        <v>88056.366409055758</v>
      </c>
    </row>
    <row r="179" spans="5:13" x14ac:dyDescent="0.3">
      <c r="E179" s="56" t="s">
        <v>198</v>
      </c>
      <c r="G179" s="70">
        <v>31686.480802910119</v>
      </c>
      <c r="H179" s="70">
        <v>143472.96127458068</v>
      </c>
      <c r="I179" s="70">
        <v>212068.32196637202</v>
      </c>
      <c r="K179" s="70">
        <v>61748.569238136384</v>
      </c>
      <c r="L179" s="70">
        <v>401699.8649370232</v>
      </c>
      <c r="M179" s="65">
        <f t="shared" si="25"/>
        <v>339951.2956988868</v>
      </c>
    </row>
    <row r="180" spans="5:13" x14ac:dyDescent="0.3">
      <c r="E180" s="56" t="s">
        <v>199</v>
      </c>
      <c r="G180" s="70">
        <v>10939.898092201387</v>
      </c>
      <c r="H180" s="70">
        <v>48837.41422609787</v>
      </c>
      <c r="I180" s="70">
        <v>50615.904511049746</v>
      </c>
      <c r="K180" s="70">
        <v>18490.135025284028</v>
      </c>
      <c r="L180" s="70">
        <v>91991.387918446067</v>
      </c>
      <c r="M180" s="65">
        <f t="shared" si="25"/>
        <v>73501.252893162047</v>
      </c>
    </row>
    <row r="181" spans="5:13" x14ac:dyDescent="0.3">
      <c r="G181" s="70">
        <f>SUM(G174:G180)</f>
        <v>96861.008832532796</v>
      </c>
      <c r="H181" s="70">
        <f>SUM(H174:H180)</f>
        <v>322004.20943533839</v>
      </c>
      <c r="I181" s="70">
        <f>SUM(I174:I180)</f>
        <v>545357.53933421266</v>
      </c>
      <c r="M181" s="65">
        <f>SUM(M174:M180)</f>
        <v>956187.79848954908</v>
      </c>
    </row>
  </sheetData>
  <mergeCells count="1">
    <mergeCell ref="B99:B11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451B-D69A-4969-AE01-7AAA84E7CAFF}">
  <dimension ref="A1:F18"/>
  <sheetViews>
    <sheetView workbookViewId="0">
      <selection activeCell="B3" sqref="B3"/>
    </sheetView>
  </sheetViews>
  <sheetFormatPr defaultColWidth="11.5546875" defaultRowHeight="14.4" x14ac:dyDescent="0.3"/>
  <cols>
    <col min="1" max="1" width="31.6640625" bestFit="1" customWidth="1"/>
    <col min="2" max="2" width="14.77734375" bestFit="1" customWidth="1"/>
    <col min="6" max="6" width="21.33203125" bestFit="1" customWidth="1"/>
  </cols>
  <sheetData>
    <row r="1" spans="1:6" x14ac:dyDescent="0.3">
      <c r="A1" s="34" t="s">
        <v>47</v>
      </c>
      <c r="B1" s="34" t="s">
        <v>48</v>
      </c>
      <c r="F1" s="35" t="s">
        <v>49</v>
      </c>
    </row>
    <row r="2" spans="1:6" x14ac:dyDescent="0.3">
      <c r="A2" s="31" t="s">
        <v>50</v>
      </c>
      <c r="B2" s="44">
        <v>45016</v>
      </c>
      <c r="F2" s="36" t="s">
        <v>129</v>
      </c>
    </row>
    <row r="3" spans="1:6" x14ac:dyDescent="0.3">
      <c r="A3" s="31" t="s">
        <v>51</v>
      </c>
      <c r="B3" s="37" t="s">
        <v>129</v>
      </c>
    </row>
    <row r="4" spans="1:6" x14ac:dyDescent="0.3">
      <c r="A4" s="31" t="s">
        <v>52</v>
      </c>
      <c r="B4" s="38">
        <v>1.255E-2</v>
      </c>
    </row>
    <row r="5" spans="1:6" x14ac:dyDescent="0.3">
      <c r="A5" s="31" t="s">
        <v>53</v>
      </c>
      <c r="B5" s="39">
        <v>0</v>
      </c>
    </row>
    <row r="6" spans="1:6" x14ac:dyDescent="0.3">
      <c r="A6" s="31" t="s">
        <v>54</v>
      </c>
      <c r="B6" s="39" t="s">
        <v>55</v>
      </c>
    </row>
    <row r="7" spans="1:6" x14ac:dyDescent="0.3">
      <c r="A7" s="31" t="s">
        <v>68</v>
      </c>
      <c r="B7" s="31">
        <v>0.5</v>
      </c>
    </row>
    <row r="8" spans="1:6" x14ac:dyDescent="0.3">
      <c r="A8" s="31" t="s">
        <v>69</v>
      </c>
      <c r="B8" s="31">
        <v>15</v>
      </c>
    </row>
    <row r="9" spans="1:6" x14ac:dyDescent="0.3">
      <c r="A9" s="31" t="s">
        <v>70</v>
      </c>
      <c r="B9" s="31">
        <v>0</v>
      </c>
    </row>
    <row r="10" spans="1:6" x14ac:dyDescent="0.3">
      <c r="A10" s="31" t="s">
        <v>56</v>
      </c>
      <c r="B10" s="31" t="s">
        <v>57</v>
      </c>
    </row>
    <row r="11" spans="1:6" x14ac:dyDescent="0.3">
      <c r="A11" s="31" t="s">
        <v>71</v>
      </c>
      <c r="B11" s="31">
        <v>0.5</v>
      </c>
    </row>
    <row r="12" spans="1:6" x14ac:dyDescent="0.3">
      <c r="A12" s="43" t="s">
        <v>72</v>
      </c>
      <c r="B12" s="32">
        <v>10.5</v>
      </c>
    </row>
    <row r="13" spans="1:6" x14ac:dyDescent="0.3">
      <c r="B13" s="32"/>
    </row>
    <row r="14" spans="1:6" x14ac:dyDescent="0.3">
      <c r="B14" s="32"/>
    </row>
    <row r="15" spans="1:6" x14ac:dyDescent="0.3">
      <c r="B15" s="32"/>
    </row>
    <row r="16" spans="1:6" x14ac:dyDescent="0.3">
      <c r="B16" s="32"/>
    </row>
    <row r="17" spans="2:2" x14ac:dyDescent="0.3">
      <c r="B17" s="32"/>
    </row>
    <row r="18" spans="2:2" x14ac:dyDescent="0.3">
      <c r="B18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D1B7-7706-48C2-8EA7-60D7CFF145FF}">
  <dimension ref="A1:N6"/>
  <sheetViews>
    <sheetView workbookViewId="0">
      <selection activeCell="D10" sqref="D10"/>
    </sheetView>
  </sheetViews>
  <sheetFormatPr defaultColWidth="11.5546875" defaultRowHeight="14.4" x14ac:dyDescent="0.3"/>
  <cols>
    <col min="1" max="1" width="31.6640625" bestFit="1" customWidth="1"/>
    <col min="2" max="2" width="14.77734375" bestFit="1" customWidth="1"/>
    <col min="3" max="14" width="14.77734375" customWidth="1"/>
    <col min="18" max="18" width="21.33203125" bestFit="1" customWidth="1"/>
  </cols>
  <sheetData>
    <row r="1" spans="1:14" x14ac:dyDescent="0.3">
      <c r="A1" s="51" t="s">
        <v>50</v>
      </c>
      <c r="B1" s="51" t="s">
        <v>51</v>
      </c>
      <c r="C1" s="51" t="s">
        <v>52</v>
      </c>
      <c r="D1" s="51" t="s">
        <v>53</v>
      </c>
      <c r="E1" s="51" t="s">
        <v>54</v>
      </c>
      <c r="F1" s="51" t="s">
        <v>68</v>
      </c>
      <c r="G1" s="51" t="s">
        <v>69</v>
      </c>
      <c r="H1" s="51" t="s">
        <v>70</v>
      </c>
      <c r="I1" s="51" t="s">
        <v>56</v>
      </c>
      <c r="J1" s="51" t="s">
        <v>71</v>
      </c>
      <c r="K1" s="52" t="s">
        <v>72</v>
      </c>
      <c r="L1" s="32"/>
      <c r="M1" s="50" t="s">
        <v>51</v>
      </c>
      <c r="N1" s="50" t="s">
        <v>134</v>
      </c>
    </row>
    <row r="2" spans="1:14" x14ac:dyDescent="0.3">
      <c r="A2" s="44">
        <v>45016</v>
      </c>
      <c r="B2" s="37" t="s">
        <v>129</v>
      </c>
      <c r="C2" s="38">
        <v>1.255E-2</v>
      </c>
      <c r="D2" s="39">
        <v>0</v>
      </c>
      <c r="E2" s="39" t="s">
        <v>55</v>
      </c>
      <c r="F2" s="31">
        <v>0.5</v>
      </c>
      <c r="G2" s="31">
        <v>15</v>
      </c>
      <c r="H2" s="31">
        <v>0</v>
      </c>
      <c r="I2" s="31" t="s">
        <v>57</v>
      </c>
      <c r="J2" s="31">
        <v>0.5</v>
      </c>
      <c r="K2" s="32">
        <v>10.5</v>
      </c>
      <c r="L2" s="32"/>
      <c r="M2" s="32" t="s">
        <v>129</v>
      </c>
      <c r="N2" s="32" t="s">
        <v>129</v>
      </c>
    </row>
    <row r="3" spans="1:14" x14ac:dyDescent="0.3">
      <c r="A3" s="44">
        <v>45016</v>
      </c>
      <c r="B3" s="37" t="s">
        <v>130</v>
      </c>
      <c r="C3" s="38">
        <v>1.255E-2</v>
      </c>
      <c r="D3" s="39">
        <v>0</v>
      </c>
      <c r="E3" s="39" t="s">
        <v>55</v>
      </c>
      <c r="F3" s="31">
        <v>0.5</v>
      </c>
      <c r="G3" s="31">
        <v>15</v>
      </c>
      <c r="H3" s="31">
        <v>0</v>
      </c>
      <c r="I3" s="31" t="s">
        <v>57</v>
      </c>
      <c r="J3" s="31">
        <v>0.5</v>
      </c>
      <c r="K3" s="32">
        <v>10.5</v>
      </c>
      <c r="L3" s="32"/>
      <c r="M3" s="32" t="s">
        <v>130</v>
      </c>
      <c r="N3" s="32" t="s">
        <v>130</v>
      </c>
    </row>
    <row r="4" spans="1:14" x14ac:dyDescent="0.3">
      <c r="A4" s="44">
        <v>45016</v>
      </c>
      <c r="B4" s="37" t="s">
        <v>131</v>
      </c>
      <c r="C4" s="38">
        <v>1.255E-2</v>
      </c>
      <c r="D4" s="39">
        <v>0</v>
      </c>
      <c r="E4" s="39" t="s">
        <v>55</v>
      </c>
      <c r="F4" s="31">
        <v>0.5</v>
      </c>
      <c r="G4" s="31">
        <v>15</v>
      </c>
      <c r="H4" s="31">
        <v>0</v>
      </c>
      <c r="I4" s="31" t="s">
        <v>57</v>
      </c>
      <c r="J4" s="31">
        <v>0.5</v>
      </c>
      <c r="K4" s="32">
        <v>10.5</v>
      </c>
      <c r="L4" s="32"/>
      <c r="M4" s="32" t="s">
        <v>131</v>
      </c>
      <c r="N4" s="32" t="s">
        <v>131</v>
      </c>
    </row>
    <row r="5" spans="1:14" x14ac:dyDescent="0.3">
      <c r="A5" s="44">
        <v>45016</v>
      </c>
      <c r="B5" s="37" t="s">
        <v>132</v>
      </c>
      <c r="C5" s="38">
        <v>1.255E-2</v>
      </c>
      <c r="D5" s="39">
        <v>0</v>
      </c>
      <c r="E5" s="39" t="s">
        <v>55</v>
      </c>
      <c r="F5" s="31">
        <v>0.5</v>
      </c>
      <c r="G5" s="31">
        <v>15</v>
      </c>
      <c r="H5" s="31">
        <v>0</v>
      </c>
      <c r="I5" s="31" t="s">
        <v>57</v>
      </c>
      <c r="J5" s="31">
        <v>0.5</v>
      </c>
      <c r="K5" s="32">
        <v>10.5</v>
      </c>
      <c r="L5" s="32"/>
      <c r="M5" s="32" t="s">
        <v>132</v>
      </c>
      <c r="N5" s="32" t="s">
        <v>132</v>
      </c>
    </row>
    <row r="6" spans="1:14" x14ac:dyDescent="0.3">
      <c r="A6" s="44">
        <v>45016</v>
      </c>
      <c r="B6" s="37" t="s">
        <v>133</v>
      </c>
      <c r="C6" s="38">
        <v>1.255E-2</v>
      </c>
      <c r="D6" s="39">
        <v>0</v>
      </c>
      <c r="E6" s="39" t="s">
        <v>55</v>
      </c>
      <c r="F6" s="31">
        <v>0.5</v>
      </c>
      <c r="G6" s="31">
        <v>15</v>
      </c>
      <c r="H6" s="31">
        <v>0</v>
      </c>
      <c r="I6" s="31" t="s">
        <v>57</v>
      </c>
      <c r="J6" s="31">
        <v>0.5</v>
      </c>
      <c r="K6" s="32">
        <v>10.5</v>
      </c>
      <c r="M6" t="s">
        <v>133</v>
      </c>
      <c r="N6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A346-95CC-40C7-A048-A8DCA15A773E}">
  <dimension ref="A1:G21"/>
  <sheetViews>
    <sheetView workbookViewId="0">
      <selection activeCell="G21" sqref="G2:G21"/>
    </sheetView>
  </sheetViews>
  <sheetFormatPr defaultColWidth="11.5546875" defaultRowHeight="14.4" x14ac:dyDescent="0.3"/>
  <cols>
    <col min="1" max="1" width="14.44140625" bestFit="1" customWidth="1"/>
    <col min="2" max="2" width="24.44140625" bestFit="1" customWidth="1"/>
    <col min="3" max="3" width="19.88671875" style="45" bestFit="1" customWidth="1"/>
    <col min="4" max="4" width="9.44140625" bestFit="1" customWidth="1"/>
    <col min="5" max="5" width="16.44140625" bestFit="1" customWidth="1"/>
    <col min="6" max="6" width="24.5546875" bestFit="1" customWidth="1"/>
    <col min="7" max="7" width="16.33203125" bestFit="1" customWidth="1"/>
  </cols>
  <sheetData>
    <row r="1" spans="1:7" x14ac:dyDescent="0.3">
      <c r="A1" s="40" t="s">
        <v>37</v>
      </c>
      <c r="B1" s="40" t="s">
        <v>58</v>
      </c>
      <c r="C1" s="41" t="s">
        <v>59</v>
      </c>
      <c r="D1" s="40" t="s">
        <v>60</v>
      </c>
      <c r="E1" s="40" t="s">
        <v>61</v>
      </c>
      <c r="F1" s="40" t="s">
        <v>62</v>
      </c>
      <c r="G1" s="40" t="s">
        <v>63</v>
      </c>
    </row>
    <row r="2" spans="1:7" x14ac:dyDescent="0.3">
      <c r="A2" t="s">
        <v>129</v>
      </c>
      <c r="B2">
        <v>25</v>
      </c>
      <c r="C2" s="45">
        <v>44187</v>
      </c>
      <c r="D2" t="s">
        <v>27</v>
      </c>
      <c r="E2">
        <v>60274432</v>
      </c>
      <c r="F2">
        <v>13</v>
      </c>
      <c r="G2" t="str">
        <f>A2</f>
        <v>TALCA</v>
      </c>
    </row>
    <row r="3" spans="1:7" x14ac:dyDescent="0.3">
      <c r="A3" t="s">
        <v>129</v>
      </c>
      <c r="B3">
        <v>13</v>
      </c>
      <c r="C3" s="45">
        <v>40120</v>
      </c>
      <c r="D3" t="s">
        <v>27</v>
      </c>
      <c r="E3">
        <v>1252181</v>
      </c>
      <c r="F3">
        <v>11</v>
      </c>
      <c r="G3" t="str">
        <f t="shared" ref="G3:G21" si="0">A3</f>
        <v>TALCA</v>
      </c>
    </row>
    <row r="4" spans="1:7" x14ac:dyDescent="0.3">
      <c r="A4" t="s">
        <v>129</v>
      </c>
      <c r="B4">
        <v>13</v>
      </c>
      <c r="C4" s="45">
        <v>44286</v>
      </c>
      <c r="D4" t="s">
        <v>29</v>
      </c>
      <c r="E4">
        <v>1395912</v>
      </c>
      <c r="F4">
        <v>37</v>
      </c>
      <c r="G4" t="str">
        <f t="shared" si="0"/>
        <v>TALCA</v>
      </c>
    </row>
    <row r="5" spans="1:7" x14ac:dyDescent="0.3">
      <c r="A5" t="s">
        <v>130</v>
      </c>
      <c r="B5">
        <v>13</v>
      </c>
      <c r="C5" s="45">
        <v>40130</v>
      </c>
      <c r="D5" t="s">
        <v>27</v>
      </c>
      <c r="E5">
        <v>1218441</v>
      </c>
      <c r="F5">
        <v>2</v>
      </c>
      <c r="G5" t="str">
        <f t="shared" si="0"/>
        <v>CURICO</v>
      </c>
    </row>
    <row r="6" spans="1:7" x14ac:dyDescent="0.3">
      <c r="A6" t="s">
        <v>131</v>
      </c>
      <c r="B6">
        <v>13</v>
      </c>
      <c r="C6" s="45">
        <v>39679</v>
      </c>
      <c r="D6" t="s">
        <v>27</v>
      </c>
      <c r="E6">
        <v>496678</v>
      </c>
      <c r="F6">
        <v>9</v>
      </c>
      <c r="G6" t="str">
        <f t="shared" si="0"/>
        <v>TENO</v>
      </c>
    </row>
    <row r="7" spans="1:7" x14ac:dyDescent="0.3">
      <c r="A7" t="s">
        <v>129</v>
      </c>
      <c r="B7">
        <v>13</v>
      </c>
      <c r="C7" s="45">
        <v>44292</v>
      </c>
      <c r="D7" t="s">
        <v>29</v>
      </c>
      <c r="E7">
        <v>3936370</v>
      </c>
      <c r="F7">
        <v>14</v>
      </c>
      <c r="G7" t="str">
        <f t="shared" si="0"/>
        <v>TALCA</v>
      </c>
    </row>
    <row r="8" spans="1:7" x14ac:dyDescent="0.3">
      <c r="A8" t="s">
        <v>129</v>
      </c>
      <c r="B8">
        <v>19</v>
      </c>
      <c r="C8" s="45">
        <v>43266</v>
      </c>
      <c r="D8" t="s">
        <v>27</v>
      </c>
      <c r="E8">
        <v>60209133</v>
      </c>
      <c r="F8">
        <v>13</v>
      </c>
      <c r="G8" t="str">
        <f t="shared" si="0"/>
        <v>TALCA</v>
      </c>
    </row>
    <row r="9" spans="1:7" x14ac:dyDescent="0.3">
      <c r="A9" t="s">
        <v>132</v>
      </c>
      <c r="B9">
        <v>13</v>
      </c>
      <c r="C9" s="45">
        <v>39948</v>
      </c>
      <c r="D9" t="s">
        <v>27</v>
      </c>
      <c r="E9">
        <v>596771</v>
      </c>
      <c r="F9">
        <v>11</v>
      </c>
      <c r="G9" t="str">
        <f t="shared" si="0"/>
        <v>YERBAS BUENAS</v>
      </c>
    </row>
    <row r="10" spans="1:7" x14ac:dyDescent="0.3">
      <c r="A10" t="s">
        <v>129</v>
      </c>
      <c r="B10">
        <v>13</v>
      </c>
      <c r="C10" s="45">
        <v>38630</v>
      </c>
      <c r="D10" t="s">
        <v>27</v>
      </c>
      <c r="E10">
        <v>413560</v>
      </c>
      <c r="F10">
        <v>15</v>
      </c>
      <c r="G10" t="str">
        <f t="shared" si="0"/>
        <v>TALCA</v>
      </c>
    </row>
    <row r="11" spans="1:7" x14ac:dyDescent="0.3">
      <c r="A11" t="s">
        <v>129</v>
      </c>
      <c r="B11">
        <v>19</v>
      </c>
      <c r="C11" s="45">
        <v>42760</v>
      </c>
      <c r="D11" t="s">
        <v>27</v>
      </c>
      <c r="E11">
        <v>60177677</v>
      </c>
      <c r="F11">
        <v>9</v>
      </c>
      <c r="G11" t="str">
        <f t="shared" si="0"/>
        <v>TALCA</v>
      </c>
    </row>
    <row r="12" spans="1:7" x14ac:dyDescent="0.3">
      <c r="A12" t="s">
        <v>129</v>
      </c>
      <c r="B12">
        <v>19</v>
      </c>
      <c r="C12" s="45">
        <v>37878</v>
      </c>
      <c r="D12" t="s">
        <v>27</v>
      </c>
      <c r="E12">
        <v>3892942</v>
      </c>
      <c r="F12">
        <v>20</v>
      </c>
      <c r="G12" t="str">
        <f t="shared" si="0"/>
        <v>TALCA</v>
      </c>
    </row>
    <row r="13" spans="1:7" x14ac:dyDescent="0.3">
      <c r="A13" t="s">
        <v>129</v>
      </c>
      <c r="B13">
        <v>25</v>
      </c>
      <c r="C13" s="45">
        <v>44112</v>
      </c>
      <c r="D13" t="s">
        <v>29</v>
      </c>
      <c r="E13">
        <v>60058696</v>
      </c>
      <c r="F13">
        <v>19</v>
      </c>
      <c r="G13" t="str">
        <f t="shared" si="0"/>
        <v>TALCA</v>
      </c>
    </row>
    <row r="14" spans="1:7" x14ac:dyDescent="0.3">
      <c r="A14" t="s">
        <v>129</v>
      </c>
      <c r="B14">
        <v>13</v>
      </c>
      <c r="C14" s="45">
        <v>38702</v>
      </c>
      <c r="D14" t="s">
        <v>27</v>
      </c>
      <c r="E14">
        <v>457415</v>
      </c>
      <c r="F14">
        <v>4</v>
      </c>
      <c r="G14" t="str">
        <f t="shared" si="0"/>
        <v>TALCA</v>
      </c>
    </row>
    <row r="15" spans="1:7" x14ac:dyDescent="0.3">
      <c r="A15" t="s">
        <v>130</v>
      </c>
      <c r="B15">
        <v>19</v>
      </c>
      <c r="C15" s="45">
        <v>41361</v>
      </c>
      <c r="D15" t="s">
        <v>27</v>
      </c>
      <c r="E15">
        <v>60055924</v>
      </c>
      <c r="F15">
        <v>18</v>
      </c>
      <c r="G15" t="str">
        <f t="shared" si="0"/>
        <v>CURICO</v>
      </c>
    </row>
    <row r="16" spans="1:7" x14ac:dyDescent="0.3">
      <c r="A16" t="s">
        <v>129</v>
      </c>
      <c r="B16">
        <v>13</v>
      </c>
      <c r="C16" s="45">
        <v>44693</v>
      </c>
      <c r="D16" t="s">
        <v>31</v>
      </c>
      <c r="E16">
        <v>4565068</v>
      </c>
      <c r="F16">
        <v>15</v>
      </c>
      <c r="G16" t="str">
        <f t="shared" si="0"/>
        <v>TALCA</v>
      </c>
    </row>
    <row r="17" spans="1:7" x14ac:dyDescent="0.3">
      <c r="A17" t="s">
        <v>133</v>
      </c>
      <c r="B17">
        <v>19</v>
      </c>
      <c r="C17" s="45">
        <v>42681</v>
      </c>
      <c r="D17" t="s">
        <v>27</v>
      </c>
      <c r="E17">
        <v>60168413</v>
      </c>
      <c r="F17">
        <v>11</v>
      </c>
      <c r="G17" t="str">
        <f t="shared" si="0"/>
        <v>LINARES</v>
      </c>
    </row>
    <row r="18" spans="1:7" x14ac:dyDescent="0.3">
      <c r="A18" t="s">
        <v>129</v>
      </c>
      <c r="B18">
        <v>13</v>
      </c>
      <c r="C18" s="45">
        <v>38688</v>
      </c>
      <c r="D18" t="s">
        <v>27</v>
      </c>
      <c r="E18">
        <v>1310176</v>
      </c>
      <c r="F18">
        <v>10</v>
      </c>
      <c r="G18" t="str">
        <f t="shared" si="0"/>
        <v>TALCA</v>
      </c>
    </row>
    <row r="19" spans="1:7" x14ac:dyDescent="0.3">
      <c r="A19" t="s">
        <v>130</v>
      </c>
      <c r="B19">
        <v>25</v>
      </c>
      <c r="C19" s="45">
        <v>42345</v>
      </c>
      <c r="D19" t="s">
        <v>27</v>
      </c>
      <c r="E19">
        <v>60144910</v>
      </c>
      <c r="F19">
        <v>37</v>
      </c>
      <c r="G19" t="str">
        <f t="shared" si="0"/>
        <v>CURICO</v>
      </c>
    </row>
    <row r="20" spans="1:7" x14ac:dyDescent="0.3">
      <c r="A20" t="s">
        <v>129</v>
      </c>
      <c r="B20">
        <v>13</v>
      </c>
      <c r="C20" s="45">
        <v>40221</v>
      </c>
      <c r="D20" t="s">
        <v>27</v>
      </c>
      <c r="E20">
        <v>406049</v>
      </c>
      <c r="F20">
        <v>3</v>
      </c>
      <c r="G20" t="str">
        <f t="shared" si="0"/>
        <v>TALCA</v>
      </c>
    </row>
    <row r="21" spans="1:7" x14ac:dyDescent="0.3">
      <c r="A21" t="s">
        <v>129</v>
      </c>
      <c r="B21">
        <v>13</v>
      </c>
      <c r="C21" s="45">
        <v>39198</v>
      </c>
      <c r="D21" t="s">
        <v>27</v>
      </c>
      <c r="E21">
        <v>4520541</v>
      </c>
      <c r="F21">
        <v>18</v>
      </c>
      <c r="G21" t="str">
        <f t="shared" si="0"/>
        <v>TALCA</v>
      </c>
    </row>
  </sheetData>
  <autoFilter ref="A1:G1" xr:uid="{05F3A346-95CC-40C7-A048-A8DCA15A773E}"/>
  <conditionalFormatting sqref="E2:E6690">
    <cfRule type="duplicateValues" dxfId="2" priority="3"/>
  </conditionalFormatting>
  <conditionalFormatting sqref="E6691:E20619">
    <cfRule type="duplicateValues" dxfId="1" priority="2"/>
  </conditionalFormatting>
  <conditionalFormatting sqref="E20620:E26967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49A9-06A7-46DC-9EBC-1914E499D5E6}">
  <dimension ref="A1:E37"/>
  <sheetViews>
    <sheetView workbookViewId="0">
      <selection activeCell="G1" sqref="G1"/>
    </sheetView>
  </sheetViews>
  <sheetFormatPr defaultColWidth="11.5546875" defaultRowHeight="14.4" x14ac:dyDescent="0.3"/>
  <cols>
    <col min="1" max="1" width="13" customWidth="1"/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23">
        <v>9.9692307692307684E-3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23">
        <v>1.26E-2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23">
        <v>1.246153846153846E-2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23">
        <v>4.4030769230769227E-2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23">
        <v>4.3753846153846157E-2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23">
        <v>5.5384615384615379E-2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23">
        <v>7.3185069984447884E-3</v>
      </c>
      <c r="E14" s="5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23">
        <v>2.3017884914463452E-2</v>
      </c>
      <c r="E15" s="5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23">
        <v>3.7772939346811814E-2</v>
      </c>
      <c r="E16" s="5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23">
        <v>5.8311975116640741E-2</v>
      </c>
      <c r="E17" s="5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23">
        <v>5.5479004665629848E-2</v>
      </c>
      <c r="E18" s="5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23">
        <v>4.579968895800933E-2</v>
      </c>
      <c r="E19" s="5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7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9.9692307692307684E-3</v>
      </c>
      <c r="E26" s="5">
        <v>-1</v>
      </c>
    </row>
    <row r="27" spans="1:5" x14ac:dyDescent="0.3">
      <c r="A27" s="1"/>
      <c r="B27" s="2" t="s">
        <v>23</v>
      </c>
      <c r="C27" s="21" t="s">
        <v>6</v>
      </c>
      <c r="D27" s="3">
        <v>1.26E-2</v>
      </c>
      <c r="E27" s="5">
        <v>-1</v>
      </c>
    </row>
    <row r="28" spans="1:5" x14ac:dyDescent="0.3">
      <c r="A28" s="1"/>
      <c r="B28" s="2" t="s">
        <v>23</v>
      </c>
      <c r="C28" s="21" t="s">
        <v>7</v>
      </c>
      <c r="D28" s="3">
        <v>1.246153846153846E-2</v>
      </c>
      <c r="E28" s="5">
        <v>-1</v>
      </c>
    </row>
    <row r="29" spans="1:5" x14ac:dyDescent="0.3">
      <c r="A29" s="1"/>
      <c r="B29" s="2" t="s">
        <v>23</v>
      </c>
      <c r="C29" s="21" t="s">
        <v>8</v>
      </c>
      <c r="D29" s="3">
        <v>4.4030769230769227E-2</v>
      </c>
      <c r="E29" s="5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4.3753846153846157E-2</v>
      </c>
      <c r="E30" s="5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5.5384615384615379E-2</v>
      </c>
      <c r="E31" s="5">
        <v>-7.4000000000000003E-3</v>
      </c>
    </row>
    <row r="32" spans="1:5" x14ac:dyDescent="0.3">
      <c r="A32" s="6"/>
      <c r="B32" s="2"/>
      <c r="C32" s="21"/>
      <c r="D32" s="3"/>
      <c r="E32" s="4"/>
    </row>
    <row r="33" spans="1:5" x14ac:dyDescent="0.3">
      <c r="A33" s="6"/>
      <c r="B33" s="2"/>
      <c r="C33" s="21"/>
      <c r="D33" s="3"/>
      <c r="E33" s="4"/>
    </row>
    <row r="34" spans="1:5" x14ac:dyDescent="0.3">
      <c r="A34" s="6"/>
      <c r="B34" s="2"/>
      <c r="C34" s="21"/>
      <c r="D34" s="3"/>
      <c r="E34" s="5"/>
    </row>
    <row r="35" spans="1:5" x14ac:dyDescent="0.3">
      <c r="A35" s="6"/>
      <c r="B35" s="2"/>
      <c r="C35" s="21"/>
      <c r="D35" s="3"/>
      <c r="E35" s="4"/>
    </row>
    <row r="36" spans="1:5" x14ac:dyDescent="0.3">
      <c r="A36" s="6"/>
      <c r="B36" s="2"/>
      <c r="C36" s="21"/>
      <c r="D36" s="3"/>
      <c r="E36" s="5"/>
    </row>
    <row r="37" spans="1:5" x14ac:dyDescent="0.3">
      <c r="A37" s="6"/>
      <c r="B37" s="2"/>
      <c r="C37" s="21"/>
      <c r="D37" s="3"/>
      <c r="E37" s="5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1F8B-C405-4F58-8F6C-0C5484A61A58}">
  <dimension ref="A1:C11"/>
  <sheetViews>
    <sheetView workbookViewId="0">
      <selection activeCell="C4" sqref="C4:C5"/>
    </sheetView>
  </sheetViews>
  <sheetFormatPr defaultColWidth="11.44140625" defaultRowHeight="14.4" x14ac:dyDescent="0.3"/>
  <cols>
    <col min="1" max="16384" width="11.44140625" style="32"/>
  </cols>
  <sheetData>
    <row r="1" spans="1:3" x14ac:dyDescent="0.3">
      <c r="A1" s="31" t="s">
        <v>4</v>
      </c>
      <c r="B1" s="31" t="s">
        <v>45</v>
      </c>
      <c r="C1" s="31" t="s">
        <v>46</v>
      </c>
    </row>
    <row r="2" spans="1:3" x14ac:dyDescent="0.3">
      <c r="A2" s="31" t="s">
        <v>12</v>
      </c>
      <c r="B2" s="31" t="s">
        <v>43</v>
      </c>
      <c r="C2" s="33">
        <v>0.22764462012548461</v>
      </c>
    </row>
    <row r="3" spans="1:3" x14ac:dyDescent="0.3">
      <c r="A3" s="31" t="s">
        <v>12</v>
      </c>
      <c r="B3" s="31" t="s">
        <v>44</v>
      </c>
      <c r="C3" s="33">
        <v>0.7723553798745153</v>
      </c>
    </row>
    <row r="4" spans="1:3" x14ac:dyDescent="0.3">
      <c r="A4" s="31" t="s">
        <v>13</v>
      </c>
      <c r="B4" s="31" t="s">
        <v>43</v>
      </c>
      <c r="C4" s="33">
        <v>7.0000000000000007E-2</v>
      </c>
    </row>
    <row r="5" spans="1:3" x14ac:dyDescent="0.3">
      <c r="A5" s="31" t="s">
        <v>13</v>
      </c>
      <c r="B5" s="31" t="s">
        <v>44</v>
      </c>
      <c r="C5" s="33">
        <v>0.93</v>
      </c>
    </row>
    <row r="6" spans="1:3" x14ac:dyDescent="0.3">
      <c r="A6" s="31" t="s">
        <v>21</v>
      </c>
      <c r="B6" s="31" t="s">
        <v>43</v>
      </c>
      <c r="C6" s="33">
        <v>0.19296252036422679</v>
      </c>
    </row>
    <row r="7" spans="1:3" x14ac:dyDescent="0.3">
      <c r="A7" s="31" t="s">
        <v>21</v>
      </c>
      <c r="B7" s="31" t="s">
        <v>44</v>
      </c>
      <c r="C7" s="33">
        <v>0.80703747963577332</v>
      </c>
    </row>
    <row r="8" spans="1:3" x14ac:dyDescent="0.3">
      <c r="A8" s="31" t="s">
        <v>22</v>
      </c>
      <c r="B8" s="31" t="s">
        <v>43</v>
      </c>
      <c r="C8" s="33">
        <v>7.0000000000000007E-2</v>
      </c>
    </row>
    <row r="9" spans="1:3" x14ac:dyDescent="0.3">
      <c r="A9" s="31" t="s">
        <v>22</v>
      </c>
      <c r="B9" s="31" t="s">
        <v>44</v>
      </c>
      <c r="C9" s="33">
        <v>0.93</v>
      </c>
    </row>
    <row r="10" spans="1:3" x14ac:dyDescent="0.3">
      <c r="A10" s="31" t="s">
        <v>23</v>
      </c>
      <c r="B10" s="31" t="s">
        <v>43</v>
      </c>
      <c r="C10" s="33">
        <v>7.0000000000000007E-2</v>
      </c>
    </row>
    <row r="11" spans="1:3" x14ac:dyDescent="0.3">
      <c r="A11" s="31" t="s">
        <v>23</v>
      </c>
      <c r="B11" s="31" t="s">
        <v>44</v>
      </c>
      <c r="C11" s="33">
        <v>0.93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3B52-C613-45F2-BCEC-C9588C1CFA20}">
  <dimension ref="A1:D20"/>
  <sheetViews>
    <sheetView workbookViewId="0">
      <selection activeCell="D1" sqref="D1:D1048576"/>
    </sheetView>
  </sheetViews>
  <sheetFormatPr defaultColWidth="11.5546875" defaultRowHeight="14.4" x14ac:dyDescent="0.3"/>
  <cols>
    <col min="1" max="1" width="12.109375" bestFit="1" customWidth="1"/>
    <col min="2" max="2" width="5.6640625" bestFit="1" customWidth="1"/>
    <col min="3" max="3" width="5.44140625" bestFit="1" customWidth="1"/>
    <col min="4" max="4" width="12.5546875" bestFit="1" customWidth="1"/>
  </cols>
  <sheetData>
    <row r="1" spans="1:4" s="10" customFormat="1" ht="15" thickBot="1" x14ac:dyDescent="0.35">
      <c r="A1" s="16" t="s">
        <v>3</v>
      </c>
      <c r="B1" s="17" t="s">
        <v>4</v>
      </c>
      <c r="C1" s="17" t="s">
        <v>24</v>
      </c>
      <c r="D1" s="18" t="s">
        <v>25</v>
      </c>
    </row>
    <row r="2" spans="1:4" x14ac:dyDescent="0.3">
      <c r="A2" s="13" t="s">
        <v>11</v>
      </c>
      <c r="B2" s="13" t="s">
        <v>12</v>
      </c>
      <c r="C2" s="14">
        <v>0.5</v>
      </c>
      <c r="D2" s="15">
        <v>96</v>
      </c>
    </row>
    <row r="3" spans="1:4" x14ac:dyDescent="0.3">
      <c r="A3" s="1" t="s">
        <v>11</v>
      </c>
      <c r="B3" s="1" t="s">
        <v>12</v>
      </c>
      <c r="C3" s="11">
        <v>6</v>
      </c>
      <c r="D3" s="12">
        <v>93.01</v>
      </c>
    </row>
    <row r="4" spans="1:4" x14ac:dyDescent="0.3">
      <c r="A4" s="1" t="s">
        <v>11</v>
      </c>
      <c r="B4" s="1" t="s">
        <v>12</v>
      </c>
      <c r="C4" s="11">
        <v>11</v>
      </c>
      <c r="D4" s="12">
        <v>88.31</v>
      </c>
    </row>
    <row r="5" spans="1:4" x14ac:dyDescent="0.3">
      <c r="A5" s="1" t="s">
        <v>11</v>
      </c>
      <c r="B5" s="1" t="s">
        <v>12</v>
      </c>
      <c r="C5" s="11">
        <v>19</v>
      </c>
      <c r="D5" s="12">
        <v>85.45</v>
      </c>
    </row>
    <row r="6" spans="1:4" x14ac:dyDescent="0.3">
      <c r="A6" s="1" t="s">
        <v>14</v>
      </c>
      <c r="B6" s="1" t="s">
        <v>13</v>
      </c>
      <c r="C6" s="11">
        <v>0.5</v>
      </c>
      <c r="D6" s="12">
        <v>94.57</v>
      </c>
    </row>
    <row r="7" spans="1:4" x14ac:dyDescent="0.3">
      <c r="A7" s="1" t="s">
        <v>14</v>
      </c>
      <c r="B7" s="1" t="s">
        <v>13</v>
      </c>
      <c r="C7" s="11">
        <v>2</v>
      </c>
      <c r="D7" s="12">
        <v>94.17</v>
      </c>
    </row>
    <row r="8" spans="1:4" x14ac:dyDescent="0.3">
      <c r="A8" s="1" t="s">
        <v>14</v>
      </c>
      <c r="B8" s="1" t="s">
        <v>13</v>
      </c>
      <c r="C8" s="11">
        <v>3</v>
      </c>
      <c r="D8" s="12">
        <v>93.97</v>
      </c>
    </row>
    <row r="9" spans="1:4" x14ac:dyDescent="0.3">
      <c r="A9" s="1" t="s">
        <v>14</v>
      </c>
      <c r="B9" s="1" t="s">
        <v>13</v>
      </c>
      <c r="C9" s="11">
        <v>4</v>
      </c>
      <c r="D9" s="12">
        <v>92.87</v>
      </c>
    </row>
    <row r="10" spans="1:4" x14ac:dyDescent="0.3">
      <c r="A10" s="1" t="s">
        <v>14</v>
      </c>
      <c r="B10" s="1" t="s">
        <v>13</v>
      </c>
      <c r="C10" s="11">
        <v>20</v>
      </c>
      <c r="D10" s="12">
        <v>91.12</v>
      </c>
    </row>
    <row r="11" spans="1:4" x14ac:dyDescent="0.3">
      <c r="A11" s="1" t="s">
        <v>15</v>
      </c>
      <c r="B11" s="1" t="s">
        <v>21</v>
      </c>
      <c r="C11" s="11">
        <v>0.5</v>
      </c>
      <c r="D11" s="12">
        <v>96.44</v>
      </c>
    </row>
    <row r="12" spans="1:4" x14ac:dyDescent="0.3">
      <c r="A12" s="1" t="s">
        <v>15</v>
      </c>
      <c r="B12" s="1" t="s">
        <v>21</v>
      </c>
      <c r="C12" s="11">
        <v>6</v>
      </c>
      <c r="D12" s="12">
        <v>94.71</v>
      </c>
    </row>
    <row r="13" spans="1:4" x14ac:dyDescent="0.3">
      <c r="A13" s="1" t="s">
        <v>15</v>
      </c>
      <c r="B13" s="1" t="s">
        <v>21</v>
      </c>
      <c r="C13" s="11">
        <v>11</v>
      </c>
      <c r="D13" s="12">
        <v>84.29</v>
      </c>
    </row>
    <row r="14" spans="1:4" x14ac:dyDescent="0.3">
      <c r="A14" s="1" t="s">
        <v>14</v>
      </c>
      <c r="B14" s="1" t="s">
        <v>22</v>
      </c>
      <c r="C14" s="11">
        <v>2</v>
      </c>
      <c r="D14" s="12">
        <v>97.56</v>
      </c>
    </row>
    <row r="15" spans="1:4" x14ac:dyDescent="0.3">
      <c r="A15" s="1" t="s">
        <v>14</v>
      </c>
      <c r="B15" s="1" t="s">
        <v>22</v>
      </c>
      <c r="C15" s="11">
        <v>4</v>
      </c>
      <c r="D15" s="12">
        <v>96.49</v>
      </c>
    </row>
    <row r="16" spans="1:4" x14ac:dyDescent="0.3">
      <c r="A16" s="1" t="s">
        <v>14</v>
      </c>
      <c r="B16" s="1" t="s">
        <v>22</v>
      </c>
      <c r="C16" s="11">
        <v>5</v>
      </c>
      <c r="D16" s="12">
        <v>96.38</v>
      </c>
    </row>
    <row r="17" spans="1:4" x14ac:dyDescent="0.3">
      <c r="A17" s="1" t="s">
        <v>14</v>
      </c>
      <c r="B17" s="1" t="s">
        <v>22</v>
      </c>
      <c r="C17" s="11">
        <v>11</v>
      </c>
      <c r="D17" s="12">
        <v>95.08</v>
      </c>
    </row>
    <row r="18" spans="1:4" x14ac:dyDescent="0.3">
      <c r="A18" s="1" t="s">
        <v>14</v>
      </c>
      <c r="B18" s="1" t="s">
        <v>23</v>
      </c>
      <c r="C18" s="11">
        <v>0.5</v>
      </c>
      <c r="D18" s="12">
        <v>96.95</v>
      </c>
    </row>
    <row r="19" spans="1:4" x14ac:dyDescent="0.3">
      <c r="A19" s="1" t="s">
        <v>14</v>
      </c>
      <c r="B19" s="1" t="s">
        <v>23</v>
      </c>
      <c r="C19" s="11">
        <v>5</v>
      </c>
      <c r="D19" s="12">
        <v>95.51</v>
      </c>
    </row>
    <row r="20" spans="1:4" x14ac:dyDescent="0.3">
      <c r="A20" s="1" t="s">
        <v>14</v>
      </c>
      <c r="B20" s="1" t="s">
        <v>23</v>
      </c>
      <c r="C20" s="11">
        <v>6</v>
      </c>
      <c r="D20" s="12">
        <v>94.39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CA6D-B359-469D-BCFA-0D1A2EFC1F75}">
  <dimension ref="A1:F116"/>
  <sheetViews>
    <sheetView topLeftCell="A56" workbookViewId="0">
      <selection activeCell="D69" sqref="D69"/>
    </sheetView>
  </sheetViews>
  <sheetFormatPr defaultColWidth="11.5546875" defaultRowHeight="14.4" x14ac:dyDescent="0.3"/>
  <cols>
    <col min="1" max="1" width="28.44140625" style="30" bestFit="1" customWidth="1"/>
    <col min="2" max="3" width="14.6640625" style="20" bestFit="1" customWidth="1"/>
    <col min="4" max="5" width="16.44140625" style="20" bestFit="1" customWidth="1"/>
    <col min="6" max="6" width="14.44140625" style="20" bestFit="1" customWidth="1"/>
  </cols>
  <sheetData>
    <row r="1" spans="1:6" x14ac:dyDescent="0.3">
      <c r="A1" s="24" t="s">
        <v>37</v>
      </c>
      <c r="B1" s="25" t="s">
        <v>38</v>
      </c>
      <c r="C1" s="25" t="s">
        <v>39</v>
      </c>
      <c r="D1" s="25" t="s">
        <v>40</v>
      </c>
      <c r="E1" s="25" t="s">
        <v>41</v>
      </c>
      <c r="F1" s="25" t="s">
        <v>42</v>
      </c>
    </row>
    <row r="2" spans="1:6" x14ac:dyDescent="0.3">
      <c r="A2" s="26" t="s">
        <v>74</v>
      </c>
      <c r="B2" s="27"/>
      <c r="C2" s="27"/>
      <c r="D2" s="28">
        <v>2.531833824349838E-2</v>
      </c>
      <c r="E2" s="28">
        <v>2.2825345339231466E-2</v>
      </c>
      <c r="F2" s="29">
        <f>AVERAGE(D2:E2)</f>
        <v>2.4071841791364922E-2</v>
      </c>
    </row>
    <row r="3" spans="1:6" x14ac:dyDescent="0.3">
      <c r="A3" s="26" t="s">
        <v>75</v>
      </c>
      <c r="B3" s="27"/>
      <c r="C3" s="27"/>
      <c r="D3" s="28"/>
      <c r="E3" s="28"/>
      <c r="F3" s="29"/>
    </row>
    <row r="4" spans="1:6" x14ac:dyDescent="0.3">
      <c r="A4" s="26" t="s">
        <v>76</v>
      </c>
      <c r="B4" s="27"/>
      <c r="C4" s="27"/>
      <c r="D4" s="28">
        <v>5.4380673324749369E-3</v>
      </c>
      <c r="E4" s="28">
        <v>4.4807178900383039E-3</v>
      </c>
      <c r="F4" s="29">
        <f t="shared" ref="F4:F55" si="0">AVERAGE(D4:E4)</f>
        <v>4.9593926112566199E-3</v>
      </c>
    </row>
    <row r="5" spans="1:6" x14ac:dyDescent="0.3">
      <c r="A5" s="26" t="s">
        <v>77</v>
      </c>
      <c r="B5" s="27"/>
      <c r="C5" s="27"/>
      <c r="D5" s="28"/>
      <c r="E5" s="28"/>
      <c r="F5" s="29"/>
    </row>
    <row r="6" spans="1:6" x14ac:dyDescent="0.3">
      <c r="A6" s="26" t="s">
        <v>78</v>
      </c>
      <c r="B6" s="27"/>
      <c r="C6" s="27"/>
      <c r="D6" s="28">
        <v>-2.1319415623320377E-3</v>
      </c>
      <c r="E6" s="28">
        <v>-4.6476855209575483E-3</v>
      </c>
      <c r="F6" s="29">
        <f t="shared" si="0"/>
        <v>-3.389813541644793E-3</v>
      </c>
    </row>
    <row r="7" spans="1:6" x14ac:dyDescent="0.3">
      <c r="A7" s="26" t="s">
        <v>79</v>
      </c>
      <c r="B7" s="27"/>
      <c r="C7" s="27"/>
      <c r="D7" s="28">
        <v>3.0829762903965708E-3</v>
      </c>
      <c r="E7" s="28">
        <v>4.0019080218821404E-3</v>
      </c>
      <c r="F7" s="29">
        <f t="shared" si="0"/>
        <v>3.5424421561393556E-3</v>
      </c>
    </row>
    <row r="8" spans="1:6" x14ac:dyDescent="0.3">
      <c r="A8" s="26" t="s">
        <v>80</v>
      </c>
      <c r="B8" s="27"/>
      <c r="C8" s="27"/>
      <c r="D8" s="28">
        <v>1.308591995897458E-2</v>
      </c>
      <c r="E8" s="28">
        <v>7.7611965727693334E-3</v>
      </c>
      <c r="F8" s="29">
        <f t="shared" si="0"/>
        <v>1.0423558265871956E-2</v>
      </c>
    </row>
    <row r="9" spans="1:6" x14ac:dyDescent="0.3">
      <c r="A9" s="26" t="s">
        <v>81</v>
      </c>
      <c r="B9" s="27"/>
      <c r="C9" s="27"/>
      <c r="D9" s="28">
        <v>5.0298886815199249E-2</v>
      </c>
      <c r="E9" s="28">
        <v>4.352016855070958E-2</v>
      </c>
      <c r="F9" s="29">
        <f t="shared" si="0"/>
        <v>4.6909527682954415E-2</v>
      </c>
    </row>
    <row r="10" spans="1:6" x14ac:dyDescent="0.3">
      <c r="A10" s="26" t="s">
        <v>82</v>
      </c>
      <c r="B10" s="27"/>
      <c r="C10" s="27"/>
      <c r="D10" s="28">
        <v>2.6611095892115516E-3</v>
      </c>
      <c r="E10" s="28">
        <v>-2.8771764067874475E-4</v>
      </c>
      <c r="F10" s="29">
        <f t="shared" si="0"/>
        <v>1.1866959742664034E-3</v>
      </c>
    </row>
    <row r="11" spans="1:6" x14ac:dyDescent="0.3">
      <c r="A11" s="26" t="s">
        <v>83</v>
      </c>
      <c r="B11" s="27"/>
      <c r="C11" s="27"/>
      <c r="D11" s="28">
        <v>-7.2190525518334712E-4</v>
      </c>
      <c r="E11" s="28">
        <v>2.7307235137029682E-3</v>
      </c>
      <c r="F11" s="29">
        <f t="shared" si="0"/>
        <v>1.0044091292598105E-3</v>
      </c>
    </row>
    <row r="12" spans="1:6" x14ac:dyDescent="0.3">
      <c r="A12" s="26" t="s">
        <v>84</v>
      </c>
      <c r="B12" s="27"/>
      <c r="C12" s="27"/>
      <c r="D12" s="28">
        <v>2.1252303415801024E-3</v>
      </c>
      <c r="E12" s="28">
        <v>-1.5070457358373657E-3</v>
      </c>
      <c r="F12" s="29">
        <f t="shared" si="0"/>
        <v>3.0909230287136835E-4</v>
      </c>
    </row>
    <row r="13" spans="1:6" x14ac:dyDescent="0.3">
      <c r="A13" s="26" t="s">
        <v>85</v>
      </c>
      <c r="B13" s="27"/>
      <c r="C13" s="27"/>
      <c r="D13" s="28">
        <v>3.9413506830642056E-3</v>
      </c>
      <c r="E13" s="28">
        <v>2.4690693888051178E-3</v>
      </c>
      <c r="F13" s="29">
        <f t="shared" si="0"/>
        <v>3.2052100359346615E-3</v>
      </c>
    </row>
    <row r="14" spans="1:6" x14ac:dyDescent="0.3">
      <c r="A14" s="26" t="s">
        <v>86</v>
      </c>
      <c r="B14" s="27"/>
      <c r="C14" s="27"/>
      <c r="D14" s="28">
        <v>4.5640853127468156E-2</v>
      </c>
      <c r="E14" s="28">
        <v>4.1405920154100169E-2</v>
      </c>
      <c r="F14" s="29">
        <f t="shared" si="0"/>
        <v>4.3523386640784159E-2</v>
      </c>
    </row>
    <row r="15" spans="1:6" x14ac:dyDescent="0.3">
      <c r="A15" s="26" t="s">
        <v>87</v>
      </c>
      <c r="B15" s="27"/>
      <c r="C15" s="27"/>
      <c r="D15" s="28">
        <v>4.9688401684648102E-2</v>
      </c>
      <c r="E15" s="28">
        <v>4.9218494333334674E-2</v>
      </c>
      <c r="F15" s="29">
        <f t="shared" si="0"/>
        <v>4.9453448008991388E-2</v>
      </c>
    </row>
    <row r="16" spans="1:6" x14ac:dyDescent="0.3">
      <c r="A16" s="26" t="s">
        <v>88</v>
      </c>
      <c r="B16" s="27"/>
      <c r="C16" s="27"/>
      <c r="D16" s="28">
        <v>7.9680965045878446E-3</v>
      </c>
      <c r="E16" s="28">
        <v>6.452217307525026E-3</v>
      </c>
      <c r="F16" s="29">
        <f t="shared" si="0"/>
        <v>7.2101569060564353E-3</v>
      </c>
    </row>
    <row r="17" spans="1:6" x14ac:dyDescent="0.3">
      <c r="A17" s="26" t="s">
        <v>89</v>
      </c>
      <c r="B17" s="27"/>
      <c r="C17" s="27"/>
      <c r="D17" s="28">
        <v>2.6746847279011717E-2</v>
      </c>
      <c r="E17" s="28">
        <v>2.195073353035901E-2</v>
      </c>
      <c r="F17" s="29">
        <f t="shared" si="0"/>
        <v>2.4348790404685364E-2</v>
      </c>
    </row>
    <row r="18" spans="1:6" x14ac:dyDescent="0.3">
      <c r="A18" s="26" t="s">
        <v>90</v>
      </c>
      <c r="B18" s="27"/>
      <c r="C18" s="27"/>
      <c r="D18" s="28">
        <v>3.4761318765991006E-2</v>
      </c>
      <c r="E18" s="28">
        <v>3.21771480595823E-2</v>
      </c>
      <c r="F18" s="29">
        <f t="shared" si="0"/>
        <v>3.3469233412786653E-2</v>
      </c>
    </row>
    <row r="19" spans="1:6" x14ac:dyDescent="0.3">
      <c r="A19" s="26" t="s">
        <v>91</v>
      </c>
      <c r="B19" s="27"/>
      <c r="C19" s="27"/>
      <c r="D19" s="28">
        <v>3.5168416687440997E-3</v>
      </c>
      <c r="E19" s="28">
        <v>2.075094930523701E-3</v>
      </c>
      <c r="F19" s="29">
        <f t="shared" si="0"/>
        <v>2.7959682996339004E-3</v>
      </c>
    </row>
    <row r="20" spans="1:6" x14ac:dyDescent="0.3">
      <c r="A20" s="26" t="s">
        <v>92</v>
      </c>
      <c r="B20" s="27"/>
      <c r="C20" s="27"/>
      <c r="D20" s="28">
        <v>2.3959680462789706E-2</v>
      </c>
      <c r="E20" s="28">
        <v>2.0051622972577492E-2</v>
      </c>
      <c r="F20" s="29">
        <f t="shared" si="0"/>
        <v>2.2005651717683601E-2</v>
      </c>
    </row>
    <row r="21" spans="1:6" x14ac:dyDescent="0.3">
      <c r="A21" s="26" t="s">
        <v>93</v>
      </c>
      <c r="B21" s="27"/>
      <c r="C21" s="27"/>
      <c r="D21" s="28">
        <v>2.4754205369927943E-3</v>
      </c>
      <c r="E21" s="28">
        <v>1.1706767006102949E-3</v>
      </c>
      <c r="F21" s="29">
        <f t="shared" si="0"/>
        <v>1.8230486188015446E-3</v>
      </c>
    </row>
    <row r="22" spans="1:6" x14ac:dyDescent="0.3">
      <c r="A22" s="26" t="s">
        <v>94</v>
      </c>
      <c r="B22" s="27"/>
      <c r="C22" s="27"/>
      <c r="D22" s="28">
        <v>8.7578792209010315E-3</v>
      </c>
      <c r="E22" s="28">
        <v>6.2203823370167374E-3</v>
      </c>
      <c r="F22" s="29">
        <f t="shared" si="0"/>
        <v>7.4891307789588845E-3</v>
      </c>
    </row>
    <row r="23" spans="1:6" x14ac:dyDescent="0.3">
      <c r="A23" s="26" t="s">
        <v>95</v>
      </c>
      <c r="B23" s="27"/>
      <c r="C23" s="27"/>
      <c r="D23" s="28">
        <v>7.2897899539384903E-3</v>
      </c>
      <c r="E23" s="28">
        <v>5.1362137896368296E-3</v>
      </c>
      <c r="F23" s="29">
        <f t="shared" si="0"/>
        <v>6.2130018717876604E-3</v>
      </c>
    </row>
    <row r="24" spans="1:6" x14ac:dyDescent="0.3">
      <c r="A24" s="26" t="s">
        <v>96</v>
      </c>
      <c r="B24" s="27"/>
      <c r="C24" s="27"/>
      <c r="D24" s="28">
        <v>3.3831562973654448E-3</v>
      </c>
      <c r="E24" s="28">
        <v>2.3336999425608894E-3</v>
      </c>
      <c r="F24" s="29">
        <f t="shared" si="0"/>
        <v>2.8584281199631671E-3</v>
      </c>
    </row>
    <row r="25" spans="1:6" x14ac:dyDescent="0.3">
      <c r="A25" s="26" t="s">
        <v>97</v>
      </c>
      <c r="B25" s="27"/>
      <c r="C25" s="27"/>
      <c r="D25" s="28">
        <v>3.0204202721700449E-2</v>
      </c>
      <c r="E25" s="28">
        <v>2.3613624881413491E-2</v>
      </c>
      <c r="F25" s="29">
        <f t="shared" si="0"/>
        <v>2.690891380155697E-2</v>
      </c>
    </row>
    <row r="26" spans="1:6" x14ac:dyDescent="0.3">
      <c r="A26" s="26" t="s">
        <v>98</v>
      </c>
      <c r="B26" s="27"/>
      <c r="C26" s="27"/>
      <c r="D26" s="28">
        <v>1.5259452779712332E-3</v>
      </c>
      <c r="E26" s="28">
        <v>8.4506926810941287E-4</v>
      </c>
      <c r="F26" s="29">
        <f t="shared" si="0"/>
        <v>1.1855072730403231E-3</v>
      </c>
    </row>
    <row r="27" spans="1:6" x14ac:dyDescent="0.3">
      <c r="A27" s="26" t="s">
        <v>99</v>
      </c>
      <c r="B27" s="27"/>
      <c r="C27" s="27"/>
      <c r="D27" s="28">
        <v>3.1916135252317637E-3</v>
      </c>
      <c r="E27" s="28">
        <v>1.7385479847218544E-3</v>
      </c>
      <c r="F27" s="29">
        <f t="shared" si="0"/>
        <v>2.4650807549768091E-3</v>
      </c>
    </row>
    <row r="28" spans="1:6" x14ac:dyDescent="0.3">
      <c r="A28" s="26" t="s">
        <v>100</v>
      </c>
      <c r="B28" s="27"/>
      <c r="C28" s="27"/>
      <c r="D28" s="28">
        <v>3.8352660099908335E-2</v>
      </c>
      <c r="E28" s="28">
        <v>3.1426280881767694E-2</v>
      </c>
      <c r="F28" s="29">
        <f t="shared" si="0"/>
        <v>3.4889470490838015E-2</v>
      </c>
    </row>
    <row r="29" spans="1:6" x14ac:dyDescent="0.3">
      <c r="A29" s="26" t="s">
        <v>101</v>
      </c>
      <c r="B29" s="27"/>
      <c r="C29" s="27"/>
      <c r="D29" s="28"/>
      <c r="E29" s="28"/>
      <c r="F29" s="29"/>
    </row>
    <row r="30" spans="1:6" x14ac:dyDescent="0.3">
      <c r="A30" s="26" t="s">
        <v>102</v>
      </c>
      <c r="B30" s="27"/>
      <c r="C30" s="27"/>
      <c r="D30" s="28">
        <v>2.9883886157018253E-3</v>
      </c>
      <c r="E30" s="28">
        <v>4.8500588818063391E-4</v>
      </c>
      <c r="F30" s="29">
        <f t="shared" si="0"/>
        <v>1.7366972519412295E-3</v>
      </c>
    </row>
    <row r="31" spans="1:6" x14ac:dyDescent="0.3">
      <c r="A31" s="26" t="s">
        <v>103</v>
      </c>
      <c r="B31" s="27"/>
      <c r="C31" s="27"/>
      <c r="D31" s="28">
        <v>1.2963619389546537E-2</v>
      </c>
      <c r="E31" s="28">
        <v>8.4177767446435743E-3</v>
      </c>
      <c r="F31" s="29">
        <f t="shared" si="0"/>
        <v>1.0690698067095055E-2</v>
      </c>
    </row>
    <row r="32" spans="1:6" x14ac:dyDescent="0.3">
      <c r="A32" s="26" t="s">
        <v>104</v>
      </c>
      <c r="B32" s="27"/>
      <c r="C32" s="27"/>
      <c r="D32" s="28">
        <v>8.9010199030598019E-3</v>
      </c>
      <c r="E32" s="28">
        <v>5.4341675963141475E-3</v>
      </c>
      <c r="F32" s="29">
        <f t="shared" si="0"/>
        <v>7.1675937496869747E-3</v>
      </c>
    </row>
    <row r="33" spans="1:6" x14ac:dyDescent="0.3">
      <c r="A33" s="26" t="s">
        <v>105</v>
      </c>
      <c r="B33" s="27"/>
      <c r="C33" s="27"/>
      <c r="D33" s="28">
        <v>5.1884196175734976E-2</v>
      </c>
      <c r="E33" s="28">
        <v>5.799433401950814E-2</v>
      </c>
      <c r="F33" s="29">
        <f t="shared" si="0"/>
        <v>5.4939265097621558E-2</v>
      </c>
    </row>
    <row r="34" spans="1:6" x14ac:dyDescent="0.3">
      <c r="A34" s="26" t="s">
        <v>106</v>
      </c>
      <c r="B34" s="27"/>
      <c r="C34" s="27"/>
      <c r="D34" s="28"/>
      <c r="E34" s="28"/>
      <c r="F34" s="29"/>
    </row>
    <row r="35" spans="1:6" x14ac:dyDescent="0.3">
      <c r="A35" s="26" t="s">
        <v>107</v>
      </c>
      <c r="B35" s="27"/>
      <c r="C35" s="27"/>
      <c r="D35" s="28">
        <v>1.4187198096581651E-3</v>
      </c>
      <c r="E35" s="28">
        <v>-6.5346235540830874E-4</v>
      </c>
      <c r="F35" s="29">
        <f t="shared" si="0"/>
        <v>3.8262872712492818E-4</v>
      </c>
    </row>
    <row r="36" spans="1:6" x14ac:dyDescent="0.3">
      <c r="A36" s="26" t="s">
        <v>108</v>
      </c>
      <c r="B36" s="27"/>
      <c r="C36" s="27"/>
      <c r="D36" s="28">
        <v>2.181990855040265E-2</v>
      </c>
      <c r="E36" s="28">
        <v>1.8427427253847113E-2</v>
      </c>
      <c r="F36" s="29">
        <f t="shared" si="0"/>
        <v>2.012366790212488E-2</v>
      </c>
    </row>
    <row r="37" spans="1:6" x14ac:dyDescent="0.3">
      <c r="A37" s="26" t="s">
        <v>109</v>
      </c>
      <c r="B37" s="27"/>
      <c r="C37" s="27"/>
      <c r="D37" s="28">
        <v>3.1615432636827052E-3</v>
      </c>
      <c r="E37" s="28">
        <v>-1.6115476189727761E-3</v>
      </c>
      <c r="F37" s="29">
        <f t="shared" si="0"/>
        <v>7.7499782235496454E-4</v>
      </c>
    </row>
    <row r="38" spans="1:6" x14ac:dyDescent="0.3">
      <c r="A38" s="26" t="s">
        <v>110</v>
      </c>
      <c r="B38" s="27"/>
      <c r="C38" s="27"/>
      <c r="D38" s="28">
        <v>2.3726130307898094E-2</v>
      </c>
      <c r="E38" s="28">
        <v>2.3310155038052047E-2</v>
      </c>
      <c r="F38" s="29">
        <f t="shared" si="0"/>
        <v>2.351814267297507E-2</v>
      </c>
    </row>
    <row r="39" spans="1:6" x14ac:dyDescent="0.3">
      <c r="A39" s="26" t="s">
        <v>111</v>
      </c>
      <c r="B39" s="27"/>
      <c r="C39" s="27"/>
      <c r="D39" s="28">
        <v>1.1685729962998144E-2</v>
      </c>
      <c r="E39" s="28">
        <v>1.0261872422752717E-2</v>
      </c>
      <c r="F39" s="29">
        <f t="shared" si="0"/>
        <v>1.0973801192875429E-2</v>
      </c>
    </row>
    <row r="40" spans="1:6" x14ac:dyDescent="0.3">
      <c r="A40" s="26" t="s">
        <v>112</v>
      </c>
      <c r="B40" s="27"/>
      <c r="C40" s="27"/>
      <c r="D40" s="28">
        <v>4.9836963773524567E-3</v>
      </c>
      <c r="E40" s="28">
        <v>1.4822497234931473E-3</v>
      </c>
      <c r="F40" s="29">
        <f t="shared" si="0"/>
        <v>3.2329730504228019E-3</v>
      </c>
    </row>
    <row r="41" spans="1:6" x14ac:dyDescent="0.3">
      <c r="A41" s="26" t="s">
        <v>113</v>
      </c>
      <c r="B41" s="27"/>
      <c r="C41" s="27"/>
      <c r="D41" s="28">
        <v>6.2653014645955383E-3</v>
      </c>
      <c r="E41" s="28">
        <v>6.3143207440345293E-3</v>
      </c>
      <c r="F41" s="29">
        <f t="shared" si="0"/>
        <v>6.2898111043150334E-3</v>
      </c>
    </row>
    <row r="42" spans="1:6" x14ac:dyDescent="0.3">
      <c r="A42" s="26" t="s">
        <v>114</v>
      </c>
      <c r="B42" s="27"/>
      <c r="C42" s="27"/>
      <c r="D42" s="28">
        <v>1.487827459669578E-2</v>
      </c>
      <c r="E42" s="28">
        <v>1.2969045539238224E-2</v>
      </c>
      <c r="F42" s="29">
        <f t="shared" si="0"/>
        <v>1.3923660067967001E-2</v>
      </c>
    </row>
    <row r="43" spans="1:6" x14ac:dyDescent="0.3">
      <c r="A43" s="26" t="s">
        <v>115</v>
      </c>
      <c r="B43" s="27"/>
      <c r="C43" s="27"/>
      <c r="D43" s="28">
        <v>2.4446292776831087E-2</v>
      </c>
      <c r="E43" s="28">
        <v>2.300633608629284E-2</v>
      </c>
      <c r="F43" s="29">
        <f t="shared" si="0"/>
        <v>2.3726314431561965E-2</v>
      </c>
    </row>
    <row r="44" spans="1:6" x14ac:dyDescent="0.3">
      <c r="A44" s="26" t="s">
        <v>116</v>
      </c>
      <c r="B44" s="27"/>
      <c r="C44" s="27"/>
      <c r="D44" s="28">
        <v>5.9594600320452148E-4</v>
      </c>
      <c r="E44" s="28">
        <v>6.6702085346792236E-4</v>
      </c>
      <c r="F44" s="29">
        <f t="shared" si="0"/>
        <v>6.3148342833622192E-4</v>
      </c>
    </row>
    <row r="45" spans="1:6" x14ac:dyDescent="0.3">
      <c r="A45" s="26" t="s">
        <v>117</v>
      </c>
      <c r="B45" s="27"/>
      <c r="C45" s="27"/>
      <c r="D45" s="28">
        <v>7.6097379003466081E-2</v>
      </c>
      <c r="E45" s="28">
        <v>6.9031109151898182E-2</v>
      </c>
      <c r="F45" s="29">
        <f t="shared" si="0"/>
        <v>7.2564244077682138E-2</v>
      </c>
    </row>
    <row r="46" spans="1:6" x14ac:dyDescent="0.3">
      <c r="A46" s="26" t="s">
        <v>118</v>
      </c>
      <c r="B46" s="27"/>
      <c r="C46" s="27"/>
      <c r="D46" s="28">
        <v>7.3902579115898513E-3</v>
      </c>
      <c r="E46" s="28">
        <v>4.4510506131250436E-3</v>
      </c>
      <c r="F46" s="29">
        <f t="shared" si="0"/>
        <v>5.9206542623574474E-3</v>
      </c>
    </row>
    <row r="47" spans="1:6" x14ac:dyDescent="0.3">
      <c r="A47" s="26" t="s">
        <v>119</v>
      </c>
      <c r="B47" s="27"/>
      <c r="C47" s="27"/>
      <c r="D47" s="28">
        <v>5.0487960969092614E-3</v>
      </c>
      <c r="E47" s="28">
        <v>4.7468335845282372E-3</v>
      </c>
      <c r="F47" s="29">
        <f t="shared" si="0"/>
        <v>4.8978148407187493E-3</v>
      </c>
    </row>
    <row r="48" spans="1:6" x14ac:dyDescent="0.3">
      <c r="A48" s="26" t="s">
        <v>120</v>
      </c>
      <c r="B48" s="27"/>
      <c r="C48" s="27"/>
      <c r="D48" s="28">
        <v>2.1889870739430785E-3</v>
      </c>
      <c r="E48" s="28">
        <v>3.2029468189678843E-3</v>
      </c>
      <c r="F48" s="29">
        <f t="shared" si="0"/>
        <v>2.6959669464554814E-3</v>
      </c>
    </row>
    <row r="49" spans="1:6" x14ac:dyDescent="0.3">
      <c r="A49" s="26" t="s">
        <v>121</v>
      </c>
      <c r="B49" s="27"/>
      <c r="C49" s="27"/>
      <c r="D49" s="28">
        <v>1.8952672033610236E-2</v>
      </c>
      <c r="E49" s="28">
        <v>1.8940399219298062E-2</v>
      </c>
      <c r="F49" s="29">
        <f t="shared" si="0"/>
        <v>1.8946535626454149E-2</v>
      </c>
    </row>
    <row r="50" spans="1:6" x14ac:dyDescent="0.3">
      <c r="A50" s="26" t="s">
        <v>122</v>
      </c>
      <c r="B50" s="27"/>
      <c r="C50" s="27"/>
      <c r="D50" s="28">
        <v>5.1209184967922726E-2</v>
      </c>
      <c r="E50" s="28">
        <v>4.0074708978820962E-2</v>
      </c>
      <c r="F50" s="29">
        <f t="shared" si="0"/>
        <v>4.5641946973371844E-2</v>
      </c>
    </row>
    <row r="51" spans="1:6" x14ac:dyDescent="0.3">
      <c r="A51" s="26" t="s">
        <v>123</v>
      </c>
      <c r="B51" s="27"/>
      <c r="C51" s="27"/>
      <c r="D51" s="28">
        <v>3.2355375639130584E-4</v>
      </c>
      <c r="E51" s="28">
        <v>2.8913241670284555E-3</v>
      </c>
      <c r="F51" s="29">
        <f t="shared" si="0"/>
        <v>1.6074389617098807E-3</v>
      </c>
    </row>
    <row r="52" spans="1:6" x14ac:dyDescent="0.3">
      <c r="A52" s="26" t="s">
        <v>124</v>
      </c>
      <c r="B52" s="27"/>
      <c r="C52" s="27"/>
      <c r="D52" s="28">
        <v>1.235128591308751E-2</v>
      </c>
      <c r="E52" s="28">
        <v>1.0440793897416593E-2</v>
      </c>
      <c r="F52" s="29">
        <f t="shared" si="0"/>
        <v>1.1396039905252051E-2</v>
      </c>
    </row>
    <row r="53" spans="1:6" x14ac:dyDescent="0.3">
      <c r="A53" s="26" t="s">
        <v>125</v>
      </c>
      <c r="B53" s="27"/>
      <c r="C53" s="27"/>
      <c r="D53" s="28">
        <v>2.044219529176659E-3</v>
      </c>
      <c r="E53" s="28">
        <v>1.0469666622668094E-3</v>
      </c>
      <c r="F53" s="29">
        <f t="shared" si="0"/>
        <v>1.5455930957217342E-3</v>
      </c>
    </row>
    <row r="54" spans="1:6" x14ac:dyDescent="0.3">
      <c r="A54" s="26" t="s">
        <v>126</v>
      </c>
      <c r="B54" s="27"/>
      <c r="C54" s="27"/>
      <c r="D54" s="28">
        <v>4.2470236327704636E-3</v>
      </c>
      <c r="E54" s="28">
        <v>1.6292729155887706E-3</v>
      </c>
      <c r="F54" s="29">
        <f t="shared" si="0"/>
        <v>2.9381482741796172E-3</v>
      </c>
    </row>
    <row r="55" spans="1:6" x14ac:dyDescent="0.3">
      <c r="A55" s="26" t="s">
        <v>127</v>
      </c>
      <c r="B55" s="27"/>
      <c r="C55" s="27"/>
      <c r="D55" s="28">
        <v>1.1563525373740693E-2</v>
      </c>
      <c r="E55" s="28">
        <v>1.0975616492690106E-2</v>
      </c>
      <c r="F55" s="29">
        <f t="shared" si="0"/>
        <v>1.12695709332154E-2</v>
      </c>
    </row>
    <row r="56" spans="1:6" x14ac:dyDescent="0.3">
      <c r="A56" s="37" t="s">
        <v>129</v>
      </c>
      <c r="B56" s="47"/>
      <c r="C56" s="47"/>
      <c r="D56" s="48">
        <f>MAX(D2:D55)</f>
        <v>7.6097379003466081E-2</v>
      </c>
      <c r="E56" s="48">
        <f>MAX(E2:E55)</f>
        <v>6.9031109151898182E-2</v>
      </c>
      <c r="F56" s="48">
        <f>MAX(F2:F55)</f>
        <v>7.2564244077682138E-2</v>
      </c>
    </row>
    <row r="57" spans="1:6" x14ac:dyDescent="0.3">
      <c r="A57" s="37" t="s">
        <v>130</v>
      </c>
      <c r="B57" s="47"/>
      <c r="C57" s="47"/>
      <c r="D57" s="48">
        <f t="shared" ref="D57:F57" si="1">MAX(D3:D56)</f>
        <v>7.6097379003466081E-2</v>
      </c>
      <c r="E57" s="48">
        <f t="shared" si="1"/>
        <v>6.9031109151898182E-2</v>
      </c>
      <c r="F57" s="48">
        <f t="shared" si="1"/>
        <v>7.2564244077682138E-2</v>
      </c>
    </row>
    <row r="58" spans="1:6" x14ac:dyDescent="0.3">
      <c r="A58" s="37" t="s">
        <v>131</v>
      </c>
      <c r="B58" s="47"/>
      <c r="C58" s="47"/>
      <c r="D58" s="48">
        <f t="shared" ref="D58:F58" si="2">MAX(D4:D57)</f>
        <v>7.6097379003466081E-2</v>
      </c>
      <c r="E58" s="48">
        <f t="shared" si="2"/>
        <v>6.9031109151898182E-2</v>
      </c>
      <c r="F58" s="48">
        <f t="shared" si="2"/>
        <v>7.2564244077682138E-2</v>
      </c>
    </row>
    <row r="59" spans="1:6" x14ac:dyDescent="0.3">
      <c r="A59" s="37" t="s">
        <v>132</v>
      </c>
      <c r="B59" s="47"/>
      <c r="C59" s="47"/>
      <c r="D59" s="48">
        <f t="shared" ref="D59:F59" si="3">MAX(D5:D58)</f>
        <v>7.6097379003466081E-2</v>
      </c>
      <c r="E59" s="48">
        <f t="shared" si="3"/>
        <v>6.9031109151898182E-2</v>
      </c>
      <c r="F59" s="48">
        <f t="shared" si="3"/>
        <v>7.2564244077682138E-2</v>
      </c>
    </row>
    <row r="60" spans="1:6" x14ac:dyDescent="0.3">
      <c r="A60" s="37" t="s">
        <v>133</v>
      </c>
      <c r="B60" s="47"/>
      <c r="C60" s="47"/>
      <c r="D60" s="48">
        <f t="shared" ref="D60:F60" si="4">MAX(D6:D59)</f>
        <v>7.6097379003466081E-2</v>
      </c>
      <c r="E60" s="48">
        <f t="shared" si="4"/>
        <v>6.9031109151898182E-2</v>
      </c>
      <c r="F60" s="48">
        <f t="shared" si="4"/>
        <v>7.2564244077682138E-2</v>
      </c>
    </row>
    <row r="61" spans="1:6" x14ac:dyDescent="0.3">
      <c r="A61" s="46"/>
      <c r="B61" s="47"/>
      <c r="C61" s="47"/>
      <c r="D61" s="48"/>
      <c r="E61" s="48"/>
      <c r="F61" s="49"/>
    </row>
    <row r="62" spans="1:6" x14ac:dyDescent="0.3">
      <c r="A62" s="46"/>
      <c r="B62" s="47"/>
      <c r="C62" s="47"/>
      <c r="D62" s="48"/>
      <c r="E62" s="48"/>
      <c r="F62" s="49"/>
    </row>
    <row r="63" spans="1:6" x14ac:dyDescent="0.3">
      <c r="A63" s="46"/>
      <c r="B63" s="47"/>
      <c r="C63" s="47"/>
      <c r="D63" s="48"/>
      <c r="E63" s="48"/>
      <c r="F63" s="49"/>
    </row>
    <row r="64" spans="1:6" x14ac:dyDescent="0.3">
      <c r="A64" s="46"/>
      <c r="B64" s="47"/>
      <c r="C64" s="47"/>
      <c r="D64" s="48"/>
      <c r="E64" s="48"/>
      <c r="F64" s="49"/>
    </row>
    <row r="65" spans="1:6" x14ac:dyDescent="0.3">
      <c r="A65" s="46"/>
      <c r="B65" s="47"/>
      <c r="C65" s="47"/>
      <c r="D65" s="48"/>
      <c r="E65" s="48"/>
      <c r="F65" s="49"/>
    </row>
    <row r="66" spans="1:6" x14ac:dyDescent="0.3">
      <c r="A66" s="46"/>
      <c r="B66" s="47"/>
      <c r="C66" s="47"/>
      <c r="D66" s="48"/>
      <c r="E66" s="48"/>
      <c r="F66" s="49"/>
    </row>
    <row r="67" spans="1:6" x14ac:dyDescent="0.3">
      <c r="A67" s="46"/>
      <c r="B67" s="47"/>
      <c r="C67" s="47"/>
      <c r="D67" s="48"/>
      <c r="E67" s="48"/>
      <c r="F67" s="49"/>
    </row>
    <row r="68" spans="1:6" x14ac:dyDescent="0.3">
      <c r="A68" s="46"/>
      <c r="B68" s="47"/>
      <c r="C68" s="47"/>
      <c r="D68" s="48"/>
      <c r="E68" s="48"/>
      <c r="F68" s="49"/>
    </row>
    <row r="69" spans="1:6" x14ac:dyDescent="0.3">
      <c r="A69" s="46"/>
      <c r="B69" s="47"/>
      <c r="C69" s="47"/>
      <c r="D69" s="48"/>
      <c r="E69" s="48"/>
      <c r="F69" s="49"/>
    </row>
    <row r="70" spans="1:6" x14ac:dyDescent="0.3">
      <c r="A70" s="46"/>
      <c r="B70" s="47"/>
      <c r="C70" s="47"/>
      <c r="D70" s="48"/>
      <c r="E70" s="48"/>
      <c r="F70" s="49"/>
    </row>
    <row r="71" spans="1:6" x14ac:dyDescent="0.3">
      <c r="A71" s="46"/>
      <c r="B71" s="47"/>
      <c r="C71" s="47"/>
      <c r="D71" s="48"/>
      <c r="E71" s="48"/>
      <c r="F71" s="49"/>
    </row>
    <row r="72" spans="1:6" x14ac:dyDescent="0.3">
      <c r="A72" s="46"/>
      <c r="B72" s="47"/>
      <c r="C72" s="47"/>
      <c r="D72" s="48"/>
      <c r="E72" s="48"/>
      <c r="F72" s="49"/>
    </row>
    <row r="73" spans="1:6" x14ac:dyDescent="0.3">
      <c r="A73" s="46"/>
      <c r="B73" s="47"/>
      <c r="C73" s="47"/>
      <c r="D73" s="48"/>
      <c r="E73" s="48"/>
      <c r="F73" s="49"/>
    </row>
    <row r="74" spans="1:6" x14ac:dyDescent="0.3">
      <c r="A74" s="46"/>
      <c r="B74" s="47"/>
      <c r="C74" s="47"/>
      <c r="D74" s="48"/>
      <c r="E74" s="48"/>
      <c r="F74" s="49"/>
    </row>
    <row r="75" spans="1:6" x14ac:dyDescent="0.3">
      <c r="A75" s="46"/>
      <c r="B75" s="47"/>
      <c r="C75" s="47"/>
      <c r="D75" s="48"/>
      <c r="E75" s="48"/>
      <c r="F75" s="49"/>
    </row>
    <row r="76" spans="1:6" x14ac:dyDescent="0.3">
      <c r="A76" s="46"/>
      <c r="B76" s="47"/>
      <c r="C76" s="47"/>
      <c r="D76" s="48"/>
      <c r="E76" s="48"/>
      <c r="F76" s="49"/>
    </row>
    <row r="77" spans="1:6" x14ac:dyDescent="0.3">
      <c r="A77" s="46"/>
      <c r="B77" s="47"/>
      <c r="C77" s="47"/>
      <c r="D77" s="48"/>
      <c r="E77" s="48"/>
      <c r="F77" s="49"/>
    </row>
    <row r="78" spans="1:6" x14ac:dyDescent="0.3">
      <c r="A78" s="46"/>
      <c r="B78" s="47"/>
      <c r="C78" s="47"/>
      <c r="D78" s="48"/>
      <c r="E78" s="48"/>
      <c r="F78" s="49"/>
    </row>
    <row r="79" spans="1:6" x14ac:dyDescent="0.3">
      <c r="A79" s="46"/>
      <c r="B79" s="47"/>
      <c r="C79" s="47"/>
      <c r="D79" s="48"/>
      <c r="E79" s="48"/>
      <c r="F79" s="49"/>
    </row>
    <row r="80" spans="1:6" x14ac:dyDescent="0.3">
      <c r="A80" s="46"/>
      <c r="B80" s="47"/>
      <c r="C80" s="47"/>
      <c r="D80" s="48"/>
      <c r="E80" s="48"/>
      <c r="F80" s="49"/>
    </row>
    <row r="81" spans="1:6" x14ac:dyDescent="0.3">
      <c r="A81" s="46"/>
      <c r="B81" s="47"/>
      <c r="C81" s="47"/>
      <c r="D81" s="48"/>
      <c r="E81" s="48"/>
      <c r="F81" s="49"/>
    </row>
    <row r="82" spans="1:6" x14ac:dyDescent="0.3">
      <c r="A82" s="46"/>
      <c r="B82" s="47"/>
      <c r="C82" s="47"/>
      <c r="D82" s="48"/>
      <c r="E82" s="48"/>
      <c r="F82" s="49"/>
    </row>
    <row r="83" spans="1:6" x14ac:dyDescent="0.3">
      <c r="A83" s="46"/>
      <c r="B83" s="47"/>
      <c r="C83" s="47"/>
      <c r="D83" s="48"/>
      <c r="E83" s="48"/>
      <c r="F83" s="49"/>
    </row>
    <row r="84" spans="1:6" x14ac:dyDescent="0.3">
      <c r="A84" s="46"/>
      <c r="B84" s="47"/>
      <c r="C84" s="47"/>
      <c r="D84" s="48"/>
      <c r="E84" s="48"/>
      <c r="F84" s="49"/>
    </row>
    <row r="85" spans="1:6" x14ac:dyDescent="0.3">
      <c r="A85" s="46"/>
      <c r="B85" s="47"/>
      <c r="C85" s="47"/>
      <c r="D85" s="48"/>
      <c r="E85" s="48"/>
      <c r="F85" s="49"/>
    </row>
    <row r="86" spans="1:6" x14ac:dyDescent="0.3">
      <c r="A86" s="46"/>
      <c r="B86" s="47"/>
      <c r="C86" s="47"/>
      <c r="D86" s="48"/>
      <c r="E86" s="48"/>
      <c r="F86" s="49"/>
    </row>
    <row r="87" spans="1:6" x14ac:dyDescent="0.3">
      <c r="A87" s="46"/>
      <c r="B87" s="47"/>
      <c r="C87" s="47"/>
      <c r="D87" s="48"/>
      <c r="E87" s="48"/>
      <c r="F87" s="49"/>
    </row>
    <row r="88" spans="1:6" x14ac:dyDescent="0.3">
      <c r="A88" s="46"/>
      <c r="B88" s="47"/>
      <c r="C88" s="47"/>
      <c r="D88" s="48"/>
      <c r="E88" s="48"/>
      <c r="F88" s="49"/>
    </row>
    <row r="89" spans="1:6" x14ac:dyDescent="0.3">
      <c r="A89" s="46"/>
      <c r="B89" s="47"/>
      <c r="C89" s="47"/>
      <c r="D89" s="48"/>
      <c r="E89" s="48"/>
      <c r="F89" s="49"/>
    </row>
    <row r="90" spans="1:6" x14ac:dyDescent="0.3">
      <c r="A90" s="46"/>
      <c r="B90" s="47"/>
      <c r="C90" s="47"/>
      <c r="D90" s="48"/>
      <c r="E90" s="48"/>
      <c r="F90" s="49"/>
    </row>
    <row r="91" spans="1:6" x14ac:dyDescent="0.3">
      <c r="A91" s="46"/>
      <c r="B91" s="47"/>
      <c r="C91" s="47"/>
      <c r="D91" s="48"/>
      <c r="E91" s="48"/>
      <c r="F91" s="49"/>
    </row>
    <row r="92" spans="1:6" x14ac:dyDescent="0.3">
      <c r="A92" s="46"/>
      <c r="B92" s="47"/>
      <c r="C92" s="47"/>
      <c r="D92" s="48"/>
      <c r="E92" s="48"/>
      <c r="F92" s="49"/>
    </row>
    <row r="93" spans="1:6" x14ac:dyDescent="0.3">
      <c r="A93" s="46"/>
      <c r="B93" s="47"/>
      <c r="C93" s="47"/>
      <c r="D93" s="48"/>
      <c r="E93" s="48"/>
      <c r="F93" s="49"/>
    </row>
    <row r="94" spans="1:6" x14ac:dyDescent="0.3">
      <c r="A94" s="46"/>
      <c r="B94" s="47"/>
      <c r="C94" s="47"/>
      <c r="D94" s="48"/>
      <c r="E94" s="48"/>
      <c r="F94" s="49"/>
    </row>
    <row r="95" spans="1:6" x14ac:dyDescent="0.3">
      <c r="A95" s="46"/>
      <c r="B95" s="47"/>
      <c r="C95" s="47"/>
      <c r="D95" s="48"/>
      <c r="E95" s="48"/>
      <c r="F95" s="49"/>
    </row>
    <row r="96" spans="1:6" x14ac:dyDescent="0.3">
      <c r="A96" s="46"/>
      <c r="B96" s="47"/>
      <c r="C96" s="47"/>
      <c r="D96" s="48"/>
      <c r="E96" s="48"/>
      <c r="F96" s="49"/>
    </row>
    <row r="97" spans="1:6" x14ac:dyDescent="0.3">
      <c r="A97" s="46"/>
      <c r="B97" s="47"/>
      <c r="C97" s="47"/>
      <c r="D97" s="48"/>
      <c r="E97" s="48"/>
      <c r="F97" s="49"/>
    </row>
    <row r="98" spans="1:6" x14ac:dyDescent="0.3">
      <c r="A98" s="46"/>
      <c r="B98" s="47"/>
      <c r="C98" s="47"/>
      <c r="D98" s="48"/>
      <c r="E98" s="48"/>
      <c r="F98" s="49"/>
    </row>
    <row r="99" spans="1:6" x14ac:dyDescent="0.3">
      <c r="A99" s="46"/>
      <c r="B99" s="47"/>
      <c r="C99" s="47"/>
      <c r="D99" s="48"/>
      <c r="E99" s="48"/>
      <c r="F99" s="49"/>
    </row>
    <row r="100" spans="1:6" x14ac:dyDescent="0.3">
      <c r="A100" s="46"/>
      <c r="B100" s="47"/>
      <c r="C100" s="47"/>
      <c r="D100" s="48"/>
      <c r="E100" s="48"/>
      <c r="F100" s="49"/>
    </row>
    <row r="101" spans="1:6" x14ac:dyDescent="0.3">
      <c r="A101" s="46"/>
      <c r="B101" s="47"/>
      <c r="C101" s="47"/>
      <c r="D101" s="48"/>
      <c r="E101" s="48"/>
      <c r="F101" s="49"/>
    </row>
    <row r="102" spans="1:6" x14ac:dyDescent="0.3">
      <c r="A102" s="46"/>
      <c r="B102" s="47"/>
      <c r="C102" s="47"/>
      <c r="D102" s="48"/>
      <c r="E102" s="48"/>
      <c r="F102" s="49"/>
    </row>
    <row r="103" spans="1:6" x14ac:dyDescent="0.3">
      <c r="A103" s="46"/>
      <c r="B103" s="47"/>
      <c r="C103" s="47"/>
      <c r="D103" s="48"/>
      <c r="E103" s="48"/>
      <c r="F103" s="49"/>
    </row>
    <row r="104" spans="1:6" x14ac:dyDescent="0.3">
      <c r="A104" s="46"/>
      <c r="B104" s="47"/>
      <c r="C104" s="47"/>
      <c r="D104" s="48"/>
      <c r="E104" s="48"/>
      <c r="F104" s="49"/>
    </row>
    <row r="105" spans="1:6" x14ac:dyDescent="0.3">
      <c r="A105" s="46"/>
      <c r="B105" s="47"/>
      <c r="C105" s="47"/>
      <c r="D105" s="48"/>
      <c r="E105" s="48"/>
      <c r="F105" s="49"/>
    </row>
    <row r="106" spans="1:6" x14ac:dyDescent="0.3">
      <c r="A106" s="46"/>
      <c r="B106" s="47"/>
      <c r="C106" s="47"/>
      <c r="D106" s="48"/>
      <c r="E106" s="48"/>
      <c r="F106" s="49"/>
    </row>
    <row r="107" spans="1:6" x14ac:dyDescent="0.3">
      <c r="A107" s="46"/>
      <c r="B107" s="47"/>
      <c r="C107" s="47"/>
      <c r="D107" s="48"/>
      <c r="E107" s="48"/>
      <c r="F107" s="49"/>
    </row>
    <row r="108" spans="1:6" x14ac:dyDescent="0.3">
      <c r="A108" s="46"/>
      <c r="B108" s="47"/>
      <c r="C108" s="47"/>
      <c r="D108" s="48"/>
      <c r="E108" s="48"/>
      <c r="F108" s="49"/>
    </row>
    <row r="109" spans="1:6" x14ac:dyDescent="0.3">
      <c r="A109" s="46"/>
      <c r="B109" s="47"/>
      <c r="C109" s="47"/>
      <c r="D109" s="48"/>
      <c r="E109" s="48"/>
      <c r="F109" s="49"/>
    </row>
    <row r="110" spans="1:6" x14ac:dyDescent="0.3">
      <c r="A110" s="46"/>
      <c r="B110" s="47"/>
      <c r="C110" s="47"/>
      <c r="D110" s="48"/>
      <c r="E110" s="48"/>
      <c r="F110" s="49"/>
    </row>
    <row r="111" spans="1:6" x14ac:dyDescent="0.3">
      <c r="A111" s="46"/>
      <c r="B111" s="47"/>
      <c r="C111" s="47"/>
      <c r="D111" s="48"/>
      <c r="E111" s="48"/>
      <c r="F111" s="49"/>
    </row>
    <row r="112" spans="1:6" x14ac:dyDescent="0.3">
      <c r="A112" s="46"/>
      <c r="B112" s="47"/>
      <c r="C112" s="47"/>
      <c r="D112" s="48"/>
      <c r="E112" s="48"/>
      <c r="F112" s="49"/>
    </row>
    <row r="113" spans="1:6" x14ac:dyDescent="0.3">
      <c r="A113" s="46"/>
      <c r="B113" s="47"/>
      <c r="C113" s="47"/>
      <c r="D113" s="48"/>
      <c r="E113" s="48"/>
      <c r="F113" s="49"/>
    </row>
    <row r="114" spans="1:6" x14ac:dyDescent="0.3">
      <c r="A114" s="46"/>
      <c r="B114" s="47"/>
      <c r="C114" s="47"/>
      <c r="D114" s="48"/>
      <c r="E114" s="48"/>
      <c r="F114" s="49"/>
    </row>
    <row r="115" spans="1:6" x14ac:dyDescent="0.3">
      <c r="A115" s="46"/>
      <c r="B115" s="47"/>
      <c r="C115" s="47"/>
      <c r="D115" s="48"/>
      <c r="E115" s="48"/>
      <c r="F115" s="49"/>
    </row>
    <row r="116" spans="1:6" x14ac:dyDescent="0.3">
      <c r="A116" s="46"/>
      <c r="B116" s="47"/>
      <c r="C116" s="47"/>
      <c r="D116" s="48"/>
      <c r="E116" s="48"/>
      <c r="F116" s="4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E5B9-9D9E-4972-953E-3F823FF745DF}">
  <dimension ref="A1:B12"/>
  <sheetViews>
    <sheetView workbookViewId="0">
      <selection activeCell="B7" sqref="B7"/>
    </sheetView>
  </sheetViews>
  <sheetFormatPr defaultColWidth="11.5546875" defaultRowHeight="14.4" x14ac:dyDescent="0.3"/>
  <cols>
    <col min="1" max="1" width="5.6640625" bestFit="1" customWidth="1"/>
    <col min="2" max="2" width="14.44140625" bestFit="1" customWidth="1"/>
  </cols>
  <sheetData>
    <row r="1" spans="1:2" x14ac:dyDescent="0.3">
      <c r="A1" s="1" t="s">
        <v>4</v>
      </c>
      <c r="B1" s="1" t="s">
        <v>36</v>
      </c>
    </row>
    <row r="2" spans="1:2" x14ac:dyDescent="0.3">
      <c r="A2" s="19" t="s">
        <v>26</v>
      </c>
      <c r="B2" s="19" t="s">
        <v>26</v>
      </c>
    </row>
    <row r="3" spans="1:2" x14ac:dyDescent="0.3">
      <c r="A3" s="19" t="s">
        <v>27</v>
      </c>
      <c r="B3" s="19" t="s">
        <v>27</v>
      </c>
    </row>
    <row r="4" spans="1:2" x14ac:dyDescent="0.3">
      <c r="A4" s="19" t="s">
        <v>28</v>
      </c>
      <c r="B4" s="19" t="s">
        <v>28</v>
      </c>
    </row>
    <row r="5" spans="1:2" x14ac:dyDescent="0.3">
      <c r="A5" s="19" t="s">
        <v>73</v>
      </c>
      <c r="B5" s="19" t="s">
        <v>35</v>
      </c>
    </row>
    <row r="6" spans="1:2" x14ac:dyDescent="0.3">
      <c r="A6" s="19" t="s">
        <v>128</v>
      </c>
      <c r="B6" s="19" t="s">
        <v>27</v>
      </c>
    </row>
    <row r="7" spans="1:2" x14ac:dyDescent="0.3">
      <c r="A7" s="19" t="s">
        <v>29</v>
      </c>
      <c r="B7" s="19" t="s">
        <v>28</v>
      </c>
    </row>
    <row r="8" spans="1:2" x14ac:dyDescent="0.3">
      <c r="A8" s="19" t="s">
        <v>30</v>
      </c>
      <c r="B8" s="19" t="s">
        <v>28</v>
      </c>
    </row>
    <row r="9" spans="1:2" x14ac:dyDescent="0.3">
      <c r="A9" s="19" t="s">
        <v>31</v>
      </c>
      <c r="B9" s="19" t="s">
        <v>28</v>
      </c>
    </row>
    <row r="10" spans="1:2" x14ac:dyDescent="0.3">
      <c r="A10" s="19" t="s">
        <v>32</v>
      </c>
      <c r="B10" s="19" t="s">
        <v>28</v>
      </c>
    </row>
    <row r="11" spans="1:2" x14ac:dyDescent="0.3">
      <c r="A11" s="19" t="s">
        <v>33</v>
      </c>
      <c r="B11" s="19" t="s">
        <v>28</v>
      </c>
    </row>
    <row r="12" spans="1:2" x14ac:dyDescent="0.3">
      <c r="A12" s="19" t="s">
        <v>34</v>
      </c>
      <c r="B12" s="19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FF1-7A28-46AB-AC06-FB476C488476}">
  <dimension ref="A1:B6"/>
  <sheetViews>
    <sheetView workbookViewId="0">
      <selection activeCell="B1" sqref="B1"/>
    </sheetView>
  </sheetViews>
  <sheetFormatPr defaultColWidth="11.44140625" defaultRowHeight="14.4" x14ac:dyDescent="0.3"/>
  <cols>
    <col min="1" max="1" width="9" style="32" bestFit="1" customWidth="1"/>
    <col min="2" max="2" width="15.33203125" style="32" bestFit="1" customWidth="1"/>
    <col min="3" max="16384" width="11.44140625" style="32"/>
  </cols>
  <sheetData>
    <row r="1" spans="1:2" x14ac:dyDescent="0.3">
      <c r="A1" s="42" t="s">
        <v>65</v>
      </c>
      <c r="B1" s="42" t="s">
        <v>66</v>
      </c>
    </row>
    <row r="2" spans="1:2" x14ac:dyDescent="0.3">
      <c r="A2" s="31" t="s">
        <v>64</v>
      </c>
      <c r="B2" s="31" t="s">
        <v>21</v>
      </c>
    </row>
    <row r="3" spans="1:2" x14ac:dyDescent="0.3">
      <c r="A3" s="31" t="s">
        <v>67</v>
      </c>
      <c r="B3" s="31" t="s">
        <v>12</v>
      </c>
    </row>
    <row r="4" spans="1:2" x14ac:dyDescent="0.3">
      <c r="A4" s="31" t="s">
        <v>22</v>
      </c>
      <c r="B4" s="31" t="s">
        <v>22</v>
      </c>
    </row>
    <row r="5" spans="1:2" x14ac:dyDescent="0.3">
      <c r="A5" s="31" t="s">
        <v>13</v>
      </c>
      <c r="B5" s="31" t="s">
        <v>13</v>
      </c>
    </row>
    <row r="6" spans="1:2" x14ac:dyDescent="0.3">
      <c r="A6" s="31" t="s">
        <v>23</v>
      </c>
      <c r="B6" s="3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5E7F-12B8-4A53-9E8A-63ABDC168AAE}">
  <dimension ref="A1:E31"/>
  <sheetViews>
    <sheetView workbookViewId="0">
      <selection activeCell="D10" sqref="D10"/>
    </sheetView>
  </sheetViews>
  <sheetFormatPr defaultColWidth="11.5546875" defaultRowHeight="14.4" x14ac:dyDescent="0.3"/>
  <cols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3">
        <v>2.46E-2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3">
        <v>2.3300000000000001E-2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3">
        <v>4.3499999999999997E-2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3">
        <v>5.6099999999999997E-2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3">
        <v>4.0800000000000003E-2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3">
        <v>3.9399999999999998E-2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3">
        <v>6.1999999999999998E-3</v>
      </c>
      <c r="E14" s="4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3">
        <v>1.95E-2</v>
      </c>
      <c r="E15" s="4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3">
        <v>3.2000000000000001E-2</v>
      </c>
      <c r="E16" s="4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3">
        <v>4.9399999999999999E-2</v>
      </c>
      <c r="E17" s="4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3">
        <v>4.7E-2</v>
      </c>
      <c r="E18" s="4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3">
        <v>3.8800000000000001E-2</v>
      </c>
      <c r="E19" s="4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9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7.1999999999999998E-3</v>
      </c>
      <c r="E26" s="4">
        <v>-1</v>
      </c>
    </row>
    <row r="27" spans="1:5" x14ac:dyDescent="0.3">
      <c r="A27" s="1"/>
      <c r="B27" s="2" t="s">
        <v>23</v>
      </c>
      <c r="C27" s="21" t="s">
        <v>6</v>
      </c>
      <c r="D27" s="3">
        <v>9.1000000000000004E-3</v>
      </c>
      <c r="E27" s="4">
        <v>-1</v>
      </c>
    </row>
    <row r="28" spans="1:5" x14ac:dyDescent="0.3">
      <c r="A28" s="1"/>
      <c r="B28" s="2" t="s">
        <v>23</v>
      </c>
      <c r="C28" s="21" t="s">
        <v>7</v>
      </c>
      <c r="D28" s="3">
        <v>8.9999999999999993E-3</v>
      </c>
      <c r="E28" s="4">
        <v>-1</v>
      </c>
    </row>
    <row r="29" spans="1:5" x14ac:dyDescent="0.3">
      <c r="A29" s="1"/>
      <c r="B29" s="2" t="s">
        <v>23</v>
      </c>
      <c r="C29" s="21" t="s">
        <v>8</v>
      </c>
      <c r="D29" s="3">
        <v>3.1800000000000002E-2</v>
      </c>
      <c r="E29" s="4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3.1600000000000003E-2</v>
      </c>
      <c r="E30" s="4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0.04</v>
      </c>
      <c r="E31" s="4">
        <v>-7.4000000000000003E-3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9F2B8F08F82E47A51B7B9E2BB752C4" ma:contentTypeVersion="11" ma:contentTypeDescription="Crear nuevo documento." ma:contentTypeScope="" ma:versionID="9e705a7ec9ec7901fcdc888e6563d1f3">
  <xsd:schema xmlns:xsd="http://www.w3.org/2001/XMLSchema" xmlns:xs="http://www.w3.org/2001/XMLSchema" xmlns:p="http://schemas.microsoft.com/office/2006/metadata/properties" xmlns:ns3="afef9374-bd24-49fe-b5be-cd056ccbd7a9" targetNamespace="http://schemas.microsoft.com/office/2006/metadata/properties" ma:root="true" ma:fieldsID="6ae930c13f3dbc9432d329521bd2e19c" ns3:_="">
    <xsd:import namespace="afef9374-bd24-49fe-b5be-cd056ccbd7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f9374-bd24-49fe-b5be-cd056ccbd7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ef9374-bd24-49fe-b5be-cd056ccbd7a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44A5F0-70A3-4C8E-90B4-7B1083CA7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ef9374-bd24-49fe-b5be-cd056ccbd7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368767-011F-4603-B6D3-67B09FEB0E3E}">
  <ds:schemaRefs>
    <ds:schemaRef ds:uri="http://purl.org/dc/terms/"/>
    <ds:schemaRef ds:uri="afef9374-bd24-49fe-b5be-cd056ccbd7a9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99D9F8D-2034-4116-9680-A411761E28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Datos_Tarifas</vt:lpstr>
      <vt:lpstr>FLUJO E1</vt:lpstr>
      <vt:lpstr>PARAMETROS</vt:lpstr>
      <vt:lpstr>PARAMETROS_NEO</vt:lpstr>
      <vt:lpstr>DATOS</vt:lpstr>
      <vt:lpstr>CAUDAL MODIFICADO</vt:lpstr>
      <vt:lpstr>PORC CAUDAL PENDIENTE</vt:lpstr>
      <vt:lpstr>EDAD</vt:lpstr>
      <vt:lpstr>PROGRAMA AUTOCONTROL</vt:lpstr>
      <vt:lpstr>CLASES</vt:lpstr>
      <vt:lpstr>REFERENCIA CLASES DECAIMIENTO</vt:lpstr>
      <vt:lpstr>CAUDAL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Gabriel Arancibia Perez</dc:creator>
  <cp:lastModifiedBy>Tomas Ibaceta</cp:lastModifiedBy>
  <dcterms:created xsi:type="dcterms:W3CDTF">2023-09-26T21:27:53Z</dcterms:created>
  <dcterms:modified xsi:type="dcterms:W3CDTF">2024-04-25T03:41:02Z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0x010100A39F2B8F08F82E47A51B7B9E2BB752C4</vt:lpwstr>
  </property>
</Properties>
</file>