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ECON\Downloads\"/>
    </mc:Choice>
  </mc:AlternateContent>
  <xr:revisionPtr revIDLastSave="0" documentId="13_ncr:1_{7FB259BB-ED6F-466D-B889-0A405D5CE799}" xr6:coauthVersionLast="47" xr6:coauthVersionMax="47" xr10:uidLastSave="{00000000-0000-0000-0000-000000000000}"/>
  <bookViews>
    <workbookView xWindow="-108" yWindow="-108" windowWidth="23256" windowHeight="12456" tabRatio="875" xr2:uid="{00000000-000D-0000-FFFF-FFFF00000000}"/>
  </bookViews>
  <sheets>
    <sheet name="FLUJO" sheetId="33" r:id="rId1"/>
    <sheet name="Clase A" sheetId="51" state="hidden" r:id="rId2"/>
    <sheet name="BBDD" sheetId="29" r:id="rId3"/>
    <sheet name="Datos" sheetId="52" r:id="rId4"/>
    <sheet name="Parámetros Caudal Bajo" sheetId="22" r:id="rId5"/>
  </sheets>
  <definedNames>
    <definedName name="_xlnm._FilterDatabase" localSheetId="2" hidden="1">BBDD!$A$1:$EM$30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9" l="1"/>
  <c r="H2" i="29" s="1"/>
  <c r="AT2" i="29" l="1"/>
  <c r="AU2" i="29" s="1"/>
  <c r="F13" i="33" l="1"/>
  <c r="F17" i="33" s="1"/>
  <c r="G13" i="33"/>
  <c r="G17" i="33" s="1"/>
  <c r="E13" i="33"/>
  <c r="E17" i="33" s="1"/>
  <c r="D13" i="33"/>
  <c r="D17" i="33" s="1"/>
  <c r="D18" i="33" l="1"/>
  <c r="D19" i="33" s="1"/>
  <c r="I2" i="29"/>
  <c r="D89" i="33" l="1"/>
  <c r="E89" i="33"/>
  <c r="F89" i="33"/>
  <c r="G89" i="33"/>
  <c r="G6" i="51"/>
  <c r="C89" i="33" s="1"/>
  <c r="E12" i="51"/>
  <c r="E11" i="51"/>
  <c r="E15" i="33" l="1"/>
  <c r="F15" i="33"/>
  <c r="G15" i="33"/>
  <c r="H15" i="33"/>
  <c r="E14" i="33"/>
  <c r="F14" i="33"/>
  <c r="G14" i="33"/>
  <c r="E11" i="33"/>
  <c r="F11" i="33"/>
  <c r="G11" i="33"/>
  <c r="D11" i="33"/>
  <c r="H12" i="33"/>
  <c r="I12" i="33" s="1"/>
  <c r="J12" i="33" s="1"/>
  <c r="K12" i="33" s="1"/>
  <c r="L12" i="33" s="1"/>
  <c r="L15" i="33" s="1"/>
  <c r="H10" i="33"/>
  <c r="H13" i="33" s="1"/>
  <c r="H17" i="33" s="1"/>
  <c r="K2" i="29"/>
  <c r="K15" i="33" l="1"/>
  <c r="J15" i="33"/>
  <c r="I15" i="33"/>
  <c r="EL2" i="29"/>
  <c r="G18" i="33"/>
  <c r="G19" i="33" s="1"/>
  <c r="F88" i="33"/>
  <c r="F18" i="33"/>
  <c r="F19" i="33" s="1"/>
  <c r="E88" i="33"/>
  <c r="E18" i="33"/>
  <c r="E19" i="33" s="1"/>
  <c r="D88" i="33"/>
  <c r="G88" i="33"/>
  <c r="I10" i="33"/>
  <c r="I13" i="33" s="1"/>
  <c r="I17" i="33" s="1"/>
  <c r="G16" i="33"/>
  <c r="H11" i="33"/>
  <c r="H14" i="33"/>
  <c r="F16" i="33"/>
  <c r="E16" i="33"/>
  <c r="CB2" i="29" l="1"/>
  <c r="CA2" i="29"/>
  <c r="BZ2" i="29"/>
  <c r="J10" i="33"/>
  <c r="J13" i="33" s="1"/>
  <c r="J17" i="33" s="1"/>
  <c r="I14" i="33"/>
  <c r="I11" i="33"/>
  <c r="H18" i="33"/>
  <c r="H16" i="33"/>
  <c r="CC2" i="29" l="1"/>
  <c r="I18" i="33"/>
  <c r="I16" i="33"/>
  <c r="J14" i="33"/>
  <c r="J11" i="33"/>
  <c r="K10" i="33"/>
  <c r="K13" i="33" s="1"/>
  <c r="K17" i="33" s="1"/>
  <c r="K11" i="33" l="1"/>
  <c r="K14" i="33"/>
  <c r="L10" i="33"/>
  <c r="L13" i="33" s="1"/>
  <c r="L17" i="33" s="1"/>
  <c r="J18" i="33"/>
  <c r="J16" i="33"/>
  <c r="K18" i="33" l="1"/>
  <c r="K16" i="33"/>
  <c r="L14" i="33"/>
  <c r="L11" i="33"/>
  <c r="L18" i="33" l="1"/>
  <c r="L16" i="33"/>
  <c r="M2" i="29" l="1"/>
  <c r="L2" i="29"/>
  <c r="N2" i="29" l="1"/>
  <c r="O2" i="29" s="1"/>
  <c r="FE4" i="29" l="1"/>
  <c r="FE5" i="29"/>
  <c r="FE6" i="29"/>
  <c r="FE7" i="29"/>
  <c r="FE8" i="29"/>
  <c r="FE3" i="29"/>
  <c r="FC4" i="29"/>
  <c r="FC5" i="29"/>
  <c r="FC6" i="29"/>
  <c r="FC7" i="29"/>
  <c r="FC8" i="29"/>
  <c r="FC3" i="29"/>
  <c r="EZ24" i="29"/>
  <c r="EZ25" i="29"/>
  <c r="EZ26" i="29"/>
  <c r="EZ27" i="29"/>
  <c r="EZ28" i="29"/>
  <c r="EZ23" i="29"/>
  <c r="FE14" i="29"/>
  <c r="FE15" i="29"/>
  <c r="FE16" i="29"/>
  <c r="FE17" i="29"/>
  <c r="FE18" i="29"/>
  <c r="FE13" i="29"/>
  <c r="FC14" i="29"/>
  <c r="FC15" i="29"/>
  <c r="FC16" i="29"/>
  <c r="FC17" i="29"/>
  <c r="FC18" i="29"/>
  <c r="FC13" i="29"/>
  <c r="J2" i="29" l="1"/>
  <c r="M33" i="22" l="1"/>
  <c r="FA24" i="29" s="1"/>
  <c r="M34" i="22"/>
  <c r="FA25" i="29" s="1"/>
  <c r="M35" i="22"/>
  <c r="FA26" i="29" s="1"/>
  <c r="M36" i="22"/>
  <c r="FA27" i="29" s="1"/>
  <c r="M37" i="22"/>
  <c r="FA28" i="29" s="1"/>
  <c r="M32" i="22"/>
  <c r="FA23" i="29" s="1"/>
  <c r="M13" i="22"/>
  <c r="EZ4" i="29" s="1"/>
  <c r="M14" i="22"/>
  <c r="EZ5" i="29" s="1"/>
  <c r="M15" i="22"/>
  <c r="EZ6" i="29" s="1"/>
  <c r="M16" i="22"/>
  <c r="EZ7" i="29" s="1"/>
  <c r="M17" i="22"/>
  <c r="EZ8" i="29" s="1"/>
  <c r="M12" i="22"/>
  <c r="EZ3" i="29" s="1"/>
  <c r="EZ16" i="29" l="1"/>
  <c r="EZ13" i="29"/>
  <c r="EZ15" i="29"/>
  <c r="EZ18" i="29"/>
  <c r="EZ17" i="29"/>
  <c r="EZ14" i="29"/>
  <c r="C42" i="33" l="1"/>
  <c r="C40" i="33"/>
  <c r="B96" i="33"/>
  <c r="G106" i="33" s="1"/>
  <c r="B97" i="33"/>
  <c r="H106" i="33" s="1"/>
  <c r="B98" i="33"/>
  <c r="I106" i="33" s="1"/>
  <c r="B99" i="33"/>
  <c r="J106" i="33" s="1"/>
  <c r="B100" i="33"/>
  <c r="K106" i="33" s="1"/>
  <c r="B101" i="33"/>
  <c r="T101" i="33" s="1"/>
  <c r="G101" i="33" s="1"/>
  <c r="B102" i="33"/>
  <c r="T102" i="33" s="1"/>
  <c r="F102" i="33" s="1"/>
  <c r="B95" i="33"/>
  <c r="F106" i="33" s="1"/>
  <c r="C37" i="33"/>
  <c r="C34" i="33"/>
  <c r="C30" i="33"/>
  <c r="C7" i="33"/>
  <c r="L106" i="33" l="1"/>
  <c r="M106" i="33"/>
  <c r="R102" i="33"/>
  <c r="J102" i="33"/>
  <c r="K101" i="33"/>
  <c r="C101" i="33"/>
  <c r="M102" i="33"/>
  <c r="E102" i="33"/>
  <c r="N101" i="33"/>
  <c r="F101" i="33"/>
  <c r="L102" i="33"/>
  <c r="D102" i="33"/>
  <c r="M101" i="33"/>
  <c r="E101" i="33"/>
  <c r="K102" i="33"/>
  <c r="C102" i="33"/>
  <c r="L101" i="33"/>
  <c r="D101" i="33"/>
  <c r="Q102" i="33"/>
  <c r="I102" i="33"/>
  <c r="R101" i="33"/>
  <c r="J101" i="33"/>
  <c r="P102" i="33"/>
  <c r="H102" i="33"/>
  <c r="Q101" i="33"/>
  <c r="I101" i="33"/>
  <c r="O102" i="33"/>
  <c r="G102" i="33"/>
  <c r="P101" i="33"/>
  <c r="H101" i="33"/>
  <c r="N102" i="33"/>
  <c r="O101" i="33"/>
  <c r="FC9" i="29" l="1"/>
  <c r="FC19" i="29"/>
  <c r="FD7" i="29" l="1"/>
  <c r="FD8" i="29"/>
  <c r="FD3" i="29"/>
  <c r="FD5" i="29"/>
  <c r="FD4" i="29"/>
  <c r="FD6" i="29"/>
  <c r="FD14" i="29"/>
  <c r="FD15" i="29"/>
  <c r="FD16" i="29"/>
  <c r="FD17" i="29"/>
  <c r="FD18" i="29"/>
  <c r="FD13" i="29"/>
  <c r="R104" i="33" l="1"/>
  <c r="Q104" i="33"/>
  <c r="P104" i="33"/>
  <c r="O104" i="33"/>
  <c r="N104" i="33"/>
  <c r="S103" i="33" s="1"/>
  <c r="S101" i="33" l="1"/>
  <c r="S102" i="33"/>
  <c r="T96" i="33" l="1"/>
  <c r="T97" i="33"/>
  <c r="T98" i="33"/>
  <c r="T99" i="33"/>
  <c r="T100" i="33"/>
  <c r="T95" i="33"/>
  <c r="G97" i="33" l="1"/>
  <c r="O97" i="33"/>
  <c r="H97" i="33"/>
  <c r="I97" i="33"/>
  <c r="Q97" i="33"/>
  <c r="J97" i="33"/>
  <c r="R97" i="33"/>
  <c r="C97" i="33"/>
  <c r="K97" i="33"/>
  <c r="S97" i="33"/>
  <c r="D97" i="33"/>
  <c r="L97" i="33"/>
  <c r="E97" i="33"/>
  <c r="M97" i="33"/>
  <c r="F97" i="33"/>
  <c r="N97" i="33"/>
  <c r="P97" i="33"/>
  <c r="H96" i="33"/>
  <c r="P96" i="33"/>
  <c r="J96" i="33"/>
  <c r="R96" i="33"/>
  <c r="C96" i="33"/>
  <c r="K96" i="33"/>
  <c r="S96" i="33"/>
  <c r="Q96" i="33"/>
  <c r="D96" i="33"/>
  <c r="L96" i="33"/>
  <c r="E96" i="33"/>
  <c r="M96" i="33"/>
  <c r="F96" i="33"/>
  <c r="N96" i="33"/>
  <c r="G96" i="33"/>
  <c r="O96" i="33"/>
  <c r="I96" i="33"/>
  <c r="D100" i="33"/>
  <c r="L100" i="33"/>
  <c r="E100" i="33"/>
  <c r="F100" i="33"/>
  <c r="N100" i="33"/>
  <c r="G100" i="33"/>
  <c r="O100" i="33"/>
  <c r="M100" i="33"/>
  <c r="H100" i="33"/>
  <c r="P100" i="33"/>
  <c r="I100" i="33"/>
  <c r="Q100" i="33"/>
  <c r="J100" i="33"/>
  <c r="R100" i="33"/>
  <c r="C100" i="33"/>
  <c r="K100" i="33"/>
  <c r="S100" i="33"/>
  <c r="E99" i="33"/>
  <c r="M99" i="33"/>
  <c r="G99" i="33"/>
  <c r="O99" i="33"/>
  <c r="H99" i="33"/>
  <c r="P99" i="33"/>
  <c r="F99" i="33"/>
  <c r="I99" i="33"/>
  <c r="Q99" i="33"/>
  <c r="J99" i="33"/>
  <c r="R99" i="33"/>
  <c r="C99" i="33"/>
  <c r="K99" i="33"/>
  <c r="S99" i="33"/>
  <c r="D99" i="33"/>
  <c r="L99" i="33"/>
  <c r="N99" i="33"/>
  <c r="F98" i="33"/>
  <c r="N98" i="33"/>
  <c r="H98" i="33"/>
  <c r="P98" i="33"/>
  <c r="I98" i="33"/>
  <c r="Q98" i="33"/>
  <c r="G98" i="33"/>
  <c r="O98" i="33"/>
  <c r="J98" i="33"/>
  <c r="R98" i="33"/>
  <c r="C98" i="33"/>
  <c r="K98" i="33"/>
  <c r="S98" i="33"/>
  <c r="D98" i="33"/>
  <c r="L98" i="33"/>
  <c r="E98" i="33"/>
  <c r="M98" i="33"/>
  <c r="F95" i="33"/>
  <c r="N95" i="33"/>
  <c r="P95" i="33"/>
  <c r="Q95" i="33"/>
  <c r="L95" i="33"/>
  <c r="M95" i="33"/>
  <c r="G95" i="33"/>
  <c r="O95" i="33"/>
  <c r="H95" i="33"/>
  <c r="I95" i="33"/>
  <c r="D95" i="33"/>
  <c r="E95" i="33"/>
  <c r="J95" i="33"/>
  <c r="R95" i="33"/>
  <c r="C95" i="33"/>
  <c r="K95" i="33"/>
  <c r="S95" i="33"/>
  <c r="E4" i="51" l="1"/>
  <c r="E5" i="51"/>
  <c r="E6" i="51"/>
  <c r="E7" i="51"/>
  <c r="E8" i="51"/>
  <c r="E9" i="51"/>
  <c r="E10" i="51"/>
  <c r="E3" i="51"/>
  <c r="F9" i="51" l="1"/>
  <c r="E13" i="51"/>
  <c r="F3" i="51" l="1"/>
  <c r="G9" i="51"/>
  <c r="G10" i="51"/>
  <c r="G8" i="51"/>
  <c r="F8" i="51"/>
  <c r="F5" i="51"/>
  <c r="F7" i="51"/>
  <c r="F6" i="51"/>
  <c r="F4" i="51"/>
  <c r="F10" i="51"/>
  <c r="G7" i="51"/>
  <c r="F11" i="51" l="1"/>
  <c r="G11" i="51"/>
  <c r="C106" i="33" l="1"/>
  <c r="B108" i="33"/>
  <c r="C108" i="33" l="1"/>
  <c r="B109" i="33"/>
  <c r="B110" i="33" s="1"/>
  <c r="D106" i="33"/>
  <c r="C107" i="33"/>
  <c r="C109" i="33" l="1"/>
  <c r="B111" i="33"/>
  <c r="C110" i="33"/>
  <c r="E37" i="33" l="1"/>
  <c r="B112" i="33"/>
  <c r="C111" i="33"/>
  <c r="B113" i="33" l="1"/>
  <c r="C112" i="33"/>
  <c r="F37" i="33"/>
  <c r="G37" i="33" l="1"/>
  <c r="B114" i="33"/>
  <c r="C113" i="33"/>
  <c r="D14" i="33"/>
  <c r="B115" i="33" l="1"/>
  <c r="C114" i="33"/>
  <c r="H37" i="33"/>
  <c r="I37" i="33" l="1"/>
  <c r="B116" i="33"/>
  <c r="C115" i="33"/>
  <c r="B117" i="33" l="1"/>
  <c r="C116" i="33"/>
  <c r="J37" i="33"/>
  <c r="B118" i="33" l="1"/>
  <c r="C117" i="33"/>
  <c r="K37" i="33"/>
  <c r="L37" i="33" l="1"/>
  <c r="B119" i="33"/>
  <c r="C118" i="33"/>
  <c r="D15" i="33"/>
  <c r="M37" i="33" l="1"/>
  <c r="B120" i="33"/>
  <c r="C119" i="33"/>
  <c r="C88" i="33"/>
  <c r="D16" i="33"/>
  <c r="H89" i="33" l="1"/>
  <c r="N37" i="33"/>
  <c r="B121" i="33"/>
  <c r="C121" i="33" s="1"/>
  <c r="C120" i="33"/>
  <c r="O37" i="33" l="1"/>
  <c r="P37" i="33" l="1"/>
  <c r="I40" i="22"/>
  <c r="I39" i="22"/>
  <c r="H40" i="22"/>
  <c r="H39" i="22"/>
  <c r="G41" i="22"/>
  <c r="Q37" i="33" l="1"/>
  <c r="S37" i="33" l="1"/>
  <c r="R37" i="33"/>
  <c r="U66" i="22"/>
  <c r="U65" i="22"/>
  <c r="U50" i="22"/>
  <c r="U49" i="22"/>
  <c r="Q66" i="22" l="1"/>
  <c r="Q67" i="22" s="1"/>
  <c r="Q52" i="22"/>
  <c r="Q53" i="22" s="1"/>
  <c r="E50" i="33" l="1"/>
  <c r="F50" i="33" s="1"/>
  <c r="G50" i="33" s="1"/>
  <c r="H50" i="33" s="1"/>
  <c r="I50" i="33" s="1"/>
  <c r="J50" i="33" s="1"/>
  <c r="K50" i="33" s="1"/>
  <c r="L50" i="33" s="1"/>
  <c r="M50" i="33" s="1"/>
  <c r="N50" i="33" s="1"/>
  <c r="O50" i="33" s="1"/>
  <c r="P50" i="33" s="1"/>
  <c r="Q50" i="33" s="1"/>
  <c r="R50" i="33" s="1"/>
  <c r="S50" i="33" s="1"/>
  <c r="E49" i="33"/>
  <c r="I33" i="33"/>
  <c r="J33" i="33" l="1"/>
  <c r="F77" i="33"/>
  <c r="F78" i="33"/>
  <c r="F82" i="33" s="1"/>
  <c r="F49" i="33"/>
  <c r="K33" i="33" l="1"/>
  <c r="G49" i="33"/>
  <c r="L33" i="33" l="1"/>
  <c r="G77" i="33"/>
  <c r="G79" i="33" s="1"/>
  <c r="G78" i="33"/>
  <c r="G82" i="33" s="1"/>
  <c r="H49" i="33"/>
  <c r="M33" i="33" l="1"/>
  <c r="H77" i="33"/>
  <c r="H78" i="33"/>
  <c r="H82" i="33" s="1"/>
  <c r="I49" i="33"/>
  <c r="N33" i="33" l="1"/>
  <c r="I77" i="33"/>
  <c r="I78" i="33"/>
  <c r="I82" i="33" s="1"/>
  <c r="J49" i="33"/>
  <c r="O33" i="33" l="1"/>
  <c r="J78" i="33"/>
  <c r="J82" i="33" s="1"/>
  <c r="J77" i="33"/>
  <c r="K49" i="33"/>
  <c r="P33" i="33" l="1"/>
  <c r="K78" i="33"/>
  <c r="K82" i="33" s="1"/>
  <c r="K77" i="33"/>
  <c r="L49" i="33"/>
  <c r="Q33" i="33" l="1"/>
  <c r="L77" i="33"/>
  <c r="L78" i="33"/>
  <c r="L82" i="33" s="1"/>
  <c r="M49" i="33"/>
  <c r="R33" i="33" l="1"/>
  <c r="M77" i="33"/>
  <c r="M78" i="33"/>
  <c r="M82" i="33" s="1"/>
  <c r="N49" i="33"/>
  <c r="S33" i="33" l="1"/>
  <c r="N77" i="33"/>
  <c r="N78" i="33"/>
  <c r="N82" i="33" s="1"/>
  <c r="O49" i="33"/>
  <c r="O77" i="33" l="1"/>
  <c r="O78" i="33"/>
  <c r="O82" i="33" s="1"/>
  <c r="P49" i="33"/>
  <c r="P77" i="33" l="1"/>
  <c r="P78" i="33"/>
  <c r="P82" i="33" s="1"/>
  <c r="Q49" i="33"/>
  <c r="Q77" i="33" l="1"/>
  <c r="Q78" i="33"/>
  <c r="Q82" i="33" s="1"/>
  <c r="R49" i="33"/>
  <c r="R77" i="33" l="1"/>
  <c r="R78" i="33"/>
  <c r="R82" i="33" s="1"/>
  <c r="S49" i="33"/>
  <c r="B52" i="22" l="1"/>
  <c r="B53" i="22" s="1"/>
  <c r="B85" i="22" l="1"/>
  <c r="B86" i="22" s="1"/>
  <c r="B66" i="22"/>
  <c r="B67" i="22" s="1"/>
  <c r="D38" i="22" l="1"/>
  <c r="D28" i="22"/>
  <c r="D18" i="22"/>
  <c r="G25" i="22" l="1"/>
  <c r="G26" i="22"/>
  <c r="G27" i="22"/>
  <c r="G22" i="22"/>
  <c r="G24" i="22"/>
  <c r="G23" i="22"/>
  <c r="F33" i="22"/>
  <c r="L33" i="22" s="1"/>
  <c r="EX24" i="29" s="1"/>
  <c r="F35" i="22"/>
  <c r="L35" i="22" s="1"/>
  <c r="EX26" i="29" s="1"/>
  <c r="F36" i="22"/>
  <c r="F34" i="22"/>
  <c r="F32" i="22"/>
  <c r="L32" i="22" s="1"/>
  <c r="EX23" i="29" s="1"/>
  <c r="F37" i="22"/>
  <c r="L38" i="22"/>
  <c r="L18" i="22"/>
  <c r="N18" i="22" s="1"/>
  <c r="G13" i="22"/>
  <c r="G15" i="22"/>
  <c r="G12" i="22"/>
  <c r="G16" i="22"/>
  <c r="G17" i="22"/>
  <c r="G14" i="22"/>
  <c r="L13" i="22" l="1"/>
  <c r="L14" i="22"/>
  <c r="L37" i="22"/>
  <c r="EX28" i="29" s="1"/>
  <c r="L12" i="22"/>
  <c r="I22" i="22"/>
  <c r="L17" i="22"/>
  <c r="L34" i="22"/>
  <c r="EX25" i="29" s="1"/>
  <c r="L16" i="22"/>
  <c r="I12" i="22"/>
  <c r="L36" i="22"/>
  <c r="EX27" i="29" s="1"/>
  <c r="L15" i="22"/>
  <c r="EX3" i="29" l="1"/>
  <c r="N12" i="22"/>
  <c r="EX8" i="29"/>
  <c r="N17" i="22"/>
  <c r="EX5" i="29"/>
  <c r="N14" i="22"/>
  <c r="EX7" i="29"/>
  <c r="N16" i="22"/>
  <c r="EX29" i="29"/>
  <c r="EY25" i="29" s="1"/>
  <c r="EX4" i="29"/>
  <c r="N13" i="22"/>
  <c r="EX6" i="29"/>
  <c r="N15" i="22"/>
  <c r="EY27" i="29" l="1"/>
  <c r="EX16" i="29"/>
  <c r="EX18" i="29"/>
  <c r="EX14" i="29"/>
  <c r="EY26" i="29"/>
  <c r="EY23" i="29"/>
  <c r="EY24" i="29"/>
  <c r="EY28" i="29"/>
  <c r="EX17" i="29"/>
  <c r="P12" i="22"/>
  <c r="EX15" i="29"/>
  <c r="EX13" i="29"/>
  <c r="EX9" i="29"/>
  <c r="EY6" i="29" s="1"/>
  <c r="EY4" i="29" l="1"/>
  <c r="EY3" i="29"/>
  <c r="EY7" i="29"/>
  <c r="EY8" i="29"/>
  <c r="EX19" i="29"/>
  <c r="EY14" i="29" s="1"/>
  <c r="EY5" i="29"/>
  <c r="K79" i="33"/>
  <c r="O79" i="33"/>
  <c r="I79" i="33"/>
  <c r="R79" i="33"/>
  <c r="M79" i="33"/>
  <c r="L79" i="33"/>
  <c r="P79" i="33"/>
  <c r="F79" i="33"/>
  <c r="G80" i="33" s="1"/>
  <c r="H79" i="33"/>
  <c r="J79" i="33"/>
  <c r="N79" i="33"/>
  <c r="Q79" i="33"/>
  <c r="EY16" i="29" l="1"/>
  <c r="EY15" i="29"/>
  <c r="EY17" i="29"/>
  <c r="EY13" i="29"/>
  <c r="EY18" i="29"/>
  <c r="J80" i="33"/>
  <c r="J81" i="33" s="1"/>
  <c r="R80" i="33"/>
  <c r="R81" i="33" s="1"/>
  <c r="P80" i="33"/>
  <c r="P81" i="33" s="1"/>
  <c r="O80" i="33"/>
  <c r="O81" i="33" s="1"/>
  <c r="F80" i="33"/>
  <c r="F81" i="33" s="1"/>
  <c r="K80" i="33"/>
  <c r="K81" i="33" s="1"/>
  <c r="G81" i="33"/>
  <c r="N80" i="33"/>
  <c r="N81" i="33" s="1"/>
  <c r="I80" i="33"/>
  <c r="I81" i="33" s="1"/>
  <c r="H80" i="33"/>
  <c r="H81" i="33" s="1"/>
  <c r="M80" i="33"/>
  <c r="M81" i="33" s="1"/>
  <c r="Q80" i="33"/>
  <c r="Q81" i="33" s="1"/>
  <c r="L80" i="33"/>
  <c r="L81" i="33" s="1"/>
  <c r="FA13" i="29" l="1"/>
  <c r="O61" i="33"/>
  <c r="P61" i="33"/>
  <c r="L61" i="33"/>
  <c r="R61" i="33"/>
  <c r="Q61" i="33"/>
  <c r="I61" i="33"/>
  <c r="J61" i="33"/>
  <c r="N61" i="33"/>
  <c r="K61" i="33"/>
  <c r="M61" i="33"/>
  <c r="AO2" i="29" l="1"/>
  <c r="AQ2" i="29"/>
  <c r="AI2" i="29"/>
  <c r="AM2" i="29"/>
  <c r="AP2" i="29"/>
  <c r="AF2" i="29"/>
  <c r="AN2" i="29"/>
  <c r="AH2" i="29"/>
  <c r="AR2" i="29"/>
  <c r="AJ2" i="29"/>
  <c r="AK2" i="29"/>
  <c r="AS2" i="29"/>
  <c r="AL2" i="29"/>
  <c r="P2" i="29"/>
  <c r="Q2" i="29" s="1"/>
  <c r="AG2" i="29"/>
  <c r="AV2" i="29" l="1"/>
  <c r="BK2" i="29"/>
  <c r="AA2" i="29"/>
  <c r="AE2" i="29"/>
  <c r="R2" i="29"/>
  <c r="AC2" i="29"/>
  <c r="S2" i="29"/>
  <c r="AD2" i="29"/>
  <c r="Z2" i="29"/>
  <c r="V2" i="29"/>
  <c r="W2" i="29"/>
  <c r="AB2" i="29"/>
  <c r="U2" i="29"/>
  <c r="T2" i="29"/>
  <c r="X2" i="29"/>
  <c r="Y2" i="29"/>
  <c r="BI2" i="29" l="1"/>
  <c r="BX2" i="29"/>
  <c r="AY2" i="29"/>
  <c r="BN2" i="29"/>
  <c r="BF2" i="29"/>
  <c r="BU2" i="29"/>
  <c r="BD2" i="29"/>
  <c r="BS2" i="29"/>
  <c r="BC2" i="29"/>
  <c r="BR2" i="29"/>
  <c r="BH2" i="29"/>
  <c r="BW2" i="29"/>
  <c r="AW2" i="29"/>
  <c r="BL2" i="29"/>
  <c r="BJ2" i="29"/>
  <c r="BY2" i="29"/>
  <c r="BA2" i="29"/>
  <c r="BP2" i="29"/>
  <c r="AX2" i="29"/>
  <c r="BM2" i="29"/>
  <c r="AZ2" i="29"/>
  <c r="BO2" i="29"/>
  <c r="BG2" i="29"/>
  <c r="BV2" i="29"/>
  <c r="BB2" i="29"/>
  <c r="BQ2" i="29"/>
  <c r="BE2" i="29"/>
  <c r="BT2" i="29"/>
  <c r="CD2" i="29"/>
  <c r="CS2" i="29" s="1"/>
  <c r="EO3" i="29"/>
  <c r="CG2" i="29" l="1"/>
  <c r="CO2" i="29"/>
  <c r="CM2" i="29"/>
  <c r="CR2" i="29"/>
  <c r="CN2" i="29"/>
  <c r="CK2" i="29"/>
  <c r="CE2" i="29"/>
  <c r="CT2" i="29" s="1"/>
  <c r="CI2" i="29"/>
  <c r="DH2" i="29"/>
  <c r="DW2" i="29" s="1"/>
  <c r="CH2" i="29"/>
  <c r="CL2" i="29"/>
  <c r="CJ2" i="29"/>
  <c r="CQ2" i="29"/>
  <c r="CF2" i="29"/>
  <c r="CP2" i="29"/>
  <c r="I7" i="33"/>
  <c r="J7" i="33"/>
  <c r="K7" i="33"/>
  <c r="H7" i="33"/>
  <c r="L7" i="33"/>
  <c r="G7" i="33"/>
  <c r="F7" i="33"/>
  <c r="E7" i="33"/>
  <c r="CU2" i="29" l="1"/>
  <c r="DI2" i="29"/>
  <c r="DX2" i="29" s="1"/>
  <c r="D7" i="33"/>
  <c r="CV2" i="29" l="1"/>
  <c r="DJ2" i="29"/>
  <c r="DY2" i="29" s="1"/>
  <c r="D30" i="33"/>
  <c r="M7" i="33"/>
  <c r="S77" i="33"/>
  <c r="S79" i="33" s="1"/>
  <c r="S80" i="33" s="1"/>
  <c r="S81" i="33" s="1"/>
  <c r="S61" i="33" s="1"/>
  <c r="CW2" i="29" l="1"/>
  <c r="DK2" i="29"/>
  <c r="DZ2" i="29" s="1"/>
  <c r="D51" i="33"/>
  <c r="E61" i="33" s="1"/>
  <c r="E51" i="33" a="1"/>
  <c r="S78" i="33"/>
  <c r="S82" i="33" s="1"/>
  <c r="S60" i="33" s="1"/>
  <c r="CX2" i="29" l="1"/>
  <c r="DL2" i="29"/>
  <c r="EA2" i="29" s="1"/>
  <c r="G61" i="33"/>
  <c r="D71" i="33"/>
  <c r="F61" i="33"/>
  <c r="D66" i="33"/>
  <c r="D67" i="33" s="1"/>
  <c r="H61" i="33"/>
  <c r="S51" i="33"/>
  <c r="N51" i="33"/>
  <c r="M51" i="33"/>
  <c r="J51" i="33"/>
  <c r="F51" i="33"/>
  <c r="E51" i="33"/>
  <c r="P51" i="33"/>
  <c r="I51" i="33"/>
  <c r="H51" i="33"/>
  <c r="G51" i="33"/>
  <c r="O51" i="33"/>
  <c r="R51" i="33"/>
  <c r="K51" i="33"/>
  <c r="L51" i="33"/>
  <c r="Q51" i="33"/>
  <c r="CY2" i="29" l="1"/>
  <c r="DM2" i="29"/>
  <c r="EB2" i="29" s="1"/>
  <c r="D107" i="33"/>
  <c r="J107" i="33" s="1"/>
  <c r="D108" i="33"/>
  <c r="M108" i="33" s="1"/>
  <c r="CZ2" i="29" l="1"/>
  <c r="DN2" i="29"/>
  <c r="EC2" i="29" s="1"/>
  <c r="D109" i="33"/>
  <c r="F109" i="33" s="1"/>
  <c r="F107" i="33"/>
  <c r="M107" i="33"/>
  <c r="K107" i="33"/>
  <c r="H107" i="33"/>
  <c r="L107" i="33"/>
  <c r="K108" i="33"/>
  <c r="F108" i="33"/>
  <c r="G107" i="33"/>
  <c r="J108" i="33"/>
  <c r="D110" i="33"/>
  <c r="I108" i="33"/>
  <c r="H108" i="33"/>
  <c r="L108" i="33"/>
  <c r="G108" i="33"/>
  <c r="I107" i="33"/>
  <c r="DA2" i="29" l="1"/>
  <c r="DO2" i="29"/>
  <c r="ED2" i="29" s="1"/>
  <c r="D111" i="33"/>
  <c r="J109" i="33"/>
  <c r="G109" i="33"/>
  <c r="H109" i="33"/>
  <c r="M109" i="33"/>
  <c r="K109" i="33"/>
  <c r="L109" i="33"/>
  <c r="I109" i="33"/>
  <c r="L110" i="33"/>
  <c r="F110" i="33"/>
  <c r="J110" i="33"/>
  <c r="I110" i="33"/>
  <c r="K110" i="33"/>
  <c r="H110" i="33"/>
  <c r="M110" i="33"/>
  <c r="G110" i="33"/>
  <c r="DB2" i="29" l="1"/>
  <c r="DP2" i="29"/>
  <c r="EE2" i="29" s="1"/>
  <c r="D112" i="33"/>
  <c r="K111" i="33"/>
  <c r="F111" i="33"/>
  <c r="L111" i="33"/>
  <c r="M111" i="33"/>
  <c r="H111" i="33"/>
  <c r="G111" i="33"/>
  <c r="I111" i="33"/>
  <c r="J111" i="33"/>
  <c r="DC2" i="29" l="1"/>
  <c r="DQ2" i="29"/>
  <c r="EF2" i="29" s="1"/>
  <c r="D113" i="33"/>
  <c r="M112" i="33"/>
  <c r="J112" i="33"/>
  <c r="I112" i="33"/>
  <c r="K112" i="33"/>
  <c r="G112" i="33"/>
  <c r="H112" i="33"/>
  <c r="L112" i="33"/>
  <c r="F112" i="33"/>
  <c r="DD2" i="29" l="1"/>
  <c r="DR2" i="29"/>
  <c r="EG2" i="29" s="1"/>
  <c r="D114" i="33"/>
  <c r="H113" i="33"/>
  <c r="G113" i="33"/>
  <c r="L113" i="33"/>
  <c r="M113" i="33"/>
  <c r="J113" i="33"/>
  <c r="K113" i="33"/>
  <c r="I113" i="33"/>
  <c r="F113" i="33"/>
  <c r="DE2" i="29" l="1"/>
  <c r="DS2" i="29"/>
  <c r="EH2" i="29" s="1"/>
  <c r="D115" i="33"/>
  <c r="K114" i="33"/>
  <c r="J114" i="33"/>
  <c r="H114" i="33"/>
  <c r="F114" i="33"/>
  <c r="L114" i="33"/>
  <c r="I114" i="33"/>
  <c r="M114" i="33"/>
  <c r="G114" i="33"/>
  <c r="DF2" i="29" l="1"/>
  <c r="DT2" i="29"/>
  <c r="EI2" i="29" s="1"/>
  <c r="D116" i="33"/>
  <c r="H115" i="33"/>
  <c r="L115" i="33"/>
  <c r="M115" i="33"/>
  <c r="K115" i="33"/>
  <c r="F115" i="33"/>
  <c r="I115" i="33"/>
  <c r="G115" i="33"/>
  <c r="J115" i="33"/>
  <c r="DG2" i="29" l="1"/>
  <c r="DV2" i="29" s="1"/>
  <c r="EK2" i="29" s="1"/>
  <c r="DU2" i="29"/>
  <c r="EJ2" i="29" s="1"/>
  <c r="K116" i="33"/>
  <c r="G116" i="33"/>
  <c r="L116" i="33"/>
  <c r="H116" i="33"/>
  <c r="M116" i="33"/>
  <c r="J116" i="33"/>
  <c r="I116" i="33"/>
  <c r="F116" i="33"/>
  <c r="D117" i="33"/>
  <c r="EM2" i="29" l="1"/>
  <c r="D118" i="33"/>
  <c r="H117" i="33"/>
  <c r="I117" i="33"/>
  <c r="F117" i="33"/>
  <c r="G117" i="33"/>
  <c r="L117" i="33"/>
  <c r="M117" i="33"/>
  <c r="K117" i="33"/>
  <c r="J117" i="33"/>
  <c r="D119" i="33" l="1"/>
  <c r="K118" i="33"/>
  <c r="I118" i="33"/>
  <c r="H118" i="33"/>
  <c r="G118" i="33"/>
  <c r="F118" i="33"/>
  <c r="J118" i="33"/>
  <c r="L118" i="33"/>
  <c r="M118" i="33"/>
  <c r="D121" i="33" l="1"/>
  <c r="E34" i="33" a="1"/>
  <c r="D120" i="33"/>
  <c r="I119" i="33"/>
  <c r="F119" i="33"/>
  <c r="H119" i="33"/>
  <c r="J119" i="33"/>
  <c r="M119" i="33"/>
  <c r="K119" i="33"/>
  <c r="G119" i="33"/>
  <c r="L119" i="33"/>
  <c r="E34" i="33" l="1"/>
  <c r="R34" i="33"/>
  <c r="P34" i="33"/>
  <c r="M34" i="33"/>
  <c r="N34" i="33"/>
  <c r="J34" i="33"/>
  <c r="H34" i="33"/>
  <c r="L34" i="33"/>
  <c r="F34" i="33"/>
  <c r="Q34" i="33"/>
  <c r="O34" i="33"/>
  <c r="K34" i="33"/>
  <c r="I34" i="33"/>
  <c r="S34" i="33"/>
  <c r="G34" i="33"/>
  <c r="M120" i="33"/>
  <c r="I120" i="33"/>
  <c r="J120" i="33"/>
  <c r="L120" i="33"/>
  <c r="K120" i="33"/>
  <c r="H120" i="33"/>
  <c r="F120" i="33"/>
  <c r="G120" i="33"/>
  <c r="J121" i="33"/>
  <c r="K121" i="33"/>
  <c r="L121" i="33"/>
  <c r="M121" i="33"/>
  <c r="I121" i="33"/>
  <c r="G121" i="33"/>
  <c r="H121" i="33"/>
  <c r="F121" i="33"/>
  <c r="L56" i="33" l="1"/>
  <c r="L40" i="33"/>
  <c r="L42" i="33" s="1"/>
  <c r="L57" i="33" s="1"/>
  <c r="S56" i="33"/>
  <c r="S40" i="33"/>
  <c r="S42" i="33" s="1"/>
  <c r="S57" i="33" s="1"/>
  <c r="I40" i="33"/>
  <c r="I42" i="33" s="1"/>
  <c r="I57" i="33" s="1"/>
  <c r="I56" i="33"/>
  <c r="N56" i="33"/>
  <c r="N40" i="33"/>
  <c r="N42" i="33" s="1"/>
  <c r="N57" i="33" s="1"/>
  <c r="G56" i="33"/>
  <c r="G40" i="33"/>
  <c r="G42" i="33" s="1"/>
  <c r="G57" i="33" s="1"/>
  <c r="J56" i="33"/>
  <c r="J40" i="33"/>
  <c r="J42" i="33" s="1"/>
  <c r="J57" i="33" s="1"/>
  <c r="H40" i="33"/>
  <c r="H42" i="33" s="1"/>
  <c r="H57" i="33" s="1"/>
  <c r="H56" i="33"/>
  <c r="K56" i="33"/>
  <c r="K40" i="33"/>
  <c r="K42" i="33" s="1"/>
  <c r="K57" i="33" s="1"/>
  <c r="M40" i="33"/>
  <c r="M42" i="33" s="1"/>
  <c r="M57" i="33" s="1"/>
  <c r="M56" i="33"/>
  <c r="O56" i="33"/>
  <c r="O40" i="33"/>
  <c r="O42" i="33" s="1"/>
  <c r="O57" i="33" s="1"/>
  <c r="P40" i="33"/>
  <c r="P42" i="33" s="1"/>
  <c r="P57" i="33" s="1"/>
  <c r="P56" i="33"/>
  <c r="Q40" i="33"/>
  <c r="Q42" i="33" s="1"/>
  <c r="Q57" i="33" s="1"/>
  <c r="Q56" i="33"/>
  <c r="R40" i="33"/>
  <c r="R42" i="33" s="1"/>
  <c r="R57" i="33" s="1"/>
  <c r="R56" i="33"/>
  <c r="F56" i="33"/>
  <c r="F40" i="33"/>
  <c r="F42" i="33" s="1"/>
  <c r="F57" i="33" s="1"/>
  <c r="E56" i="33"/>
  <c r="E40" i="33"/>
  <c r="E42" i="33" s="1"/>
  <c r="E57" i="33" s="1"/>
  <c r="N63" i="33" l="1"/>
  <c r="H63" i="33"/>
  <c r="E63" i="33"/>
  <c r="J63" i="33"/>
  <c r="R63" i="33"/>
  <c r="M63" i="33"/>
  <c r="S63" i="33"/>
  <c r="I63" i="33"/>
  <c r="F63" i="33"/>
  <c r="O63" i="33"/>
  <c r="G63" i="33"/>
  <c r="K63" i="33"/>
  <c r="P63" i="33"/>
  <c r="Q63" i="33"/>
  <c r="L63" i="33"/>
  <c r="E64" i="33" l="1"/>
  <c r="E62" i="33" l="1"/>
  <c r="F64" i="33"/>
  <c r="E66" i="33" l="1"/>
  <c r="E67" i="33" s="1"/>
  <c r="F62" i="33"/>
  <c r="G64" i="33"/>
  <c r="F66" i="33" l="1"/>
  <c r="F67" i="33" s="1"/>
  <c r="H64" i="33"/>
  <c r="G62" i="33"/>
  <c r="G66" i="33" l="1"/>
  <c r="G67" i="33" s="1"/>
  <c r="I64" i="33"/>
  <c r="H62" i="33"/>
  <c r="H66" i="33" l="1"/>
  <c r="H67" i="33" s="1"/>
  <c r="J64" i="33"/>
  <c r="I62" i="33"/>
  <c r="I66" i="33" l="1"/>
  <c r="I67" i="33" s="1"/>
  <c r="K64" i="33"/>
  <c r="J62" i="33"/>
  <c r="J66" i="33" l="1"/>
  <c r="J67" i="33" s="1"/>
  <c r="L64" i="33"/>
  <c r="K62" i="33"/>
  <c r="K66" i="33" l="1"/>
  <c r="K67" i="33" s="1"/>
  <c r="L62" i="33"/>
  <c r="M64" i="33"/>
  <c r="L66" i="33" l="1"/>
  <c r="L67" i="33" s="1"/>
  <c r="N64" i="33"/>
  <c r="M62" i="33"/>
  <c r="M66" i="33" l="1"/>
  <c r="M67" i="33" s="1"/>
  <c r="N62" i="33"/>
  <c r="O64" i="33"/>
  <c r="N66" i="33" l="1"/>
  <c r="O62" i="33"/>
  <c r="P64" i="33"/>
  <c r="O66" i="33" l="1"/>
  <c r="N67" i="33"/>
  <c r="Q64" i="33"/>
  <c r="P62" i="33"/>
  <c r="O67" i="33" l="1"/>
  <c r="P66" i="33"/>
  <c r="R64" i="33"/>
  <c r="Q62" i="33"/>
  <c r="P67" i="33" l="1"/>
  <c r="Q66" i="33"/>
  <c r="S64" i="33"/>
  <c r="R62" i="33"/>
  <c r="Q67" i="33" l="1"/>
  <c r="R66" i="33"/>
  <c r="S62" i="33"/>
  <c r="R67" i="33" l="1"/>
  <c r="S66" i="33"/>
  <c r="D70" i="33" l="1"/>
  <c r="D69" i="33"/>
  <c r="S67" i="33"/>
  <c r="R68" i="33" s="1"/>
  <c r="D72" i="33" s="1"/>
</calcChain>
</file>

<file path=xl/sharedStrings.xml><?xml version="1.0" encoding="utf-8"?>
<sst xmlns="http://schemas.openxmlformats.org/spreadsheetml/2006/main" count="995" uniqueCount="318">
  <si>
    <t>13 mm</t>
  </si>
  <si>
    <t>19 mm</t>
  </si>
  <si>
    <t>A</t>
  </si>
  <si>
    <t>B</t>
  </si>
  <si>
    <t>C</t>
  </si>
  <si>
    <t>LOCALIDAD</t>
  </si>
  <si>
    <t>Antigüedad (años)</t>
  </si>
  <si>
    <t>ULTRA</t>
  </si>
  <si>
    <t>SI</t>
  </si>
  <si>
    <t xml:space="preserve"> 0-4</t>
  </si>
  <si>
    <t xml:space="preserve"> 4-8</t>
  </si>
  <si>
    <t xml:space="preserve"> 8-16</t>
  </si>
  <si>
    <t xml:space="preserve"> 16-32</t>
  </si>
  <si>
    <t xml:space="preserve"> 32-66</t>
  </si>
  <si>
    <t xml:space="preserve"> 66-132</t>
  </si>
  <si>
    <t>Bajo</t>
  </si>
  <si>
    <t>Alto</t>
  </si>
  <si>
    <t>25 mm</t>
  </si>
  <si>
    <t>TOTAL</t>
  </si>
  <si>
    <t>ELSTER TAVIRA M170</t>
  </si>
  <si>
    <t>ITRON FLODIS</t>
  </si>
  <si>
    <t>ITRON MAIPO TMII</t>
  </si>
  <si>
    <t>CAUDAL BAJO</t>
  </si>
  <si>
    <t>ELSTER M170</t>
  </si>
  <si>
    <t>% Consumo</t>
  </si>
  <si>
    <t>0-4</t>
  </si>
  <si>
    <t>4-8</t>
  </si>
  <si>
    <t>8-16</t>
  </si>
  <si>
    <t>16-32</t>
  </si>
  <si>
    <t>32-66</t>
  </si>
  <si>
    <t>66-132</t>
  </si>
  <si>
    <t>FLODIS</t>
  </si>
  <si>
    <t xml:space="preserve">ELISTER </t>
  </si>
  <si>
    <t>MAIPO TMII</t>
  </si>
  <si>
    <t>CLASE B-13</t>
  </si>
  <si>
    <t>CLASE C-13</t>
  </si>
  <si>
    <t>Año 0</t>
  </si>
  <si>
    <t>CLASE B-19</t>
  </si>
  <si>
    <t>CLASE C-19</t>
  </si>
  <si>
    <t>TM MAIPO</t>
  </si>
  <si>
    <t>CLASE C-25</t>
  </si>
  <si>
    <t>Muestra Inicial: 60</t>
  </si>
  <si>
    <t>Muestra Inicial: 23</t>
  </si>
  <si>
    <t>CLASE C-25 mm</t>
  </si>
  <si>
    <t>CLASE B-13 mm</t>
  </si>
  <si>
    <t>CLASE C-13 mm</t>
  </si>
  <si>
    <t>CLASE B-19 mm</t>
  </si>
  <si>
    <t>CLASE C-19 mm</t>
  </si>
  <si>
    <t>Curvas de Rendimiento por Modelo</t>
  </si>
  <si>
    <t>Rendimiento Año 0 a Caudal Bajo</t>
  </si>
  <si>
    <t>Muestra Inicial: 35</t>
  </si>
  <si>
    <t>Muestra Inicial:29</t>
  </si>
  <si>
    <t>Muestra Inicial: 20</t>
  </si>
  <si>
    <t>Intervalo (l/h)</t>
  </si>
  <si>
    <t>% Relativo</t>
  </si>
  <si>
    <t>m</t>
  </si>
  <si>
    <t>m (caudal bajo)</t>
  </si>
  <si>
    <t>m final</t>
  </si>
  <si>
    <t>NO</t>
  </si>
  <si>
    <t>ANTIGÜEDAD</t>
  </si>
  <si>
    <t>FECHA_MONTAJE</t>
  </si>
  <si>
    <t>CLASE CORREGIDA</t>
  </si>
  <si>
    <t>Suministro + Instalación (UF)</t>
  </si>
  <si>
    <t xml:space="preserve">Inversión </t>
  </si>
  <si>
    <t>Tarfia Media $/m3</t>
  </si>
  <si>
    <t>Plan de Acción Priorizado</t>
  </si>
  <si>
    <t>Tipo Gasto</t>
  </si>
  <si>
    <t>1. REPOSICIÓN DE MICROMEDIDORES</t>
  </si>
  <si>
    <t xml:space="preserve">Inversión Micromedidores </t>
  </si>
  <si>
    <t>Ingreso por Mayor Facturación</t>
  </si>
  <si>
    <t>Costo Elasticidad Precio/Demanda</t>
  </si>
  <si>
    <t>Desfase Inversión</t>
  </si>
  <si>
    <t>Valor residual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</si>
  <si>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</si>
  <si>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</si>
  <si>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</si>
  <si>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</si>
  <si>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</si>
  <si>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</si>
  <si>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</si>
  <si>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</si>
  <si>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UF</t>
  </si>
  <si>
    <t>CONSUMO PROYECTADO</t>
  </si>
  <si>
    <t>Elasticidad</t>
  </si>
  <si>
    <t>PAYBACK</t>
  </si>
  <si>
    <t>Reposición Equipos</t>
  </si>
  <si>
    <t>% MEDIDORES CLASE A</t>
  </si>
  <si>
    <t>Problema Calidad del Agua</t>
  </si>
  <si>
    <t>Suministro + Instalación ($)</t>
  </si>
  <si>
    <t>Instalación %</t>
  </si>
  <si>
    <t>Suministro  UF</t>
  </si>
  <si>
    <t>Instalación UF</t>
  </si>
  <si>
    <t>Suministro  $</t>
  </si>
  <si>
    <t>Instalación $</t>
  </si>
  <si>
    <t>Suministro + Instalación (UF) Adicional MO</t>
  </si>
  <si>
    <t>Suministro + Instalación (UF) Adicional OOCC</t>
  </si>
  <si>
    <t>% Problema de Acceso o Negación</t>
  </si>
  <si>
    <t>% Sobrecosto de instalación</t>
  </si>
  <si>
    <t>Sobrecosto</t>
  </si>
  <si>
    <t>%</t>
  </si>
  <si>
    <t>% Medidores con sobrecosto de instalación</t>
  </si>
  <si>
    <t>Depreciación Reposición (Acelerada)</t>
  </si>
  <si>
    <t>Depreciación Reposición (Técnica)</t>
  </si>
  <si>
    <t>Depreciación Reposición (Acelerada) Final</t>
  </si>
  <si>
    <t>Valor Residual</t>
  </si>
  <si>
    <t>DIAMETRO_MEDIDOR</t>
  </si>
  <si>
    <t>INSTALACION</t>
  </si>
  <si>
    <t>VAN ($)</t>
  </si>
  <si>
    <t>CLASE</t>
  </si>
  <si>
    <t>Antigüedad</t>
  </si>
  <si>
    <t>R100</t>
  </si>
  <si>
    <t>R160</t>
  </si>
  <si>
    <t>R250</t>
  </si>
  <si>
    <t>R315</t>
  </si>
  <si>
    <t>R325</t>
  </si>
  <si>
    <t>R400</t>
  </si>
  <si>
    <t>R800</t>
  </si>
  <si>
    <t>Essbio</t>
  </si>
  <si>
    <t>Nuevosur</t>
  </si>
  <si>
    <t>Proyección Consumo</t>
  </si>
  <si>
    <t>CONSUMO PROMEDIO</t>
  </si>
  <si>
    <t>Auxiliar contador Payback:</t>
  </si>
  <si>
    <t>CLASE B-13 y 19</t>
  </si>
  <si>
    <t>Para 13 y 19 B se considerá el perfil de conusmo de 13 pero que sume lo de 19, y el error de 13.</t>
  </si>
  <si>
    <t>Para los de 25 se ajustó el perfil de consumo al promedio de 19 y 25.</t>
  </si>
  <si>
    <t>Curvas</t>
  </si>
  <si>
    <t>V_sub 1</t>
  </si>
  <si>
    <t>V_sub 2</t>
  </si>
  <si>
    <t>V_sub 3</t>
  </si>
  <si>
    <t>V_sub 4</t>
  </si>
  <si>
    <t>V_sub 5</t>
  </si>
  <si>
    <t>V_sub 6</t>
  </si>
  <si>
    <t>V_sub 7</t>
  </si>
  <si>
    <t>V_sub 8</t>
  </si>
  <si>
    <t>V_sub 9</t>
  </si>
  <si>
    <t>V_sub 10</t>
  </si>
  <si>
    <t>V_sub 11</t>
  </si>
  <si>
    <t>V_sub 12</t>
  </si>
  <si>
    <t>V_sub 13</t>
  </si>
  <si>
    <t>V_sub 14</t>
  </si>
  <si>
    <t>V_sub 15</t>
  </si>
  <si>
    <t>13-19</t>
  </si>
  <si>
    <t>Precisión</t>
  </si>
  <si>
    <t>Auxiliar curva</t>
  </si>
  <si>
    <t>ANTIGÜEDAD AUX</t>
  </si>
  <si>
    <t>AUX DIAMETRO</t>
  </si>
  <si>
    <t>Error a caudal alto</t>
  </si>
  <si>
    <t>A-B</t>
  </si>
  <si>
    <t>CURANIPE</t>
  </si>
  <si>
    <t>Clase ULTRA</t>
  </si>
  <si>
    <t>Error proy %</t>
  </si>
  <si>
    <t>V_sub proy</t>
  </si>
  <si>
    <t>Ingresos.1</t>
  </si>
  <si>
    <t>Ingresos.2</t>
  </si>
  <si>
    <t>Ingresos.3</t>
  </si>
  <si>
    <t>Ingresos.4</t>
  </si>
  <si>
    <t>Ingresos.5</t>
  </si>
  <si>
    <t>Ingresos.6</t>
  </si>
  <si>
    <t>Ingresos.7</t>
  </si>
  <si>
    <t>Ingresos.8</t>
  </si>
  <si>
    <t>Ingresos.9</t>
  </si>
  <si>
    <t>Ingresos.10</t>
  </si>
  <si>
    <t>Ingresos.11</t>
  </si>
  <si>
    <t>Ingresos.12</t>
  </si>
  <si>
    <t>Ingresos.13</t>
  </si>
  <si>
    <t>Ingresos.14</t>
  </si>
  <si>
    <t>Ingresos.15</t>
  </si>
  <si>
    <t>C-E 1</t>
  </si>
  <si>
    <t>C-E 2</t>
  </si>
  <si>
    <t>C-E 3</t>
  </si>
  <si>
    <t>C-E 4</t>
  </si>
  <si>
    <t>C-E 5</t>
  </si>
  <si>
    <t>C-E 6</t>
  </si>
  <si>
    <t>C-E 7</t>
  </si>
  <si>
    <t>C-E 8</t>
  </si>
  <si>
    <t>C-E 9</t>
  </si>
  <si>
    <t>C-E 10</t>
  </si>
  <si>
    <t>C-E 11</t>
  </si>
  <si>
    <t>C-E 12</t>
  </si>
  <si>
    <t>C-E 13</t>
  </si>
  <si>
    <t>C-E 14</t>
  </si>
  <si>
    <t>C-E 15</t>
  </si>
  <si>
    <t>Depr 1</t>
  </si>
  <si>
    <t>Depr 2</t>
  </si>
  <si>
    <t>Depr 3</t>
  </si>
  <si>
    <t>Depr 4</t>
  </si>
  <si>
    <t>Inversión ($)</t>
  </si>
  <si>
    <t>Flujo 1</t>
  </si>
  <si>
    <t>Flujo 2</t>
  </si>
  <si>
    <t>Flujo 3</t>
  </si>
  <si>
    <t>Flujo 4</t>
  </si>
  <si>
    <t>Flujo 5</t>
  </si>
  <si>
    <t>Flujo 6</t>
  </si>
  <si>
    <t>Flujo 7</t>
  </si>
  <si>
    <t>Flujo 8</t>
  </si>
  <si>
    <t>Flujo 9</t>
  </si>
  <si>
    <t>Flujo 10</t>
  </si>
  <si>
    <t>Flujo 11</t>
  </si>
  <si>
    <t>Flujo 12</t>
  </si>
  <si>
    <t>Flujo 13</t>
  </si>
  <si>
    <t>Flujo 14</t>
  </si>
  <si>
    <t>Flujo 15</t>
  </si>
  <si>
    <t>Base 1</t>
  </si>
  <si>
    <t>Base 2</t>
  </si>
  <si>
    <t>Base 3</t>
  </si>
  <si>
    <t>Base 4</t>
  </si>
  <si>
    <t>Base 5</t>
  </si>
  <si>
    <t>Base 6</t>
  </si>
  <si>
    <t>Base 7</t>
  </si>
  <si>
    <t>Base 8</t>
  </si>
  <si>
    <t>Base 9</t>
  </si>
  <si>
    <t>Base 10</t>
  </si>
  <si>
    <t>Base 11</t>
  </si>
  <si>
    <t>Base 12</t>
  </si>
  <si>
    <t>Base 13</t>
  </si>
  <si>
    <t>Base 14</t>
  </si>
  <si>
    <t>Base 15</t>
  </si>
  <si>
    <t>Impuesto 1</t>
  </si>
  <si>
    <t>Impuesto 2</t>
  </si>
  <si>
    <t>Impuesto 3</t>
  </si>
  <si>
    <t>Impuesto 4</t>
  </si>
  <si>
    <t>Impuesto 5</t>
  </si>
  <si>
    <t>Impuesto 6</t>
  </si>
  <si>
    <t>Impuesto 7</t>
  </si>
  <si>
    <t>Impuesto 8</t>
  </si>
  <si>
    <t>Impuesto 9</t>
  </si>
  <si>
    <t>Impuesto 10</t>
  </si>
  <si>
    <t>Impuesto 11</t>
  </si>
  <si>
    <t>Impuesto 12</t>
  </si>
  <si>
    <t>Impuesto 13</t>
  </si>
  <si>
    <t>Impuesto 14</t>
  </si>
  <si>
    <t>Impuesto 15</t>
  </si>
  <si>
    <t>Loc Modelo</t>
  </si>
  <si>
    <t>Tarifa</t>
  </si>
  <si>
    <t>Grupos</t>
  </si>
  <si>
    <t>Localidad</t>
  </si>
  <si>
    <t>Region</t>
  </si>
  <si>
    <t>Tarifa ($)</t>
  </si>
  <si>
    <t>Base</t>
  </si>
  <si>
    <t>Modelo</t>
  </si>
  <si>
    <t>Maule</t>
  </si>
  <si>
    <t>ARAUCO</t>
  </si>
  <si>
    <t>ILOCA</t>
  </si>
  <si>
    <t>CAUQUENES</t>
  </si>
  <si>
    <t>LINARES</t>
  </si>
  <si>
    <t>CHILLAN</t>
  </si>
  <si>
    <t>LOS ANGELES</t>
  </si>
  <si>
    <t>Bio Bio - Ñuble</t>
  </si>
  <si>
    <t>CHIMBARONGO</t>
  </si>
  <si>
    <t>PELLUHUE</t>
  </si>
  <si>
    <t>CODEGUA</t>
  </si>
  <si>
    <t>CODEGUA - LA PUNTA</t>
  </si>
  <si>
    <t>RANCAGUA - MACHALI</t>
  </si>
  <si>
    <t>O’Higgins</t>
  </si>
  <si>
    <t>LA PUNTA</t>
  </si>
  <si>
    <t>REQUINOA</t>
  </si>
  <si>
    <t>COINCO</t>
  </si>
  <si>
    <t>ROMERAL</t>
  </si>
  <si>
    <t>COLTAUCO</t>
  </si>
  <si>
    <t>ROSARIO</t>
  </si>
  <si>
    <t>CONCEPCION</t>
  </si>
  <si>
    <t>CONCEPCION - TALCAHUANO</t>
  </si>
  <si>
    <t>SANTA CRUZ - PALMILLA</t>
  </si>
  <si>
    <t>TALCAHUANO</t>
  </si>
  <si>
    <t>TALCA</t>
  </si>
  <si>
    <t>CONSTITUCION</t>
  </si>
  <si>
    <t>TENO</t>
  </si>
  <si>
    <t>CORONEL</t>
  </si>
  <si>
    <t>COYA</t>
  </si>
  <si>
    <t>CURICO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</si>
  <si>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</si>
  <si>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</si>
  <si>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</si>
  <si>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</si>
  <si>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</si>
  <si>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</si>
  <si>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</si>
  <si>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</si>
  <si>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</si>
  <si>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</si>
  <si>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</si>
  <si>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</si>
  <si>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</si>
  <si>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</si>
  <si>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</si>
  <si>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</si>
  <si>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</si>
  <si>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</si>
  <si>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</si>
  <si>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</si>
  <si>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</si>
  <si>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</si>
  <si>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</si>
  <si>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</si>
  <si>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</si>
  <si>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</si>
  <si>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</si>
  <si>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</si>
  <si>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</si>
  <si>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</si>
  <si>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</si>
  <si>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</si>
  <si>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</si>
  <si>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</si>
  <si>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</si>
  <si>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</si>
  <si>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PEDRO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</si>
  <si>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</si>
  <si>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</si>
  <si>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</si>
  <si>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</si>
  <si>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</si>
  <si>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</si>
  <si>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</si>
  <si>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YERBAS BUENAS</t>
  </si>
  <si>
    <t>SANTA CRUZ</t>
  </si>
  <si>
    <t>CANTIDAD DE MEDIDORES POR DIAMETRO*</t>
  </si>
  <si>
    <t>*Ya que el cálculo de error a caudal alto en medidores de más de 38mm se considera un parámetro, este archivo solo contiene mayores a 38 mm pero la idea es unificar todo en un solo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</si>
</sst>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 &quot;$&quot;* #,##0_ ;_ &quot;$&quot;* \-#,##0_ ;_ &quot;$&quot;* &quot;-&quot;_ ;_ @_ "/>
    <numFmt numFmtId="41" formatCode="_ * #,##0_ ;_ * \-#,##0_ ;_ * &quot;-&quot;_ ;_ @_ "/>
    <numFmt numFmtId="43" formatCode="_ * #,##0.00_ ;_ * \-#,##0.00_ ;_ * &quot;-&quot;??_ ;_ @_ "/>
    <numFmt numFmtId="164" formatCode="0.0%"/>
    <numFmt numFmtId="165" formatCode="_ * #,##0.0_ ;_ * \-#,##0.0_ ;_ * &quot;-&quot;_ ;_ @_ "/>
    <numFmt numFmtId="166" formatCode="_ * #,##0.00_ ;_ * \-#,##0.00_ ;_ * &quot;-&quot;_ ;_ @_ "/>
    <numFmt numFmtId="167" formatCode="0.0"/>
    <numFmt numFmtId="168" formatCode="0.0000%"/>
    <numFmt numFmtId="169" formatCode="_ * #,##0.000_ ;_ * \-#,##0.000_ ;_ * &quot;-&quot;_ ;_ @_ "/>
    <numFmt numFmtId="170" formatCode="0.000"/>
    <numFmt numFmtId="171" formatCode="#,##0.0"/>
    <numFmt numFmtId="172" formatCode="_ * #,##0.0000000_ ;_ * \-#,##0.0000000_ ;_ * &quot;-&quot;_ ;_ @_ "/>
    <numFmt numFmtId="173" formatCode="_ * #,##0.000000000_ ;_ * \-#,##0.000000000_ ;_ 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sz val="11"/>
      <color theme="1"/>
      <name val="Univers"/>
      <family val="2"/>
    </font>
    <font>
      <b/>
      <sz val="12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9"/>
      <color theme="1"/>
      <name val="Univers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</font>
    <font>
      <i/>
      <sz val="11"/>
      <color theme="1"/>
      <name val="Univers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2" fontId="1" fillId="0" borderId="0" applyFont="0" applyFill="0" applyBorder="0" applyAlignment="0" applyProtection="0"/>
  </cellStyleXfs>
  <cellXfs count="164">
    <xf numFmtId="0" fontId="0" fillId="0" borderId="0" xfId="0"/>
    <xf numFmtId="0" fontId="0" fillId="0" borderId="4" xfId="0" applyBorder="1"/>
    <xf numFmtId="9" fontId="0" fillId="0" borderId="4" xfId="2" applyFont="1" applyBorder="1"/>
    <xf numFmtId="164" fontId="0" fillId="0" borderId="4" xfId="2" applyNumberFormat="1" applyFont="1" applyBorder="1"/>
    <xf numFmtId="10" fontId="0" fillId="0" borderId="0" xfId="0" applyNumberFormat="1"/>
    <xf numFmtId="9" fontId="0" fillId="0" borderId="0" xfId="2" applyFont="1"/>
    <xf numFmtId="9" fontId="0" fillId="0" borderId="4" xfId="2" applyFont="1" applyBorder="1" applyAlignment="1">
      <alignment horizontal="center"/>
    </xf>
    <xf numFmtId="164" fontId="0" fillId="0" borderId="0" xfId="0" applyNumberFormat="1"/>
    <xf numFmtId="10" fontId="0" fillId="0" borderId="4" xfId="0" applyNumberFormat="1" applyBorder="1"/>
    <xf numFmtId="0" fontId="0" fillId="0" borderId="4" xfId="0" applyBorder="1" applyAlignment="1">
      <alignment horizontal="center"/>
    </xf>
    <xf numFmtId="41" fontId="0" fillId="0" borderId="0" xfId="1" applyFont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5" fillId="0" borderId="3" xfId="1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0" fontId="5" fillId="4" borderId="4" xfId="0" applyFont="1" applyFill="1" applyBorder="1" applyAlignment="1" applyProtection="1">
      <alignment horizontal="left"/>
      <protection locked="0"/>
    </xf>
    <xf numFmtId="10" fontId="0" fillId="3" borderId="4" xfId="0" applyNumberFormat="1" applyFill="1" applyBorder="1"/>
    <xf numFmtId="0" fontId="0" fillId="0" borderId="7" xfId="0" applyBorder="1"/>
    <xf numFmtId="0" fontId="6" fillId="0" borderId="0" xfId="0" applyFont="1" applyAlignment="1">
      <alignment horizontal="center" vertical="center" readingOrder="1"/>
    </xf>
    <xf numFmtId="0" fontId="7" fillId="0" borderId="0" xfId="0" applyFont="1"/>
    <xf numFmtId="0" fontId="2" fillId="0" borderId="4" xfId="0" applyFont="1" applyBorder="1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0" xfId="0" applyFont="1"/>
    <xf numFmtId="164" fontId="0" fillId="0" borderId="4" xfId="2" applyNumberFormat="1" applyFon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5" fillId="0" borderId="0" xfId="0" applyFont="1"/>
    <xf numFmtId="164" fontId="0" fillId="0" borderId="0" xfId="2" applyNumberFormat="1" applyFont="1"/>
    <xf numFmtId="0" fontId="0" fillId="0" borderId="0" xfId="0" applyProtection="1">
      <protection locked="0"/>
    </xf>
    <xf numFmtId="0" fontId="0" fillId="6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1" fillId="0" borderId="4" xfId="0" applyFont="1" applyBorder="1"/>
    <xf numFmtId="41" fontId="11" fillId="0" borderId="4" xfId="1" applyFont="1" applyBorder="1"/>
    <xf numFmtId="41" fontId="11" fillId="0" borderId="0" xfId="1" applyFont="1"/>
    <xf numFmtId="0" fontId="5" fillId="0" borderId="0" xfId="0" applyFont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41" fontId="5" fillId="0" borderId="2" xfId="1" applyFont="1" applyBorder="1" applyAlignment="1">
      <alignment horizontal="center"/>
    </xf>
    <xf numFmtId="0" fontId="5" fillId="0" borderId="0" xfId="0" applyFont="1" applyAlignment="1">
      <alignment horizontal="left"/>
    </xf>
    <xf numFmtId="41" fontId="5" fillId="0" borderId="10" xfId="1" applyFont="1" applyBorder="1" applyAlignment="1">
      <alignment horizontal="center"/>
    </xf>
    <xf numFmtId="41" fontId="5" fillId="0" borderId="10" xfId="1" applyFont="1" applyFill="1" applyBorder="1" applyAlignment="1">
      <alignment horizontal="center"/>
    </xf>
    <xf numFmtId="0" fontId="5" fillId="0" borderId="11" xfId="0" applyFont="1" applyBorder="1"/>
    <xf numFmtId="41" fontId="5" fillId="0" borderId="7" xfId="1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9" fontId="4" fillId="0" borderId="0" xfId="0" applyNumberFormat="1" applyFont="1"/>
    <xf numFmtId="0" fontId="5" fillId="0" borderId="7" xfId="0" applyFont="1" applyBorder="1" applyAlignment="1">
      <alignment horizontal="left"/>
    </xf>
    <xf numFmtId="0" fontId="14" fillId="0" borderId="0" xfId="0" applyFont="1"/>
    <xf numFmtId="41" fontId="14" fillId="0" borderId="0" xfId="1" applyFont="1" applyBorder="1" applyAlignment="1">
      <alignment horizontal="center"/>
    </xf>
    <xf numFmtId="3" fontId="14" fillId="0" borderId="0" xfId="0" applyNumberFormat="1" applyFont="1" applyAlignment="1">
      <alignment horizontal="center"/>
    </xf>
    <xf numFmtId="41" fontId="14" fillId="0" borderId="0" xfId="1" applyFont="1"/>
    <xf numFmtId="0" fontId="4" fillId="0" borderId="0" xfId="0" applyFont="1"/>
    <xf numFmtId="0" fontId="4" fillId="0" borderId="3" xfId="0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41" fontId="5" fillId="0" borderId="0" xfId="1" applyFont="1" applyFill="1" applyBorder="1" applyAlignment="1">
      <alignment horizontal="center"/>
    </xf>
    <xf numFmtId="0" fontId="5" fillId="0" borderId="3" xfId="0" applyFont="1" applyBorder="1"/>
    <xf numFmtId="9" fontId="15" fillId="0" borderId="3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41" fontId="5" fillId="0" borderId="0" xfId="1" applyFont="1" applyBorder="1" applyAlignment="1">
      <alignment horizontal="center"/>
    </xf>
    <xf numFmtId="42" fontId="15" fillId="0" borderId="3" xfId="4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41" fontId="15" fillId="0" borderId="3" xfId="1" applyFont="1" applyBorder="1" applyAlignment="1">
      <alignment horizontal="center"/>
    </xf>
    <xf numFmtId="164" fontId="11" fillId="0" borderId="0" xfId="2" applyNumberFormat="1" applyFont="1"/>
    <xf numFmtId="0" fontId="9" fillId="5" borderId="12" xfId="0" applyFont="1" applyFill="1" applyBorder="1"/>
    <xf numFmtId="0" fontId="16" fillId="0" borderId="0" xfId="0" applyFont="1" applyAlignment="1">
      <alignment vertical="center"/>
    </xf>
    <xf numFmtId="41" fontId="11" fillId="0" borderId="0" xfId="0" applyNumberFormat="1" applyFont="1"/>
    <xf numFmtId="9" fontId="10" fillId="5" borderId="12" xfId="2" applyFont="1" applyFill="1" applyBorder="1" applyAlignment="1">
      <alignment horizontal="center"/>
    </xf>
    <xf numFmtId="9" fontId="0" fillId="0" borderId="0" xfId="2" applyFont="1" applyProtection="1">
      <protection locked="0"/>
    </xf>
    <xf numFmtId="166" fontId="15" fillId="0" borderId="3" xfId="1" applyNumberFormat="1" applyFont="1" applyBorder="1" applyAlignment="1">
      <alignment horizontal="center"/>
    </xf>
    <xf numFmtId="9" fontId="11" fillId="0" borderId="0" xfId="2" applyFont="1"/>
    <xf numFmtId="0" fontId="2" fillId="0" borderId="0" xfId="0" applyFont="1" applyAlignment="1">
      <alignment vertical="center"/>
    </xf>
    <xf numFmtId="166" fontId="11" fillId="0" borderId="0" xfId="0" applyNumberFormat="1" applyFont="1"/>
    <xf numFmtId="9" fontId="11" fillId="0" borderId="0" xfId="0" applyNumberFormat="1" applyFont="1"/>
    <xf numFmtId="0" fontId="11" fillId="0" borderId="0" xfId="0" applyFont="1" applyAlignment="1">
      <alignment horizontal="center"/>
    </xf>
    <xf numFmtId="165" fontId="11" fillId="0" borderId="0" xfId="1" applyNumberFormat="1" applyFont="1"/>
    <xf numFmtId="169" fontId="5" fillId="0" borderId="7" xfId="1" applyNumberFormat="1" applyFont="1" applyFill="1" applyBorder="1" applyAlignment="1">
      <alignment horizontal="center"/>
    </xf>
    <xf numFmtId="43" fontId="13" fillId="0" borderId="0" xfId="0" applyNumberFormat="1" applyFont="1"/>
    <xf numFmtId="41" fontId="13" fillId="0" borderId="0" xfId="0" applyNumberFormat="1" applyFont="1"/>
    <xf numFmtId="0" fontId="13" fillId="0" borderId="0" xfId="0" applyFont="1"/>
    <xf numFmtId="9" fontId="11" fillId="3" borderId="0" xfId="2" applyFont="1" applyFill="1"/>
    <xf numFmtId="41" fontId="5" fillId="0" borderId="0" xfId="1" applyFont="1"/>
    <xf numFmtId="0" fontId="5" fillId="0" borderId="4" xfId="0" applyFont="1" applyBorder="1"/>
    <xf numFmtId="41" fontId="5" fillId="0" borderId="4" xfId="1" applyFont="1" applyBorder="1"/>
    <xf numFmtId="2" fontId="11" fillId="0" borderId="0" xfId="0" applyNumberFormat="1" applyFont="1"/>
    <xf numFmtId="9" fontId="11" fillId="0" borderId="4" xfId="2" applyFont="1" applyBorder="1"/>
    <xf numFmtId="10" fontId="11" fillId="0" borderId="0" xfId="2" applyNumberFormat="1" applyFont="1"/>
    <xf numFmtId="0" fontId="0" fillId="9" borderId="0" xfId="0" applyFill="1" applyAlignment="1" applyProtection="1">
      <alignment horizontal="center"/>
      <protection locked="0"/>
    </xf>
    <xf numFmtId="14" fontId="0" fillId="9" borderId="0" xfId="0" applyNumberFormat="1" applyFill="1" applyAlignment="1" applyProtection="1">
      <alignment horizontal="center"/>
      <protection locked="0"/>
    </xf>
    <xf numFmtId="164" fontId="11" fillId="0" borderId="0" xfId="0" applyNumberFormat="1" applyFont="1"/>
    <xf numFmtId="14" fontId="0" fillId="0" borderId="0" xfId="0" applyNumberFormat="1"/>
    <xf numFmtId="170" fontId="0" fillId="0" borderId="0" xfId="1" applyNumberFormat="1" applyFont="1" applyAlignment="1">
      <alignment horizontal="center"/>
    </xf>
    <xf numFmtId="41" fontId="11" fillId="8" borderId="0" xfId="0" applyNumberFormat="1" applyFont="1" applyFill="1"/>
    <xf numFmtId="10" fontId="11" fillId="8" borderId="0" xfId="2" applyNumberFormat="1" applyFont="1" applyFill="1"/>
    <xf numFmtId="166" fontId="11" fillId="9" borderId="0" xfId="1" applyNumberFormat="1" applyFont="1" applyFill="1"/>
    <xf numFmtId="0" fontId="0" fillId="0" borderId="0" xfId="0" applyAlignment="1">
      <alignment horizontal="center"/>
    </xf>
    <xf numFmtId="0" fontId="0" fillId="9" borderId="0" xfId="0" applyFill="1" applyProtection="1">
      <protection locked="0"/>
    </xf>
    <xf numFmtId="2" fontId="11" fillId="0" borderId="0" xfId="0" applyNumberFormat="1" applyFont="1" applyAlignment="1">
      <alignment horizontal="center"/>
    </xf>
    <xf numFmtId="43" fontId="11" fillId="0" borderId="0" xfId="0" applyNumberFormat="1" applyFont="1"/>
    <xf numFmtId="41" fontId="11" fillId="9" borderId="0" xfId="1" applyFont="1" applyFill="1"/>
    <xf numFmtId="0" fontId="0" fillId="0" borderId="0" xfId="0" applyAlignment="1" applyProtection="1">
      <alignment horizontal="center"/>
      <protection locked="0"/>
    </xf>
    <xf numFmtId="164" fontId="0" fillId="0" borderId="0" xfId="2" applyNumberFormat="1" applyFont="1" applyProtection="1">
      <protection locked="0"/>
    </xf>
    <xf numFmtId="164" fontId="0" fillId="3" borderId="0" xfId="0" applyNumberFormat="1" applyFill="1"/>
    <xf numFmtId="172" fontId="0" fillId="9" borderId="0" xfId="1" applyNumberFormat="1" applyFont="1" applyFill="1" applyProtection="1">
      <protection locked="0"/>
    </xf>
    <xf numFmtId="172" fontId="0" fillId="0" borderId="0" xfId="1" applyNumberFormat="1" applyFont="1" applyProtection="1">
      <protection locked="0"/>
    </xf>
    <xf numFmtId="173" fontId="5" fillId="0" borderId="0" xfId="1" applyNumberFormat="1" applyFont="1" applyFill="1" applyBorder="1" applyAlignment="1">
      <alignment horizontal="center"/>
    </xf>
    <xf numFmtId="9" fontId="0" fillId="3" borderId="0" xfId="2" applyFont="1" applyFill="1" applyProtection="1">
      <protection locked="0"/>
    </xf>
    <xf numFmtId="166" fontId="11" fillId="0" borderId="0" xfId="1" applyNumberFormat="1" applyFont="1"/>
    <xf numFmtId="41" fontId="17" fillId="0" borderId="0" xfId="1" applyFont="1" applyFill="1" applyBorder="1" applyAlignment="1">
      <alignment horizontal="center"/>
    </xf>
    <xf numFmtId="0" fontId="17" fillId="3" borderId="0" xfId="1" applyNumberFormat="1" applyFont="1" applyFill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41" fontId="5" fillId="3" borderId="0" xfId="1" applyFont="1" applyFill="1" applyBorder="1" applyAlignment="1">
      <alignment horizontal="left"/>
    </xf>
    <xf numFmtId="41" fontId="5" fillId="3" borderId="0" xfId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9" fontId="0" fillId="8" borderId="4" xfId="2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2" applyNumberFormat="1" applyFont="1" applyFill="1" applyBorder="1" applyAlignment="1">
      <alignment horizontal="center"/>
    </xf>
    <xf numFmtId="9" fontId="0" fillId="0" borderId="0" xfId="2" applyFont="1" applyFill="1" applyBorder="1" applyAlignment="1">
      <alignment horizontal="center"/>
    </xf>
    <xf numFmtId="9" fontId="0" fillId="0" borderId="0" xfId="2" applyFont="1" applyFill="1" applyBorder="1"/>
    <xf numFmtId="164" fontId="0" fillId="0" borderId="0" xfId="2" applyNumberFormat="1" applyFont="1" applyFill="1" applyBorder="1"/>
    <xf numFmtId="0" fontId="0" fillId="8" borderId="4" xfId="0" applyFill="1" applyBorder="1"/>
    <xf numFmtId="10" fontId="0" fillId="8" borderId="4" xfId="2" applyNumberFormat="1" applyFont="1" applyFill="1" applyBorder="1" applyAlignment="1">
      <alignment horizontal="center"/>
    </xf>
    <xf numFmtId="164" fontId="0" fillId="8" borderId="4" xfId="2" applyNumberFormat="1" applyFont="1" applyFill="1" applyBorder="1" applyAlignment="1">
      <alignment horizontal="center"/>
    </xf>
    <xf numFmtId="0" fontId="0" fillId="9" borderId="0" xfId="1" applyNumberFormat="1" applyFont="1" applyFill="1" applyAlignment="1" applyProtection="1">
      <alignment horizontal="center"/>
      <protection locked="0"/>
    </xf>
    <xf numFmtId="164" fontId="0" fillId="0" borderId="0" xfId="2" applyNumberFormat="1" applyFont="1" applyAlignment="1" applyProtection="1">
      <alignment horizontal="center"/>
      <protection locked="0"/>
    </xf>
    <xf numFmtId="171" fontId="0" fillId="0" borderId="0" xfId="2" applyNumberFormat="1" applyFont="1" applyAlignment="1" applyProtection="1">
      <alignment horizontal="center"/>
      <protection locked="0"/>
    </xf>
    <xf numFmtId="174" fontId="11" fillId="0" borderId="0" xfId="0" applyNumberFormat="1" applyFont="1"/>
    <xf numFmtId="168" fontId="0" fillId="9" borderId="0" xfId="2" applyNumberFormat="1" applyFont="1" applyFill="1" applyProtection="1">
      <protection locked="0"/>
    </xf>
    <xf numFmtId="0" fontId="11" fillId="3" borderId="0" xfId="2" applyNumberFormat="1" applyFont="1" applyFill="1"/>
    <xf numFmtId="167" fontId="0" fillId="0" borderId="0" xfId="0" applyNumberFormat="1" applyProtection="1">
      <protection locked="0"/>
    </xf>
    <xf numFmtId="4" fontId="0" fillId="0" borderId="0" xfId="2" applyNumberFormat="1" applyFont="1" applyAlignment="1" applyProtection="1">
      <alignment horizontal="center"/>
      <protection locked="0"/>
    </xf>
    <xf numFmtId="0" fontId="0" fillId="10" borderId="0" xfId="0" applyFill="1" applyAlignment="1" applyProtection="1">
      <alignment horizontal="left"/>
      <protection locked="0"/>
    </xf>
    <xf numFmtId="9" fontId="0" fillId="0" borderId="0" xfId="2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11" borderId="0" xfId="0" applyFill="1" applyAlignment="1" applyProtection="1">
      <alignment horizontal="left"/>
      <protection locked="0"/>
    </xf>
    <xf numFmtId="3" fontId="0" fillId="0" borderId="0" xfId="2" applyNumberFormat="1" applyFont="1" applyAlignment="1" applyProtection="1">
      <alignment horizontal="center"/>
      <protection locked="0"/>
    </xf>
    <xf numFmtId="43" fontId="11" fillId="10" borderId="0" xfId="0" applyNumberFormat="1" applyFont="1" applyFill="1"/>
    <xf numFmtId="3" fontId="0" fillId="0" borderId="0" xfId="0" applyNumberFormat="1" applyAlignment="1" applyProtection="1">
      <alignment horizontal="center"/>
      <protection locked="0"/>
    </xf>
    <xf numFmtId="41" fontId="0" fillId="0" borderId="0" xfId="1" applyFont="1" applyProtection="1">
      <protection locked="0"/>
    </xf>
    <xf numFmtId="0" fontId="0" fillId="12" borderId="0" xfId="0" applyFill="1" applyAlignment="1" applyProtection="1">
      <alignment horizontal="left"/>
      <protection locked="0"/>
    </xf>
    <xf numFmtId="0" fontId="0" fillId="13" borderId="0" xfId="0" applyFill="1" applyAlignment="1" applyProtection="1">
      <alignment horizontal="left"/>
      <protection locked="0"/>
    </xf>
    <xf numFmtId="0" fontId="18" fillId="14" borderId="13" xfId="0" applyFont="1" applyFill="1" applyBorder="1" applyAlignment="1">
      <alignment horizontal="center"/>
    </xf>
    <xf numFmtId="0" fontId="18" fillId="14" borderId="13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Border="1"/>
    <xf numFmtId="3" fontId="0" fillId="0" borderId="13" xfId="0" applyNumberFormat="1" applyBorder="1" applyAlignment="1">
      <alignment horizontal="center"/>
    </xf>
    <xf numFmtId="171" fontId="0" fillId="0" borderId="0" xfId="0" applyNumberFormat="1" applyAlignment="1" applyProtection="1">
      <alignment horizontal="center"/>
      <protection locked="0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9" borderId="0" xfId="0" applyFill="1" applyAlignment="1" applyProtection="1">
      <alignment horizontal="center"/>
      <protection locked="0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19" fillId="0" borderId="0" xfId="0" applyFont="1"/>
  </cellXfs>
  <cellStyles count="5">
    <cellStyle name="Millares [0]" xfId="1" builtinId="6"/>
    <cellStyle name="Moneda [0]" xfId="4" builtinId="7"/>
    <cellStyle name="Normal" xfId="0" builtinId="0"/>
    <cellStyle name="Normal 2" xfId="3" xr:uid="{00000000-0005-0000-0000-000003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9055796150481188"/>
                  <c:y val="-4.76396179644211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'Parámetros Caudal Bajo'!$D$44:$G$44</c:f>
              <c:numCache>
                <c:formatCode>General</c:formatCode>
                <c:ptCount val="4"/>
                <c:pt idx="0">
                  <c:v>0.5</c:v>
                </c:pt>
                <c:pt idx="1">
                  <c:v>6</c:v>
                </c:pt>
                <c:pt idx="2">
                  <c:v>11</c:v>
                </c:pt>
                <c:pt idx="3">
                  <c:v>19</c:v>
                </c:pt>
              </c:numCache>
            </c:numRef>
          </c:xVal>
          <c:yVal>
            <c:numRef>
              <c:f>'Parámetros Caudal Bajo'!$D$45:$G$45</c:f>
              <c:numCache>
                <c:formatCode>_ * #,##0.0_ ;_ * \-#,##0.0_ ;_ * "-"_ ;_ @_ </c:formatCode>
                <c:ptCount val="4"/>
                <c:pt idx="0">
                  <c:v>96</c:v>
                </c:pt>
                <c:pt idx="1">
                  <c:v>93.01</c:v>
                </c:pt>
                <c:pt idx="2">
                  <c:v>88.31</c:v>
                </c:pt>
                <c:pt idx="3">
                  <c:v>85.45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1A-4657-BE11-8DDF152BA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8600208"/>
        <c:axId val="-298599120"/>
      </c:scatterChart>
      <c:valAx>
        <c:axId val="-2986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98599120"/>
        <c:crosses val="autoZero"/>
        <c:crossBetween val="midCat"/>
      </c:valAx>
      <c:valAx>
        <c:axId val="-2985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 * #,##0.0_ ;_ * \-#,##0.0_ ;_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9860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8118153980752406"/>
                  <c:y val="-5.29615206041483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'Parámetros Caudal Bajo'!$K$60:$N$60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11</c:v>
                </c:pt>
              </c:numCache>
            </c:numRef>
          </c:xVal>
          <c:yVal>
            <c:numRef>
              <c:f>'Parámetros Caudal Bajo'!$K$61:$N$61</c:f>
              <c:numCache>
                <c:formatCode>_ * #,##0.0_ ;_ * \-#,##0.0_ ;_ * "-"_ ;_ @_ </c:formatCode>
                <c:ptCount val="4"/>
                <c:pt idx="0">
                  <c:v>97.56</c:v>
                </c:pt>
                <c:pt idx="1">
                  <c:v>96.49</c:v>
                </c:pt>
                <c:pt idx="2">
                  <c:v>96.38</c:v>
                </c:pt>
                <c:pt idx="3">
                  <c:v>95.08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5-4A3E-B53C-343753F5A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8596400"/>
        <c:axId val="-298595312"/>
      </c:scatterChart>
      <c:valAx>
        <c:axId val="-29859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98595312"/>
        <c:crosses val="autoZero"/>
        <c:crossBetween val="midCat"/>
      </c:valAx>
      <c:valAx>
        <c:axId val="-2985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 * #,##0.0_ ;_ * \-#,##0.0_ ;_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9859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1679482597618197"/>
                  <c:y val="5.47867454068241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'Parámetros Caudal Bajo'!$D$60:$F$60</c:f>
              <c:numCache>
                <c:formatCode>General</c:formatCode>
                <c:ptCount val="3"/>
                <c:pt idx="0">
                  <c:v>0.5</c:v>
                </c:pt>
                <c:pt idx="1">
                  <c:v>6</c:v>
                </c:pt>
                <c:pt idx="2">
                  <c:v>11</c:v>
                </c:pt>
              </c:numCache>
            </c:numRef>
          </c:xVal>
          <c:yVal>
            <c:numRef>
              <c:f>'Parámetros Caudal Bajo'!$D$61:$F$61</c:f>
              <c:numCache>
                <c:formatCode>_ * #,##0.0_ ;_ * \-#,##0.0_ ;_ * "-"_ ;_ @_ </c:formatCode>
                <c:ptCount val="3"/>
                <c:pt idx="0">
                  <c:v>96.44</c:v>
                </c:pt>
                <c:pt idx="1">
                  <c:v>94.71</c:v>
                </c:pt>
                <c:pt idx="2">
                  <c:v>84.29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EA-44F9-A063-236C00DC0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98605648"/>
        <c:axId val="-298605104"/>
      </c:scatterChart>
      <c:valAx>
        <c:axId val="-29860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98605104"/>
        <c:crosses val="autoZero"/>
        <c:crossBetween val="midCat"/>
      </c:valAx>
      <c:valAx>
        <c:axId val="-2986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 * #,##0.0_ ;_ * \-#,##0.0_ ;_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9860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 i="0" baseline="0">
                <a:effectLst/>
              </a:rPr>
              <a:t>Error v/s Edad Clase C 19 mm</a:t>
            </a:r>
            <a:endParaRPr lang="es-CL" sz="1050">
              <a:effectLst/>
            </a:endParaRPr>
          </a:p>
        </c:rich>
      </c:tx>
      <c:layout>
        <c:manualLayout>
          <c:xMode val="edge"/>
          <c:yMode val="edge"/>
          <c:x val="0.25520334645647663"/>
          <c:y val="3.7573684894095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'Parámetros Caudal Bajo'!$K$44:$O$44</c:f>
              <c:numCache>
                <c:formatCode>General</c:formatCode>
                <c:ptCount val="5"/>
                <c:pt idx="0">
                  <c:v>0.5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20</c:v>
                </c:pt>
              </c:numCache>
            </c:numRef>
          </c:xVal>
          <c:yVal>
            <c:numRef>
              <c:f>'Parámetros Caudal Bajo'!$K$45:$O$45</c:f>
              <c:numCache>
                <c:formatCode>_ * #,##0.0_ ;_ * \-#,##0.0_ ;_ * "-"_ ;_ @_ </c:formatCode>
                <c:ptCount val="5"/>
                <c:pt idx="0">
                  <c:v>94.57</c:v>
                </c:pt>
                <c:pt idx="1">
                  <c:v>94.17</c:v>
                </c:pt>
                <c:pt idx="2">
                  <c:v>93.97</c:v>
                </c:pt>
                <c:pt idx="3">
                  <c:v>92.87</c:v>
                </c:pt>
                <c:pt idx="4">
                  <c:v>91.12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5E-4BE7-9FA2-18050B9F7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0031296"/>
        <c:axId val="-580040640"/>
      </c:scatterChart>
      <c:valAx>
        <c:axId val="-58003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580040640"/>
        <c:crosses val="autoZero"/>
        <c:crossBetween val="midCat"/>
      </c:valAx>
      <c:valAx>
        <c:axId val="-5800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 * #,##0.0_ ;_ * \-#,##0.0_ ;_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58003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200" b="1" i="0" baseline="0">
                <a:effectLst/>
              </a:rPr>
              <a:t>Error v/s Edad Clase C 25 mm</a:t>
            </a:r>
            <a:endParaRPr lang="es-CL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4512860892388452"/>
                  <c:y val="2.38681102362204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'Parámetros Caudal Bajo'!$D$77:$F$77</c:f>
              <c:numCache>
                <c:formatCode>General</c:formatCode>
                <c:ptCount val="3"/>
                <c:pt idx="0">
                  <c:v>0.5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'Parámetros Caudal Bajo'!$D$78:$F$78</c:f>
              <c:numCache>
                <c:formatCode>_ * #,##0.0_ ;_ * \-#,##0.0_ ;_ * "-"_ ;_ @_ </c:formatCode>
                <c:ptCount val="3"/>
                <c:pt idx="0">
                  <c:v>96.95</c:v>
                </c:pt>
                <c:pt idx="1">
                  <c:v>95.51</c:v>
                </c:pt>
                <c:pt idx="2">
                  <c:v>94.39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F9-40AE-8C91-94616C3A0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035120"/>
        <c:axId val="-2131037296"/>
      </c:scatterChart>
      <c:valAx>
        <c:axId val="-21310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131037296"/>
        <c:crosses val="autoZero"/>
        <c:crossBetween val="midCat"/>
      </c:valAx>
      <c:valAx>
        <c:axId val="-21310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 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_ * #,##0.0_ ;_ * \-#,##0.0_ ;_ * &quot;-&quot;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213103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139401</xdr:colOff>
      <xdr:row>45</xdr:row>
      <xdr:rowOff>97267</xdr:rowOff>
    </xdr:from>
    <xdr:to>
      <xdr:col>7</xdr:col>
      <xdr:colOff>401782</xdr:colOff>
      <xdr:row>56</xdr:row>
      <xdr:rowOff>82027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431855</xdr:colOff>
      <xdr:row>62</xdr:row>
      <xdr:rowOff>121185</xdr:rowOff>
    </xdr:from>
    <xdr:to>
      <xdr:col>15</xdr:col>
      <xdr:colOff>0</xdr:colOff>
      <xdr:row>74</xdr:row>
      <xdr:rowOff>36551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7620</xdr:colOff>
      <xdr:row>61</xdr:row>
      <xdr:rowOff>99060</xdr:rowOff>
    </xdr:from>
    <xdr:to>
      <xdr:col>7</xdr:col>
      <xdr:colOff>350520</xdr:colOff>
      <xdr:row>73</xdr:row>
      <xdr:rowOff>38100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664733</xdr:colOff>
      <xdr:row>46</xdr:row>
      <xdr:rowOff>80010</xdr:rowOff>
    </xdr:from>
    <xdr:to>
      <xdr:col>14</xdr:col>
      <xdr:colOff>481853</xdr:colOff>
      <xdr:row>55</xdr:row>
      <xdr:rowOff>137160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769620</xdr:colOff>
      <xdr:row>79</xdr:row>
      <xdr:rowOff>22860</xdr:rowOff>
    </xdr:from>
    <xdr:to>
      <xdr:col>7</xdr:col>
      <xdr:colOff>320040</xdr:colOff>
      <xdr:row>90</xdr:row>
      <xdr:rowOff>144780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3:V121"/>
  <sheetViews>
    <sheetView showGridLines="0" tabSelected="1" zoomScale="85" zoomScaleNormal="85" workbookViewId="0">
      <selection activeCell="N6" sqref="N6"/>
    </sheetView>
  </sheetViews>
  <sheetFormatPr baseColWidth="10" defaultRowHeight="14.4" outlineLevelRow="1" x14ac:dyDescent="0.3"/>
  <cols>
    <col min="1" max="1" width="4.33203125" style="32" customWidth="1"/>
    <col min="2" max="2" width="16" style="32" customWidth="1"/>
    <col min="3" max="3" width="48.33203125" style="32" bestFit="1" customWidth="1"/>
    <col min="4" max="4" width="14.5546875" style="32" customWidth="1"/>
    <col min="5" max="5" width="20.5546875" style="32" customWidth="1"/>
    <col min="6" max="6" width="15.5546875" style="32" bestFit="1" customWidth="1"/>
    <col min="7" max="7" width="14.5546875" style="32" bestFit="1" customWidth="1"/>
    <col min="8" max="8" width="14.44140625" style="32" bestFit="1" customWidth="1"/>
    <col min="9" max="12" width="12.6640625" style="32" bestFit="1" customWidth="1"/>
    <col min="13" max="18" width="12.77734375" style="32" bestFit="1" customWidth="1"/>
    <col min="19" max="19" width="16.109375" style="32" customWidth="1"/>
    <col min="20" max="16384" width="11.5546875" style="32"/>
  </cols>
  <sheetData>
    <row r="3" spans="3:14" ht="15.6" x14ac:dyDescent="0.3">
      <c r="C3" s="33" t="s">
        <v>316</v>
      </c>
    </row>
    <row r="4" spans="3:14" ht="15.6" x14ac:dyDescent="0.3">
      <c r="C4" s="33"/>
    </row>
    <row r="5" spans="3:14" x14ac:dyDescent="0.3">
      <c r="D5" s="72">
        <v>2</v>
      </c>
      <c r="E5" s="72">
        <v>3</v>
      </c>
      <c r="F5" s="72">
        <v>4</v>
      </c>
      <c r="G5" s="72">
        <v>5</v>
      </c>
      <c r="H5" s="72"/>
      <c r="I5" s="72"/>
      <c r="J5" s="72"/>
      <c r="K5" s="72"/>
      <c r="L5" s="72">
        <v>6</v>
      </c>
    </row>
    <row r="6" spans="3:14" x14ac:dyDescent="0.3">
      <c r="C6" s="32" t="s">
        <v>8</v>
      </c>
      <c r="D6" s="34">
        <v>38</v>
      </c>
      <c r="E6" s="34">
        <v>50</v>
      </c>
      <c r="F6" s="34">
        <v>80</v>
      </c>
      <c r="G6" s="34">
        <v>100</v>
      </c>
      <c r="H6" s="34">
        <v>150</v>
      </c>
      <c r="I6" s="34">
        <v>180</v>
      </c>
      <c r="J6" s="34">
        <v>200</v>
      </c>
      <c r="K6" s="34">
        <v>350</v>
      </c>
      <c r="L6" s="34">
        <v>400</v>
      </c>
      <c r="N6" s="163" t="s">
        <v>317</v>
      </c>
    </row>
    <row r="7" spans="3:14" hidden="1" x14ac:dyDescent="0.3">
      <c r="C7" s="32" t="e">
        <f>#REF!</f>
        <v>#REF!</v>
      </c>
      <c r="D7" s="32" t="e">
        <f>+COUNTIFS(BBDD!#REF!,FLUJO!$C$6,BBDD!$K:$K,FLUJO!D$6,BBDD!#REF!,FLUJO!$C7)</f>
        <v>#REF!</v>
      </c>
      <c r="E7" s="32" t="e">
        <f>+COUNTIFS(BBDD!#REF!,FLUJO!$C$6,BBDD!$K:$K,FLUJO!E$6,BBDD!#REF!,FLUJO!$C7)</f>
        <v>#REF!</v>
      </c>
      <c r="F7" s="32" t="e">
        <f>+COUNTIFS(BBDD!#REF!,FLUJO!$C$6,BBDD!$K:$K,FLUJO!F$6,BBDD!#REF!,FLUJO!$C7)</f>
        <v>#REF!</v>
      </c>
      <c r="G7" s="32" t="e">
        <f>+COUNTIFS(BBDD!#REF!,FLUJO!$C$6,BBDD!$K:$K,FLUJO!G$6,BBDD!#REF!,FLUJO!$C7)</f>
        <v>#REF!</v>
      </c>
      <c r="H7" s="32" t="e">
        <f>+COUNTIFS(BBDD!#REF!,FLUJO!$C$6,BBDD!$K:$K,FLUJO!H$6,BBDD!#REF!,FLUJO!$C7)</f>
        <v>#REF!</v>
      </c>
      <c r="I7" s="32" t="e">
        <f>+COUNTIFS(BBDD!#REF!,FLUJO!$C$6,BBDD!$K:$K,FLUJO!I$6,BBDD!#REF!,FLUJO!$C7)</f>
        <v>#REF!</v>
      </c>
      <c r="J7" s="32" t="e">
        <f>+COUNTIFS(BBDD!#REF!,FLUJO!$C$6,BBDD!$K:$K,FLUJO!J$6,BBDD!#REF!,FLUJO!$C7)</f>
        <v>#REF!</v>
      </c>
      <c r="K7" s="32" t="e">
        <f>+COUNTIFS(BBDD!#REF!,FLUJO!$C$6,BBDD!$K:$K,FLUJO!K$6,BBDD!#REF!,FLUJO!$C7)</f>
        <v>#REF!</v>
      </c>
      <c r="L7" s="32" t="e">
        <f>+COUNTIFS(BBDD!#REF!,FLUJO!$C$6,BBDD!$K:$K,FLUJO!L$6,BBDD!#REF!,FLUJO!$C7)</f>
        <v>#REF!</v>
      </c>
      <c r="M7" s="32" t="e">
        <f>+SUM(D7:L7)</f>
        <v>#REF!</v>
      </c>
    </row>
    <row r="8" spans="3:14" hidden="1" x14ac:dyDescent="0.3"/>
    <row r="9" spans="3:14" x14ac:dyDescent="0.3">
      <c r="E9" s="105"/>
    </row>
    <row r="10" spans="3:14" x14ac:dyDescent="0.3">
      <c r="C10" s="32" t="s">
        <v>90</v>
      </c>
      <c r="D10" s="101">
        <v>3.7489557701503693</v>
      </c>
      <c r="E10" s="101">
        <v>5.6307038585119775</v>
      </c>
      <c r="F10" s="101">
        <v>9.3363127562376302</v>
      </c>
      <c r="G10" s="101">
        <v>11.370323592673401</v>
      </c>
      <c r="H10" s="101">
        <f>G10</f>
        <v>11.370323592673401</v>
      </c>
      <c r="I10" s="101">
        <f t="shared" ref="I10:L12" si="0">H10</f>
        <v>11.370323592673401</v>
      </c>
      <c r="J10" s="101">
        <f t="shared" si="0"/>
        <v>11.370323592673401</v>
      </c>
      <c r="K10" s="101">
        <f t="shared" si="0"/>
        <v>11.370323592673401</v>
      </c>
      <c r="L10" s="101">
        <f t="shared" si="0"/>
        <v>11.370323592673401</v>
      </c>
      <c r="M10" s="104"/>
    </row>
    <row r="11" spans="3:14" x14ac:dyDescent="0.3">
      <c r="C11" s="32" t="s">
        <v>89</v>
      </c>
      <c r="D11" s="93">
        <f>D12/D10</f>
        <v>0.27381397764027715</v>
      </c>
      <c r="E11" s="93">
        <f t="shared" ref="E11:L11" si="1">E12/E10</f>
        <v>0.37922194244379515</v>
      </c>
      <c r="F11" s="93">
        <f t="shared" si="1"/>
        <v>0.2523069280912818</v>
      </c>
      <c r="G11" s="93">
        <f t="shared" si="1"/>
        <v>0.31106157827540587</v>
      </c>
      <c r="H11" s="93">
        <f t="shared" si="1"/>
        <v>0.31106157827540587</v>
      </c>
      <c r="I11" s="93">
        <f t="shared" si="1"/>
        <v>0.31106157827540587</v>
      </c>
      <c r="J11" s="93">
        <f t="shared" si="1"/>
        <v>0.31106157827540587</v>
      </c>
      <c r="K11" s="93">
        <f t="shared" si="1"/>
        <v>0.31106157827540587</v>
      </c>
      <c r="L11" s="93">
        <f t="shared" si="1"/>
        <v>0.31106157827540587</v>
      </c>
      <c r="M11" s="105"/>
    </row>
    <row r="12" spans="3:14" x14ac:dyDescent="0.3">
      <c r="C12" s="32" t="s">
        <v>91</v>
      </c>
      <c r="D12" s="101">
        <v>1.0265164914223412</v>
      </c>
      <c r="E12" s="101">
        <v>2.1352864545506844</v>
      </c>
      <c r="F12" s="101">
        <v>2.3556163912257646</v>
      </c>
      <c r="G12" s="101">
        <v>3.5368708022390711</v>
      </c>
      <c r="H12" s="101">
        <f>G12</f>
        <v>3.5368708022390711</v>
      </c>
      <c r="I12" s="101">
        <f t="shared" si="0"/>
        <v>3.5368708022390711</v>
      </c>
      <c r="J12" s="101">
        <f t="shared" si="0"/>
        <v>3.5368708022390711</v>
      </c>
      <c r="K12" s="101">
        <f t="shared" si="0"/>
        <v>3.5368708022390711</v>
      </c>
      <c r="L12" s="101">
        <f t="shared" si="0"/>
        <v>3.5368708022390711</v>
      </c>
      <c r="M12" s="104"/>
    </row>
    <row r="13" spans="3:14" x14ac:dyDescent="0.3">
      <c r="C13" s="32" t="s">
        <v>62</v>
      </c>
      <c r="D13" s="84">
        <f>D10+D12</f>
        <v>4.7754722615727108</v>
      </c>
      <c r="E13" s="84">
        <f>E10*$D$20+E12</f>
        <v>16.21204610083063</v>
      </c>
      <c r="F13" s="84">
        <f t="shared" ref="F13:L13" si="2">F10*$D$20+F12</f>
        <v>25.696398281819842</v>
      </c>
      <c r="G13" s="84">
        <f t="shared" si="2"/>
        <v>31.962679783922574</v>
      </c>
      <c r="H13" s="84">
        <f t="shared" si="2"/>
        <v>31.962679783922574</v>
      </c>
      <c r="I13" s="84">
        <f t="shared" si="2"/>
        <v>31.962679783922574</v>
      </c>
      <c r="J13" s="84">
        <f t="shared" si="2"/>
        <v>31.962679783922574</v>
      </c>
      <c r="K13" s="84">
        <f t="shared" si="2"/>
        <v>31.962679783922574</v>
      </c>
      <c r="L13" s="84">
        <f t="shared" si="2"/>
        <v>31.962679783922574</v>
      </c>
    </row>
    <row r="14" spans="3:14" x14ac:dyDescent="0.3">
      <c r="C14" s="32" t="s">
        <v>92</v>
      </c>
      <c r="D14" s="73">
        <f t="shared" ref="D14:L14" si="3">+D10*$D$45*(1+$D$20)</f>
        <v>406653.31875000003</v>
      </c>
      <c r="E14" s="73">
        <f t="shared" si="3"/>
        <v>610768.58499999996</v>
      </c>
      <c r="F14" s="73">
        <f t="shared" si="3"/>
        <v>1012720.02125</v>
      </c>
      <c r="G14" s="73">
        <f t="shared" si="3"/>
        <v>1233351.39375</v>
      </c>
      <c r="H14" s="73">
        <f t="shared" si="3"/>
        <v>1233351.39375</v>
      </c>
      <c r="I14" s="73">
        <f t="shared" si="3"/>
        <v>1233351.39375</v>
      </c>
      <c r="J14" s="73">
        <f t="shared" si="3"/>
        <v>1233351.39375</v>
      </c>
      <c r="K14" s="73">
        <f t="shared" si="3"/>
        <v>1233351.39375</v>
      </c>
      <c r="L14" s="73">
        <f t="shared" si="3"/>
        <v>1233351.39375</v>
      </c>
    </row>
    <row r="15" spans="3:14" x14ac:dyDescent="0.3">
      <c r="C15" s="32" t="s">
        <v>93</v>
      </c>
      <c r="D15" s="73">
        <f t="shared" ref="D15:L15" si="4">+D12*$D$45</f>
        <v>31813.532207873432</v>
      </c>
      <c r="E15" s="73">
        <f t="shared" si="4"/>
        <v>66176.242624956634</v>
      </c>
      <c r="F15" s="73">
        <f t="shared" si="4"/>
        <v>73004.650736607175</v>
      </c>
      <c r="G15" s="73">
        <f t="shared" si="4"/>
        <v>109613.78031658471</v>
      </c>
      <c r="H15" s="73">
        <f t="shared" si="4"/>
        <v>109613.78031658471</v>
      </c>
      <c r="I15" s="73">
        <f t="shared" si="4"/>
        <v>109613.78031658471</v>
      </c>
      <c r="J15" s="73">
        <f t="shared" si="4"/>
        <v>109613.78031658471</v>
      </c>
      <c r="K15" s="73">
        <f t="shared" si="4"/>
        <v>109613.78031658471</v>
      </c>
      <c r="L15" s="73">
        <f t="shared" si="4"/>
        <v>109613.78031658471</v>
      </c>
    </row>
    <row r="16" spans="3:14" x14ac:dyDescent="0.3">
      <c r="C16" s="32" t="s">
        <v>88</v>
      </c>
      <c r="D16" s="85">
        <f t="shared" ref="D16:L16" si="5">+D13*$D$45</f>
        <v>148000.19470787345</v>
      </c>
      <c r="E16" s="85">
        <f t="shared" si="5"/>
        <v>502439.51762495667</v>
      </c>
      <c r="F16" s="85">
        <f t="shared" si="5"/>
        <v>796376.09448660736</v>
      </c>
      <c r="G16" s="85">
        <f t="shared" si="5"/>
        <v>990579.06156658463</v>
      </c>
      <c r="H16" s="85">
        <f t="shared" si="5"/>
        <v>990579.06156658463</v>
      </c>
      <c r="I16" s="85">
        <f t="shared" si="5"/>
        <v>990579.06156658463</v>
      </c>
      <c r="J16" s="85">
        <f t="shared" si="5"/>
        <v>990579.06156658463</v>
      </c>
      <c r="K16" s="85">
        <f t="shared" si="5"/>
        <v>990579.06156658463</v>
      </c>
      <c r="L16" s="85">
        <f t="shared" si="5"/>
        <v>990579.06156658463</v>
      </c>
    </row>
    <row r="17" spans="2:19" x14ac:dyDescent="0.3">
      <c r="C17" s="32" t="s">
        <v>94</v>
      </c>
      <c r="D17" s="79">
        <f>D13</f>
        <v>4.7754722615727108</v>
      </c>
      <c r="E17" s="79">
        <f t="shared" ref="E17:L17" si="6">E13</f>
        <v>16.21204610083063</v>
      </c>
      <c r="F17" s="79">
        <f t="shared" si="6"/>
        <v>25.696398281819842</v>
      </c>
      <c r="G17" s="79">
        <f t="shared" si="6"/>
        <v>31.962679783922574</v>
      </c>
      <c r="H17" s="79">
        <f t="shared" si="6"/>
        <v>31.962679783922574</v>
      </c>
      <c r="I17" s="79">
        <f t="shared" si="6"/>
        <v>31.962679783922574</v>
      </c>
      <c r="J17" s="79">
        <f t="shared" si="6"/>
        <v>31.962679783922574</v>
      </c>
      <c r="K17" s="79">
        <f t="shared" si="6"/>
        <v>31.962679783922574</v>
      </c>
      <c r="L17" s="79">
        <f t="shared" si="6"/>
        <v>31.962679783922574</v>
      </c>
    </row>
    <row r="18" spans="2:19" x14ac:dyDescent="0.3">
      <c r="C18" s="32" t="s">
        <v>95</v>
      </c>
      <c r="D18" s="79">
        <f>+D13+$E$26</f>
        <v>8.7754722615727108</v>
      </c>
      <c r="E18" s="79">
        <f t="shared" ref="E18:L18" si="7">+E13+$E$26</f>
        <v>20.21204610083063</v>
      </c>
      <c r="F18" s="79">
        <f t="shared" si="7"/>
        <v>29.696398281819842</v>
      </c>
      <c r="G18" s="79">
        <f t="shared" si="7"/>
        <v>35.962679783922574</v>
      </c>
      <c r="H18" s="79">
        <f t="shared" si="7"/>
        <v>35.962679783922574</v>
      </c>
      <c r="I18" s="79">
        <f t="shared" si="7"/>
        <v>35.962679783922574</v>
      </c>
      <c r="J18" s="79">
        <f t="shared" si="7"/>
        <v>35.962679783922574</v>
      </c>
      <c r="K18" s="79">
        <f t="shared" si="7"/>
        <v>35.962679783922574</v>
      </c>
      <c r="L18" s="79">
        <f t="shared" si="7"/>
        <v>35.962679783922574</v>
      </c>
    </row>
    <row r="19" spans="2:19" x14ac:dyDescent="0.3">
      <c r="D19" s="144">
        <f>D18*$D24/2+D13*(1-$D24/2)</f>
        <v>5.1754722615727111</v>
      </c>
      <c r="E19" s="144">
        <f t="shared" ref="E19:G19" si="8">E18*$D24/2+E13*(1-$D24/2)</f>
        <v>16.612046100830632</v>
      </c>
      <c r="F19" s="144">
        <f t="shared" si="8"/>
        <v>26.096398281819845</v>
      </c>
      <c r="G19" s="144">
        <f t="shared" si="8"/>
        <v>32.362679783922573</v>
      </c>
    </row>
    <row r="20" spans="2:19" x14ac:dyDescent="0.3">
      <c r="C20" s="32" t="s">
        <v>149</v>
      </c>
      <c r="D20" s="136">
        <v>2.5</v>
      </c>
    </row>
    <row r="21" spans="2:19" x14ac:dyDescent="0.3">
      <c r="D21" s="77"/>
    </row>
    <row r="23" spans="2:19" x14ac:dyDescent="0.3">
      <c r="D23" s="81" t="s">
        <v>99</v>
      </c>
      <c r="E23" s="81" t="s">
        <v>98</v>
      </c>
      <c r="H23" s="79"/>
      <c r="I23" s="79"/>
    </row>
    <row r="24" spans="2:19" x14ac:dyDescent="0.3">
      <c r="C24" s="32" t="s">
        <v>100</v>
      </c>
      <c r="D24" s="77">
        <v>0.2</v>
      </c>
      <c r="G24" s="105"/>
    </row>
    <row r="25" spans="2:19" x14ac:dyDescent="0.3">
      <c r="C25" s="32" t="s">
        <v>96</v>
      </c>
      <c r="D25" s="77">
        <v>0.5</v>
      </c>
      <c r="E25" s="80">
        <v>0.5</v>
      </c>
    </row>
    <row r="26" spans="2:19" x14ac:dyDescent="0.3">
      <c r="C26" s="32" t="s">
        <v>97</v>
      </c>
      <c r="D26" s="87">
        <v>0</v>
      </c>
      <c r="E26" s="32">
        <v>4</v>
      </c>
      <c r="F26" s="32" t="s">
        <v>81</v>
      </c>
    </row>
    <row r="29" spans="2:19" hidden="1" x14ac:dyDescent="0.3">
      <c r="D29" s="32" t="s">
        <v>63</v>
      </c>
      <c r="E29" s="32" t="s">
        <v>64</v>
      </c>
    </row>
    <row r="30" spans="2:19" hidden="1" x14ac:dyDescent="0.3">
      <c r="B30" s="32">
        <v>1</v>
      </c>
      <c r="C30" s="32" t="e">
        <f>#REF!</f>
        <v>#REF!</v>
      </c>
      <c r="D30" s="82" t="e">
        <f>+(SUMPRODUCT(D7:L7,$D$13:$L$13)*(1-$D$24)+SUMPRODUCT(D7:L7,$D$18:$L$18)*$D$24*(1-$D$25)+SUMPRODUCT(D7:L7,$D$17:$L$17)*$D$24*$D$25)</f>
        <v>#REF!</v>
      </c>
      <c r="E30" s="106"/>
    </row>
    <row r="31" spans="2:19" hidden="1" x14ac:dyDescent="0.3">
      <c r="D31" s="82"/>
      <c r="E31" s="36"/>
    </row>
    <row r="32" spans="2:19" hidden="1" x14ac:dyDescent="0.3">
      <c r="E32" s="41">
        <v>2022</v>
      </c>
      <c r="F32" s="41">
        <v>2023</v>
      </c>
      <c r="G32" s="41">
        <v>2024</v>
      </c>
      <c r="H32" s="41">
        <v>2025</v>
      </c>
      <c r="I32" s="41">
        <v>2026</v>
      </c>
      <c r="J32" s="41">
        <v>2027</v>
      </c>
      <c r="K32" s="41">
        <v>2028</v>
      </c>
      <c r="L32" s="41">
        <v>2029</v>
      </c>
      <c r="M32" s="41">
        <v>2030</v>
      </c>
      <c r="N32" s="41">
        <v>2031</v>
      </c>
      <c r="O32" s="41">
        <v>2032</v>
      </c>
      <c r="P32" s="41">
        <v>2033</v>
      </c>
      <c r="Q32" s="41">
        <v>2034</v>
      </c>
      <c r="R32" s="41">
        <v>2035</v>
      </c>
      <c r="S32" s="41">
        <v>2036</v>
      </c>
    </row>
    <row r="33" spans="3:19" hidden="1" x14ac:dyDescent="0.3">
      <c r="E33" s="32">
        <v>1</v>
      </c>
      <c r="F33" s="32">
        <v>2</v>
      </c>
      <c r="G33" s="32">
        <v>3</v>
      </c>
      <c r="H33" s="32">
        <v>4</v>
      </c>
      <c r="I33" s="32">
        <f>+H33+1</f>
        <v>5</v>
      </c>
      <c r="J33" s="32">
        <f t="shared" ref="J33:S33" si="9">+I33+1</f>
        <v>6</v>
      </c>
      <c r="K33" s="32">
        <f t="shared" si="9"/>
        <v>7</v>
      </c>
      <c r="L33" s="32">
        <f t="shared" si="9"/>
        <v>8</v>
      </c>
      <c r="M33" s="32">
        <f t="shared" si="9"/>
        <v>9</v>
      </c>
      <c r="N33" s="32">
        <f t="shared" si="9"/>
        <v>10</v>
      </c>
      <c r="O33" s="32">
        <f t="shared" si="9"/>
        <v>11</v>
      </c>
      <c r="P33" s="32">
        <f t="shared" si="9"/>
        <v>12</v>
      </c>
      <c r="Q33" s="32">
        <f t="shared" si="9"/>
        <v>13</v>
      </c>
      <c r="R33" s="32">
        <f>+Q33+1</f>
        <v>14</v>
      </c>
      <c r="S33" s="32">
        <f t="shared" si="9"/>
        <v>15</v>
      </c>
    </row>
    <row r="34" spans="3:19" hidden="1" x14ac:dyDescent="0.3">
      <c r="C34" s="32" t="e">
        <f>#REF!</f>
        <v>#REF!</v>
      </c>
      <c r="E34" s="36" t="e">
        <f t="array" ref="E34:S34">+TRANSPOSE(#REF!)</f>
        <v>#REF!</v>
      </c>
      <c r="F34" s="36" t="e">
        <v>#REF!</v>
      </c>
      <c r="G34" s="36" t="e">
        <v>#REF!</v>
      </c>
      <c r="H34" s="36" t="e">
        <v>#REF!</v>
      </c>
      <c r="I34" s="36" t="e">
        <v>#REF!</v>
      </c>
      <c r="J34" s="36" t="e">
        <v>#REF!</v>
      </c>
      <c r="K34" s="36" t="e">
        <v>#REF!</v>
      </c>
      <c r="L34" s="36" t="e">
        <v>#REF!</v>
      </c>
      <c r="M34" s="36" t="e">
        <v>#REF!</v>
      </c>
      <c r="N34" s="36" t="e">
        <v>#REF!</v>
      </c>
      <c r="O34" s="36" t="e">
        <v>#REF!</v>
      </c>
      <c r="P34" s="36" t="e">
        <v>#REF!</v>
      </c>
      <c r="Q34" s="36" t="e">
        <v>#REF!</v>
      </c>
      <c r="R34" s="36" t="e">
        <v>#REF!</v>
      </c>
      <c r="S34" s="36" t="e">
        <v>#REF!</v>
      </c>
    </row>
    <row r="35" spans="3:19" hidden="1" x14ac:dyDescent="0.3"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3:19" hidden="1" x14ac:dyDescent="0.3">
      <c r="C36" s="86" t="s">
        <v>82</v>
      </c>
      <c r="E36" s="36"/>
      <c r="F36" s="36"/>
      <c r="G36" s="36"/>
      <c r="H36" s="36"/>
      <c r="I36" s="93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3:19" hidden="1" x14ac:dyDescent="0.3">
      <c r="C37" s="32" t="e">
        <f>#REF!</f>
        <v>#REF!</v>
      </c>
      <c r="E37" s="36" t="e">
        <f>+E95</f>
        <v>#REF!</v>
      </c>
      <c r="F37" s="36" t="e">
        <f t="shared" ref="F37:S37" si="10">+F95</f>
        <v>#REF!</v>
      </c>
      <c r="G37" s="36" t="e">
        <f t="shared" si="10"/>
        <v>#REF!</v>
      </c>
      <c r="H37" s="36" t="e">
        <f t="shared" si="10"/>
        <v>#REF!</v>
      </c>
      <c r="I37" s="36" t="e">
        <f t="shared" si="10"/>
        <v>#REF!</v>
      </c>
      <c r="J37" s="36" t="e">
        <f t="shared" si="10"/>
        <v>#REF!</v>
      </c>
      <c r="K37" s="36" t="e">
        <f t="shared" si="10"/>
        <v>#REF!</v>
      </c>
      <c r="L37" s="36" t="e">
        <f t="shared" si="10"/>
        <v>#REF!</v>
      </c>
      <c r="M37" s="36" t="e">
        <f t="shared" si="10"/>
        <v>#REF!</v>
      </c>
      <c r="N37" s="36" t="e">
        <f t="shared" si="10"/>
        <v>#REF!</v>
      </c>
      <c r="O37" s="36" t="e">
        <f t="shared" si="10"/>
        <v>#REF!</v>
      </c>
      <c r="P37" s="36" t="e">
        <f t="shared" si="10"/>
        <v>#REF!</v>
      </c>
      <c r="Q37" s="36" t="e">
        <f t="shared" si="10"/>
        <v>#REF!</v>
      </c>
      <c r="R37" s="36" t="e">
        <f t="shared" si="10"/>
        <v>#REF!</v>
      </c>
      <c r="S37" s="36" t="e">
        <f t="shared" si="10"/>
        <v>#REF!</v>
      </c>
    </row>
    <row r="38" spans="3:19" hidden="1" x14ac:dyDescent="0.3"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3:19" hidden="1" x14ac:dyDescent="0.3"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3:19" hidden="1" x14ac:dyDescent="0.3">
      <c r="C40" s="32" t="e">
        <f>#REF!</f>
        <v>#REF!</v>
      </c>
      <c r="E40" s="70" t="e">
        <f t="shared" ref="E40:S40" si="11">+E34/E37</f>
        <v>#REF!</v>
      </c>
      <c r="F40" s="70" t="e">
        <f t="shared" si="11"/>
        <v>#REF!</v>
      </c>
      <c r="G40" s="70" t="e">
        <f t="shared" si="11"/>
        <v>#REF!</v>
      </c>
      <c r="H40" s="70" t="e">
        <f t="shared" si="11"/>
        <v>#REF!</v>
      </c>
      <c r="I40" s="70" t="e">
        <f t="shared" si="11"/>
        <v>#REF!</v>
      </c>
      <c r="J40" s="70" t="e">
        <f t="shared" si="11"/>
        <v>#REF!</v>
      </c>
      <c r="K40" s="70" t="e">
        <f t="shared" si="11"/>
        <v>#REF!</v>
      </c>
      <c r="L40" s="70" t="e">
        <f t="shared" si="11"/>
        <v>#REF!</v>
      </c>
      <c r="M40" s="70" t="e">
        <f t="shared" si="11"/>
        <v>#REF!</v>
      </c>
      <c r="N40" s="70" t="e">
        <f t="shared" si="11"/>
        <v>#REF!</v>
      </c>
      <c r="O40" s="70" t="e">
        <f t="shared" si="11"/>
        <v>#REF!</v>
      </c>
      <c r="P40" s="70" t="e">
        <f t="shared" si="11"/>
        <v>#REF!</v>
      </c>
      <c r="Q40" s="70" t="e">
        <f t="shared" si="11"/>
        <v>#REF!</v>
      </c>
      <c r="R40" s="70" t="e">
        <f t="shared" si="11"/>
        <v>#REF!</v>
      </c>
      <c r="S40" s="70" t="e">
        <f t="shared" si="11"/>
        <v>#REF!</v>
      </c>
    </row>
    <row r="41" spans="3:19" hidden="1" x14ac:dyDescent="0.3"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3:19" hidden="1" x14ac:dyDescent="0.3">
      <c r="C42" s="32" t="e">
        <f>#REF!</f>
        <v>#REF!</v>
      </c>
      <c r="E42" s="36" t="e">
        <f t="shared" ref="E42:S42" si="12">+$E30-(1+E40*$D$46)*$E30</f>
        <v>#REF!</v>
      </c>
      <c r="F42" s="36" t="e">
        <f t="shared" si="12"/>
        <v>#REF!</v>
      </c>
      <c r="G42" s="36" t="e">
        <f t="shared" si="12"/>
        <v>#REF!</v>
      </c>
      <c r="H42" s="36" t="e">
        <f t="shared" si="12"/>
        <v>#REF!</v>
      </c>
      <c r="I42" s="36" t="e">
        <f t="shared" si="12"/>
        <v>#REF!</v>
      </c>
      <c r="J42" s="36" t="e">
        <f t="shared" si="12"/>
        <v>#REF!</v>
      </c>
      <c r="K42" s="36" t="e">
        <f t="shared" si="12"/>
        <v>#REF!</v>
      </c>
      <c r="L42" s="36" t="e">
        <f t="shared" si="12"/>
        <v>#REF!</v>
      </c>
      <c r="M42" s="36" t="e">
        <f t="shared" si="12"/>
        <v>#REF!</v>
      </c>
      <c r="N42" s="36" t="e">
        <f t="shared" si="12"/>
        <v>#REF!</v>
      </c>
      <c r="O42" s="36" t="e">
        <f t="shared" si="12"/>
        <v>#REF!</v>
      </c>
      <c r="P42" s="36" t="e">
        <f t="shared" si="12"/>
        <v>#REF!</v>
      </c>
      <c r="Q42" s="36" t="e">
        <f t="shared" si="12"/>
        <v>#REF!</v>
      </c>
      <c r="R42" s="36" t="e">
        <f t="shared" si="12"/>
        <v>#REF!</v>
      </c>
      <c r="S42" s="36" t="e">
        <f t="shared" si="12"/>
        <v>#REF!</v>
      </c>
    </row>
    <row r="43" spans="3:19" hidden="1" x14ac:dyDescent="0.3"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</row>
    <row r="44" spans="3:19" hidden="1" x14ac:dyDescent="0.3"/>
    <row r="45" spans="3:19" hidden="1" x14ac:dyDescent="0.3">
      <c r="C45" s="32" t="s">
        <v>81</v>
      </c>
      <c r="D45" s="36">
        <v>30991.74</v>
      </c>
    </row>
    <row r="46" spans="3:19" hidden="1" x14ac:dyDescent="0.3">
      <c r="C46" s="32" t="s">
        <v>83</v>
      </c>
      <c r="D46" s="32">
        <v>-0.45</v>
      </c>
    </row>
    <row r="47" spans="3:19" hidden="1" x14ac:dyDescent="0.3"/>
    <row r="48" spans="3:19" hidden="1" x14ac:dyDescent="0.3">
      <c r="E48" s="73"/>
    </row>
    <row r="49" spans="1:22" s="37" customFormat="1" ht="13.8" hidden="1" x14ac:dyDescent="0.3">
      <c r="D49" s="38">
        <v>0</v>
      </c>
      <c r="E49" s="38">
        <f>+D49+1</f>
        <v>1</v>
      </c>
      <c r="F49" s="38">
        <f t="shared" ref="F49:S50" si="13">+E49+1</f>
        <v>2</v>
      </c>
      <c r="G49" s="38">
        <f t="shared" si="13"/>
        <v>3</v>
      </c>
      <c r="H49" s="38">
        <f t="shared" si="13"/>
        <v>4</v>
      </c>
      <c r="I49" s="38">
        <f t="shared" si="13"/>
        <v>5</v>
      </c>
      <c r="J49" s="38">
        <f t="shared" si="13"/>
        <v>6</v>
      </c>
      <c r="K49" s="38">
        <f t="shared" si="13"/>
        <v>7</v>
      </c>
      <c r="L49" s="38">
        <f t="shared" si="13"/>
        <v>8</v>
      </c>
      <c r="M49" s="38">
        <f t="shared" si="13"/>
        <v>9</v>
      </c>
      <c r="N49" s="38">
        <f t="shared" si="13"/>
        <v>10</v>
      </c>
      <c r="O49" s="38">
        <f t="shared" si="13"/>
        <v>11</v>
      </c>
      <c r="P49" s="38">
        <f t="shared" si="13"/>
        <v>12</v>
      </c>
      <c r="Q49" s="38">
        <f t="shared" si="13"/>
        <v>13</v>
      </c>
      <c r="R49" s="38">
        <f t="shared" si="13"/>
        <v>14</v>
      </c>
      <c r="S49" s="38">
        <f t="shared" si="13"/>
        <v>15</v>
      </c>
    </row>
    <row r="50" spans="1:22" s="39" customFormat="1" ht="23.25" hidden="1" customHeight="1" x14ac:dyDescent="0.3">
      <c r="B50" s="68" t="s">
        <v>65</v>
      </c>
      <c r="C50" s="40" t="s">
        <v>66</v>
      </c>
      <c r="D50" s="41">
        <v>2021</v>
      </c>
      <c r="E50" s="41">
        <f>+D50+1</f>
        <v>2022</v>
      </c>
      <c r="F50" s="41">
        <f t="shared" si="13"/>
        <v>2023</v>
      </c>
      <c r="G50" s="41">
        <f t="shared" si="13"/>
        <v>2024</v>
      </c>
      <c r="H50" s="41">
        <f t="shared" si="13"/>
        <v>2025</v>
      </c>
      <c r="I50" s="41">
        <f t="shared" si="13"/>
        <v>2026</v>
      </c>
      <c r="J50" s="41">
        <f t="shared" si="13"/>
        <v>2027</v>
      </c>
      <c r="K50" s="41">
        <f t="shared" si="13"/>
        <v>2028</v>
      </c>
      <c r="L50" s="41">
        <f t="shared" si="13"/>
        <v>2029</v>
      </c>
      <c r="M50" s="41">
        <f t="shared" si="13"/>
        <v>2030</v>
      </c>
      <c r="N50" s="41">
        <f t="shared" si="13"/>
        <v>2031</v>
      </c>
      <c r="O50" s="41">
        <f t="shared" si="13"/>
        <v>2032</v>
      </c>
      <c r="P50" s="41">
        <f t="shared" si="13"/>
        <v>2033</v>
      </c>
      <c r="Q50" s="41">
        <f t="shared" si="13"/>
        <v>2034</v>
      </c>
      <c r="R50" s="41">
        <f t="shared" si="13"/>
        <v>2035</v>
      </c>
      <c r="S50" s="41">
        <f t="shared" si="13"/>
        <v>2036</v>
      </c>
      <c r="V50" s="42"/>
    </row>
    <row r="51" spans="1:22" s="28" customFormat="1" ht="13.8" hidden="1" customHeight="1" x14ac:dyDescent="0.3">
      <c r="B51" s="155" t="s">
        <v>67</v>
      </c>
      <c r="C51" s="43" t="s">
        <v>68</v>
      </c>
      <c r="D51" s="44" t="e">
        <f>+VLOOKUP(#REF!,FLUJO!$C$30:$D$30,2,0)*D45*-1</f>
        <v>#REF!</v>
      </c>
      <c r="E51" s="44" t="e">
        <f t="array" ref="E51:S51">+TRANSPOSE(#REF!)*$H$89*$D$45</f>
        <v>#REF!</v>
      </c>
      <c r="F51" s="44" t="e">
        <v>#REF!</v>
      </c>
      <c r="G51" s="44" t="e">
        <v>#REF!</v>
      </c>
      <c r="H51" s="44" t="e">
        <v>#REF!</v>
      </c>
      <c r="I51" s="44" t="e">
        <v>#REF!</v>
      </c>
      <c r="J51" s="44" t="e">
        <v>#REF!</v>
      </c>
      <c r="K51" s="44" t="e">
        <v>#REF!</v>
      </c>
      <c r="L51" s="44" t="e">
        <v>#REF!</v>
      </c>
      <c r="M51" s="44" t="e">
        <v>#REF!</v>
      </c>
      <c r="N51" s="44" t="e">
        <v>#REF!</v>
      </c>
      <c r="O51" s="44" t="e">
        <v>#REF!</v>
      </c>
      <c r="P51" s="44" t="e">
        <v>#REF!</v>
      </c>
      <c r="Q51" s="44" t="e">
        <v>#REF!</v>
      </c>
      <c r="R51" s="44" t="e">
        <v>#REF!</v>
      </c>
      <c r="S51" s="44" t="e">
        <v>#REF!</v>
      </c>
    </row>
    <row r="52" spans="1:22" s="28" customFormat="1" ht="13.8" hidden="1" x14ac:dyDescent="0.3">
      <c r="B52" s="156"/>
      <c r="C52" s="45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</row>
    <row r="53" spans="1:22" s="28" customFormat="1" ht="13.8" hidden="1" x14ac:dyDescent="0.3">
      <c r="B53" s="156"/>
      <c r="C53" s="28" t="s">
        <v>85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</row>
    <row r="54" spans="1:22" s="28" customFormat="1" ht="13.8" hidden="1" x14ac:dyDescent="0.3">
      <c r="B54" s="156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 spans="1:22" s="28" customFormat="1" ht="13.8" hidden="1" x14ac:dyDescent="0.3">
      <c r="B55" s="156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 spans="1:22" s="28" customFormat="1" ht="13.8" hidden="1" x14ac:dyDescent="0.3">
      <c r="B56" s="156"/>
      <c r="C56" s="45" t="s">
        <v>69</v>
      </c>
      <c r="D56" s="47"/>
      <c r="E56" s="47" t="e">
        <f>+VLOOKUP(#REF!,FLUJO!$C$30:$E$30,3,0)*VLOOKUP(#REF!,FLUJO!$C$34:$S$34,FLUJO!E33+2,0)</f>
        <v>#REF!</v>
      </c>
      <c r="F56" s="47" t="e">
        <f>+VLOOKUP(#REF!,FLUJO!$C$30:$E$30,3,0)*VLOOKUP(#REF!,FLUJO!$C$34:$S$34,FLUJO!F33+2,0)</f>
        <v>#REF!</v>
      </c>
      <c r="G56" s="47" t="e">
        <f>+VLOOKUP(#REF!,FLUJO!$C$30:$E$30,3,0)*VLOOKUP(#REF!,FLUJO!$C$34:$S$34,FLUJO!G33+2,0)</f>
        <v>#REF!</v>
      </c>
      <c r="H56" s="47" t="e">
        <f>+VLOOKUP(#REF!,FLUJO!$C$30:$E$30,3,0)*VLOOKUP(#REF!,FLUJO!$C$34:$S$34,FLUJO!H33+2,0)</f>
        <v>#REF!</v>
      </c>
      <c r="I56" s="47" t="e">
        <f>+VLOOKUP(#REF!,FLUJO!$C$30:$E$30,3,0)*VLOOKUP(#REF!,FLUJO!$C$34:$S$34,FLUJO!I33+2,0)</f>
        <v>#REF!</v>
      </c>
      <c r="J56" s="47" t="e">
        <f>+VLOOKUP(#REF!,FLUJO!$C$30:$E$30,3,0)*VLOOKUP(#REF!,FLUJO!$C$34:$S$34,FLUJO!J33+2,0)</f>
        <v>#REF!</v>
      </c>
      <c r="K56" s="47" t="e">
        <f>+VLOOKUP(#REF!,FLUJO!$C$30:$E$30,3,0)*VLOOKUP(#REF!,FLUJO!$C$34:$S$34,FLUJO!K33+2,0)</f>
        <v>#REF!</v>
      </c>
      <c r="L56" s="47" t="e">
        <f>+VLOOKUP(#REF!,FLUJO!$C$30:$E$30,3,0)*VLOOKUP(#REF!,FLUJO!$C$34:$S$34,FLUJO!L33+2,0)</f>
        <v>#REF!</v>
      </c>
      <c r="M56" s="47" t="e">
        <f>+VLOOKUP(#REF!,FLUJO!$C$30:$E$30,3,0)*VLOOKUP(#REF!,FLUJO!$C$34:$S$34,FLUJO!M33+2,0)</f>
        <v>#REF!</v>
      </c>
      <c r="N56" s="47" t="e">
        <f>+VLOOKUP(#REF!,FLUJO!$C$30:$E$30,3,0)*VLOOKUP(#REF!,FLUJO!$C$34:$S$34,FLUJO!N33+2,0)</f>
        <v>#REF!</v>
      </c>
      <c r="O56" s="47" t="e">
        <f>+VLOOKUP(#REF!,FLUJO!$C$30:$E$30,3,0)*VLOOKUP(#REF!,FLUJO!$C$34:$S$34,FLUJO!O33+2,0)</f>
        <v>#REF!</v>
      </c>
      <c r="P56" s="47" t="e">
        <f>+VLOOKUP(#REF!,FLUJO!$C$30:$E$30,3,0)*VLOOKUP(#REF!,FLUJO!$C$34:$S$34,FLUJO!P33+2,0)</f>
        <v>#REF!</v>
      </c>
      <c r="Q56" s="47" t="e">
        <f>+VLOOKUP(#REF!,FLUJO!$C$30:$E$30,3,0)*VLOOKUP(#REF!,FLUJO!$C$34:$S$34,FLUJO!Q33+2,0)</f>
        <v>#REF!</v>
      </c>
      <c r="R56" s="47" t="e">
        <f>+VLOOKUP(#REF!,FLUJO!$C$30:$E$30,3,0)*VLOOKUP(#REF!,FLUJO!$C$34:$S$34,FLUJO!R33+2,0)</f>
        <v>#REF!</v>
      </c>
      <c r="S56" s="47" t="e">
        <f>+VLOOKUP(#REF!,FLUJO!$C$30:$E$30,3,0)*VLOOKUP(#REF!,FLUJO!$C$34:$S$34,FLUJO!S33+2,0)</f>
        <v>#REF!</v>
      </c>
    </row>
    <row r="57" spans="1:22" s="28" customFormat="1" ht="13.8" hidden="1" x14ac:dyDescent="0.3">
      <c r="A57" s="28">
        <v>1</v>
      </c>
      <c r="B57" s="156"/>
      <c r="C57" s="28" t="s">
        <v>70</v>
      </c>
      <c r="D57" s="47"/>
      <c r="E57" s="47" t="e">
        <f>+VLOOKUP(#REF!,FLUJO!$C$37:$S$37,FLUJO!E33+2,0)*VLOOKUP(#REF!,$C$42:$S$42,E33+2,0)*-1*$A$57</f>
        <v>#REF!</v>
      </c>
      <c r="F57" s="47" t="e">
        <f>+VLOOKUP(#REF!,FLUJO!$C$37:$S$37,FLUJO!F33+2,0)*VLOOKUP(#REF!,$C$42:$S$42,F33+2,0)*-1*$A$57</f>
        <v>#REF!</v>
      </c>
      <c r="G57" s="47" t="e">
        <f>+VLOOKUP(#REF!,FLUJO!$C$37:$S$37,FLUJO!G33+2,0)*VLOOKUP(#REF!,$C$42:$S$42,G33+2,0)*-1*$A$57</f>
        <v>#REF!</v>
      </c>
      <c r="H57" s="47" t="e">
        <f>+VLOOKUP(#REF!,FLUJO!$C$37:$S$37,FLUJO!H33+2,0)*VLOOKUP(#REF!,$C$42:$S$42,H33+2,0)*-1*$A$57</f>
        <v>#REF!</v>
      </c>
      <c r="I57" s="47" t="e">
        <f>+VLOOKUP(#REF!,FLUJO!$C$37:$S$37,FLUJO!I33+2,0)*VLOOKUP(#REF!,$C$42:$S$42,I33+2,0)*-1*$A$57</f>
        <v>#REF!</v>
      </c>
      <c r="J57" s="47" t="e">
        <f>+VLOOKUP(#REF!,FLUJO!$C$37:$S$37,FLUJO!J33+2,0)*VLOOKUP(#REF!,$C$42:$S$42,J33+2,0)*-1*$A$57</f>
        <v>#REF!</v>
      </c>
      <c r="K57" s="47" t="e">
        <f>+VLOOKUP(#REF!,FLUJO!$C$37:$S$37,FLUJO!K33+2,0)*VLOOKUP(#REF!,$C$42:$S$42,K33+2,0)*-1*$A$57</f>
        <v>#REF!</v>
      </c>
      <c r="L57" s="47" t="e">
        <f>+VLOOKUP(#REF!,FLUJO!$C$37:$S$37,FLUJO!L33+2,0)*VLOOKUP(#REF!,$C$42:$S$42,L33+2,0)*-1*$A$57</f>
        <v>#REF!</v>
      </c>
      <c r="M57" s="47" t="e">
        <f>+VLOOKUP(#REF!,FLUJO!$C$37:$S$37,FLUJO!M33+2,0)*VLOOKUP(#REF!,$C$42:$S$42,M33+2,0)*-1*$A$57</f>
        <v>#REF!</v>
      </c>
      <c r="N57" s="47" t="e">
        <f>+VLOOKUP(#REF!,FLUJO!$C$37:$S$37,FLUJO!N33+2,0)*VLOOKUP(#REF!,$C$42:$S$42,N33+2,0)*-1*$A$57</f>
        <v>#REF!</v>
      </c>
      <c r="O57" s="47" t="e">
        <f>+VLOOKUP(#REF!,FLUJO!$C$37:$S$37,FLUJO!O33+2,0)*VLOOKUP(#REF!,$C$42:$S$42,O33+2,0)*-1*$A$57</f>
        <v>#REF!</v>
      </c>
      <c r="P57" s="47" t="e">
        <f>+VLOOKUP(#REF!,FLUJO!$C$37:$S$37,FLUJO!P33+2,0)*VLOOKUP(#REF!,$C$42:$S$42,P33+2,0)*-1*$A$57</f>
        <v>#REF!</v>
      </c>
      <c r="Q57" s="47" t="e">
        <f>+VLOOKUP(#REF!,FLUJO!$C$37:$S$37,FLUJO!Q33+2,0)*VLOOKUP(#REF!,$C$42:$S$42,Q33+2,0)*-1*$A$57</f>
        <v>#REF!</v>
      </c>
      <c r="R57" s="47" t="e">
        <f>+VLOOKUP(#REF!,FLUJO!$C$37:$S$37,FLUJO!R33+2,0)*VLOOKUP(#REF!,$C$42:$S$42,R33+2,0)*-1*$A$57</f>
        <v>#REF!</v>
      </c>
      <c r="S57" s="47" t="e">
        <f>+VLOOKUP(#REF!,FLUJO!$C$37:$S$37,FLUJO!S33+2,0)*VLOOKUP(#REF!,$C$42:$S$42,S33+2,0)*-1*$A$57</f>
        <v>#REF!</v>
      </c>
    </row>
    <row r="58" spans="1:22" s="28" customFormat="1" ht="13.8" hidden="1" x14ac:dyDescent="0.3">
      <c r="B58" s="156"/>
      <c r="C58" s="48"/>
      <c r="D58" s="49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</row>
    <row r="59" spans="1:22" s="28" customFormat="1" ht="13.8" hidden="1" x14ac:dyDescent="0.3">
      <c r="B59" s="156"/>
      <c r="C59" s="28" t="s">
        <v>71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 spans="1:22" s="28" customFormat="1" ht="13.8" hidden="1" x14ac:dyDescent="0.3">
      <c r="B60" s="156"/>
      <c r="C60" s="50" t="s">
        <v>72</v>
      </c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>
        <f>+S82*-1</f>
        <v>0</v>
      </c>
    </row>
    <row r="61" spans="1:22" s="28" customFormat="1" ht="13.8" hidden="1" x14ac:dyDescent="0.3">
      <c r="A61" s="28">
        <v>10</v>
      </c>
      <c r="B61" s="156"/>
      <c r="C61" s="50" t="s">
        <v>73</v>
      </c>
      <c r="D61" s="47"/>
      <c r="E61" s="47" t="e">
        <f>+$D$51/(3.33333333333333)</f>
        <v>#REF!</v>
      </c>
      <c r="F61" s="47" t="e">
        <f>+$D$51/(3.33333333333333)+F81</f>
        <v>#REF!</v>
      </c>
      <c r="G61" s="47" t="e">
        <f>+$D$51/(3.33333333333333)+G81</f>
        <v>#REF!</v>
      </c>
      <c r="H61" s="47" t="e">
        <f>+D51-SUM(E61:G61)+H81</f>
        <v>#REF!</v>
      </c>
      <c r="I61" s="47">
        <f>+I81</f>
        <v>0</v>
      </c>
      <c r="J61" s="47">
        <f t="shared" ref="J61:S61" si="14">+J81</f>
        <v>0</v>
      </c>
      <c r="K61" s="47">
        <f t="shared" si="14"/>
        <v>0</v>
      </c>
      <c r="L61" s="47">
        <f t="shared" si="14"/>
        <v>0</v>
      </c>
      <c r="M61" s="47">
        <f t="shared" si="14"/>
        <v>0</v>
      </c>
      <c r="N61" s="47">
        <f t="shared" si="14"/>
        <v>0</v>
      </c>
      <c r="O61" s="47">
        <f t="shared" si="14"/>
        <v>0</v>
      </c>
      <c r="P61" s="47">
        <f t="shared" si="14"/>
        <v>0</v>
      </c>
      <c r="Q61" s="47">
        <f t="shared" si="14"/>
        <v>0</v>
      </c>
      <c r="R61" s="47">
        <f t="shared" si="14"/>
        <v>0</v>
      </c>
      <c r="S61" s="47">
        <f t="shared" si="14"/>
        <v>0</v>
      </c>
    </row>
    <row r="62" spans="1:22" s="28" customFormat="1" ht="13.8" hidden="1" x14ac:dyDescent="0.3">
      <c r="A62" s="51">
        <v>0.27</v>
      </c>
      <c r="B62" s="157"/>
      <c r="C62" s="52" t="s">
        <v>74</v>
      </c>
      <c r="D62" s="49"/>
      <c r="E62" s="49" t="e">
        <f>+IF(E64&lt;0,0,-E64*$A62)</f>
        <v>#REF!</v>
      </c>
      <c r="F62" s="49" t="e">
        <f t="shared" ref="F62:S62" si="15">+IF(F64&lt;0,0,-F64*$A62)</f>
        <v>#REF!</v>
      </c>
      <c r="G62" s="49" t="e">
        <f t="shared" si="15"/>
        <v>#REF!</v>
      </c>
      <c r="H62" s="49" t="e">
        <f t="shared" si="15"/>
        <v>#REF!</v>
      </c>
      <c r="I62" s="49" t="e">
        <f t="shared" si="15"/>
        <v>#REF!</v>
      </c>
      <c r="J62" s="49" t="e">
        <f t="shared" si="15"/>
        <v>#REF!</v>
      </c>
      <c r="K62" s="49" t="e">
        <f t="shared" si="15"/>
        <v>#REF!</v>
      </c>
      <c r="L62" s="49" t="e">
        <f t="shared" si="15"/>
        <v>#REF!</v>
      </c>
      <c r="M62" s="49" t="e">
        <f t="shared" si="15"/>
        <v>#REF!</v>
      </c>
      <c r="N62" s="49" t="e">
        <f t="shared" si="15"/>
        <v>#REF!</v>
      </c>
      <c r="O62" s="49" t="e">
        <f t="shared" si="15"/>
        <v>#REF!</v>
      </c>
      <c r="P62" s="49" t="e">
        <f t="shared" si="15"/>
        <v>#REF!</v>
      </c>
      <c r="Q62" s="49" t="e">
        <f t="shared" si="15"/>
        <v>#REF!</v>
      </c>
      <c r="R62" s="49" t="e">
        <f t="shared" si="15"/>
        <v>#REF!</v>
      </c>
      <c r="S62" s="49" t="e">
        <f t="shared" si="15"/>
        <v>#REF!</v>
      </c>
    </row>
    <row r="63" spans="1:22" s="53" customFormat="1" ht="12" hidden="1" outlineLevel="1" x14ac:dyDescent="0.25">
      <c r="C63" s="66" t="s">
        <v>75</v>
      </c>
      <c r="D63" s="54"/>
      <c r="E63" s="54" t="e">
        <f>SUM(E54:E61)</f>
        <v>#REF!</v>
      </c>
      <c r="F63" s="54" t="e">
        <f t="shared" ref="F63:R63" si="16">SUM(F54:F61)</f>
        <v>#REF!</v>
      </c>
      <c r="G63" s="54" t="e">
        <f t="shared" si="16"/>
        <v>#REF!</v>
      </c>
      <c r="H63" s="54" t="e">
        <f t="shared" si="16"/>
        <v>#REF!</v>
      </c>
      <c r="I63" s="54" t="e">
        <f t="shared" si="16"/>
        <v>#REF!</v>
      </c>
      <c r="J63" s="54" t="e">
        <f t="shared" si="16"/>
        <v>#REF!</v>
      </c>
      <c r="K63" s="54" t="e">
        <f t="shared" si="16"/>
        <v>#REF!</v>
      </c>
      <c r="L63" s="54" t="e">
        <f t="shared" si="16"/>
        <v>#REF!</v>
      </c>
      <c r="M63" s="54" t="e">
        <f t="shared" si="16"/>
        <v>#REF!</v>
      </c>
      <c r="N63" s="54" t="e">
        <f t="shared" si="16"/>
        <v>#REF!</v>
      </c>
      <c r="O63" s="54" t="e">
        <f t="shared" si="16"/>
        <v>#REF!</v>
      </c>
      <c r="P63" s="54" t="e">
        <f t="shared" si="16"/>
        <v>#REF!</v>
      </c>
      <c r="Q63" s="54" t="e">
        <f t="shared" si="16"/>
        <v>#REF!</v>
      </c>
      <c r="R63" s="54" t="e">
        <f t="shared" si="16"/>
        <v>#REF!</v>
      </c>
      <c r="S63" s="54" t="e">
        <f>SUM(S54:S61)-S60</f>
        <v>#REF!</v>
      </c>
      <c r="V63" s="54"/>
    </row>
    <row r="64" spans="1:22" s="53" customFormat="1" ht="12" hidden="1" customHeight="1" outlineLevel="1" x14ac:dyDescent="0.25">
      <c r="C64" s="67"/>
      <c r="D64" s="54"/>
      <c r="E64" s="54" t="e">
        <f>E63</f>
        <v>#REF!</v>
      </c>
      <c r="F64" s="54" t="e">
        <f>IF(E64&lt;0,F63+E64,F63)</f>
        <v>#REF!</v>
      </c>
      <c r="G64" s="54" t="e">
        <f t="shared" ref="G64:S64" si="17">IF(F64&lt;0,G63+F64,G63)</f>
        <v>#REF!</v>
      </c>
      <c r="H64" s="54" t="e">
        <f t="shared" si="17"/>
        <v>#REF!</v>
      </c>
      <c r="I64" s="54" t="e">
        <f t="shared" si="17"/>
        <v>#REF!</v>
      </c>
      <c r="J64" s="54" t="e">
        <f t="shared" si="17"/>
        <v>#REF!</v>
      </c>
      <c r="K64" s="54" t="e">
        <f t="shared" si="17"/>
        <v>#REF!</v>
      </c>
      <c r="L64" s="54" t="e">
        <f t="shared" si="17"/>
        <v>#REF!</v>
      </c>
      <c r="M64" s="54" t="e">
        <f t="shared" si="17"/>
        <v>#REF!</v>
      </c>
      <c r="N64" s="54" t="e">
        <f t="shared" si="17"/>
        <v>#REF!</v>
      </c>
      <c r="O64" s="54" t="e">
        <f t="shared" si="17"/>
        <v>#REF!</v>
      </c>
      <c r="P64" s="54" t="e">
        <f t="shared" si="17"/>
        <v>#REF!</v>
      </c>
      <c r="Q64" s="54" t="e">
        <f t="shared" si="17"/>
        <v>#REF!</v>
      </c>
      <c r="R64" s="54" t="e">
        <f t="shared" si="17"/>
        <v>#REF!</v>
      </c>
      <c r="S64" s="54" t="e">
        <f t="shared" si="17"/>
        <v>#REF!</v>
      </c>
      <c r="V64" s="55"/>
    </row>
    <row r="65" spans="3:19" s="53" customFormat="1" ht="12" hidden="1" collapsed="1" x14ac:dyDescent="0.25"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</row>
    <row r="66" spans="3:19" s="57" customFormat="1" ht="13.8" hidden="1" x14ac:dyDescent="0.3">
      <c r="C66" s="58" t="s">
        <v>76</v>
      </c>
      <c r="D66" s="59" t="e">
        <f>SUM(D51:D62)-D61</f>
        <v>#REF!</v>
      </c>
      <c r="E66" s="59" t="e">
        <f>SUM(E51:E62)-E61</f>
        <v>#REF!</v>
      </c>
      <c r="F66" s="59" t="e">
        <f>SUM(F51:F62)-F61</f>
        <v>#REF!</v>
      </c>
      <c r="G66" s="59" t="e">
        <f t="shared" ref="G66:R66" si="18">SUM(G51:G62)-G61</f>
        <v>#REF!</v>
      </c>
      <c r="H66" s="59" t="e">
        <f t="shared" si="18"/>
        <v>#REF!</v>
      </c>
      <c r="I66" s="59" t="e">
        <f t="shared" si="18"/>
        <v>#REF!</v>
      </c>
      <c r="J66" s="59" t="e">
        <f t="shared" si="18"/>
        <v>#REF!</v>
      </c>
      <c r="K66" s="59" t="e">
        <f t="shared" si="18"/>
        <v>#REF!</v>
      </c>
      <c r="L66" s="59" t="e">
        <f t="shared" si="18"/>
        <v>#REF!</v>
      </c>
      <c r="M66" s="59" t="e">
        <f t="shared" si="18"/>
        <v>#REF!</v>
      </c>
      <c r="N66" s="59" t="e">
        <f t="shared" si="18"/>
        <v>#REF!</v>
      </c>
      <c r="O66" s="59" t="e">
        <f t="shared" si="18"/>
        <v>#REF!</v>
      </c>
      <c r="P66" s="59" t="e">
        <f t="shared" si="18"/>
        <v>#REF!</v>
      </c>
      <c r="Q66" s="59" t="e">
        <f t="shared" si="18"/>
        <v>#REF!</v>
      </c>
      <c r="R66" s="59" t="e">
        <f t="shared" si="18"/>
        <v>#REF!</v>
      </c>
      <c r="S66" s="59" t="e">
        <f>SUM(S51:S62)-S61</f>
        <v>#REF!</v>
      </c>
    </row>
    <row r="67" spans="3:19" s="28" customFormat="1" ht="13.8" hidden="1" x14ac:dyDescent="0.3">
      <c r="C67" s="45"/>
      <c r="D67" s="115" t="e">
        <f>+D66</f>
        <v>#REF!</v>
      </c>
      <c r="E67" s="115" t="e">
        <f>+D67+E66</f>
        <v>#REF!</v>
      </c>
      <c r="F67" s="115" t="e">
        <f t="shared" ref="F67:S67" si="19">+E67+F66</f>
        <v>#REF!</v>
      </c>
      <c r="G67" s="115" t="e">
        <f t="shared" si="19"/>
        <v>#REF!</v>
      </c>
      <c r="H67" s="115" t="e">
        <f t="shared" si="19"/>
        <v>#REF!</v>
      </c>
      <c r="I67" s="115" t="e">
        <f t="shared" si="19"/>
        <v>#REF!</v>
      </c>
      <c r="J67" s="115" t="e">
        <f t="shared" si="19"/>
        <v>#REF!</v>
      </c>
      <c r="K67" s="115" t="e">
        <f t="shared" si="19"/>
        <v>#REF!</v>
      </c>
      <c r="L67" s="115" t="e">
        <f t="shared" si="19"/>
        <v>#REF!</v>
      </c>
      <c r="M67" s="115" t="e">
        <f t="shared" si="19"/>
        <v>#REF!</v>
      </c>
      <c r="N67" s="115" t="e">
        <f t="shared" si="19"/>
        <v>#REF!</v>
      </c>
      <c r="O67" s="115" t="e">
        <f t="shared" si="19"/>
        <v>#REF!</v>
      </c>
      <c r="P67" s="115" t="e">
        <f t="shared" si="19"/>
        <v>#REF!</v>
      </c>
      <c r="Q67" s="115" t="e">
        <f t="shared" si="19"/>
        <v>#REF!</v>
      </c>
      <c r="R67" s="115" t="e">
        <f t="shared" si="19"/>
        <v>#REF!</v>
      </c>
      <c r="S67" s="115" t="e">
        <f t="shared" si="19"/>
        <v>#REF!</v>
      </c>
    </row>
    <row r="68" spans="3:19" s="28" customFormat="1" ht="13.8" hidden="1" x14ac:dyDescent="0.3">
      <c r="C68" s="61" t="s">
        <v>77</v>
      </c>
      <c r="D68" s="62">
        <v>7.0000000000000007E-2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118" t="s">
        <v>121</v>
      </c>
      <c r="Q68" s="119"/>
      <c r="R68" s="116" t="e">
        <f>IF(COUNTIF(E67:S67,"&lt;0")&lt;14,IF(R67&lt;0,1,0),0)</f>
        <v>#REF!</v>
      </c>
      <c r="S68" s="60"/>
    </row>
    <row r="69" spans="3:19" s="28" customFormat="1" ht="13.8" hidden="1" x14ac:dyDescent="0.3">
      <c r="C69" s="61" t="s">
        <v>78</v>
      </c>
      <c r="D69" s="69" t="e">
        <f>+NPV(D68,E66:S66)+D66</f>
        <v>#REF!</v>
      </c>
      <c r="E69" s="112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</row>
    <row r="70" spans="3:19" s="28" customFormat="1" ht="13.8" hidden="1" x14ac:dyDescent="0.3">
      <c r="C70" s="61" t="s">
        <v>79</v>
      </c>
      <c r="D70" s="63" t="e">
        <f>+IRR(D66:S66)</f>
        <v>#VALUE!</v>
      </c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117"/>
    </row>
    <row r="71" spans="3:19" s="28" customFormat="1" ht="13.8" hidden="1" x14ac:dyDescent="0.3">
      <c r="C71" s="61" t="s">
        <v>80</v>
      </c>
      <c r="D71" s="65" t="e">
        <f>+D51*-1</f>
        <v>#REF!</v>
      </c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</row>
    <row r="72" spans="3:19" hidden="1" x14ac:dyDescent="0.3">
      <c r="C72" s="61" t="s">
        <v>84</v>
      </c>
      <c r="D72" s="76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4"/>
      <c r="F72" s="134"/>
    </row>
    <row r="73" spans="3:19" hidden="1" x14ac:dyDescent="0.3">
      <c r="F73" s="79"/>
      <c r="G73" s="105"/>
    </row>
    <row r="74" spans="3:19" hidden="1" x14ac:dyDescent="0.3">
      <c r="D74" s="79"/>
      <c r="E74" s="114"/>
    </row>
    <row r="75" spans="3:19" hidden="1" x14ac:dyDescent="0.3">
      <c r="D75" s="36"/>
      <c r="E75" s="36"/>
    </row>
    <row r="76" spans="3:19" hidden="1" x14ac:dyDescent="0.3"/>
    <row r="77" spans="3:19" hidden="1" x14ac:dyDescent="0.3">
      <c r="C77" s="32" t="s">
        <v>101</v>
      </c>
      <c r="F77" s="36">
        <f>+SUM($E$53:E53)/(10/3)</f>
        <v>0</v>
      </c>
      <c r="G77" s="36">
        <f>+SUM($E$53:F53)/(10/3)</f>
        <v>0</v>
      </c>
      <c r="H77" s="36">
        <f>+SUM($E$53:G53)/(10/3)</f>
        <v>0</v>
      </c>
      <c r="I77" s="36">
        <f>+SUM($E$53:H53)/(10/3)</f>
        <v>0</v>
      </c>
      <c r="J77" s="36">
        <f>+SUM($E$53:I53)/(10/3)</f>
        <v>0</v>
      </c>
      <c r="K77" s="36">
        <f>+SUM($E$53:J53)/(10/3)</f>
        <v>0</v>
      </c>
      <c r="L77" s="36">
        <f>+SUM($E$53:K53)/(10/3)</f>
        <v>0</v>
      </c>
      <c r="M77" s="36">
        <f>+SUM($E$53:L53)/(10/3)</f>
        <v>0</v>
      </c>
      <c r="N77" s="36">
        <f>+SUM($E$53:M53)/(10/3)</f>
        <v>0</v>
      </c>
      <c r="O77" s="36">
        <f>+SUM($E$53:N53)/(10/3)</f>
        <v>0</v>
      </c>
      <c r="P77" s="36">
        <f>+SUM($E$53:O53)/(10/3)</f>
        <v>0</v>
      </c>
      <c r="Q77" s="36">
        <f>+SUM($E$53:P53)/(10/3)</f>
        <v>0</v>
      </c>
      <c r="R77" s="36">
        <f>+SUM($E$53:Q53)/(10/3)</f>
        <v>0</v>
      </c>
      <c r="S77" s="36">
        <f>+SUM($E$53:R53)/(10/3)</f>
        <v>0</v>
      </c>
    </row>
    <row r="78" spans="3:19" hidden="1" x14ac:dyDescent="0.3">
      <c r="C78" s="32" t="s">
        <v>102</v>
      </c>
      <c r="F78" s="36">
        <f>+SUM($E$53:E53)/10</f>
        <v>0</v>
      </c>
      <c r="G78" s="36">
        <f>+SUM($E$53:F53)/10</f>
        <v>0</v>
      </c>
      <c r="H78" s="36">
        <f>+SUM($E$53:G53)/10</f>
        <v>0</v>
      </c>
      <c r="I78" s="36">
        <f>+SUM($E$53:H53)/10</f>
        <v>0</v>
      </c>
      <c r="J78" s="36">
        <f>+SUM($E$53:I53)/10</f>
        <v>0</v>
      </c>
      <c r="K78" s="36">
        <f>+SUM($E$53:J53)/10</f>
        <v>0</v>
      </c>
      <c r="L78" s="36">
        <f>+SUM($E$53:K53)/10</f>
        <v>0</v>
      </c>
      <c r="M78" s="36">
        <f>+SUM($E$53:L53)/10</f>
        <v>0</v>
      </c>
      <c r="N78" s="36">
        <f>+SUM($E$53:M53)/10</f>
        <v>0</v>
      </c>
      <c r="O78" s="36">
        <f>+SUM($E$53:N53)/10</f>
        <v>0</v>
      </c>
      <c r="P78" s="36">
        <f>+SUM($E$53:O53)/10</f>
        <v>0</v>
      </c>
      <c r="Q78" s="36">
        <f>+SUM($E$53:P53)/10</f>
        <v>0</v>
      </c>
      <c r="R78" s="36">
        <f>+SUM($E$53:Q53)/10</f>
        <v>0</v>
      </c>
      <c r="S78" s="36">
        <f>+SUM($E$53:R53)/10</f>
        <v>0</v>
      </c>
    </row>
    <row r="79" spans="3:19" hidden="1" x14ac:dyDescent="0.3">
      <c r="F79" s="36">
        <f t="shared" ref="F79:S79" si="20">+IF(F77=0,0,1)</f>
        <v>0</v>
      </c>
      <c r="G79" s="36">
        <f t="shared" si="20"/>
        <v>0</v>
      </c>
      <c r="H79" s="36">
        <f t="shared" si="20"/>
        <v>0</v>
      </c>
      <c r="I79" s="36">
        <f t="shared" si="20"/>
        <v>0</v>
      </c>
      <c r="J79" s="36">
        <f t="shared" si="20"/>
        <v>0</v>
      </c>
      <c r="K79" s="36">
        <f t="shared" si="20"/>
        <v>0</v>
      </c>
      <c r="L79" s="36">
        <f t="shared" si="20"/>
        <v>0</v>
      </c>
      <c r="M79" s="36">
        <f t="shared" si="20"/>
        <v>0</v>
      </c>
      <c r="N79" s="36">
        <f t="shared" si="20"/>
        <v>0</v>
      </c>
      <c r="O79" s="36">
        <f t="shared" si="20"/>
        <v>0</v>
      </c>
      <c r="P79" s="36">
        <f t="shared" si="20"/>
        <v>0</v>
      </c>
      <c r="Q79" s="36">
        <f t="shared" si="20"/>
        <v>0</v>
      </c>
      <c r="R79" s="36">
        <f t="shared" si="20"/>
        <v>0</v>
      </c>
      <c r="S79" s="36">
        <f t="shared" si="20"/>
        <v>0</v>
      </c>
    </row>
    <row r="80" spans="3:19" hidden="1" x14ac:dyDescent="0.3">
      <c r="F80" s="36">
        <f>+COUNTIF($E$79:F79,1)</f>
        <v>0</v>
      </c>
      <c r="G80" s="36">
        <f>+COUNTIF($E$79:G79,1)</f>
        <v>0</v>
      </c>
      <c r="H80" s="36">
        <f>+COUNTIF($E$79:H79,1)</f>
        <v>0</v>
      </c>
      <c r="I80" s="36">
        <f>+COUNTIF($E$79:I79,1)</f>
        <v>0</v>
      </c>
      <c r="J80" s="36">
        <f>+COUNTIF($E$79:J79,1)</f>
        <v>0</v>
      </c>
      <c r="K80" s="36">
        <f>+COUNTIF($E$79:K79,1)</f>
        <v>0</v>
      </c>
      <c r="L80" s="36">
        <f>+COUNTIF($E$79:L79,1)</f>
        <v>0</v>
      </c>
      <c r="M80" s="36">
        <f>+COUNTIF($E$79:M79,1)</f>
        <v>0</v>
      </c>
      <c r="N80" s="36">
        <f>+COUNTIF($E$79:N79,1)</f>
        <v>0</v>
      </c>
      <c r="O80" s="36">
        <f>+COUNTIF($E$79:O79,1)</f>
        <v>0</v>
      </c>
      <c r="P80" s="36">
        <f>+COUNTIF($E$79:P79,1)</f>
        <v>0</v>
      </c>
      <c r="Q80" s="36">
        <f>+COUNTIF($E$79:Q79,1)</f>
        <v>0</v>
      </c>
      <c r="R80" s="36">
        <f>+COUNTIF($E$79:R79,1)</f>
        <v>0</v>
      </c>
      <c r="S80" s="36">
        <f>+COUNTIF($E$79:S79,1)</f>
        <v>0</v>
      </c>
    </row>
    <row r="81" spans="2:20" hidden="1" x14ac:dyDescent="0.3">
      <c r="C81" s="32" t="s">
        <v>103</v>
      </c>
      <c r="F81" s="36">
        <f>+IF(F80=4,$D$51-SUM($E$77:E77),IF(F80&gt;=5,0,F77))</f>
        <v>0</v>
      </c>
      <c r="G81" s="36">
        <f>+IF(G80=4,$D$51-SUM($E$77:F77),IF(G80&gt;=5,0,G77))</f>
        <v>0</v>
      </c>
      <c r="H81" s="36">
        <f>+IF(H80=4,$D$51-SUM($E$77:G77),IF(H80&gt;=5,0,H77))</f>
        <v>0</v>
      </c>
      <c r="I81" s="36">
        <f>+IF(I80=4,$D$51-SUM($E$77:H77),IF(I80&gt;=5,0,I77))</f>
        <v>0</v>
      </c>
      <c r="J81" s="36">
        <f>+IF(J80=4,$D$51-SUM($E$77:I77),IF(J80&gt;=5,0,J77))</f>
        <v>0</v>
      </c>
      <c r="K81" s="36">
        <f>+IF(K80=4,$D$51-SUM($E$77:J77),IF(K80&gt;=5,0,K77))</f>
        <v>0</v>
      </c>
      <c r="L81" s="36">
        <f>+IF(L80=4,$D$51-SUM($E$77:K77),IF(L80&gt;=5,0,L77))</f>
        <v>0</v>
      </c>
      <c r="M81" s="36">
        <f>+IF(M80=4,$D$51-SUM($E$77:L77),IF(M80&gt;=5,0,M77))</f>
        <v>0</v>
      </c>
      <c r="N81" s="36">
        <f>+IF(N80=4,$D$51-SUM($E$77:M77),IF(N80&gt;=5,0,N77))</f>
        <v>0</v>
      </c>
      <c r="O81" s="36">
        <f>+IF(O80=4,$D$51-SUM($E$77:N77),IF(O80&gt;=5,0,O77))</f>
        <v>0</v>
      </c>
      <c r="P81" s="36">
        <f>+IF(P80=4,$D$51-SUM($E$77:O77),IF(P80&gt;=5,0,P77))</f>
        <v>0</v>
      </c>
      <c r="Q81" s="36">
        <f>+IF(Q80=4,$D$51-SUM($E$77:P77),IF(Q80&gt;=5,0,Q77))</f>
        <v>0</v>
      </c>
      <c r="R81" s="36">
        <f>+IF(R80=4,$D$51-SUM($E$77:Q77),IF(R80&gt;=5,0,R77))</f>
        <v>0</v>
      </c>
      <c r="S81" s="36">
        <f>+IF(S80=4,$D$51-SUM($E$77:R77),IF(S80&gt;=5,0,S77))</f>
        <v>0</v>
      </c>
    </row>
    <row r="82" spans="2:20" hidden="1" x14ac:dyDescent="0.3">
      <c r="C82" s="32" t="s">
        <v>104</v>
      </c>
      <c r="F82" s="36">
        <f>+IF(F78=0,0,$D$51-SUM($F$78:F78))</f>
        <v>0</v>
      </c>
      <c r="G82" s="36">
        <f>+IF(G78=0,0,$D$51-SUM($F$78:G78))</f>
        <v>0</v>
      </c>
      <c r="H82" s="36">
        <f>+IF(H78=0,0,$D$51-SUM($F$78:H78))</f>
        <v>0</v>
      </c>
      <c r="I82" s="36">
        <f>+IF(I78=0,0,$D$51-SUM($F$78:I78))</f>
        <v>0</v>
      </c>
      <c r="J82" s="36">
        <f>+IF(J78=0,0,$D$51-SUM($F$78:J78))</f>
        <v>0</v>
      </c>
      <c r="K82" s="36">
        <f>+IF(K78=0,0,$D$51-SUM($F$78:K78))</f>
        <v>0</v>
      </c>
      <c r="L82" s="36">
        <f>+IF(L78=0,0,$D$51-SUM($F$78:L78))</f>
        <v>0</v>
      </c>
      <c r="M82" s="36">
        <f>+IF(M78=0,0,$D$51-SUM($F$78:M78))</f>
        <v>0</v>
      </c>
      <c r="N82" s="36">
        <f>+IF(N78=0,0,$D$51-SUM($F$78:N78))</f>
        <v>0</v>
      </c>
      <c r="O82" s="36">
        <f>+IF(O78=0,0,$D$51-SUM($F$78:O78))</f>
        <v>0</v>
      </c>
      <c r="P82" s="36">
        <f>+IF(P78=0,0,$D$51-SUM($F$78:P78))</f>
        <v>0</v>
      </c>
      <c r="Q82" s="36">
        <f>+IF(Q78=0,0,$D$51-SUM($F$78:Q78))</f>
        <v>0</v>
      </c>
      <c r="R82" s="36">
        <f>+IF(R78=0,0,$D$51-SUM($F$78:R78))</f>
        <v>0</v>
      </c>
      <c r="S82" s="36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71" t="s">
        <v>86</v>
      </c>
      <c r="D85" s="74">
        <v>1</v>
      </c>
    </row>
    <row r="86" spans="2:20" hidden="1" x14ac:dyDescent="0.3"/>
    <row r="87" spans="2:20" hidden="1" x14ac:dyDescent="0.3">
      <c r="C87" s="32">
        <v>38</v>
      </c>
      <c r="D87" s="32">
        <v>50</v>
      </c>
      <c r="E87" s="32">
        <v>80</v>
      </c>
      <c r="F87" s="32">
        <v>100</v>
      </c>
      <c r="G87" s="32">
        <v>150</v>
      </c>
    </row>
    <row r="88" spans="2:20" hidden="1" x14ac:dyDescent="0.3">
      <c r="C88" s="91">
        <f>+D13</f>
        <v>4.7754722615727108</v>
      </c>
      <c r="D88" s="91">
        <f t="shared" ref="D88:G88" si="21">+E13</f>
        <v>16.21204610083063</v>
      </c>
      <c r="E88" s="91">
        <f t="shared" si="21"/>
        <v>25.696398281819842</v>
      </c>
      <c r="F88" s="91">
        <f t="shared" si="21"/>
        <v>31.962679783922574</v>
      </c>
      <c r="G88" s="91">
        <f t="shared" si="21"/>
        <v>31.962679783922574</v>
      </c>
    </row>
    <row r="89" spans="2:20" hidden="1" x14ac:dyDescent="0.3">
      <c r="C89" s="29">
        <f>VLOOKUP(C87,'Clase A'!$B$3:$H410,6,0)</f>
        <v>0.10058027079303675</v>
      </c>
      <c r="D89" s="29">
        <f>VLOOKUP(D87,'Clase A'!$B$3:$H410,6,0)</f>
        <v>0.69052224371373305</v>
      </c>
      <c r="E89" s="29">
        <f>VLOOKUP(E87,'Clase A'!$B$3:$H410,6,0)</f>
        <v>0.13152804642166344</v>
      </c>
      <c r="F89" s="29">
        <f>VLOOKUP(F87,'Clase A'!$B$3:$H410,6,0)</f>
        <v>6.3829787234042548E-2</v>
      </c>
      <c r="G89" s="29">
        <f>VLOOKUP(G87,'Clase A'!$B$3:$H410,6,0)</f>
        <v>1.3539651837524178E-2</v>
      </c>
      <c r="H89" s="32">
        <f>+SUMPRODUCT(C88:G88,C89:G89)</f>
        <v>17.527828414156609</v>
      </c>
    </row>
    <row r="90" spans="2:20" hidden="1" x14ac:dyDescent="0.3">
      <c r="G90" s="96"/>
    </row>
    <row r="91" spans="2:20" hidden="1" x14ac:dyDescent="0.3">
      <c r="B91" s="86" t="s">
        <v>119</v>
      </c>
    </row>
    <row r="92" spans="2:20" hidden="1" x14ac:dyDescent="0.3"/>
    <row r="93" spans="2:20" hidden="1" x14ac:dyDescent="0.3">
      <c r="B93" s="34"/>
      <c r="C93" s="34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</row>
    <row r="94" spans="2:20" hidden="1" x14ac:dyDescent="0.3">
      <c r="B94" s="34"/>
      <c r="C94" s="34">
        <v>2020</v>
      </c>
      <c r="D94" s="34">
        <v>2021</v>
      </c>
      <c r="E94" s="34">
        <v>2022</v>
      </c>
      <c r="F94" s="34">
        <v>2023</v>
      </c>
      <c r="G94" s="34">
        <v>2024</v>
      </c>
      <c r="H94" s="34">
        <v>2025</v>
      </c>
      <c r="I94" s="34">
        <v>2026</v>
      </c>
      <c r="J94" s="34">
        <v>2027</v>
      </c>
      <c r="K94" s="34">
        <v>2028</v>
      </c>
      <c r="L94" s="34">
        <v>2029</v>
      </c>
      <c r="M94" s="34">
        <v>2030</v>
      </c>
      <c r="N94" s="34">
        <v>2031</v>
      </c>
      <c r="O94" s="34">
        <v>2032</v>
      </c>
      <c r="P94" s="34">
        <v>2033</v>
      </c>
      <c r="Q94" s="34">
        <v>2034</v>
      </c>
      <c r="R94" s="34">
        <v>2035</v>
      </c>
      <c r="S94" s="34">
        <v>2036</v>
      </c>
    </row>
    <row r="95" spans="2:20" hidden="1" x14ac:dyDescent="0.3">
      <c r="B95" s="34" t="e">
        <f>#REF!</f>
        <v>#REF!</v>
      </c>
      <c r="C95" s="35" t="e">
        <f t="shared" ref="C95:S95" si="22">C$103*$T95</f>
        <v>#REF!</v>
      </c>
      <c r="D95" s="35" t="e">
        <f t="shared" si="22"/>
        <v>#REF!</v>
      </c>
      <c r="E95" s="35" t="e">
        <f t="shared" si="22"/>
        <v>#REF!</v>
      </c>
      <c r="F95" s="35" t="e">
        <f t="shared" si="22"/>
        <v>#REF!</v>
      </c>
      <c r="G95" s="35" t="e">
        <f t="shared" si="22"/>
        <v>#REF!</v>
      </c>
      <c r="H95" s="35" t="e">
        <f t="shared" si="22"/>
        <v>#REF!</v>
      </c>
      <c r="I95" s="35" t="e">
        <f t="shared" si="22"/>
        <v>#REF!</v>
      </c>
      <c r="J95" s="35" t="e">
        <f t="shared" si="22"/>
        <v>#REF!</v>
      </c>
      <c r="K95" s="35" t="e">
        <f t="shared" si="22"/>
        <v>#REF!</v>
      </c>
      <c r="L95" s="35" t="e">
        <f t="shared" si="22"/>
        <v>#REF!</v>
      </c>
      <c r="M95" s="35" t="e">
        <f t="shared" si="22"/>
        <v>#REF!</v>
      </c>
      <c r="N95" s="35" t="e">
        <f t="shared" si="22"/>
        <v>#REF!</v>
      </c>
      <c r="O95" s="35" t="e">
        <f t="shared" si="22"/>
        <v>#REF!</v>
      </c>
      <c r="P95" s="35" t="e">
        <f t="shared" si="22"/>
        <v>#REF!</v>
      </c>
      <c r="Q95" s="35" t="e">
        <f t="shared" si="22"/>
        <v>#REF!</v>
      </c>
      <c r="R95" s="35" t="e">
        <f t="shared" si="22"/>
        <v>#REF!</v>
      </c>
      <c r="S95" s="35" t="e">
        <f t="shared" si="22"/>
        <v>#REF!</v>
      </c>
      <c r="T95" s="70" t="e">
        <f>SUMIFS(BBDD!F:F,BBDD!#REF!,FLUJO!B95)/SUM(BBDD!F:F)</f>
        <v>#REF!</v>
      </c>
    </row>
    <row r="96" spans="2:20" hidden="1" x14ac:dyDescent="0.3">
      <c r="B96" s="34" t="e">
        <f>#REF!</f>
        <v>#REF!</v>
      </c>
      <c r="C96" s="35" t="e">
        <f t="shared" ref="C96:R102" si="23">C$103*$T96</f>
        <v>#REF!</v>
      </c>
      <c r="D96" s="35" t="e">
        <f t="shared" si="23"/>
        <v>#REF!</v>
      </c>
      <c r="E96" s="35" t="e">
        <f t="shared" si="23"/>
        <v>#REF!</v>
      </c>
      <c r="F96" s="35" t="e">
        <f t="shared" si="23"/>
        <v>#REF!</v>
      </c>
      <c r="G96" s="35" t="e">
        <f t="shared" si="23"/>
        <v>#REF!</v>
      </c>
      <c r="H96" s="35" t="e">
        <f t="shared" si="23"/>
        <v>#REF!</v>
      </c>
      <c r="I96" s="35" t="e">
        <f t="shared" si="23"/>
        <v>#REF!</v>
      </c>
      <c r="J96" s="35" t="e">
        <f t="shared" si="23"/>
        <v>#REF!</v>
      </c>
      <c r="K96" s="35" t="e">
        <f t="shared" si="23"/>
        <v>#REF!</v>
      </c>
      <c r="L96" s="35" t="e">
        <f t="shared" si="23"/>
        <v>#REF!</v>
      </c>
      <c r="M96" s="35" t="e">
        <f t="shared" si="23"/>
        <v>#REF!</v>
      </c>
      <c r="N96" s="35" t="e">
        <f t="shared" si="23"/>
        <v>#REF!</v>
      </c>
      <c r="O96" s="35" t="e">
        <f t="shared" si="23"/>
        <v>#REF!</v>
      </c>
      <c r="P96" s="35" t="e">
        <f t="shared" si="23"/>
        <v>#REF!</v>
      </c>
      <c r="Q96" s="35" t="e">
        <f t="shared" si="23"/>
        <v>#REF!</v>
      </c>
      <c r="R96" s="35" t="e">
        <f t="shared" si="23"/>
        <v>#REF!</v>
      </c>
      <c r="S96" s="35" t="e">
        <f t="shared" ref="S96:S102" si="24">S$103*$T96</f>
        <v>#REF!</v>
      </c>
      <c r="T96" s="70" t="e">
        <f>SUMIFS(BBDD!F:F,BBDD!#REF!,FLUJO!B96)/SUM(BBDD!F:F)</f>
        <v>#REF!</v>
      </c>
    </row>
    <row r="97" spans="2:20" hidden="1" x14ac:dyDescent="0.3">
      <c r="B97" s="34" t="e">
        <f>#REF!</f>
        <v>#REF!</v>
      </c>
      <c r="C97" s="35" t="e">
        <f t="shared" si="23"/>
        <v>#REF!</v>
      </c>
      <c r="D97" s="35" t="e">
        <f t="shared" si="23"/>
        <v>#REF!</v>
      </c>
      <c r="E97" s="35" t="e">
        <f t="shared" si="23"/>
        <v>#REF!</v>
      </c>
      <c r="F97" s="35" t="e">
        <f t="shared" si="23"/>
        <v>#REF!</v>
      </c>
      <c r="G97" s="35" t="e">
        <f t="shared" si="23"/>
        <v>#REF!</v>
      </c>
      <c r="H97" s="35" t="e">
        <f t="shared" si="23"/>
        <v>#REF!</v>
      </c>
      <c r="I97" s="35" t="e">
        <f t="shared" si="23"/>
        <v>#REF!</v>
      </c>
      <c r="J97" s="35" t="e">
        <f t="shared" si="23"/>
        <v>#REF!</v>
      </c>
      <c r="K97" s="35" t="e">
        <f t="shared" si="23"/>
        <v>#REF!</v>
      </c>
      <c r="L97" s="35" t="e">
        <f t="shared" si="23"/>
        <v>#REF!</v>
      </c>
      <c r="M97" s="35" t="e">
        <f t="shared" si="23"/>
        <v>#REF!</v>
      </c>
      <c r="N97" s="35" t="e">
        <f t="shared" si="23"/>
        <v>#REF!</v>
      </c>
      <c r="O97" s="35" t="e">
        <f t="shared" si="23"/>
        <v>#REF!</v>
      </c>
      <c r="P97" s="35" t="e">
        <f t="shared" si="23"/>
        <v>#REF!</v>
      </c>
      <c r="Q97" s="35" t="e">
        <f t="shared" si="23"/>
        <v>#REF!</v>
      </c>
      <c r="R97" s="35" t="e">
        <f t="shared" si="23"/>
        <v>#REF!</v>
      </c>
      <c r="S97" s="35" t="e">
        <f t="shared" si="24"/>
        <v>#REF!</v>
      </c>
      <c r="T97" s="70" t="e">
        <f>SUMIFS(BBDD!F:F,BBDD!#REF!,FLUJO!B97)/SUM(BBDD!F:F)</f>
        <v>#REF!</v>
      </c>
    </row>
    <row r="98" spans="2:20" hidden="1" x14ac:dyDescent="0.3">
      <c r="B98" s="34" t="e">
        <f>#REF!</f>
        <v>#REF!</v>
      </c>
      <c r="C98" s="35" t="e">
        <f t="shared" si="23"/>
        <v>#REF!</v>
      </c>
      <c r="D98" s="35" t="e">
        <f t="shared" si="23"/>
        <v>#REF!</v>
      </c>
      <c r="E98" s="35" t="e">
        <f t="shared" si="23"/>
        <v>#REF!</v>
      </c>
      <c r="F98" s="35" t="e">
        <f t="shared" si="23"/>
        <v>#REF!</v>
      </c>
      <c r="G98" s="35" t="e">
        <f t="shared" si="23"/>
        <v>#REF!</v>
      </c>
      <c r="H98" s="35" t="e">
        <f t="shared" si="23"/>
        <v>#REF!</v>
      </c>
      <c r="I98" s="35" t="e">
        <f t="shared" si="23"/>
        <v>#REF!</v>
      </c>
      <c r="J98" s="35" t="e">
        <f t="shared" si="23"/>
        <v>#REF!</v>
      </c>
      <c r="K98" s="35" t="e">
        <f t="shared" si="23"/>
        <v>#REF!</v>
      </c>
      <c r="L98" s="35" t="e">
        <f t="shared" si="23"/>
        <v>#REF!</v>
      </c>
      <c r="M98" s="35" t="e">
        <f t="shared" si="23"/>
        <v>#REF!</v>
      </c>
      <c r="N98" s="35" t="e">
        <f t="shared" si="23"/>
        <v>#REF!</v>
      </c>
      <c r="O98" s="35" t="e">
        <f t="shared" si="23"/>
        <v>#REF!</v>
      </c>
      <c r="P98" s="35" t="e">
        <f t="shared" si="23"/>
        <v>#REF!</v>
      </c>
      <c r="Q98" s="35" t="e">
        <f t="shared" si="23"/>
        <v>#REF!</v>
      </c>
      <c r="R98" s="35" t="e">
        <f t="shared" si="23"/>
        <v>#REF!</v>
      </c>
      <c r="S98" s="35" t="e">
        <f t="shared" si="24"/>
        <v>#REF!</v>
      </c>
      <c r="T98" s="70" t="e">
        <f>SUMIFS(BBDD!F:F,BBDD!#REF!,FLUJO!B98)/SUM(BBDD!F:F)</f>
        <v>#REF!</v>
      </c>
    </row>
    <row r="99" spans="2:20" hidden="1" x14ac:dyDescent="0.3">
      <c r="B99" s="34" t="e">
        <f>#REF!</f>
        <v>#REF!</v>
      </c>
      <c r="C99" s="35" t="e">
        <f t="shared" si="23"/>
        <v>#REF!</v>
      </c>
      <c r="D99" s="35" t="e">
        <f t="shared" si="23"/>
        <v>#REF!</v>
      </c>
      <c r="E99" s="35" t="e">
        <f t="shared" si="23"/>
        <v>#REF!</v>
      </c>
      <c r="F99" s="35" t="e">
        <f t="shared" si="23"/>
        <v>#REF!</v>
      </c>
      <c r="G99" s="35" t="e">
        <f t="shared" si="23"/>
        <v>#REF!</v>
      </c>
      <c r="H99" s="35" t="e">
        <f t="shared" si="23"/>
        <v>#REF!</v>
      </c>
      <c r="I99" s="35" t="e">
        <f t="shared" si="23"/>
        <v>#REF!</v>
      </c>
      <c r="J99" s="35" t="e">
        <f t="shared" si="23"/>
        <v>#REF!</v>
      </c>
      <c r="K99" s="35" t="e">
        <f t="shared" si="23"/>
        <v>#REF!</v>
      </c>
      <c r="L99" s="35" t="e">
        <f t="shared" si="23"/>
        <v>#REF!</v>
      </c>
      <c r="M99" s="35" t="e">
        <f t="shared" si="23"/>
        <v>#REF!</v>
      </c>
      <c r="N99" s="35" t="e">
        <f t="shared" si="23"/>
        <v>#REF!</v>
      </c>
      <c r="O99" s="35" t="e">
        <f t="shared" si="23"/>
        <v>#REF!</v>
      </c>
      <c r="P99" s="35" t="e">
        <f t="shared" si="23"/>
        <v>#REF!</v>
      </c>
      <c r="Q99" s="35" t="e">
        <f t="shared" si="23"/>
        <v>#REF!</v>
      </c>
      <c r="R99" s="35" t="e">
        <f t="shared" si="23"/>
        <v>#REF!</v>
      </c>
      <c r="S99" s="35" t="e">
        <f t="shared" si="24"/>
        <v>#REF!</v>
      </c>
      <c r="T99" s="70" t="e">
        <f>SUMIFS(BBDD!F:F,BBDD!#REF!,FLUJO!B99)/SUM(BBDD!F:F)</f>
        <v>#REF!</v>
      </c>
    </row>
    <row r="100" spans="2:20" hidden="1" x14ac:dyDescent="0.3">
      <c r="B100" s="34" t="e">
        <f>#REF!</f>
        <v>#REF!</v>
      </c>
      <c r="C100" s="35" t="e">
        <f t="shared" si="23"/>
        <v>#REF!</v>
      </c>
      <c r="D100" s="35" t="e">
        <f t="shared" si="23"/>
        <v>#REF!</v>
      </c>
      <c r="E100" s="35" t="e">
        <f t="shared" si="23"/>
        <v>#REF!</v>
      </c>
      <c r="F100" s="35" t="e">
        <f t="shared" si="23"/>
        <v>#REF!</v>
      </c>
      <c r="G100" s="35" t="e">
        <f t="shared" si="23"/>
        <v>#REF!</v>
      </c>
      <c r="H100" s="35" t="e">
        <f t="shared" si="23"/>
        <v>#REF!</v>
      </c>
      <c r="I100" s="35" t="e">
        <f t="shared" si="23"/>
        <v>#REF!</v>
      </c>
      <c r="J100" s="35" t="e">
        <f t="shared" si="23"/>
        <v>#REF!</v>
      </c>
      <c r="K100" s="35" t="e">
        <f t="shared" si="23"/>
        <v>#REF!</v>
      </c>
      <c r="L100" s="35" t="e">
        <f t="shared" si="23"/>
        <v>#REF!</v>
      </c>
      <c r="M100" s="35" t="e">
        <f t="shared" si="23"/>
        <v>#REF!</v>
      </c>
      <c r="N100" s="35" t="e">
        <f t="shared" si="23"/>
        <v>#REF!</v>
      </c>
      <c r="O100" s="35" t="e">
        <f t="shared" si="23"/>
        <v>#REF!</v>
      </c>
      <c r="P100" s="35" t="e">
        <f t="shared" si="23"/>
        <v>#REF!</v>
      </c>
      <c r="Q100" s="35" t="e">
        <f t="shared" si="23"/>
        <v>#REF!</v>
      </c>
      <c r="R100" s="35" t="e">
        <f t="shared" si="23"/>
        <v>#REF!</v>
      </c>
      <c r="S100" s="35" t="e">
        <f t="shared" si="24"/>
        <v>#REF!</v>
      </c>
      <c r="T100" s="70" t="e">
        <f>SUMIFS(BBDD!F:F,BBDD!#REF!,FLUJO!B100)/SUM(BBDD!F:F)</f>
        <v>#REF!</v>
      </c>
    </row>
    <row r="101" spans="2:20" hidden="1" x14ac:dyDescent="0.3">
      <c r="B101" s="34" t="e">
        <f>#REF!</f>
        <v>#REF!</v>
      </c>
      <c r="C101" s="35" t="e">
        <f t="shared" si="23"/>
        <v>#REF!</v>
      </c>
      <c r="D101" s="35" t="e">
        <f t="shared" si="23"/>
        <v>#REF!</v>
      </c>
      <c r="E101" s="35" t="e">
        <f t="shared" si="23"/>
        <v>#REF!</v>
      </c>
      <c r="F101" s="35" t="e">
        <f t="shared" si="23"/>
        <v>#REF!</v>
      </c>
      <c r="G101" s="35" t="e">
        <f t="shared" si="23"/>
        <v>#REF!</v>
      </c>
      <c r="H101" s="35" t="e">
        <f t="shared" si="23"/>
        <v>#REF!</v>
      </c>
      <c r="I101" s="35" t="e">
        <f t="shared" si="23"/>
        <v>#REF!</v>
      </c>
      <c r="J101" s="35" t="e">
        <f t="shared" si="23"/>
        <v>#REF!</v>
      </c>
      <c r="K101" s="35" t="e">
        <f t="shared" si="23"/>
        <v>#REF!</v>
      </c>
      <c r="L101" s="35" t="e">
        <f t="shared" si="23"/>
        <v>#REF!</v>
      </c>
      <c r="M101" s="35" t="e">
        <f t="shared" si="23"/>
        <v>#REF!</v>
      </c>
      <c r="N101" s="35" t="e">
        <f t="shared" si="23"/>
        <v>#REF!</v>
      </c>
      <c r="O101" s="35" t="e">
        <f t="shared" si="23"/>
        <v>#REF!</v>
      </c>
      <c r="P101" s="35" t="e">
        <f t="shared" si="23"/>
        <v>#REF!</v>
      </c>
      <c r="Q101" s="35" t="e">
        <f t="shared" si="23"/>
        <v>#REF!</v>
      </c>
      <c r="R101" s="35" t="e">
        <f t="shared" si="23"/>
        <v>#REF!</v>
      </c>
      <c r="S101" s="35" t="e">
        <f t="shared" si="24"/>
        <v>#REF!</v>
      </c>
      <c r="T101" s="70" t="e">
        <f>SUMIFS(BBDD!F:F,BBDD!#REF!,FLUJO!B101)/SUM(BBDD!F:F)</f>
        <v>#REF!</v>
      </c>
    </row>
    <row r="102" spans="2:20" hidden="1" x14ac:dyDescent="0.3">
      <c r="B102" s="34" t="e">
        <f>#REF!</f>
        <v>#REF!</v>
      </c>
      <c r="C102" s="35" t="e">
        <f t="shared" si="23"/>
        <v>#REF!</v>
      </c>
      <c r="D102" s="35" t="e">
        <f t="shared" si="23"/>
        <v>#REF!</v>
      </c>
      <c r="E102" s="35" t="e">
        <f t="shared" si="23"/>
        <v>#REF!</v>
      </c>
      <c r="F102" s="35" t="e">
        <f t="shared" si="23"/>
        <v>#REF!</v>
      </c>
      <c r="G102" s="35" t="e">
        <f t="shared" si="23"/>
        <v>#REF!</v>
      </c>
      <c r="H102" s="35" t="e">
        <f t="shared" si="23"/>
        <v>#REF!</v>
      </c>
      <c r="I102" s="35" t="e">
        <f t="shared" si="23"/>
        <v>#REF!</v>
      </c>
      <c r="J102" s="35" t="e">
        <f t="shared" si="23"/>
        <v>#REF!</v>
      </c>
      <c r="K102" s="35" t="e">
        <f t="shared" si="23"/>
        <v>#REF!</v>
      </c>
      <c r="L102" s="35" t="e">
        <f t="shared" si="23"/>
        <v>#REF!</v>
      </c>
      <c r="M102" s="35" t="e">
        <f t="shared" si="23"/>
        <v>#REF!</v>
      </c>
      <c r="N102" s="35" t="e">
        <f t="shared" si="23"/>
        <v>#REF!</v>
      </c>
      <c r="O102" s="35" t="e">
        <f t="shared" si="23"/>
        <v>#REF!</v>
      </c>
      <c r="P102" s="35" t="e">
        <f t="shared" si="23"/>
        <v>#REF!</v>
      </c>
      <c r="Q102" s="35" t="e">
        <f t="shared" si="23"/>
        <v>#REF!</v>
      </c>
      <c r="R102" s="35" t="e">
        <f t="shared" si="23"/>
        <v>#REF!</v>
      </c>
      <c r="S102" s="35" t="e">
        <f t="shared" si="24"/>
        <v>#REF!</v>
      </c>
      <c r="T102" s="70" t="e">
        <f>SUMIFS(BBDD!F:F,BBDD!#REF!,FLUJO!B102)/SUM(BBDD!F:F)</f>
        <v>#REF!</v>
      </c>
    </row>
    <row r="103" spans="2:20" hidden="1" x14ac:dyDescent="0.3">
      <c r="C103" s="106">
        <v>124136.3871596821</v>
      </c>
      <c r="D103" s="106">
        <v>124302.55596678544</v>
      </c>
      <c r="E103" s="106">
        <v>133291.32993504795</v>
      </c>
      <c r="F103" s="106">
        <v>140622.05333542265</v>
      </c>
      <c r="G103" s="106">
        <v>145015.31245874765</v>
      </c>
      <c r="H103" s="106">
        <v>149661.85875376026</v>
      </c>
      <c r="I103" s="106">
        <v>154108.80051689595</v>
      </c>
      <c r="J103" s="106">
        <v>158640.76647772588</v>
      </c>
      <c r="K103" s="106">
        <v>163281.75087503155</v>
      </c>
      <c r="L103" s="106">
        <v>167856.98219301278</v>
      </c>
      <c r="M103" s="106">
        <v>172484.20190534645</v>
      </c>
      <c r="N103" s="106">
        <v>177165.18533490846</v>
      </c>
      <c r="O103" s="106">
        <v>181832.79169835299</v>
      </c>
      <c r="P103" s="106">
        <v>186535.02605450913</v>
      </c>
      <c r="Q103" s="106">
        <v>191269.31036298122</v>
      </c>
      <c r="R103" s="106">
        <v>196009.8494556756</v>
      </c>
      <c r="S103" s="99">
        <f>R103*(1+AVERAGE(N104:R104))</f>
        <v>201086.88356481149</v>
      </c>
    </row>
    <row r="104" spans="2:20" hidden="1" x14ac:dyDescent="0.3">
      <c r="N104" s="100">
        <f t="shared" ref="N104:Q104" si="25">(N103-M103)/M103</f>
        <v>2.7138621264171058E-2</v>
      </c>
      <c r="O104" s="100">
        <f t="shared" si="25"/>
        <v>2.634606993818232E-2</v>
      </c>
      <c r="P104" s="100">
        <f t="shared" si="25"/>
        <v>2.586021097864899E-2</v>
      </c>
      <c r="Q104" s="100">
        <f t="shared" si="25"/>
        <v>2.5380135884445886E-2</v>
      </c>
      <c r="R104" s="100">
        <f>(R103-Q103)/Q103</f>
        <v>2.4784630026103115E-2</v>
      </c>
    </row>
    <row r="105" spans="2:20" hidden="1" x14ac:dyDescent="0.3"/>
    <row r="106" spans="2:20" hidden="1" x14ac:dyDescent="0.3">
      <c r="C106" s="28" t="e">
        <f>+#REF!</f>
        <v>#REF!</v>
      </c>
      <c r="D106" s="28" t="e">
        <f>+C106</f>
        <v>#REF!</v>
      </c>
      <c r="F106" s="89" t="e">
        <f>B95</f>
        <v>#REF!</v>
      </c>
      <c r="G106" s="89" t="e">
        <f>B96</f>
        <v>#REF!</v>
      </c>
      <c r="H106" s="89" t="e">
        <f>B97</f>
        <v>#REF!</v>
      </c>
      <c r="I106" s="89" t="e">
        <f>B98</f>
        <v>#REF!</v>
      </c>
      <c r="J106" s="89" t="e">
        <f>B99</f>
        <v>#REF!</v>
      </c>
      <c r="K106" s="89" t="e">
        <f>B100</f>
        <v>#REF!</v>
      </c>
      <c r="L106" s="89" t="e">
        <f>B101</f>
        <v>#REF!</v>
      </c>
      <c r="M106" s="89" t="e">
        <f>B101</f>
        <v>#REF!</v>
      </c>
    </row>
    <row r="107" spans="2:20" hidden="1" x14ac:dyDescent="0.3">
      <c r="B107" s="28">
        <v>1</v>
      </c>
      <c r="C107" s="28" t="e">
        <f>+B107&amp;$C$106</f>
        <v>#REF!</v>
      </c>
      <c r="D107" s="88" t="e">
        <f>+VLOOKUP(C107,#REF!,2,0)</f>
        <v>#REF!</v>
      </c>
      <c r="F107" s="90" t="e">
        <f>$D107</f>
        <v>#REF!</v>
      </c>
      <c r="G107" s="90" t="e">
        <f t="shared" ref="G107:M121" si="26">$D107</f>
        <v>#REF!</v>
      </c>
      <c r="H107" s="90" t="e">
        <f t="shared" si="26"/>
        <v>#REF!</v>
      </c>
      <c r="I107" s="90" t="e">
        <f t="shared" si="26"/>
        <v>#REF!</v>
      </c>
      <c r="J107" s="90" t="e">
        <f t="shared" si="26"/>
        <v>#REF!</v>
      </c>
      <c r="K107" s="90" t="e">
        <f t="shared" si="26"/>
        <v>#REF!</v>
      </c>
      <c r="L107" s="90" t="e">
        <f t="shared" si="26"/>
        <v>#REF!</v>
      </c>
      <c r="M107" s="90" t="e">
        <f t="shared" si="26"/>
        <v>#REF!</v>
      </c>
    </row>
    <row r="108" spans="2:20" hidden="1" x14ac:dyDescent="0.3">
      <c r="B108" s="28">
        <f>+B107+1</f>
        <v>2</v>
      </c>
      <c r="C108" s="28" t="e">
        <f t="shared" ref="C108:C121" si="27">+B108&amp;$C$106</f>
        <v>#REF!</v>
      </c>
      <c r="D108" s="88" t="e">
        <f>+VLOOKUP(C108,#REF!,2,0)</f>
        <v>#REF!</v>
      </c>
      <c r="F108" s="90" t="e">
        <f t="shared" ref="F108:F121" si="28">$D108</f>
        <v>#REF!</v>
      </c>
      <c r="G108" s="90" t="e">
        <f t="shared" si="26"/>
        <v>#REF!</v>
      </c>
      <c r="H108" s="90" t="e">
        <f t="shared" si="26"/>
        <v>#REF!</v>
      </c>
      <c r="I108" s="90" t="e">
        <f t="shared" si="26"/>
        <v>#REF!</v>
      </c>
      <c r="J108" s="90" t="e">
        <f t="shared" si="26"/>
        <v>#REF!</v>
      </c>
      <c r="K108" s="90" t="e">
        <f t="shared" si="26"/>
        <v>#REF!</v>
      </c>
      <c r="L108" s="90" t="e">
        <f t="shared" si="26"/>
        <v>#REF!</v>
      </c>
      <c r="M108" s="90" t="e">
        <f t="shared" si="26"/>
        <v>#REF!</v>
      </c>
    </row>
    <row r="109" spans="2:20" hidden="1" x14ac:dyDescent="0.3">
      <c r="B109" s="28">
        <f t="shared" ref="B109:B121" si="29">+B108+1</f>
        <v>3</v>
      </c>
      <c r="C109" s="28" t="e">
        <f t="shared" si="27"/>
        <v>#REF!</v>
      </c>
      <c r="D109" s="88" t="e">
        <f>+VLOOKUP(C109,#REF!,2,0)</f>
        <v>#REF!</v>
      </c>
      <c r="F109" s="90" t="e">
        <f t="shared" si="28"/>
        <v>#REF!</v>
      </c>
      <c r="G109" s="90" t="e">
        <f t="shared" si="26"/>
        <v>#REF!</v>
      </c>
      <c r="H109" s="90" t="e">
        <f t="shared" si="26"/>
        <v>#REF!</v>
      </c>
      <c r="I109" s="90" t="e">
        <f t="shared" si="26"/>
        <v>#REF!</v>
      </c>
      <c r="J109" s="90" t="e">
        <f t="shared" si="26"/>
        <v>#REF!</v>
      </c>
      <c r="K109" s="90" t="e">
        <f t="shared" si="26"/>
        <v>#REF!</v>
      </c>
      <c r="L109" s="90" t="e">
        <f t="shared" si="26"/>
        <v>#REF!</v>
      </c>
      <c r="M109" s="90" t="e">
        <f t="shared" si="26"/>
        <v>#REF!</v>
      </c>
    </row>
    <row r="110" spans="2:20" hidden="1" x14ac:dyDescent="0.3">
      <c r="B110" s="28">
        <f t="shared" si="29"/>
        <v>4</v>
      </c>
      <c r="C110" s="28" t="e">
        <f t="shared" si="27"/>
        <v>#REF!</v>
      </c>
      <c r="D110" s="88" t="e">
        <f>+VLOOKUP(C110,#REF!,2,0)</f>
        <v>#REF!</v>
      </c>
      <c r="F110" s="90" t="e">
        <f t="shared" si="28"/>
        <v>#REF!</v>
      </c>
      <c r="G110" s="90" t="e">
        <f t="shared" si="26"/>
        <v>#REF!</v>
      </c>
      <c r="H110" s="90" t="e">
        <f t="shared" si="26"/>
        <v>#REF!</v>
      </c>
      <c r="I110" s="90" t="e">
        <f t="shared" si="26"/>
        <v>#REF!</v>
      </c>
      <c r="J110" s="90" t="e">
        <f t="shared" si="26"/>
        <v>#REF!</v>
      </c>
      <c r="K110" s="90" t="e">
        <f t="shared" si="26"/>
        <v>#REF!</v>
      </c>
      <c r="L110" s="90" t="e">
        <f t="shared" si="26"/>
        <v>#REF!</v>
      </c>
      <c r="M110" s="90" t="e">
        <f t="shared" si="26"/>
        <v>#REF!</v>
      </c>
    </row>
    <row r="111" spans="2:20" hidden="1" x14ac:dyDescent="0.3">
      <c r="B111" s="28">
        <f t="shared" si="29"/>
        <v>5</v>
      </c>
      <c r="C111" s="28" t="e">
        <f t="shared" si="27"/>
        <v>#REF!</v>
      </c>
      <c r="D111" s="88" t="e">
        <f>+VLOOKUP(C111,#REF!,2,0)</f>
        <v>#REF!</v>
      </c>
      <c r="F111" s="90" t="e">
        <f t="shared" si="28"/>
        <v>#REF!</v>
      </c>
      <c r="G111" s="90" t="e">
        <f t="shared" si="26"/>
        <v>#REF!</v>
      </c>
      <c r="H111" s="90" t="e">
        <f t="shared" si="26"/>
        <v>#REF!</v>
      </c>
      <c r="I111" s="90" t="e">
        <f t="shared" si="26"/>
        <v>#REF!</v>
      </c>
      <c r="J111" s="90" t="e">
        <f t="shared" si="26"/>
        <v>#REF!</v>
      </c>
      <c r="K111" s="90" t="e">
        <f t="shared" si="26"/>
        <v>#REF!</v>
      </c>
      <c r="L111" s="90" t="e">
        <f t="shared" si="26"/>
        <v>#REF!</v>
      </c>
      <c r="M111" s="90" t="e">
        <f t="shared" si="26"/>
        <v>#REF!</v>
      </c>
    </row>
    <row r="112" spans="2:20" hidden="1" x14ac:dyDescent="0.3">
      <c r="B112" s="28">
        <f t="shared" si="29"/>
        <v>6</v>
      </c>
      <c r="C112" s="28" t="e">
        <f t="shared" si="27"/>
        <v>#REF!</v>
      </c>
      <c r="D112" s="88" t="e">
        <f>+VLOOKUP(C112,#REF!,2,0)</f>
        <v>#REF!</v>
      </c>
      <c r="F112" s="90" t="e">
        <f t="shared" si="28"/>
        <v>#REF!</v>
      </c>
      <c r="G112" s="90" t="e">
        <f t="shared" si="26"/>
        <v>#REF!</v>
      </c>
      <c r="H112" s="90" t="e">
        <f t="shared" si="26"/>
        <v>#REF!</v>
      </c>
      <c r="I112" s="90" t="e">
        <f t="shared" si="26"/>
        <v>#REF!</v>
      </c>
      <c r="J112" s="90" t="e">
        <f t="shared" si="26"/>
        <v>#REF!</v>
      </c>
      <c r="K112" s="90" t="e">
        <f t="shared" si="26"/>
        <v>#REF!</v>
      </c>
      <c r="L112" s="90" t="e">
        <f t="shared" si="26"/>
        <v>#REF!</v>
      </c>
      <c r="M112" s="90" t="e">
        <f t="shared" si="26"/>
        <v>#REF!</v>
      </c>
    </row>
    <row r="113" spans="2:13" hidden="1" x14ac:dyDescent="0.3">
      <c r="B113" s="28">
        <f t="shared" si="29"/>
        <v>7</v>
      </c>
      <c r="C113" s="28" t="e">
        <f t="shared" si="27"/>
        <v>#REF!</v>
      </c>
      <c r="D113" s="88" t="e">
        <f>+VLOOKUP(C113,#REF!,2,0)</f>
        <v>#REF!</v>
      </c>
      <c r="F113" s="90" t="e">
        <f t="shared" si="28"/>
        <v>#REF!</v>
      </c>
      <c r="G113" s="90" t="e">
        <f t="shared" si="26"/>
        <v>#REF!</v>
      </c>
      <c r="H113" s="90" t="e">
        <f t="shared" si="26"/>
        <v>#REF!</v>
      </c>
      <c r="I113" s="90" t="e">
        <f t="shared" si="26"/>
        <v>#REF!</v>
      </c>
      <c r="J113" s="90" t="e">
        <f t="shared" si="26"/>
        <v>#REF!</v>
      </c>
      <c r="K113" s="90" t="e">
        <f t="shared" si="26"/>
        <v>#REF!</v>
      </c>
      <c r="L113" s="90" t="e">
        <f t="shared" si="26"/>
        <v>#REF!</v>
      </c>
      <c r="M113" s="90" t="e">
        <f t="shared" si="26"/>
        <v>#REF!</v>
      </c>
    </row>
    <row r="114" spans="2:13" hidden="1" x14ac:dyDescent="0.3">
      <c r="B114" s="28">
        <f t="shared" si="29"/>
        <v>8</v>
      </c>
      <c r="C114" s="28" t="e">
        <f t="shared" si="27"/>
        <v>#REF!</v>
      </c>
      <c r="D114" s="88" t="e">
        <f>+VLOOKUP(C114,#REF!,2,0)</f>
        <v>#REF!</v>
      </c>
      <c r="F114" s="90" t="e">
        <f t="shared" si="28"/>
        <v>#REF!</v>
      </c>
      <c r="G114" s="90" t="e">
        <f t="shared" si="26"/>
        <v>#REF!</v>
      </c>
      <c r="H114" s="90" t="e">
        <f t="shared" si="26"/>
        <v>#REF!</v>
      </c>
      <c r="I114" s="90" t="e">
        <f t="shared" si="26"/>
        <v>#REF!</v>
      </c>
      <c r="J114" s="90" t="e">
        <f t="shared" si="26"/>
        <v>#REF!</v>
      </c>
      <c r="K114" s="90" t="e">
        <f t="shared" si="26"/>
        <v>#REF!</v>
      </c>
      <c r="L114" s="90" t="e">
        <f t="shared" si="26"/>
        <v>#REF!</v>
      </c>
      <c r="M114" s="90" t="e">
        <f t="shared" si="26"/>
        <v>#REF!</v>
      </c>
    </row>
    <row r="115" spans="2:13" hidden="1" x14ac:dyDescent="0.3">
      <c r="B115" s="28">
        <f t="shared" si="29"/>
        <v>9</v>
      </c>
      <c r="C115" s="28" t="e">
        <f t="shared" si="27"/>
        <v>#REF!</v>
      </c>
      <c r="D115" s="88" t="e">
        <f>+VLOOKUP(C115,#REF!,2,0)</f>
        <v>#REF!</v>
      </c>
      <c r="F115" s="90" t="e">
        <f t="shared" si="28"/>
        <v>#REF!</v>
      </c>
      <c r="G115" s="90" t="e">
        <f t="shared" si="26"/>
        <v>#REF!</v>
      </c>
      <c r="H115" s="90" t="e">
        <f t="shared" si="26"/>
        <v>#REF!</v>
      </c>
      <c r="I115" s="90" t="e">
        <f t="shared" si="26"/>
        <v>#REF!</v>
      </c>
      <c r="J115" s="90" t="e">
        <f t="shared" si="26"/>
        <v>#REF!</v>
      </c>
      <c r="K115" s="90" t="e">
        <f t="shared" si="26"/>
        <v>#REF!</v>
      </c>
      <c r="L115" s="90" t="e">
        <f t="shared" si="26"/>
        <v>#REF!</v>
      </c>
      <c r="M115" s="90" t="e">
        <f t="shared" si="26"/>
        <v>#REF!</v>
      </c>
    </row>
    <row r="116" spans="2:13" hidden="1" x14ac:dyDescent="0.3">
      <c r="B116" s="28">
        <f t="shared" si="29"/>
        <v>10</v>
      </c>
      <c r="C116" s="28" t="e">
        <f t="shared" si="27"/>
        <v>#REF!</v>
      </c>
      <c r="D116" s="88" t="e">
        <f>+VLOOKUP(C116,#REF!,2,0)</f>
        <v>#REF!</v>
      </c>
      <c r="F116" s="90" t="e">
        <f t="shared" si="28"/>
        <v>#REF!</v>
      </c>
      <c r="G116" s="90" t="e">
        <f t="shared" si="26"/>
        <v>#REF!</v>
      </c>
      <c r="H116" s="90" t="e">
        <f t="shared" si="26"/>
        <v>#REF!</v>
      </c>
      <c r="I116" s="90" t="e">
        <f t="shared" si="26"/>
        <v>#REF!</v>
      </c>
      <c r="J116" s="90" t="e">
        <f t="shared" si="26"/>
        <v>#REF!</v>
      </c>
      <c r="K116" s="90" t="e">
        <f t="shared" si="26"/>
        <v>#REF!</v>
      </c>
      <c r="L116" s="90" t="e">
        <f t="shared" si="26"/>
        <v>#REF!</v>
      </c>
      <c r="M116" s="90" t="e">
        <f t="shared" si="26"/>
        <v>#REF!</v>
      </c>
    </row>
    <row r="117" spans="2:13" hidden="1" x14ac:dyDescent="0.3">
      <c r="B117" s="28">
        <f t="shared" si="29"/>
        <v>11</v>
      </c>
      <c r="C117" s="28" t="e">
        <f t="shared" si="27"/>
        <v>#REF!</v>
      </c>
      <c r="D117" s="88" t="e">
        <f>+VLOOKUP(C117,#REF!,2,0)</f>
        <v>#REF!</v>
      </c>
      <c r="F117" s="90" t="e">
        <f t="shared" si="28"/>
        <v>#REF!</v>
      </c>
      <c r="G117" s="90" t="e">
        <f t="shared" si="26"/>
        <v>#REF!</v>
      </c>
      <c r="H117" s="90" t="e">
        <f t="shared" si="26"/>
        <v>#REF!</v>
      </c>
      <c r="I117" s="90" t="e">
        <f t="shared" si="26"/>
        <v>#REF!</v>
      </c>
      <c r="J117" s="90" t="e">
        <f t="shared" si="26"/>
        <v>#REF!</v>
      </c>
      <c r="K117" s="90" t="e">
        <f t="shared" si="26"/>
        <v>#REF!</v>
      </c>
      <c r="L117" s="90" t="e">
        <f t="shared" si="26"/>
        <v>#REF!</v>
      </c>
      <c r="M117" s="90" t="e">
        <f t="shared" si="26"/>
        <v>#REF!</v>
      </c>
    </row>
    <row r="118" spans="2:13" hidden="1" x14ac:dyDescent="0.3">
      <c r="B118" s="28">
        <f t="shared" si="29"/>
        <v>12</v>
      </c>
      <c r="C118" s="28" t="e">
        <f t="shared" si="27"/>
        <v>#REF!</v>
      </c>
      <c r="D118" s="88" t="e">
        <f>+VLOOKUP(C118,#REF!,2,0)</f>
        <v>#REF!</v>
      </c>
      <c r="F118" s="90" t="e">
        <f t="shared" si="28"/>
        <v>#REF!</v>
      </c>
      <c r="G118" s="90" t="e">
        <f t="shared" si="26"/>
        <v>#REF!</v>
      </c>
      <c r="H118" s="90" t="e">
        <f t="shared" si="26"/>
        <v>#REF!</v>
      </c>
      <c r="I118" s="90" t="e">
        <f t="shared" si="26"/>
        <v>#REF!</v>
      </c>
      <c r="J118" s="90" t="e">
        <f t="shared" si="26"/>
        <v>#REF!</v>
      </c>
      <c r="K118" s="90" t="e">
        <f t="shared" si="26"/>
        <v>#REF!</v>
      </c>
      <c r="L118" s="90" t="e">
        <f t="shared" si="26"/>
        <v>#REF!</v>
      </c>
      <c r="M118" s="90" t="e">
        <f t="shared" si="26"/>
        <v>#REF!</v>
      </c>
    </row>
    <row r="119" spans="2:13" hidden="1" x14ac:dyDescent="0.3">
      <c r="B119" s="28">
        <f t="shared" si="29"/>
        <v>13</v>
      </c>
      <c r="C119" s="28" t="e">
        <f t="shared" si="27"/>
        <v>#REF!</v>
      </c>
      <c r="D119" s="88" t="e">
        <f>+VLOOKUP(C119,#REF!,2,0)</f>
        <v>#REF!</v>
      </c>
      <c r="F119" s="90" t="e">
        <f t="shared" si="28"/>
        <v>#REF!</v>
      </c>
      <c r="G119" s="90" t="e">
        <f t="shared" si="26"/>
        <v>#REF!</v>
      </c>
      <c r="H119" s="90" t="e">
        <f t="shared" si="26"/>
        <v>#REF!</v>
      </c>
      <c r="I119" s="90" t="e">
        <f t="shared" si="26"/>
        <v>#REF!</v>
      </c>
      <c r="J119" s="90" t="e">
        <f t="shared" si="26"/>
        <v>#REF!</v>
      </c>
      <c r="K119" s="90" t="e">
        <f t="shared" si="26"/>
        <v>#REF!</v>
      </c>
      <c r="L119" s="90" t="e">
        <f t="shared" si="26"/>
        <v>#REF!</v>
      </c>
      <c r="M119" s="90" t="e">
        <f t="shared" si="26"/>
        <v>#REF!</v>
      </c>
    </row>
    <row r="120" spans="2:13" hidden="1" x14ac:dyDescent="0.3">
      <c r="B120" s="28">
        <f t="shared" si="29"/>
        <v>14</v>
      </c>
      <c r="C120" s="28" t="e">
        <f t="shared" si="27"/>
        <v>#REF!</v>
      </c>
      <c r="D120" s="88" t="e">
        <f>+VLOOKUP(C120,#REF!,2,0)</f>
        <v>#REF!</v>
      </c>
      <c r="F120" s="90" t="e">
        <f t="shared" si="28"/>
        <v>#REF!</v>
      </c>
      <c r="G120" s="90" t="e">
        <f t="shared" si="26"/>
        <v>#REF!</v>
      </c>
      <c r="H120" s="90" t="e">
        <f t="shared" si="26"/>
        <v>#REF!</v>
      </c>
      <c r="I120" s="90" t="e">
        <f t="shared" si="26"/>
        <v>#REF!</v>
      </c>
      <c r="J120" s="90" t="e">
        <f t="shared" si="26"/>
        <v>#REF!</v>
      </c>
      <c r="K120" s="90" t="e">
        <f t="shared" si="26"/>
        <v>#REF!</v>
      </c>
      <c r="L120" s="90" t="e">
        <f t="shared" si="26"/>
        <v>#REF!</v>
      </c>
      <c r="M120" s="90" t="e">
        <f t="shared" si="26"/>
        <v>#REF!</v>
      </c>
    </row>
    <row r="121" spans="2:13" hidden="1" x14ac:dyDescent="0.3">
      <c r="B121" s="28">
        <f t="shared" si="29"/>
        <v>15</v>
      </c>
      <c r="C121" s="28" t="e">
        <f t="shared" si="27"/>
        <v>#REF!</v>
      </c>
      <c r="D121" s="88" t="e">
        <f>+VLOOKUP(C121,#REF!,2,0)</f>
        <v>#REF!</v>
      </c>
      <c r="F121" s="90" t="e">
        <f t="shared" si="28"/>
        <v>#REF!</v>
      </c>
      <c r="G121" s="90" t="e">
        <f t="shared" si="26"/>
        <v>#REF!</v>
      </c>
      <c r="H121" s="90" t="e">
        <f t="shared" si="26"/>
        <v>#REF!</v>
      </c>
      <c r="I121" s="90" t="e">
        <f t="shared" si="26"/>
        <v>#REF!</v>
      </c>
      <c r="J121" s="90" t="e">
        <f t="shared" si="26"/>
        <v>#REF!</v>
      </c>
      <c r="K121" s="90" t="e">
        <f t="shared" si="26"/>
        <v>#REF!</v>
      </c>
      <c r="L121" s="90" t="e">
        <f t="shared" si="26"/>
        <v>#REF!</v>
      </c>
      <c r="M121" s="90" t="e">
        <f t="shared" si="26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3"/>
  <sheetViews>
    <sheetView workbookViewId="0">
      <selection activeCell="F26" sqref="F26"/>
    </sheetView>
  </sheetViews>
  <sheetFormatPr baseColWidth="10" defaultRowHeight="14.4" x14ac:dyDescent="0.3"/>
  <sheetData>
    <row r="2" spans="2:8" x14ac:dyDescent="0.3">
      <c r="C2" t="s">
        <v>117</v>
      </c>
      <c r="D2" t="s">
        <v>118</v>
      </c>
      <c r="E2" t="s">
        <v>18</v>
      </c>
    </row>
    <row r="3" spans="2:8" x14ac:dyDescent="0.3">
      <c r="B3">
        <v>13</v>
      </c>
      <c r="C3">
        <v>14740</v>
      </c>
      <c r="D3">
        <v>2760</v>
      </c>
      <c r="E3">
        <f>D3+C3</f>
        <v>17500</v>
      </c>
      <c r="F3" s="29">
        <f t="shared" ref="F3:F10" si="0">E3/E$11</f>
        <v>0.74827895839568992</v>
      </c>
      <c r="G3" s="29"/>
      <c r="H3" s="5"/>
    </row>
    <row r="4" spans="2:8" x14ac:dyDescent="0.3">
      <c r="B4">
        <v>19</v>
      </c>
      <c r="C4">
        <v>3358</v>
      </c>
      <c r="D4">
        <v>1119</v>
      </c>
      <c r="E4">
        <f t="shared" ref="E4:E10" si="1">D4+C4</f>
        <v>4477</v>
      </c>
      <c r="F4" s="29">
        <f t="shared" si="0"/>
        <v>0.1914311369564288</v>
      </c>
      <c r="G4" s="29"/>
      <c r="H4" s="5"/>
    </row>
    <row r="5" spans="2:8" x14ac:dyDescent="0.3">
      <c r="B5">
        <v>25</v>
      </c>
      <c r="C5">
        <v>730</v>
      </c>
      <c r="D5">
        <v>163</v>
      </c>
      <c r="E5">
        <f t="shared" si="1"/>
        <v>893</v>
      </c>
      <c r="F5" s="29">
        <f t="shared" si="0"/>
        <v>3.8183606276991494E-2</v>
      </c>
      <c r="G5" s="29"/>
      <c r="H5" s="5"/>
    </row>
    <row r="6" spans="2:8" x14ac:dyDescent="0.3">
      <c r="B6">
        <v>38</v>
      </c>
      <c r="C6">
        <v>41</v>
      </c>
      <c r="D6">
        <v>11</v>
      </c>
      <c r="E6">
        <f t="shared" si="1"/>
        <v>52</v>
      </c>
      <c r="F6" s="29">
        <f t="shared" si="0"/>
        <v>2.2234574763757642E-3</v>
      </c>
      <c r="G6" s="29">
        <f>E6/E$12</f>
        <v>0.10058027079303675</v>
      </c>
    </row>
    <row r="7" spans="2:8" x14ac:dyDescent="0.3">
      <c r="B7">
        <v>50</v>
      </c>
      <c r="C7">
        <v>347</v>
      </c>
      <c r="D7">
        <v>10</v>
      </c>
      <c r="E7">
        <f t="shared" si="1"/>
        <v>357</v>
      </c>
      <c r="F7" s="29">
        <f t="shared" si="0"/>
        <v>1.5264890751272074E-2</v>
      </c>
      <c r="G7" s="29">
        <f>E7/E$12</f>
        <v>0.69052224371373305</v>
      </c>
    </row>
    <row r="8" spans="2:8" x14ac:dyDescent="0.3">
      <c r="B8">
        <v>80</v>
      </c>
      <c r="C8">
        <v>63</v>
      </c>
      <c r="D8">
        <v>5</v>
      </c>
      <c r="E8">
        <f t="shared" si="1"/>
        <v>68</v>
      </c>
      <c r="F8" s="29">
        <f t="shared" si="0"/>
        <v>2.907598238337538E-3</v>
      </c>
      <c r="G8" s="29">
        <f>E8/E$12</f>
        <v>0.13152804642166344</v>
      </c>
    </row>
    <row r="9" spans="2:8" x14ac:dyDescent="0.3">
      <c r="B9">
        <v>100</v>
      </c>
      <c r="C9">
        <v>26</v>
      </c>
      <c r="D9">
        <v>7</v>
      </c>
      <c r="E9">
        <f t="shared" si="1"/>
        <v>33</v>
      </c>
      <c r="F9" s="29">
        <f t="shared" si="0"/>
        <v>1.4110403215461581E-3</v>
      </c>
      <c r="G9" s="29">
        <f>E9/E$12</f>
        <v>6.3829787234042548E-2</v>
      </c>
    </row>
    <row r="10" spans="2:8" x14ac:dyDescent="0.3">
      <c r="B10">
        <v>150</v>
      </c>
      <c r="C10">
        <v>6</v>
      </c>
      <c r="D10">
        <v>1</v>
      </c>
      <c r="E10">
        <f t="shared" si="1"/>
        <v>7</v>
      </c>
      <c r="F10" s="29">
        <f t="shared" si="0"/>
        <v>2.9931158335827599E-4</v>
      </c>
      <c r="G10" s="29">
        <f>E10/E$12</f>
        <v>1.3539651837524178E-2</v>
      </c>
    </row>
    <row r="11" spans="2:8" x14ac:dyDescent="0.3">
      <c r="E11">
        <f>SUM(E3:E10)</f>
        <v>23387</v>
      </c>
      <c r="F11" s="29" t="b">
        <f>SUM(F3:F10)=1</f>
        <v>1</v>
      </c>
      <c r="G11" s="29" t="b">
        <f>SUM(G3:G10)=1</f>
        <v>1</v>
      </c>
    </row>
    <row r="12" spans="2:8" x14ac:dyDescent="0.3">
      <c r="E12">
        <f>SUM(E6:E10)</f>
        <v>517</v>
      </c>
    </row>
    <row r="13" spans="2:8" x14ac:dyDescent="0.3">
      <c r="E13">
        <f>SUM(E3:E5)</f>
        <v>22870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5"/>
  <dimension ref="A1:FE201"/>
  <sheetViews>
    <sheetView zoomScale="70" zoomScaleNormal="70" workbookViewId="0">
      <selection activeCell="F2" sqref="F2:F201"/>
    </sheetView>
  </sheetViews>
  <sheetFormatPr baseColWidth="10" defaultRowHeight="14.4" x14ac:dyDescent="0.3"/>
  <cols>
    <col min="1" max="1" width="11.5546875" style="30"/>
    <col min="2" max="2" width="11.5546875" style="30" customWidth="1"/>
    <col min="3" max="3" width="20.5546875" style="30" customWidth="1"/>
    <col min="4" max="5" width="11.5546875" style="30" customWidth="1"/>
    <col min="6" max="6" width="19.109375" style="30" customWidth="1"/>
    <col min="7" max="7" width="14.21875" style="30" bestFit="1" customWidth="1"/>
    <col min="8" max="8" width="19.109375" style="30" customWidth="1"/>
    <col min="9" max="9" width="11.5546875" style="30"/>
    <col min="10" max="13" width="11.5546875" style="30" customWidth="1"/>
    <col min="14" max="14" width="15.44140625" style="30" customWidth="1"/>
    <col min="15" max="15" width="9.44140625" style="30" customWidth="1"/>
    <col min="16" max="16" width="8.6640625" style="75" customWidth="1"/>
    <col min="17" max="17" width="12.33203125" style="111" customWidth="1"/>
    <col min="18" max="19" width="9.88671875" style="111" customWidth="1"/>
    <col min="20" max="20" width="11.5546875" style="111" customWidth="1"/>
    <col min="21" max="31" width="9.88671875" style="111" customWidth="1"/>
    <col min="32" max="77" width="10.33203125" style="111" customWidth="1"/>
    <col min="78" max="81" width="10" style="111" bestFit="1" customWidth="1"/>
    <col min="82" max="111" width="10" style="111" hidden="1" customWidth="1"/>
    <col min="112" max="132" width="10" style="111" customWidth="1"/>
    <col min="133" max="141" width="10.33203125" style="111" customWidth="1"/>
    <col min="142" max="143" width="15.33203125" style="111" customWidth="1"/>
    <col min="144" max="144" width="11.5546875" style="30" customWidth="1"/>
    <col min="145" max="145" width="19.109375" style="75" customWidth="1"/>
    <col min="146" max="146" width="19.109375" style="30" customWidth="1"/>
    <col min="147" max="153" width="11.5546875" style="30" customWidth="1"/>
    <col min="154" max="154" width="24.44140625" style="30" bestFit="1" customWidth="1"/>
    <col min="155" max="155" width="29.88671875" style="30" bestFit="1" customWidth="1"/>
    <col min="156" max="16384" width="11.5546875" style="30"/>
  </cols>
  <sheetData>
    <row r="1" spans="1:161" x14ac:dyDescent="0.3">
      <c r="A1" s="30" t="s">
        <v>5</v>
      </c>
      <c r="B1" s="30" t="s">
        <v>105</v>
      </c>
      <c r="C1" s="30" t="s">
        <v>60</v>
      </c>
      <c r="D1" s="30" t="s">
        <v>108</v>
      </c>
      <c r="E1" s="30" t="s">
        <v>106</v>
      </c>
      <c r="F1" s="30" t="s">
        <v>120</v>
      </c>
      <c r="G1" s="103" t="s">
        <v>232</v>
      </c>
      <c r="H1" s="31" t="s">
        <v>233</v>
      </c>
      <c r="I1" s="103" t="s">
        <v>59</v>
      </c>
      <c r="J1" s="103" t="s">
        <v>144</v>
      </c>
      <c r="K1" s="103" t="s">
        <v>145</v>
      </c>
      <c r="L1" s="103" t="s">
        <v>61</v>
      </c>
      <c r="M1" s="103" t="s">
        <v>142</v>
      </c>
      <c r="N1" s="103" t="s">
        <v>143</v>
      </c>
      <c r="O1" s="103" t="s">
        <v>125</v>
      </c>
      <c r="P1" s="94">
        <v>0</v>
      </c>
      <c r="Q1" s="110" t="s">
        <v>126</v>
      </c>
      <c r="R1" s="110" t="s">
        <v>127</v>
      </c>
      <c r="S1" s="110" t="s">
        <v>128</v>
      </c>
      <c r="T1" s="110" t="s">
        <v>129</v>
      </c>
      <c r="U1" s="110" t="s">
        <v>130</v>
      </c>
      <c r="V1" s="110" t="s">
        <v>131</v>
      </c>
      <c r="W1" s="110" t="s">
        <v>132</v>
      </c>
      <c r="X1" s="110" t="s">
        <v>133</v>
      </c>
      <c r="Y1" s="110" t="s">
        <v>134</v>
      </c>
      <c r="Z1" s="110" t="s">
        <v>135</v>
      </c>
      <c r="AA1" s="110" t="s">
        <v>136</v>
      </c>
      <c r="AB1" s="110" t="s">
        <v>137</v>
      </c>
      <c r="AC1" s="110" t="s">
        <v>138</v>
      </c>
      <c r="AD1" s="110" t="s">
        <v>139</v>
      </c>
      <c r="AE1" s="110" t="s">
        <v>140</v>
      </c>
      <c r="AF1" s="131">
        <v>1</v>
      </c>
      <c r="AG1" s="131">
        <v>2</v>
      </c>
      <c r="AH1" s="131">
        <v>3</v>
      </c>
      <c r="AI1" s="131">
        <v>4</v>
      </c>
      <c r="AJ1" s="131">
        <v>5</v>
      </c>
      <c r="AK1" s="131">
        <v>6</v>
      </c>
      <c r="AL1" s="131">
        <v>7</v>
      </c>
      <c r="AM1" s="131">
        <v>8</v>
      </c>
      <c r="AN1" s="131">
        <v>9</v>
      </c>
      <c r="AO1" s="131">
        <v>10</v>
      </c>
      <c r="AP1" s="131">
        <v>11</v>
      </c>
      <c r="AQ1" s="131">
        <v>12</v>
      </c>
      <c r="AR1" s="131">
        <v>13</v>
      </c>
      <c r="AS1" s="131">
        <v>14</v>
      </c>
      <c r="AT1" s="139" t="s">
        <v>150</v>
      </c>
      <c r="AU1" s="139" t="s">
        <v>151</v>
      </c>
      <c r="AV1" s="142" t="s">
        <v>152</v>
      </c>
      <c r="AW1" s="142" t="s">
        <v>153</v>
      </c>
      <c r="AX1" s="142" t="s">
        <v>154</v>
      </c>
      <c r="AY1" s="142" t="s">
        <v>155</v>
      </c>
      <c r="AZ1" s="142" t="s">
        <v>156</v>
      </c>
      <c r="BA1" s="142" t="s">
        <v>157</v>
      </c>
      <c r="BB1" s="142" t="s">
        <v>158</v>
      </c>
      <c r="BC1" s="142" t="s">
        <v>159</v>
      </c>
      <c r="BD1" s="142" t="s">
        <v>160</v>
      </c>
      <c r="BE1" s="142" t="s">
        <v>161</v>
      </c>
      <c r="BF1" s="142" t="s">
        <v>162</v>
      </c>
      <c r="BG1" s="142" t="s">
        <v>163</v>
      </c>
      <c r="BH1" s="142" t="s">
        <v>164</v>
      </c>
      <c r="BI1" s="142" t="s">
        <v>165</v>
      </c>
      <c r="BJ1" s="142" t="s">
        <v>166</v>
      </c>
      <c r="BK1" s="139" t="s">
        <v>167</v>
      </c>
      <c r="BL1" s="139" t="s">
        <v>168</v>
      </c>
      <c r="BM1" s="139" t="s">
        <v>169</v>
      </c>
      <c r="BN1" s="139" t="s">
        <v>170</v>
      </c>
      <c r="BO1" s="139" t="s">
        <v>171</v>
      </c>
      <c r="BP1" s="139" t="s">
        <v>172</v>
      </c>
      <c r="BQ1" s="139" t="s">
        <v>173</v>
      </c>
      <c r="BR1" s="139" t="s">
        <v>174</v>
      </c>
      <c r="BS1" s="139" t="s">
        <v>175</v>
      </c>
      <c r="BT1" s="139" t="s">
        <v>176</v>
      </c>
      <c r="BU1" s="139" t="s">
        <v>177</v>
      </c>
      <c r="BV1" s="139" t="s">
        <v>178</v>
      </c>
      <c r="BW1" s="139" t="s">
        <v>179</v>
      </c>
      <c r="BX1" s="139" t="s">
        <v>180</v>
      </c>
      <c r="BY1" s="139" t="s">
        <v>181</v>
      </c>
      <c r="BZ1" s="142" t="s">
        <v>182</v>
      </c>
      <c r="CA1" s="142" t="s">
        <v>183</v>
      </c>
      <c r="CB1" s="142" t="s">
        <v>184</v>
      </c>
      <c r="CC1" s="142" t="s">
        <v>185</v>
      </c>
      <c r="CD1" s="147" t="s">
        <v>202</v>
      </c>
      <c r="CE1" s="147" t="s">
        <v>203</v>
      </c>
      <c r="CF1" s="147" t="s">
        <v>204</v>
      </c>
      <c r="CG1" s="147" t="s">
        <v>205</v>
      </c>
      <c r="CH1" s="147" t="s">
        <v>206</v>
      </c>
      <c r="CI1" s="147" t="s">
        <v>207</v>
      </c>
      <c r="CJ1" s="147" t="s">
        <v>208</v>
      </c>
      <c r="CK1" s="147" t="s">
        <v>209</v>
      </c>
      <c r="CL1" s="147" t="s">
        <v>210</v>
      </c>
      <c r="CM1" s="147" t="s">
        <v>211</v>
      </c>
      <c r="CN1" s="147" t="s">
        <v>212</v>
      </c>
      <c r="CO1" s="147" t="s">
        <v>213</v>
      </c>
      <c r="CP1" s="147" t="s">
        <v>214</v>
      </c>
      <c r="CQ1" s="147" t="s">
        <v>215</v>
      </c>
      <c r="CR1" s="147" t="s">
        <v>216</v>
      </c>
      <c r="CS1" s="148" t="s">
        <v>202</v>
      </c>
      <c r="CT1" s="148" t="s">
        <v>203</v>
      </c>
      <c r="CU1" s="148" t="s">
        <v>204</v>
      </c>
      <c r="CV1" s="148" t="s">
        <v>205</v>
      </c>
      <c r="CW1" s="148" t="s">
        <v>206</v>
      </c>
      <c r="CX1" s="148" t="s">
        <v>207</v>
      </c>
      <c r="CY1" s="148" t="s">
        <v>208</v>
      </c>
      <c r="CZ1" s="148" t="s">
        <v>209</v>
      </c>
      <c r="DA1" s="148" t="s">
        <v>210</v>
      </c>
      <c r="DB1" s="148" t="s">
        <v>211</v>
      </c>
      <c r="DC1" s="148" t="s">
        <v>212</v>
      </c>
      <c r="DD1" s="148" t="s">
        <v>213</v>
      </c>
      <c r="DE1" s="148" t="s">
        <v>214</v>
      </c>
      <c r="DF1" s="148" t="s">
        <v>215</v>
      </c>
      <c r="DG1" s="148" t="s">
        <v>216</v>
      </c>
      <c r="DH1" s="139" t="s">
        <v>217</v>
      </c>
      <c r="DI1" s="139" t="s">
        <v>218</v>
      </c>
      <c r="DJ1" s="139" t="s">
        <v>219</v>
      </c>
      <c r="DK1" s="139" t="s">
        <v>220</v>
      </c>
      <c r="DL1" s="139" t="s">
        <v>221</v>
      </c>
      <c r="DM1" s="139" t="s">
        <v>222</v>
      </c>
      <c r="DN1" s="139" t="s">
        <v>223</v>
      </c>
      <c r="DO1" s="139" t="s">
        <v>224</v>
      </c>
      <c r="DP1" s="139" t="s">
        <v>225</v>
      </c>
      <c r="DQ1" s="139" t="s">
        <v>226</v>
      </c>
      <c r="DR1" s="139" t="s">
        <v>227</v>
      </c>
      <c r="DS1" s="139" t="s">
        <v>228</v>
      </c>
      <c r="DT1" s="139" t="s">
        <v>229</v>
      </c>
      <c r="DU1" s="139" t="s">
        <v>230</v>
      </c>
      <c r="DV1" s="139" t="s">
        <v>231</v>
      </c>
      <c r="DW1" s="142" t="s">
        <v>187</v>
      </c>
      <c r="DX1" s="142" t="s">
        <v>188</v>
      </c>
      <c r="DY1" s="142" t="s">
        <v>189</v>
      </c>
      <c r="DZ1" s="142" t="s">
        <v>190</v>
      </c>
      <c r="EA1" s="142" t="s">
        <v>191</v>
      </c>
      <c r="EB1" s="142" t="s">
        <v>192</v>
      </c>
      <c r="EC1" s="142" t="s">
        <v>193</v>
      </c>
      <c r="ED1" s="142" t="s">
        <v>194</v>
      </c>
      <c r="EE1" s="142" t="s">
        <v>195</v>
      </c>
      <c r="EF1" s="142" t="s">
        <v>196</v>
      </c>
      <c r="EG1" s="142" t="s">
        <v>197</v>
      </c>
      <c r="EH1" s="142" t="s">
        <v>198</v>
      </c>
      <c r="EI1" s="142" t="s">
        <v>199</v>
      </c>
      <c r="EJ1" s="142" t="s">
        <v>200</v>
      </c>
      <c r="EK1" s="142" t="s">
        <v>201</v>
      </c>
      <c r="EL1" s="139" t="s">
        <v>186</v>
      </c>
      <c r="EM1" s="142" t="s">
        <v>107</v>
      </c>
      <c r="EN1" s="146"/>
      <c r="EO1" s="103" t="s">
        <v>146</v>
      </c>
      <c r="EP1" s="135">
        <v>6.2750000000000002E-3</v>
      </c>
      <c r="EQ1" s="107">
        <v>15</v>
      </c>
      <c r="ER1" s="75"/>
      <c r="ES1" s="94" t="s">
        <v>109</v>
      </c>
      <c r="EU1" s="158" t="s">
        <v>108</v>
      </c>
      <c r="EV1" s="158"/>
      <c r="EX1"/>
      <c r="EY1"/>
      <c r="EZ1" s="1" t="s">
        <v>34</v>
      </c>
      <c r="FA1"/>
      <c r="FB1"/>
      <c r="FC1"/>
      <c r="FD1"/>
      <c r="FE1" s="1" t="s">
        <v>35</v>
      </c>
    </row>
    <row r="2" spans="1:161" x14ac:dyDescent="0.3">
      <c r="A2" t="s">
        <v>265</v>
      </c>
      <c r="B2">
        <v>50</v>
      </c>
      <c r="C2" s="97">
        <v>44134</v>
      </c>
      <c r="D2" t="s">
        <v>4</v>
      </c>
      <c r="E2">
        <v>941948</v>
      </c>
      <c r="F2" s="137">
        <v>447</v>
      </c>
      <c r="G2" s="137" t="str">
        <f>VLOOKUP(A2,Datos!F:G,2,0)</f>
        <v>CONSTITUCION</v>
      </c>
      <c r="H2" s="154">
        <f>VLOOKUP(G2,Datos!B:D,3,0)</f>
        <v>1759.7890044861028</v>
      </c>
      <c r="I2" s="98">
        <f>(ES$2-C2)/365</f>
        <v>1.7506849315068493</v>
      </c>
      <c r="J2" s="98">
        <f t="shared" ref="J2" si="0">IF(I2&lt;0.5,0.5,I2)</f>
        <v>1.7506849315068493</v>
      </c>
      <c r="K2">
        <f>IF(B2=32,38,IF(B2=75,80,B2))</f>
        <v>50</v>
      </c>
      <c r="L2" t="str">
        <f>VLOOKUP(D2,$EU$2:$EV$11,2,0)</f>
        <v>C</v>
      </c>
      <c r="M2" t="str">
        <f>IF(OR(D2="R400",D2="R800"),"Alta","Baja")</f>
        <v>Baja</v>
      </c>
      <c r="N2" s="30" t="str">
        <f>IF(AND(B2&gt;=38,M2="Baja"),_xlfn.CONCAT(L2,"-25"),IF(AND(B2&gt;=38,M2="Alta"),"Ultra",""))</f>
        <v>C-25</v>
      </c>
      <c r="O2" s="30" t="str">
        <f t="shared" ref="O2" si="1">IF(OR(N2="A-25",N2="B-25"),"AB-25",N2)</f>
        <v>C-25</v>
      </c>
      <c r="P2" s="108">
        <f>+IF($O2="AB-13/19",IF($J2+P$1&lt;=$EQ$1,IFERROR($EY$3*$EZ$3+$EY$4*$EZ$4+$EY$5*($EZ$5+'Parámetros Caudal Bajo'!$B$67*LN($J2+P$1)/100)+$EY$6*($EZ$6+'Parámetros Caudal Bajo'!$B$67*LN($J2+P$1)/100)+$EY$7*($EZ$7+'Parámetros Caudal Bajo'!$B$67*LN($J2+P$1)/100)+$EY$8*$EZ$8,""),IFERROR($EY$3*$EZ$3+$EY$4*$EZ$4+$EY$5*($EZ$5+'Parámetros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Bajo'!$B$67*LN($EQ$1)/100)+$EY$8*$EZ$8,""))*$EX$9+$EP$1*(1-$EX$9),IF(O2="AB-25",IF(J2+P$1&lt;=$EQ$1,IFERROR($EY$23*$EZ$23+$EY$24*$EZ$24+$EY$25*($EZ$25+'Parámetros Caudal Bajo'!$B$53*LN(J2+P$1)/100)+$EY$26*($EZ$26+'Parámetros Caudal Bajo'!$B$53*LN(J2+P$1)/100)+$EY$27*($EZ$27+'Parámetros Caudal Bajo'!$B$53*LN(J2+P$1)/100)+$EY$28*$EZ$28,""),IFERROR($EY$23*$EZ$23+$EY$24*$EZ$24+$EY$25*($EZ$25+'Parámetros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Bajo'!$B$53*LN($EQ$1)/100)+$EY$28*$EZ$28,""))*$EX$29+$EP$1*(1-$EX$29),IF(O2="C-13",IF(J2+P$1&lt;=$EQ$1,IFERROR($FD$3*$FE$3+$FD$4*$FE$4+$FD$5*($FE$5+'Parámetros Caudal Bajo'!$Q$67*LN(J2+P$1)/100)+$FD$6*($FE$6+'Parámetros Caudal Bajo'!$Q$67*LN(J2+P$1)/100)+$FD$7*($FE$7+'Parámetros Caudal Bajo'!$Q$67*LN(J2+P$1)/100)+$FD$8*$FE$8,""),IFERROR($FD$3*$FE$3+$FD$4*$FE$4+$FD$5*($FE$5+'Parámetros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Bajo'!$Q$67*LN($EQ$1)/100)+$FD$8*$FE$8,""))*$FC$9+$EP$1*(1-$FC$9),IF(O2="C-19",IF(J2+P$1&lt;=$EQ$1,IFERROR($FD$13*$FE$13+$FD$14*$FE$14+$FD$15*($FE$15+'Parámetros Caudal Bajo'!$Q$53*LN(J2+P$1)/100)+$FD$16*($FE$16+'Parámetros Caudal Bajo'!$Q$53*LN(J2+P$1)/100)+$FD$17*($FE$17+'Parámetros Caudal Bajo'!$Q$53*LN(J2+P$1)/100)+$FD$18*$FE$18,""),IFERROR($FD$13*$FE$13+$FD$14*$FE$14+$FD$15*($FE$15+'Parámetros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Bajo'!$Q$53*LN($EQ$1)/100)+$FD$18*$FE$18,""))*$FC$19+$EP$1*(1-$FC$19),IF(O2="C-25",IF(J2+P$1&lt;=$EQ$1,IFERROR($EY$23*$FA$23+$EY$24*$FA$24+$EY$25*$FA$25+$EY$26*($FA$26+'Parámetros Caudal Bajo'!$B$86*LN(J2+P$1)/100)+$EY$27*($FA$27+'Parámetros Caudal Bajo'!$B$86*LN(J2+P$1)/100)+$EY$28*$FA$28,""),IFERROR($EY$23*$FA$23+$EY$24*$FA$24+$EY$25*$FA$25+$EY$26*($FA$26+'Parámetros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-4.3968587954330257E-2</v>
      </c>
      <c r="Q2" s="138">
        <f t="shared" ref="Q2" si="2">IFERROR(-$F2*P2/(1+P2),"")</f>
        <v>20.557858840151532</v>
      </c>
      <c r="R2" s="133">
        <f t="shared" ref="R2:AE2" si="3">IFERROR(-($Q2+$F2)*AF2,"")</f>
        <v>22.83367043645525</v>
      </c>
      <c r="S2" s="133">
        <f t="shared" si="3"/>
        <v>24.395503422422195</v>
      </c>
      <c r="T2" s="133">
        <f t="shared" si="3"/>
        <v>25.585936847197701</v>
      </c>
      <c r="U2" s="133">
        <f t="shared" si="3"/>
        <v>26.548104696010334</v>
      </c>
      <c r="V2" s="133">
        <f t="shared" si="3"/>
        <v>27.355618876012457</v>
      </c>
      <c r="W2" s="133">
        <f t="shared" si="3"/>
        <v>28.051379250828518</v>
      </c>
      <c r="X2" s="133">
        <f t="shared" si="3"/>
        <v>28.662590568214537</v>
      </c>
      <c r="Y2" s="133">
        <f t="shared" si="3"/>
        <v>29.20759302438077</v>
      </c>
      <c r="Z2" s="133">
        <f t="shared" si="3"/>
        <v>29.699338976031552</v>
      </c>
      <c r="AA2" s="133">
        <f t="shared" si="3"/>
        <v>30.147316369312183</v>
      </c>
      <c r="AB2" s="133">
        <f t="shared" si="3"/>
        <v>30.558683745349327</v>
      </c>
      <c r="AC2" s="133">
        <f t="shared" si="3"/>
        <v>30.938975420269621</v>
      </c>
      <c r="AD2" s="133">
        <f t="shared" si="3"/>
        <v>31.29255849020937</v>
      </c>
      <c r="AE2" s="133">
        <f t="shared" si="3"/>
        <v>31.376977570651334</v>
      </c>
      <c r="AF2" s="132">
        <f>+IF($O2="AB-13/19",IF($J2+AF$1&lt;=$EQ$1,IFERROR($EY$3*$EZ$3+$EY$4*$EZ$4+$EY$5*($EZ$5+'Parámetros Caudal Bajo'!$B$67*LN($J2+AF$1)/100)+$EY$6*($EZ$6+'Parámetros Caudal Bajo'!$B$67*LN($J2+AF$1)/100)+$EY$7*($EZ$7+'Parámetros Caudal Bajo'!$B$67*LN($J2+AF$1)/100)+$EY$8*$EZ$8,""),IFERROR($EY$3*$EZ$3+$EY$4*$EZ$4+$EY$5*($EZ$5+'Parámetros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Bajo'!$B$67*LN($EQ$1)/100)+$EY$8*$EZ$8,""))*$EX$9+$EP$1*(1-$EX$9),IF(O2="AB-25",IF(J2+AF$1&lt;=$EQ$1,IFERROR($EY$23*$EZ$23+$EY$24*$EZ$24+$EY$25*($EZ$25+'Parámetros Caudal Bajo'!$B$53*LN(J2+AF$1)/100)+$EY$26*($EZ$26+'Parámetros Caudal Bajo'!$B$53*LN(J2+AF$1)/100)+$EY$27*($EZ$27+'Parámetros Caudal Bajo'!$B$53*LN(J2+AF$1)/100)+$EY$28*$EZ$28,""),IFERROR($EY$23*$EZ$23+$EY$24*$EZ$24+$EY$25*($EZ$25+'Parámetros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Bajo'!$B$53*LN($EQ$1)/100)+$EY$28*$EZ$28,""))*$EX$29+$EP$1*(1-$EX$29),IF(O2="C-13",IF(J2+AF$1&lt;=$EQ$1,IFERROR($FD$3*$FE$3+$FD$4*$FE$4+$FD$5*($FE$5+'Parámetros Caudal Bajo'!$Q$67*LN(J2+AF$1)/100)+$FD$6*($FE$6+'Parámetros Caudal Bajo'!$Q$67*LN(J2+AF$1)/100)+$FD$7*($FE$7+'Parámetros Caudal Bajo'!$Q$67*LN(J2+AF$1)/100)+$FD$8*$FE$8,""),IFERROR($FD$3*$FE$3+$FD$4*$FE$4+$FD$5*($FE$5+'Parámetros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Bajo'!$Q$67*LN($EQ$1)/100)+$FD$8*$FE$8,""))*$FC$9+$EP$1*(1-$FC$9),IF(O2="C-19",IF(J2+AF$1&lt;=$EQ$1,IFERROR($FD$13*$FE$13+$FD$14*$FE$14+$FD$15*($FE$15+'Parámetros Caudal Bajo'!$Q$53*LN(J2+AF$1)/100)+$FD$16*($FE$16+'Parámetros Caudal Bajo'!$Q$53*LN(J2+AF$1)/100)+$FD$17*($FE$17+'Parámetros Caudal Bajo'!$Q$53*LN(J2+AF$1)/100)+$FD$18*$FE$18,""),IFERROR($FD$13*$FE$13+$FD$14*$FE$14+$FD$15*($FE$15+'Parámetros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Bajo'!$Q$53*LN($EQ$1)/100)+$FD$18*$FE$18,""))*$FC$19+$EP$1*(1-$FC$19),IF(O2="C-25",IF(J2+AF$1&lt;=$EQ$1,IFERROR($EY$23*$FA$23+$EY$24*$FA$24+$EY$25*$FA$25+$EY$26*($FA$26+'Parámetros Caudal Bajo'!$B$86*LN(J2+AF$1)/100)+$EY$27*($FA$27+'Parámetros Caudal Bajo'!$B$86*LN(J2+AF$1)/100)+$EY$28*$FA$28,""),IFERROR($EY$23*$FA$23+$EY$24*$FA$24+$EY$25*$FA$25+$EY$26*($FA$26+'Parámetros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-4.883603174395923E-2</v>
      </c>
      <c r="AG2" s="132">
        <f>+IF($O2="AB-13/19",IF($J2+AG$1&lt;=$EQ$1,IFERROR($EY$3*$EZ$3+$EY$4*$EZ$4+$EY$5*($EZ$5+'Parámetros Caudal Bajo'!$B$67*LN($J2+AG$1)/100)+$EY$6*($EZ$6+'Parámetros Caudal Bajo'!$B$67*LN($J2+AG$1)/100)+$EY$7*($EZ$7+'Parámetros Caudal Bajo'!$B$67*LN($J2+AG$1)/100)+$EY$8*$EZ$8,""),IFERROR($EY$3*$EZ$3+$EY$4*$EZ$4+$EY$5*($EZ$5+'Parámetros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Bajo'!$B$67*LN($EQ$1)/100)+$EY$8*$EZ$8,""))*$EX$9+$EP$1*(1-$EX$9),IF(O2="AB-25",IF(J2+AG$1&lt;=$EQ$1,IFERROR($EY$23*$EZ$23+$EY$24*$EZ$24+$EY$25*($EZ$25+'Parámetros Caudal Bajo'!$B$53*LN(J2+AG$1)/100)+$EY$26*($EZ$26+'Parámetros Caudal Bajo'!$B$53*LN(J2+AG$1)/100)+$EY$27*($EZ$27+'Parámetros Caudal Bajo'!$B$53*LN(J2+AG$1)/100)+$EY$28*$EZ$28,""),IFERROR($EY$23*$EZ$23+$EY$24*$EZ$24+$EY$25*($EZ$25+'Parámetros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Bajo'!$B$53*LN($EQ$1)/100)+$EY$28*$EZ$28,""))*$EX$29+$EP$1*(1-$EX$29),IF(O2="C-13",IF(J2+AG$1&lt;=$EQ$1,IFERROR($FD$3*$FE$3+$FD$4*$FE$4+$FD$5*($FE$5+'Parámetros Caudal Bajo'!$Q$67*LN(J2+AG$1)/100)+$FD$6*($FE$6+'Parámetros Caudal Bajo'!$Q$67*LN(J2+AG$1)/100)+$FD$7*($FE$7+'Parámetros Caudal Bajo'!$Q$67*LN(J2+AG$1)/100)+$FD$8*$FE$8,""),IFERROR($FD$3*$FE$3+$FD$4*$FE$4+$FD$5*($FE$5+'Parámetros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Bajo'!$Q$67*LN($EQ$1)/100)+$FD$8*$FE$8,""))*$FC$9+$EP$1*(1-$FC$9),IF(O2="C-19",IF(J2+AG$1&lt;=$EQ$1,IFERROR($FD$13*$FE$13+$FD$14*$FE$14+$FD$15*($FE$15+'Parámetros Caudal Bajo'!$Q$53*LN(J2+AG$1)/100)+$FD$16*($FE$16+'Parámetros Caudal Bajo'!$Q$53*LN(J2+AG$1)/100)+$FD$17*($FE$17+'Parámetros Caudal Bajo'!$Q$53*LN(J2+AG$1)/100)+$FD$18*$FE$18,""),IFERROR($FD$13*$FE$13+$FD$14*$FE$14+$FD$15*($FE$15+'Parámetros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Bajo'!$Q$53*LN($EQ$1)/100)+$FD$18*$FE$18,""))*$FC$19+$EP$1*(1-$FC$19),IF(O2="C-25",IF(J2+AG$1&lt;=$EQ$1,IFERROR($EY$23*$FA$23+$EY$24*$FA$24+$EY$25*$FA$25+$EY$26*($FA$26+'Parámetros Caudal Bajo'!$B$86*LN(J2+AG$1)/100)+$EY$27*($FA$27+'Parámetros Caudal Bajo'!$B$86*LN(J2+AG$1)/100)+$EY$28*$FA$28,""),IFERROR($EY$23*$FA$23+$EY$24*$FA$24+$EY$25*$FA$25+$EY$26*($FA$26+'Parámetros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-5.217643754922429E-2</v>
      </c>
      <c r="AH2" s="132">
        <f>+IF($O2="AB-13/19",IF($J2+AH$1&lt;=$EQ$1,IFERROR($EY$3*$EZ$3+$EY$4*$EZ$4+$EY$5*($EZ$5+'Parámetros Caudal Bajo'!$B$67*LN($J2+AH$1)/100)+$EY$6*($EZ$6+'Parámetros Caudal Bajo'!$B$67*LN($J2+AH$1)/100)+$EY$7*($EZ$7+'Parámetros Caudal Bajo'!$B$67*LN($J2+AH$1)/100)+$EY$8*$EZ$8,""),IFERROR($EY$3*$EZ$3+$EY$4*$EZ$4+$EY$5*($EZ$5+'Parámetros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Bajo'!$B$67*LN($EQ$1)/100)+$EY$8*$EZ$8,""))*$EX$9+$EP$1*(1-$EX$9),IF(O2="AB-25",IF(J2+AH$1&lt;=$EQ$1,IFERROR($EY$23*$EZ$23+$EY$24*$EZ$24+$EY$25*($EZ$25+'Parámetros Caudal Bajo'!$B$53*LN(J2+AH$1)/100)+$EY$26*($EZ$26+'Parámetros Caudal Bajo'!$B$53*LN(J2+AH$1)/100)+$EY$27*($EZ$27+'Parámetros Caudal Bajo'!$B$53*LN(J2+AH$1)/100)+$EY$28*$EZ$28,""),IFERROR($EY$23*$EZ$23+$EY$24*$EZ$24+$EY$25*($EZ$25+'Parámetros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Bajo'!$B$53*LN($EQ$1)/100)+$EY$28*$EZ$28,""))*$EX$29+$EP$1*(1-$EX$29),IF(O2="C-13",IF(J2+AH$1&lt;=$EQ$1,IFERROR($FD$3*$FE$3+$FD$4*$FE$4+$FD$5*($FE$5+'Parámetros Caudal Bajo'!$Q$67*LN(J2+AH$1)/100)+$FD$6*($FE$6+'Parámetros Caudal Bajo'!$Q$67*LN(J2+AH$1)/100)+$FD$7*($FE$7+'Parámetros Caudal Bajo'!$Q$67*LN(J2+AH$1)/100)+$FD$8*$FE$8,""),IFERROR($FD$3*$FE$3+$FD$4*$FE$4+$FD$5*($FE$5+'Parámetros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Bajo'!$Q$67*LN($EQ$1)/100)+$FD$8*$FE$8,""))*$FC$9+$EP$1*(1-$FC$9),IF(O2="C-19",IF(J2+AH$1&lt;=$EQ$1,IFERROR($FD$13*$FE$13+$FD$14*$FE$14+$FD$15*($FE$15+'Parámetros Caudal Bajo'!$Q$53*LN(J2+AH$1)/100)+$FD$16*($FE$16+'Parámetros Caudal Bajo'!$Q$53*LN(J2+AH$1)/100)+$FD$17*($FE$17+'Parámetros Caudal Bajo'!$Q$53*LN(J2+AH$1)/100)+$FD$18*$FE$18,""),IFERROR($FD$13*$FE$13+$FD$14*$FE$14+$FD$15*($FE$15+'Parámetros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Bajo'!$Q$53*LN($EQ$1)/100)+$FD$18*$FE$18,""))*$FC$19+$EP$1*(1-$FC$19),IF(O2="C-25",IF(J2+AH$1&lt;=$EQ$1,IFERROR($EY$23*$FA$23+$EY$24*$FA$24+$EY$25*$FA$25+$EY$26*($FA$26+'Parámetros Caudal Bajo'!$B$86*LN(J2+AH$1)/100)+$EY$27*($FA$27+'Parámetros Caudal Bajo'!$B$86*LN(J2+AH$1)/100)+$EY$28*$FA$28,""),IFERROR($EY$23*$FA$23+$EY$24*$FA$24+$EY$25*$FA$25+$EY$26*($FA$26+'Parámetros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-5.4722504099637019E-2</v>
      </c>
      <c r="AI2" s="132">
        <f>+IF($O2="AB-13/19",IF($J2+AI$1&lt;=$EQ$1,IFERROR($EY$3*$EZ$3+$EY$4*$EZ$4+$EY$5*($EZ$5+'Parámetros Caudal Bajo'!$B$67*LN($J2+AI$1)/100)+$EY$6*($EZ$6+'Parámetros Caudal Bajo'!$B$67*LN($J2+AI$1)/100)+$EY$7*($EZ$7+'Parámetros Caudal Bajo'!$B$67*LN($J2+AI$1)/100)+$EY$8*$EZ$8,""),IFERROR($EY$3*$EZ$3+$EY$4*$EZ$4+$EY$5*($EZ$5+'Parámetros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Bajo'!$B$67*LN($EQ$1)/100)+$EY$8*$EZ$8,""))*$EX$9+$EP$1*(1-$EX$9),IF(O2="AB-25",IF(J2+AI$1&lt;=$EQ$1,IFERROR($EY$23*$EZ$23+$EY$24*$EZ$24+$EY$25*($EZ$25+'Parámetros Caudal Bajo'!$B$53*LN(J2+AI$1)/100)+$EY$26*($EZ$26+'Parámetros Caudal Bajo'!$B$53*LN(J2+AI$1)/100)+$EY$27*($EZ$27+'Parámetros Caudal Bajo'!$B$53*LN(J2+AI$1)/100)+$EY$28*$EZ$28,""),IFERROR($EY$23*$EZ$23+$EY$24*$EZ$24+$EY$25*($EZ$25+'Parámetros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Bajo'!$B$53*LN($EQ$1)/100)+$EY$28*$EZ$28,""))*$EX$29+$EP$1*(1-$EX$29),IF(O2="C-13",IF(J2+AI$1&lt;=$EQ$1,IFERROR($FD$3*$FE$3+$FD$4*$FE$4+$FD$5*($FE$5+'Parámetros Caudal Bajo'!$Q$67*LN(J2+AI$1)/100)+$FD$6*($FE$6+'Parámetros Caudal Bajo'!$Q$67*LN(J2+AI$1)/100)+$FD$7*($FE$7+'Parámetros Caudal Bajo'!$Q$67*LN(J2+AI$1)/100)+$FD$8*$FE$8,""),IFERROR($FD$3*$FE$3+$FD$4*$FE$4+$FD$5*($FE$5+'Parámetros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Bajo'!$Q$67*LN($EQ$1)/100)+$FD$8*$FE$8,""))*$FC$9+$EP$1*(1-$FC$9),IF(O2="C-19",IF(J2+AI$1&lt;=$EQ$1,IFERROR($FD$13*$FE$13+$FD$14*$FE$14+$FD$15*($FE$15+'Parámetros Caudal Bajo'!$Q$53*LN(J2+AI$1)/100)+$FD$16*($FE$16+'Parámetros Caudal Bajo'!$Q$53*LN(J2+AI$1)/100)+$FD$17*($FE$17+'Parámetros Caudal Bajo'!$Q$53*LN(J2+AI$1)/100)+$FD$18*$FE$18,""),IFERROR($FD$13*$FE$13+$FD$14*$FE$14+$FD$15*($FE$15+'Parámetros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Bajo'!$Q$53*LN($EQ$1)/100)+$FD$18*$FE$18,""))*$FC$19+$EP$1*(1-$FC$19),IF(O2="C-25",IF(J2+AI$1&lt;=$EQ$1,IFERROR($EY$23*$FA$23+$EY$24*$FA$24+$EY$25*$FA$25+$EY$26*($FA$26+'Parámetros Caudal Bajo'!$B$86*LN(J2+AI$1)/100)+$EY$27*($FA$27+'Parámetros Caudal Bajo'!$B$86*LN(J2+AI$1)/100)+$EY$28*$FA$28,""),IFERROR($EY$23*$FA$23+$EY$24*$FA$24+$EY$25*$FA$25+$EY$26*($FA$26+'Parámetros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-5.6780362460096274E-2</v>
      </c>
      <c r="AJ2" s="132">
        <f>+IF($O2="AB-13/19",IF($J2+AJ$1&lt;=$EQ$1,IFERROR($EY$3*$EZ$3+$EY$4*$EZ$4+$EY$5*($EZ$5+'Parámetros Caudal Bajo'!$B$67*LN($J2+AJ$1)/100)+$EY$6*($EZ$6+'Parámetros Caudal Bajo'!$B$67*LN($J2+AJ$1)/100)+$EY$7*($EZ$7+'Parámetros Caudal Bajo'!$B$67*LN($J2+AJ$1)/100)+$EY$8*$EZ$8,""),IFERROR($EY$3*$EZ$3+$EY$4*$EZ$4+$EY$5*($EZ$5+'Parámetros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Bajo'!$B$67*LN($EQ$1)/100)+$EY$8*$EZ$8,""))*$EX$9+$EP$1*(1-$EX$9),IF(O2="AB-25",IF(J2+AJ$1&lt;=$EQ$1,IFERROR($EY$23*$EZ$23+$EY$24*$EZ$24+$EY$25*($EZ$25+'Parámetros Caudal Bajo'!$B$53*LN(J2+AJ$1)/100)+$EY$26*($EZ$26+'Parámetros Caudal Bajo'!$B$53*LN(J2+AJ$1)/100)+$EY$27*($EZ$27+'Parámetros Caudal Bajo'!$B$53*LN(J2+AJ$1)/100)+$EY$28*$EZ$28,""),IFERROR($EY$23*$EZ$23+$EY$24*$EZ$24+$EY$25*($EZ$25+'Parámetros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Bajo'!$B$53*LN($EQ$1)/100)+$EY$28*$EZ$28,""))*$EX$29+$EP$1*(1-$EX$29),IF(O2="C-13",IF(J2+AJ$1&lt;=$EQ$1,IFERROR($FD$3*$FE$3+$FD$4*$FE$4+$FD$5*($FE$5+'Parámetros Caudal Bajo'!$Q$67*LN(J2+AJ$1)/100)+$FD$6*($FE$6+'Parámetros Caudal Bajo'!$Q$67*LN(J2+AJ$1)/100)+$FD$7*($FE$7+'Parámetros Caudal Bajo'!$Q$67*LN(J2+AJ$1)/100)+$FD$8*$FE$8,""),IFERROR($FD$3*$FE$3+$FD$4*$FE$4+$FD$5*($FE$5+'Parámetros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Bajo'!$Q$67*LN($EQ$1)/100)+$FD$8*$FE$8,""))*$FC$9+$EP$1*(1-$FC$9),IF(O2="C-19",IF(J2+AJ$1&lt;=$EQ$1,IFERROR($FD$13*$FE$13+$FD$14*$FE$14+$FD$15*($FE$15+'Parámetros Caudal Bajo'!$Q$53*LN(J2+AJ$1)/100)+$FD$16*($FE$16+'Parámetros Caudal Bajo'!$Q$53*LN(J2+AJ$1)/100)+$FD$17*($FE$17+'Parámetros Caudal Bajo'!$Q$53*LN(J2+AJ$1)/100)+$FD$18*$FE$18,""),IFERROR($FD$13*$FE$13+$FD$14*$FE$14+$FD$15*($FE$15+'Parámetros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Bajo'!$Q$53*LN($EQ$1)/100)+$FD$18*$FE$18,""))*$FC$19+$EP$1*(1-$FC$19),IF(O2="C-25",IF(J2+AJ$1&lt;=$EQ$1,IFERROR($EY$23*$FA$23+$EY$24*$FA$24+$EY$25*$FA$25+$EY$26*($FA$26+'Parámetros Caudal Bajo'!$B$86*LN(J2+AJ$1)/100)+$EY$27*($FA$27+'Parámetros Caudal Bajo'!$B$86*LN(J2+AJ$1)/100)+$EY$28*$FA$28,""),IFERROR($EY$23*$FA$23+$EY$24*$FA$24+$EY$25*$FA$25+$EY$26*($FA$26+'Parámetros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-5.8507451770508652E-2</v>
      </c>
      <c r="AK2" s="132">
        <f>+IF($O2="AB-13/19",IF($J2+AK$1&lt;=$EQ$1,IFERROR($EY$3*$EZ$3+$EY$4*$EZ$4+$EY$5*($EZ$5+'Parámetros Caudal Bajo'!$B$67*LN($J2+AK$1)/100)+$EY$6*($EZ$6+'Parámetros Caudal Bajo'!$B$67*LN($J2+AK$1)/100)+$EY$7*($EZ$7+'Parámetros Caudal Bajo'!$B$67*LN($J2+AK$1)/100)+$EY$8*$EZ$8,""),IFERROR($EY$3*$EZ$3+$EY$4*$EZ$4+$EY$5*($EZ$5+'Parámetros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Bajo'!$B$67*LN($EQ$1)/100)+$EY$8*$EZ$8,""))*$EX$9+$EP$1*(1-$EX$9),IF(O2="AB-25",IF(J2+AK$1&lt;=$EQ$1,IFERROR($EY$23*$EZ$23+$EY$24*$EZ$24+$EY$25*($EZ$25+'Parámetros Caudal Bajo'!$B$53*LN(J2+AK$1)/100)+$EY$26*($EZ$26+'Parámetros Caudal Bajo'!$B$53*LN(J2+AK$1)/100)+$EY$27*($EZ$27+'Parámetros Caudal Bajo'!$B$53*LN(J2+AK$1)/100)+$EY$28*$EZ$28,""),IFERROR($EY$23*$EZ$23+$EY$24*$EZ$24+$EY$25*($EZ$25+'Parámetros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Bajo'!$B$53*LN($EQ$1)/100)+$EY$28*$EZ$28,""))*$EX$29+$EP$1*(1-$EX$29),IF(O2="C-13",IF(J2+AK$1&lt;=$EQ$1,IFERROR($FD$3*$FE$3+$FD$4*$FE$4+$FD$5*($FE$5+'Parámetros Caudal Bajo'!$Q$67*LN(J2+AK$1)/100)+$FD$6*($FE$6+'Parámetros Caudal Bajo'!$Q$67*LN(J2+AK$1)/100)+$FD$7*($FE$7+'Parámetros Caudal Bajo'!$Q$67*LN(J2+AK$1)/100)+$FD$8*$FE$8,""),IFERROR($FD$3*$FE$3+$FD$4*$FE$4+$FD$5*($FE$5+'Parámetros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Bajo'!$Q$67*LN($EQ$1)/100)+$FD$8*$FE$8,""))*$FC$9+$EP$1*(1-$FC$9),IF(O2="C-19",IF(J2+AK$1&lt;=$EQ$1,IFERROR($FD$13*$FE$13+$FD$14*$FE$14+$FD$15*($FE$15+'Parámetros Caudal Bajo'!$Q$53*LN(J2+AK$1)/100)+$FD$16*($FE$16+'Parámetros Caudal Bajo'!$Q$53*LN(J2+AK$1)/100)+$FD$17*($FE$17+'Parámetros Caudal Bajo'!$Q$53*LN(J2+AK$1)/100)+$FD$18*$FE$18,""),IFERROR($FD$13*$FE$13+$FD$14*$FE$14+$FD$15*($FE$15+'Parámetros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Bajo'!$Q$53*LN($EQ$1)/100)+$FD$18*$FE$18,""))*$FC$19+$EP$1*(1-$FC$19),IF(O2="C-25",IF(J2+AK$1&lt;=$EQ$1,IFERROR($EY$23*$FA$23+$EY$24*$FA$24+$EY$25*$FA$25+$EY$26*($FA$26+'Parámetros Caudal Bajo'!$B$86*LN(J2+AK$1)/100)+$EY$27*($FA$27+'Parámetros Caudal Bajo'!$B$86*LN(J2+AK$1)/100)+$EY$28*$FA$28,""),IFERROR($EY$23*$FA$23+$EY$24*$FA$24+$EY$25*$FA$25+$EY$26*($FA$26+'Parámetros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-5.9995525089481409E-2</v>
      </c>
      <c r="AL2" s="132">
        <f>+IF($O2="AB-13/19",IF($J2+AL$1&lt;=$EQ$1,IFERROR($EY$3*$EZ$3+$EY$4*$EZ$4+$EY$5*($EZ$5+'Parámetros Caudal Bajo'!$B$67*LN($J2+AL$1)/100)+$EY$6*($EZ$6+'Parámetros Caudal Bajo'!$B$67*LN($J2+AL$1)/100)+$EY$7*($EZ$7+'Parámetros Caudal Bajo'!$B$67*LN($J2+AL$1)/100)+$EY$8*$EZ$8,""),IFERROR($EY$3*$EZ$3+$EY$4*$EZ$4+$EY$5*($EZ$5+'Parámetros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Bajo'!$B$67*LN($EQ$1)/100)+$EY$8*$EZ$8,""))*$EX$9+$EP$1*(1-$EX$9),IF(O2="AB-25",IF(J2+AL$1&lt;=$EQ$1,IFERROR($EY$23*$EZ$23+$EY$24*$EZ$24+$EY$25*($EZ$25+'Parámetros Caudal Bajo'!$B$53*LN(J2+AL$1)/100)+$EY$26*($EZ$26+'Parámetros Caudal Bajo'!$B$53*LN(J2+AL$1)/100)+$EY$27*($EZ$27+'Parámetros Caudal Bajo'!$B$53*LN(J2+AL$1)/100)+$EY$28*$EZ$28,""),IFERROR($EY$23*$EZ$23+$EY$24*$EZ$24+$EY$25*($EZ$25+'Parámetros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Bajo'!$B$53*LN($EQ$1)/100)+$EY$28*$EZ$28,""))*$EX$29+$EP$1*(1-$EX$29),IF(O2="C-13",IF(J2+AL$1&lt;=$EQ$1,IFERROR($FD$3*$FE$3+$FD$4*$FE$4+$FD$5*($FE$5+'Parámetros Caudal Bajo'!$Q$67*LN(J2+AL$1)/100)+$FD$6*($FE$6+'Parámetros Caudal Bajo'!$Q$67*LN(J2+AL$1)/100)+$FD$7*($FE$7+'Parámetros Caudal Bajo'!$Q$67*LN(J2+AL$1)/100)+$FD$8*$FE$8,""),IFERROR($FD$3*$FE$3+$FD$4*$FE$4+$FD$5*($FE$5+'Parámetros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Bajo'!$Q$67*LN($EQ$1)/100)+$FD$8*$FE$8,""))*$FC$9+$EP$1*(1-$FC$9),IF(O2="C-19",IF(J2+AL$1&lt;=$EQ$1,IFERROR($FD$13*$FE$13+$FD$14*$FE$14+$FD$15*($FE$15+'Parámetros Caudal Bajo'!$Q$53*LN(J2+AL$1)/100)+$FD$16*($FE$16+'Parámetros Caudal Bajo'!$Q$53*LN(J2+AL$1)/100)+$FD$17*($FE$17+'Parámetros Caudal Bajo'!$Q$53*LN(J2+AL$1)/100)+$FD$18*$FE$18,""),IFERROR($FD$13*$FE$13+$FD$14*$FE$14+$FD$15*($FE$15+'Parámetros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Bajo'!$Q$53*LN($EQ$1)/100)+$FD$18*$FE$18,""))*$FC$19+$EP$1*(1-$FC$19),IF(O2="C-25",IF(J2+AL$1&lt;=$EQ$1,IFERROR($EY$23*$FA$23+$EY$24*$FA$24+$EY$25*$FA$25+$EY$26*($FA$26+'Parámetros Caudal Bajo'!$B$86*LN(J2+AL$1)/100)+$EY$27*($FA$27+'Parámetros Caudal Bajo'!$B$86*LN(J2+AL$1)/100)+$EY$28*$FA$28,""),IFERROR($EY$23*$FA$23+$EY$24*$FA$24+$EY$25*$FA$25+$EY$26*($FA$26+'Parámetros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-6.1302767189747288E-2</v>
      </c>
      <c r="AM2" s="132">
        <f>+IF($O2="AB-13/19",IF($J2+AM$1&lt;=$EQ$1,IFERROR($EY$3*$EZ$3+$EY$4*$EZ$4+$EY$5*($EZ$5+'Parámetros Caudal Bajo'!$B$67*LN($J2+AM$1)/100)+$EY$6*($EZ$6+'Parámetros Caudal Bajo'!$B$67*LN($J2+AM$1)/100)+$EY$7*($EZ$7+'Parámetros Caudal Bajo'!$B$67*LN($J2+AM$1)/100)+$EY$8*$EZ$8,""),IFERROR($EY$3*$EZ$3+$EY$4*$EZ$4+$EY$5*($EZ$5+'Parámetros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Bajo'!$B$67*LN($EQ$1)/100)+$EY$8*$EZ$8,""))*$EX$9+$EP$1*(1-$EX$9),IF(O2="AB-25",IF(J2+AM$1&lt;=$EQ$1,IFERROR($EY$23*$EZ$23+$EY$24*$EZ$24+$EY$25*($EZ$25+'Parámetros Caudal Bajo'!$B$53*LN(J2+AM$1)/100)+$EY$26*($EZ$26+'Parámetros Caudal Bajo'!$B$53*LN(J2+AM$1)/100)+$EY$27*($EZ$27+'Parámetros Caudal Bajo'!$B$53*LN(J2+AM$1)/100)+$EY$28*$EZ$28,""),IFERROR($EY$23*$EZ$23+$EY$24*$EZ$24+$EY$25*($EZ$25+'Parámetros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Bajo'!$B$53*LN($EQ$1)/100)+$EY$28*$EZ$28,""))*$EX$29+$EP$1*(1-$EX$29),IF(O2="C-13",IF(J2+AM$1&lt;=$EQ$1,IFERROR($FD$3*$FE$3+$FD$4*$FE$4+$FD$5*($FE$5+'Parámetros Caudal Bajo'!$Q$67*LN(J2+AM$1)/100)+$FD$6*($FE$6+'Parámetros Caudal Bajo'!$Q$67*LN(J2+AM$1)/100)+$FD$7*($FE$7+'Parámetros Caudal Bajo'!$Q$67*LN(J2+AM$1)/100)+$FD$8*$FE$8,""),IFERROR($FD$3*$FE$3+$FD$4*$FE$4+$FD$5*($FE$5+'Parámetros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Bajo'!$Q$67*LN($EQ$1)/100)+$FD$8*$FE$8,""))*$FC$9+$EP$1*(1-$FC$9),IF(O2="C-19",IF(J2+AM$1&lt;=$EQ$1,IFERROR($FD$13*$FE$13+$FD$14*$FE$14+$FD$15*($FE$15+'Parámetros Caudal Bajo'!$Q$53*LN(J2+AM$1)/100)+$FD$16*($FE$16+'Parámetros Caudal Bajo'!$Q$53*LN(J2+AM$1)/100)+$FD$17*($FE$17+'Parámetros Caudal Bajo'!$Q$53*LN(J2+AM$1)/100)+$FD$18*$FE$18,""),IFERROR($FD$13*$FE$13+$FD$14*$FE$14+$FD$15*($FE$15+'Parámetros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Bajo'!$Q$53*LN($EQ$1)/100)+$FD$18*$FE$18,""))*$FC$19+$EP$1*(1-$FC$19),IF(O2="C-25",IF(J2+AM$1&lt;=$EQ$1,IFERROR($EY$23*$FA$23+$EY$24*$FA$24+$EY$25*$FA$25+$EY$26*($FA$26+'Parámetros Caudal Bajo'!$B$86*LN(J2+AM$1)/100)+$EY$27*($FA$27+'Parámetros Caudal Bajo'!$B$86*LN(J2+AM$1)/100)+$EY$28*$FA$28,""),IFERROR($EY$23*$FA$23+$EY$24*$FA$24+$EY$25*$FA$25+$EY$26*($FA$26+'Parámetros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-6.2468403582894856E-2</v>
      </c>
      <c r="AN2" s="132">
        <f>+IF($O2="AB-13/19",IF($J2+AN$1&lt;=$EQ$1,IFERROR($EY$3*$EZ$3+$EY$4*$EZ$4+$EY$5*($EZ$5+'Parámetros Caudal Bajo'!$B$67*LN($J2+AN$1)/100)+$EY$6*($EZ$6+'Parámetros Caudal Bajo'!$B$67*LN($J2+AN$1)/100)+$EY$7*($EZ$7+'Parámetros Caudal Bajo'!$B$67*LN($J2+AN$1)/100)+$EY$8*$EZ$8,""),IFERROR($EY$3*$EZ$3+$EY$4*$EZ$4+$EY$5*($EZ$5+'Parámetros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Bajo'!$B$67*LN($EQ$1)/100)+$EY$8*$EZ$8,""))*$EX$9+$EP$1*(1-$EX$9),IF(O2="AB-25",IF(J2+AN$1&lt;=$EQ$1,IFERROR($EY$23*$EZ$23+$EY$24*$EZ$24+$EY$25*($EZ$25+'Parámetros Caudal Bajo'!$B$53*LN(J2+AN$1)/100)+$EY$26*($EZ$26+'Parámetros Caudal Bajo'!$B$53*LN(J2+AN$1)/100)+$EY$27*($EZ$27+'Parámetros Caudal Bajo'!$B$53*LN(J2+AN$1)/100)+$EY$28*$EZ$28,""),IFERROR($EY$23*$EZ$23+$EY$24*$EZ$24+$EY$25*($EZ$25+'Parámetros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Bajo'!$B$53*LN($EQ$1)/100)+$EY$28*$EZ$28,""))*$EX$29+$EP$1*(1-$EX$29),IF(O2="C-13",IF(J2+AN$1&lt;=$EQ$1,IFERROR($FD$3*$FE$3+$FD$4*$FE$4+$FD$5*($FE$5+'Parámetros Caudal Bajo'!$Q$67*LN(J2+AN$1)/100)+$FD$6*($FE$6+'Parámetros Caudal Bajo'!$Q$67*LN(J2+AN$1)/100)+$FD$7*($FE$7+'Parámetros Caudal Bajo'!$Q$67*LN(J2+AN$1)/100)+$FD$8*$FE$8,""),IFERROR($FD$3*$FE$3+$FD$4*$FE$4+$FD$5*($FE$5+'Parámetros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Bajo'!$Q$67*LN($EQ$1)/100)+$FD$8*$FE$8,""))*$FC$9+$EP$1*(1-$FC$9),IF(O2="C-19",IF(J2+AN$1&lt;=$EQ$1,IFERROR($FD$13*$FE$13+$FD$14*$FE$14+$FD$15*($FE$15+'Parámetros Caudal Bajo'!$Q$53*LN(J2+AN$1)/100)+$FD$16*($FE$16+'Parámetros Caudal Bajo'!$Q$53*LN(J2+AN$1)/100)+$FD$17*($FE$17+'Parámetros Caudal Bajo'!$Q$53*LN(J2+AN$1)/100)+$FD$18*$FE$18,""),IFERROR($FD$13*$FE$13+$FD$14*$FE$14+$FD$15*($FE$15+'Parámetros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Bajo'!$Q$53*LN($EQ$1)/100)+$FD$18*$FE$18,""))*$FC$19+$EP$1*(1-$FC$19),IF(O2="C-25",IF(J2+AN$1&lt;=$EQ$1,IFERROR($EY$23*$FA$23+$EY$24*$FA$24+$EY$25*$FA$25+$EY$26*($FA$26+'Parámetros Caudal Bajo'!$B$86*LN(J2+AN$1)/100)+$EY$27*($FA$27+'Parámetros Caudal Bajo'!$B$86*LN(J2+AN$1)/100)+$EY$28*$FA$28,""),IFERROR($EY$23*$FA$23+$EY$24*$FA$24+$EY$25*$FA$25+$EY$26*($FA$26+'Parámetros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-6.352013641628286E-2</v>
      </c>
      <c r="AO2" s="132">
        <f>+IF($O2="AB-13/19",IF($J2+AO$1&lt;=$EQ$1,IFERROR($EY$3*$EZ$3+$EY$4*$EZ$4+$EY$5*($EZ$5+'Parámetros Caudal Bajo'!$B$67*LN($J2+AO$1)/100)+$EY$6*($EZ$6+'Parámetros Caudal Bajo'!$B$67*LN($J2+AO$1)/100)+$EY$7*($EZ$7+'Parámetros Caudal Bajo'!$B$67*LN($J2+AO$1)/100)+$EY$8*$EZ$8,""),IFERROR($EY$3*$EZ$3+$EY$4*$EZ$4+$EY$5*($EZ$5+'Parámetros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Bajo'!$B$67*LN($EQ$1)/100)+$EY$8*$EZ$8,""))*$EX$9+$EP$1*(1-$EX$9),IF(O2="AB-25",IF(J2+AO$1&lt;=$EQ$1,IFERROR($EY$23*$EZ$23+$EY$24*$EZ$24+$EY$25*($EZ$25+'Parámetros Caudal Bajo'!$B$53*LN(J2+AO$1)/100)+$EY$26*($EZ$26+'Parámetros Caudal Bajo'!$B$53*LN(J2+AO$1)/100)+$EY$27*($EZ$27+'Parámetros Caudal Bajo'!$B$53*LN(J2+AO$1)/100)+$EY$28*$EZ$28,""),IFERROR($EY$23*$EZ$23+$EY$24*$EZ$24+$EY$25*($EZ$25+'Parámetros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Bajo'!$B$53*LN($EQ$1)/100)+$EY$28*$EZ$28,""))*$EX$29+$EP$1*(1-$EX$29),IF(O2="C-13",IF(J2+AO$1&lt;=$EQ$1,IFERROR($FD$3*$FE$3+$FD$4*$FE$4+$FD$5*($FE$5+'Parámetros Caudal Bajo'!$Q$67*LN(J2+AO$1)/100)+$FD$6*($FE$6+'Parámetros Caudal Bajo'!$Q$67*LN(J2+AO$1)/100)+$FD$7*($FE$7+'Parámetros Caudal Bajo'!$Q$67*LN(J2+AO$1)/100)+$FD$8*$FE$8,""),IFERROR($FD$3*$FE$3+$FD$4*$FE$4+$FD$5*($FE$5+'Parámetros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Bajo'!$Q$67*LN($EQ$1)/100)+$FD$8*$FE$8,""))*$FC$9+$EP$1*(1-$FC$9),IF(O2="C-19",IF(J2+AO$1&lt;=$EQ$1,IFERROR($FD$13*$FE$13+$FD$14*$FE$14+$FD$15*($FE$15+'Parámetros Caudal Bajo'!$Q$53*LN(J2+AO$1)/100)+$FD$16*($FE$16+'Parámetros Caudal Bajo'!$Q$53*LN(J2+AO$1)/100)+$FD$17*($FE$17+'Parámetros Caudal Bajo'!$Q$53*LN(J2+AO$1)/100)+$FD$18*$FE$18,""),IFERROR($FD$13*$FE$13+$FD$14*$FE$14+$FD$15*($FE$15+'Parámetros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Bajo'!$Q$53*LN($EQ$1)/100)+$FD$18*$FE$18,""))*$FC$19+$EP$1*(1-$FC$19),IF(O2="C-25",IF(J2+AO$1&lt;=$EQ$1,IFERROR($EY$23*$FA$23+$EY$24*$FA$24+$EY$25*$FA$25+$EY$26*($FA$26+'Parámetros Caudal Bajo'!$B$86*LN(J2+AO$1)/100)+$EY$27*($FA$27+'Parámetros Caudal Bajo'!$B$86*LN(J2+AO$1)/100)+$EY$28*$FA$28,""),IFERROR($EY$23*$FA$23+$EY$24*$FA$24+$EY$25*$FA$25+$EY$26*($FA$26+'Parámetros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-6.4478258250427425E-2</v>
      </c>
      <c r="AP2" s="132">
        <f>+IF($O2="AB-13/19",IF($J2+AP$1&lt;=$EQ$1,IFERROR($EY$3*$EZ$3+$EY$4*$EZ$4+$EY$5*($EZ$5+'Parámetros Caudal Bajo'!$B$67*LN($J2+AP$1)/100)+$EY$6*($EZ$6+'Parámetros Caudal Bajo'!$B$67*LN($J2+AP$1)/100)+$EY$7*($EZ$7+'Parámetros Caudal Bajo'!$B$67*LN($J2+AP$1)/100)+$EY$8*$EZ$8,""),IFERROR($EY$3*$EZ$3+$EY$4*$EZ$4+$EY$5*($EZ$5+'Parámetros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Bajo'!$B$67*LN($EQ$1)/100)+$EY$8*$EZ$8,""))*$EX$9+$EP$1*(1-$EX$9),IF(O2="AB-25",IF(J2+AP$1&lt;=$EQ$1,IFERROR($EY$23*$EZ$23+$EY$24*$EZ$24+$EY$25*($EZ$25+'Parámetros Caudal Bajo'!$B$53*LN(J2+AP$1)/100)+$EY$26*($EZ$26+'Parámetros Caudal Bajo'!$B$53*LN(J2+AP$1)/100)+$EY$27*($EZ$27+'Parámetros Caudal Bajo'!$B$53*LN(J2+AP$1)/100)+$EY$28*$EZ$28,""),IFERROR($EY$23*$EZ$23+$EY$24*$EZ$24+$EY$25*($EZ$25+'Parámetros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Bajo'!$B$53*LN($EQ$1)/100)+$EY$28*$EZ$28,""))*$EX$29+$EP$1*(1-$EX$29),IF(O2="C-13",IF(J2+AP$1&lt;=$EQ$1,IFERROR($FD$3*$FE$3+$FD$4*$FE$4+$FD$5*($FE$5+'Parámetros Caudal Bajo'!$Q$67*LN(J2+AP$1)/100)+$FD$6*($FE$6+'Parámetros Caudal Bajo'!$Q$67*LN(J2+AP$1)/100)+$FD$7*($FE$7+'Parámetros Caudal Bajo'!$Q$67*LN(J2+AP$1)/100)+$FD$8*$FE$8,""),IFERROR($FD$3*$FE$3+$FD$4*$FE$4+$FD$5*($FE$5+'Parámetros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Bajo'!$Q$67*LN($EQ$1)/100)+$FD$8*$FE$8,""))*$FC$9+$EP$1*(1-$FC$9),IF(O2="C-19",IF(J2+AP$1&lt;=$EQ$1,IFERROR($FD$13*$FE$13+$FD$14*$FE$14+$FD$15*($FE$15+'Parámetros Caudal Bajo'!$Q$53*LN(J2+AP$1)/100)+$FD$16*($FE$16+'Parámetros Caudal Bajo'!$Q$53*LN(J2+AP$1)/100)+$FD$17*($FE$17+'Parámetros Caudal Bajo'!$Q$53*LN(J2+AP$1)/100)+$FD$18*$FE$18,""),IFERROR($FD$13*$FE$13+$FD$14*$FE$14+$FD$15*($FE$15+'Parámetros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Bajo'!$Q$53*LN($EQ$1)/100)+$FD$18*$FE$18,""))*$FC$19+$EP$1*(1-$FC$19),IF(O2="C-25",IF(J2+AP$1&lt;=$EQ$1,IFERROR($EY$23*$FA$23+$EY$24*$FA$24+$EY$25*$FA$25+$EY$26*($FA$26+'Parámetros Caudal Bajo'!$B$86*LN(J2+AP$1)/100)+$EY$27*($FA$27+'Parámetros Caudal Bajo'!$B$86*LN(J2+AP$1)/100)+$EY$28*$FA$28,""),IFERROR($EY$23*$FA$23+$EY$24*$FA$24+$EY$25*$FA$25+$EY$26*($FA$26+'Parámetros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-6.535807957790464E-2</v>
      </c>
      <c r="AQ2" s="132">
        <f>+IF($O2="AB-13/19",IF($J2+AQ$1&lt;=$EQ$1,IFERROR($EY$3*$EZ$3+$EY$4*$EZ$4+$EY$5*($EZ$5+'Parámetros Caudal Bajo'!$B$67*LN($J2+AQ$1)/100)+$EY$6*($EZ$6+'Parámetros Caudal Bajo'!$B$67*LN($J2+AQ$1)/100)+$EY$7*($EZ$7+'Parámetros Caudal Bajo'!$B$67*LN($J2+AQ$1)/100)+$EY$8*$EZ$8,""),IFERROR($EY$3*$EZ$3+$EY$4*$EZ$4+$EY$5*($EZ$5+'Parámetros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Bajo'!$B$67*LN($EQ$1)/100)+$EY$8*$EZ$8,""))*$EX$9+$EP$1*(1-$EX$9),IF(O2="AB-25",IF(J2+AQ$1&lt;=$EQ$1,IFERROR($EY$23*$EZ$23+$EY$24*$EZ$24+$EY$25*($EZ$25+'Parámetros Caudal Bajo'!$B$53*LN(J2+AQ$1)/100)+$EY$26*($EZ$26+'Parámetros Caudal Bajo'!$B$53*LN(J2+AQ$1)/100)+$EY$27*($EZ$27+'Parámetros Caudal Bajo'!$B$53*LN(J2+AQ$1)/100)+$EY$28*$EZ$28,""),IFERROR($EY$23*$EZ$23+$EY$24*$EZ$24+$EY$25*($EZ$25+'Parámetros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Bajo'!$B$53*LN($EQ$1)/100)+$EY$28*$EZ$28,""))*$EX$29+$EP$1*(1-$EX$29),IF(O2="C-13",IF(J2+AQ$1&lt;=$EQ$1,IFERROR($FD$3*$FE$3+$FD$4*$FE$4+$FD$5*($FE$5+'Parámetros Caudal Bajo'!$Q$67*LN(J2+AQ$1)/100)+$FD$6*($FE$6+'Parámetros Caudal Bajo'!$Q$67*LN(J2+AQ$1)/100)+$FD$7*($FE$7+'Parámetros Caudal Bajo'!$Q$67*LN(J2+AQ$1)/100)+$FD$8*$FE$8,""),IFERROR($FD$3*$FE$3+$FD$4*$FE$4+$FD$5*($FE$5+'Parámetros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Bajo'!$Q$67*LN($EQ$1)/100)+$FD$8*$FE$8,""))*$FC$9+$EP$1*(1-$FC$9),IF(O2="C-19",IF(J2+AQ$1&lt;=$EQ$1,IFERROR($FD$13*$FE$13+$FD$14*$FE$14+$FD$15*($FE$15+'Parámetros Caudal Bajo'!$Q$53*LN(J2+AQ$1)/100)+$FD$16*($FE$16+'Parámetros Caudal Bajo'!$Q$53*LN(J2+AQ$1)/100)+$FD$17*($FE$17+'Parámetros Caudal Bajo'!$Q$53*LN(J2+AQ$1)/100)+$FD$18*$FE$18,""),IFERROR($FD$13*$FE$13+$FD$14*$FE$14+$FD$15*($FE$15+'Parámetros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Bajo'!$Q$53*LN($EQ$1)/100)+$FD$18*$FE$18,""))*$FC$19+$EP$1*(1-$FC$19),IF(O2="C-25",IF(J2+AQ$1&lt;=$EQ$1,IFERROR($EY$23*$FA$23+$EY$24*$FA$24+$EY$25*$FA$25+$EY$26*($FA$26+'Parámetros Caudal Bajo'!$B$86*LN(J2+AQ$1)/100)+$EY$27*($FA$27+'Parámetros Caudal Bajo'!$B$86*LN(J2+AQ$1)/100)+$EY$28*$FA$28,""),IFERROR($EY$23*$FA$23+$EY$24*$FA$24+$EY$25*$FA$25+$EY$26*($FA$26+'Parámetros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-6.6171437043146833E-2</v>
      </c>
      <c r="AR2" s="132">
        <f>+IF($O2="AB-13/19",IF($J2+AR$1&lt;=$EQ$1,IFERROR($EY$3*$EZ$3+$EY$4*$EZ$4+$EY$5*($EZ$5+'Parámetros Caudal Bajo'!$B$67*LN($J2+AR$1)/100)+$EY$6*($EZ$6+'Parámetros Caudal Bajo'!$B$67*LN($J2+AR$1)/100)+$EY$7*($EZ$7+'Parámetros Caudal Bajo'!$B$67*LN($J2+AR$1)/100)+$EY$8*$EZ$8,""),IFERROR($EY$3*$EZ$3+$EY$4*$EZ$4+$EY$5*($EZ$5+'Parámetros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Bajo'!$B$67*LN($EQ$1)/100)+$EY$8*$EZ$8,""))*$EX$9+$EP$1*(1-$EX$9),IF(O2="AB-25",IF(J2+AR$1&lt;=$EQ$1,IFERROR($EY$23*$EZ$23+$EY$24*$EZ$24+$EY$25*($EZ$25+'Parámetros Caudal Bajo'!$B$53*LN(J2+AR$1)/100)+$EY$26*($EZ$26+'Parámetros Caudal Bajo'!$B$53*LN(J2+AR$1)/100)+$EY$27*($EZ$27+'Parámetros Caudal Bajo'!$B$53*LN(J2+AR$1)/100)+$EY$28*$EZ$28,""),IFERROR($EY$23*$EZ$23+$EY$24*$EZ$24+$EY$25*($EZ$25+'Parámetros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Bajo'!$B$53*LN($EQ$1)/100)+$EY$28*$EZ$28,""))*$EX$29+$EP$1*(1-$EX$29),IF(O2="C-13",IF(J2+AR$1&lt;=$EQ$1,IFERROR($FD$3*$FE$3+$FD$4*$FE$4+$FD$5*($FE$5+'Parámetros Caudal Bajo'!$Q$67*LN(J2+AR$1)/100)+$FD$6*($FE$6+'Parámetros Caudal Bajo'!$Q$67*LN(J2+AR$1)/100)+$FD$7*($FE$7+'Parámetros Caudal Bajo'!$Q$67*LN(J2+AR$1)/100)+$FD$8*$FE$8,""),IFERROR($FD$3*$FE$3+$FD$4*$FE$4+$FD$5*($FE$5+'Parámetros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Bajo'!$Q$67*LN($EQ$1)/100)+$FD$8*$FE$8,""))*$FC$9+$EP$1*(1-$FC$9),IF(O2="C-19",IF(J2+AR$1&lt;=$EQ$1,IFERROR($FD$13*$FE$13+$FD$14*$FE$14+$FD$15*($FE$15+'Parámetros Caudal Bajo'!$Q$53*LN(J2+AR$1)/100)+$FD$16*($FE$16+'Parámetros Caudal Bajo'!$Q$53*LN(J2+AR$1)/100)+$FD$17*($FE$17+'Parámetros Caudal Bajo'!$Q$53*LN(J2+AR$1)/100)+$FD$18*$FE$18,""),IFERROR($FD$13*$FE$13+$FD$14*$FE$14+$FD$15*($FE$15+'Parámetros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Bajo'!$Q$53*LN($EQ$1)/100)+$FD$18*$FE$18,""))*$FC$19+$EP$1*(1-$FC$19),IF(O2="C-25",IF(J2+AR$1&lt;=$EQ$1,IFERROR($EY$23*$FA$23+$EY$24*$FA$24+$EY$25*$FA$25+$EY$26*($FA$26+'Parámetros Caudal Bajo'!$B$86*LN(J2+AR$1)/100)+$EY$27*($FA$27+'Parámetros Caudal Bajo'!$B$86*LN(J2+AR$1)/100)+$EY$28*$FA$28,""),IFERROR($EY$23*$FA$23+$EY$24*$FA$24+$EY$25*$FA$25+$EY$26*($FA$26+'Parámetros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-6.6927670872296591E-2</v>
      </c>
      <c r="AS2" s="132">
        <f>+IF($O2="AB-13/19",IF($J2+AS$1&lt;=$EQ$1,IFERROR($EY$3*$EZ$3+$EY$4*$EZ$4+$EY$5*($EZ$5+'Parámetros Caudal Bajo'!$B$67*LN($J2+AS$1)/100)+$EY$6*($EZ$6+'Parámetros Caudal Bajo'!$B$67*LN($J2+AS$1)/100)+$EY$7*($EZ$7+'Parámetros Caudal Bajo'!$B$67*LN($J2+AS$1)/100)+$EY$8*$EZ$8,""),IFERROR($EY$3*$EZ$3+$EY$4*$EZ$4+$EY$5*($EZ$5+'Parámetros Caudal Bajo'!$B$67*LN($EQ$1)/100)+$EY$6*($EZ$6+'Parámetros Caudal Bajo'!$B$67*LN($EQ$1)/100)+$EY$7*($EZ$7+'Parámetros Caudal Bajo'!$B$67*LN($EQ$1)/100)+$EY$8*$EZ$8,""))*$EX$9+$EP$1*(1-$EX$9),IF(O2="AB-25",IF(J2+AS$1&lt;=$EQ$1,IFERROR($EY$23*$EZ$23+$EY$24*$EZ$24+$EY$25*($EZ$25+'Parámetros Caudal Bajo'!$B$53*LN(J2+AS$1)/100)+$EY$26*($EZ$26+'Parámetros Caudal Bajo'!$B$53*LN(J2+AS$1)/100)+$EY$27*($EZ$27+'Parámetros Caudal Bajo'!$B$53*LN(J2+AS$1)/100)+$EY$28*$EZ$28,""),IFERROR($EY$23*$EZ$23+$EY$24*$EZ$24+$EY$25*($EZ$25+'Parámetros Caudal Bajo'!$B$53*LN($EQ$1)/100)+$EY$26*($EZ$26+'Parámetros Caudal Bajo'!$B$53*LN($EQ$1)/100)+$EY$27*($EZ$27+'Parámetros Caudal Bajo'!$B$53*LN($EQ$1)/100)+$EY$28*$EZ$28,""))*$EX$29+$EP$1*(1-$EX$29),IF(O2="C-13",IF(J2+AS$1&lt;=$EQ$1,IFERROR($FD$3*$FE$3+$FD$4*$FE$4+$FD$5*($FE$5+'Parámetros Caudal Bajo'!$Q$67*LN(J2+AS$1)/100)+$FD$6*($FE$6+'Parámetros Caudal Bajo'!$Q$67*LN(J2+AS$1)/100)+$FD$7*($FE$7+'Parámetros Caudal Bajo'!$Q$67*LN(J2+AS$1)/100)+$FD$8*$FE$8,""),IFERROR($FD$3*$FE$3+$FD$4*$FE$4+$FD$5*($FE$5+'Parámetros Caudal Bajo'!$Q$67*LN($EQ$1)/100)+$FD$6*($FE$6+'Parámetros Caudal Bajo'!$Q$67*LN($EQ$1)/100)+$FD$7*($FE$7+'Parámetros Caudal Bajo'!$Q$67*LN($EQ$1)/100)+$FD$8*$FE$8,""))*$FC$9+$EP$1*(1-$FC$9),IF(O2="C-19",IF(J2+AS$1&lt;=$EQ$1,IFERROR($FD$13*$FE$13+$FD$14*$FE$14+$FD$15*($FE$15+'Parámetros Caudal Bajo'!$Q$53*LN(J2+AS$1)/100)+$FD$16*($FE$16+'Parámetros Caudal Bajo'!$Q$53*LN(J2+AS$1)/100)+$FD$17*($FE$17+'Parámetros Caudal Bajo'!$Q$53*LN(J2+AS$1)/100)+$FD$18*$FE$18,""),IFERROR($FD$13*$FE$13+$FD$14*$FE$14+$FD$15*($FE$15+'Parámetros Caudal Bajo'!$Q$53*LN($EQ$1)/100)+$FD$16*($FE$16+'Parámetros Caudal Bajo'!$Q$53*LN($EQ$1)/100)+$FD$17*($FE$17+'Parámetros Caudal Bajo'!$Q$53*LN($EQ$1)/100)+$FD$18*$FE$18,""))*$FC$19+$EP$1*(1-$FC$19),IF(O2="C-25",IF(J2+AS$1&lt;=$EQ$1,IFERROR($EY$23*$FA$23+$EY$24*$FA$24+$EY$25*$FA$25+$EY$26*($FA$26+'Parámetros Caudal Bajo'!$B$86*LN(J2+AS$1)/100)+$EY$27*($FA$27+'Parámetros Caudal Bajo'!$B$86*LN(J2+AS$1)/100)+$EY$28*$FA$28,""),IFERROR($EY$23*$FA$23+$EY$24*$FA$24+$EY$25*$FA$25+$EY$26*($FA$26+'Parámetros Caudal Bajo'!$B$86*LN($EQ$1)/100)+$EY$27*($FA$27+'Parámetros Caudal Bajo'!$B$86*LN($EQ$1)/100)+$EY$28*$FA$28,""))*$EX$29+$EP$1*(1-$EX$29),IF(O2="ULTRA",-2%,""))))))</f>
        <v>-6.7108224099765329E-2</v>
      </c>
      <c r="AT2" s="140">
        <f>IF(B2&gt;25,-2%,"")</f>
        <v>-0.02</v>
      </c>
      <c r="AU2" s="141">
        <f t="shared" ref="AU2" si="4">IFERROR(-$F2*AT2/(1+AT2),"")</f>
        <v>9.1224489795918355</v>
      </c>
      <c r="AV2" s="143">
        <f>IFERROR((Q2-$AU2)*$H2*12,"")</f>
        <v>241486.90241285897</v>
      </c>
      <c r="AW2" s="143">
        <f t="shared" ref="AW2:BJ2" si="5">IFERROR((R2-$AU2)*$H2*12,"")</f>
        <v>289546.28109434596</v>
      </c>
      <c r="AX2" s="143">
        <f t="shared" si="5"/>
        <v>322528.23928092583</v>
      </c>
      <c r="AY2" s="143">
        <f t="shared" si="5"/>
        <v>347667.17909883783</v>
      </c>
      <c r="AZ2" s="143">
        <f t="shared" si="5"/>
        <v>367985.72790856409</v>
      </c>
      <c r="BA2" s="143">
        <f t="shared" si="5"/>
        <v>385038.38280777622</v>
      </c>
      <c r="BB2" s="143">
        <f t="shared" si="5"/>
        <v>399731.08029607742</v>
      </c>
      <c r="BC2" s="143">
        <f t="shared" si="5"/>
        <v>412638.31576511811</v>
      </c>
      <c r="BD2" s="143">
        <f t="shared" si="5"/>
        <v>424147.38772246917</v>
      </c>
      <c r="BE2" s="143">
        <f t="shared" si="5"/>
        <v>434531.81714705646</v>
      </c>
      <c r="BF2" s="143">
        <f t="shared" si="5"/>
        <v>443991.96543849958</v>
      </c>
      <c r="BG2" s="143">
        <f t="shared" si="5"/>
        <v>452679.0028603531</v>
      </c>
      <c r="BH2" s="143">
        <f t="shared" si="5"/>
        <v>460709.80015662115</v>
      </c>
      <c r="BI2" s="143">
        <f t="shared" si="5"/>
        <v>468176.57934045017</v>
      </c>
      <c r="BJ2" s="143">
        <f t="shared" si="5"/>
        <v>469959.29657481727</v>
      </c>
      <c r="BK2" s="143">
        <f>IFERROR(($H2-(1+((Q2-$AU2)/$F2)*FLUJO!$D$46)*$H2)*$F2*-1,"")</f>
        <v>-9055.7588404822691</v>
      </c>
      <c r="BL2" s="143">
        <f>IFERROR(($H2-(1+((R2-$AU2)/$F2)*FLUJO!$D$46)*$H2)*$F2*-1,"")</f>
        <v>-10857.98554103793</v>
      </c>
      <c r="BM2" s="143">
        <f>IFERROR(($H2-(1+((S2-$AU2)/$F2)*FLUJO!$D$46)*$H2)*$F2*-1,"")</f>
        <v>-12094.808973034786</v>
      </c>
      <c r="BN2" s="143">
        <f>IFERROR(($H2-(1+((T2-$AU2)/$F2)*FLUJO!$D$46)*$H2)*$F2*-1,"")</f>
        <v>-13037.519216206474</v>
      </c>
      <c r="BO2" s="143">
        <f>IFERROR(($H2-(1+((U2-$AU2)/$F2)*FLUJO!$D$46)*$H2)*$F2*-1,"")</f>
        <v>-13799.464796571157</v>
      </c>
      <c r="BP2" s="143">
        <f>IFERROR(($H2-(1+((V2-$AU2)/$F2)*FLUJO!$D$46)*$H2)*$F2*-1,"")</f>
        <v>-14438.939355291624</v>
      </c>
      <c r="BQ2" s="143">
        <f>IFERROR(($H2-(1+((W2-$AU2)/$F2)*FLUJO!$D$46)*$H2)*$F2*-1,"")</f>
        <v>-14989.91551110295</v>
      </c>
      <c r="BR2" s="143">
        <f>IFERROR(($H2-(1+((X2-$AU2)/$F2)*FLUJO!$D$46)*$H2)*$F2*-1,"")</f>
        <v>-15473.936841191931</v>
      </c>
      <c r="BS2" s="143">
        <f>IFERROR(($H2-(1+((Y2-$AU2)/$F2)*FLUJO!$D$46)*$H2)*$F2*-1,"")</f>
        <v>-15905.527039592633</v>
      </c>
      <c r="BT2" s="143">
        <f>IFERROR(($H2-(1+((Z2-$AU2)/$F2)*FLUJO!$D$46)*$H2)*$F2*-1,"")</f>
        <v>-16294.943143014669</v>
      </c>
      <c r="BU2" s="143">
        <f>IFERROR(($H2-(1+((AA2-$AU2)/$F2)*FLUJO!$D$46)*$H2)*$F2*-1,"")</f>
        <v>-16649.698703943763</v>
      </c>
      <c r="BV2" s="143">
        <f>IFERROR(($H2-(1+((AB2-$AU2)/$F2)*FLUJO!$D$46)*$H2)*$F2*-1,"")</f>
        <v>-16975.462607263256</v>
      </c>
      <c r="BW2" s="143">
        <f>IFERROR(($H2-(1+((AC2-$AU2)/$F2)*FLUJO!$D$46)*$H2)*$F2*-1,"")</f>
        <v>-17276.617505873357</v>
      </c>
      <c r="BX2" s="143">
        <f>IFERROR(($H2-(1+((AD2-$AU2)/$F2)*FLUJO!$D$46)*$H2)*$F2*-1,"")</f>
        <v>-17556.621725266799</v>
      </c>
      <c r="BY2" s="143">
        <f>IFERROR(($H2-(1+((AE2-$AU2)/$F2)*FLUJO!$D$46)*$H2)*$F2*-1,"")</f>
        <v>-17623.473621555582</v>
      </c>
      <c r="BZ2" s="143">
        <f t="shared" ref="BZ2:CB2" si="6">IFERROR($EL2/3.33333333333333,0)</f>
        <v>-154450.86408748719</v>
      </c>
      <c r="CA2" s="143">
        <f t="shared" si="6"/>
        <v>-154450.86408748719</v>
      </c>
      <c r="CB2" s="143">
        <f t="shared" si="6"/>
        <v>-154450.86408748719</v>
      </c>
      <c r="CC2" s="145">
        <f t="shared" ref="CC2" si="7">IFERROR(EL2-SUM(BZ2:CB2),0)</f>
        <v>-51483.621362495236</v>
      </c>
      <c r="CD2" s="145">
        <f>SUM(AV2,BK2,BZ2)</f>
        <v>77980.279484889499</v>
      </c>
      <c r="CE2" s="145">
        <f>SUM(AW2,BL2,CA2)</f>
        <v>124237.43146582085</v>
      </c>
      <c r="CF2" s="145">
        <f>SUM(AX2,BM2,CB2)</f>
        <v>155982.56622040385</v>
      </c>
      <c r="CG2" s="145">
        <f>SUM(AY2,BN2,CC2)</f>
        <v>283146.03852013615</v>
      </c>
      <c r="CH2" s="145">
        <f t="shared" ref="CH2:CR2" si="8">SUM(AZ2,BO2)</f>
        <v>354186.26311199291</v>
      </c>
      <c r="CI2" s="145">
        <f t="shared" si="8"/>
        <v>370599.44345248461</v>
      </c>
      <c r="CJ2" s="145">
        <f t="shared" si="8"/>
        <v>384741.16478497448</v>
      </c>
      <c r="CK2" s="145">
        <f t="shared" si="8"/>
        <v>397164.37892392615</v>
      </c>
      <c r="CL2" s="145">
        <f t="shared" si="8"/>
        <v>408241.86068287655</v>
      </c>
      <c r="CM2" s="145">
        <f t="shared" si="8"/>
        <v>418236.87400404178</v>
      </c>
      <c r="CN2" s="145">
        <f t="shared" si="8"/>
        <v>427342.26673455583</v>
      </c>
      <c r="CO2" s="145">
        <f t="shared" si="8"/>
        <v>435703.54025308986</v>
      </c>
      <c r="CP2" s="145">
        <f t="shared" si="8"/>
        <v>443433.18265074777</v>
      </c>
      <c r="CQ2" s="145">
        <f t="shared" si="8"/>
        <v>450619.95761518338</v>
      </c>
      <c r="CR2" s="145">
        <f t="shared" si="8"/>
        <v>452335.82295326167</v>
      </c>
      <c r="CS2" s="145">
        <f>CD2</f>
        <v>77980.279484889499</v>
      </c>
      <c r="CT2" s="145">
        <f>IF(CS2&lt;0,CE2+CS2,CE2)</f>
        <v>124237.43146582085</v>
      </c>
      <c r="CU2" s="145">
        <f t="shared" ref="CU2:DG2" si="9">IF(CT2&lt;0,CF2+CT2,CF2)</f>
        <v>155982.56622040385</v>
      </c>
      <c r="CV2" s="145">
        <f t="shared" si="9"/>
        <v>283146.03852013615</v>
      </c>
      <c r="CW2" s="145">
        <f t="shared" si="9"/>
        <v>354186.26311199291</v>
      </c>
      <c r="CX2" s="145">
        <f t="shared" si="9"/>
        <v>370599.44345248461</v>
      </c>
      <c r="CY2" s="145">
        <f t="shared" si="9"/>
        <v>384741.16478497448</v>
      </c>
      <c r="CZ2" s="145">
        <f t="shared" si="9"/>
        <v>397164.37892392615</v>
      </c>
      <c r="DA2" s="145">
        <f t="shared" si="9"/>
        <v>408241.86068287655</v>
      </c>
      <c r="DB2" s="145">
        <f t="shared" si="9"/>
        <v>418236.87400404178</v>
      </c>
      <c r="DC2" s="145">
        <f t="shared" si="9"/>
        <v>427342.26673455583</v>
      </c>
      <c r="DD2" s="145">
        <f t="shared" si="9"/>
        <v>435703.54025308986</v>
      </c>
      <c r="DE2" s="145">
        <f t="shared" si="9"/>
        <v>443433.18265074777</v>
      </c>
      <c r="DF2" s="145">
        <f t="shared" si="9"/>
        <v>450619.95761518338</v>
      </c>
      <c r="DG2" s="145">
        <f t="shared" si="9"/>
        <v>452335.82295326167</v>
      </c>
      <c r="DH2" s="145">
        <f>IF(CS2&lt;0,0,-CS2*27%)</f>
        <v>-21054.675460920167</v>
      </c>
      <c r="DI2" s="145">
        <f t="shared" ref="DI2:DV2" si="10">IF(CT2&lt;0,0,-CT2*27%)</f>
        <v>-33544.10649577163</v>
      </c>
      <c r="DJ2" s="145">
        <f t="shared" si="10"/>
        <v>-42115.292879509041</v>
      </c>
      <c r="DK2" s="145">
        <f t="shared" si="10"/>
        <v>-76449.430400436759</v>
      </c>
      <c r="DL2" s="145">
        <f t="shared" si="10"/>
        <v>-95630.291040238095</v>
      </c>
      <c r="DM2" s="145">
        <f t="shared" si="10"/>
        <v>-100061.84973217086</v>
      </c>
      <c r="DN2" s="145">
        <f t="shared" si="10"/>
        <v>-103880.11449194311</v>
      </c>
      <c r="DO2" s="145">
        <f t="shared" si="10"/>
        <v>-107234.38230946007</v>
      </c>
      <c r="DP2" s="145">
        <f t="shared" si="10"/>
        <v>-110225.30238437667</v>
      </c>
      <c r="DQ2" s="145">
        <f t="shared" si="10"/>
        <v>-112923.95598109129</v>
      </c>
      <c r="DR2" s="145">
        <f t="shared" si="10"/>
        <v>-115382.41201833008</v>
      </c>
      <c r="DS2" s="145">
        <f t="shared" si="10"/>
        <v>-117639.95586833426</v>
      </c>
      <c r="DT2" s="145">
        <f t="shared" si="10"/>
        <v>-119726.95931570191</v>
      </c>
      <c r="DU2" s="145">
        <f t="shared" si="10"/>
        <v>-121667.38855609953</v>
      </c>
      <c r="DV2" s="145">
        <f t="shared" si="10"/>
        <v>-122130.67219738066</v>
      </c>
      <c r="DW2" s="145">
        <f>SUM(AV2,BK2,DH2,BZ2)-BZ2</f>
        <v>211376.46811145652</v>
      </c>
      <c r="DX2" s="145">
        <f>SUM(AW2,BL2,DI2,CA2)-CA2</f>
        <v>245144.18905753642</v>
      </c>
      <c r="DY2" s="145">
        <f>SUM(AX2,BM2,DJ2,CB2)-CB2</f>
        <v>268318.137428382</v>
      </c>
      <c r="DZ2" s="145">
        <f>SUM(AY2,BN2,DK2,CC2)-CC2</f>
        <v>258180.22948219464</v>
      </c>
      <c r="EA2" s="145">
        <f t="shared" ref="EA2:EK2" si="11">SUM(AZ2,BO2,DL2)</f>
        <v>258555.9720717548</v>
      </c>
      <c r="EB2" s="145">
        <f t="shared" si="11"/>
        <v>270537.59372031374</v>
      </c>
      <c r="EC2" s="145">
        <f t="shared" si="11"/>
        <v>280861.05029303138</v>
      </c>
      <c r="ED2" s="145">
        <f t="shared" si="11"/>
        <v>289929.99661446607</v>
      </c>
      <c r="EE2" s="145">
        <f t="shared" si="11"/>
        <v>298016.55829849991</v>
      </c>
      <c r="EF2" s="145">
        <f t="shared" si="11"/>
        <v>305312.91802295047</v>
      </c>
      <c r="EG2" s="145">
        <f t="shared" si="11"/>
        <v>311959.85471622576</v>
      </c>
      <c r="EH2" s="145">
        <f t="shared" si="11"/>
        <v>318063.58438475558</v>
      </c>
      <c r="EI2" s="145">
        <f t="shared" si="11"/>
        <v>323706.22333504586</v>
      </c>
      <c r="EJ2" s="145">
        <f t="shared" si="11"/>
        <v>328952.56905908382</v>
      </c>
      <c r="EK2" s="145">
        <f t="shared" si="11"/>
        <v>330205.15075588098</v>
      </c>
      <c r="EL2" s="143">
        <f>IFERROR(-HLOOKUP(K2,FLUJO!$D$6:$G$19,14,0)*FLUJO!$D$45,"")</f>
        <v>-514836.21362495678</v>
      </c>
      <c r="EM2" s="143">
        <f>NPV(7%,DW2:EK2,EL2)</f>
        <v>2349853.5569047318</v>
      </c>
      <c r="EN2" s="146"/>
      <c r="ES2" s="95">
        <v>44773</v>
      </c>
      <c r="EU2" s="94" t="s">
        <v>2</v>
      </c>
      <c r="EV2" s="94" t="s">
        <v>2</v>
      </c>
      <c r="EX2" s="1" t="s">
        <v>24</v>
      </c>
      <c r="EY2" s="1" t="s">
        <v>54</v>
      </c>
      <c r="EZ2" s="1" t="s">
        <v>36</v>
      </c>
      <c r="FA2"/>
      <c r="FB2"/>
      <c r="FC2" s="1" t="s">
        <v>24</v>
      </c>
      <c r="FD2" s="1" t="s">
        <v>54</v>
      </c>
      <c r="FE2" s="1" t="s">
        <v>36</v>
      </c>
    </row>
    <row r="3" spans="1:161" x14ac:dyDescent="0.3">
      <c r="A3" t="s">
        <v>265</v>
      </c>
      <c r="B3">
        <v>50</v>
      </c>
      <c r="C3" s="97">
        <v>44137</v>
      </c>
      <c r="D3" t="s">
        <v>4</v>
      </c>
      <c r="E3">
        <v>296338</v>
      </c>
      <c r="F3" s="137">
        <v>124</v>
      </c>
      <c r="G3" s="137"/>
      <c r="H3" s="154"/>
      <c r="I3" s="98"/>
      <c r="J3" s="98"/>
      <c r="K3"/>
      <c r="L3"/>
      <c r="M3"/>
      <c r="P3" s="108"/>
      <c r="Q3" s="138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40"/>
      <c r="AU3" s="141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145"/>
      <c r="DB3" s="145"/>
      <c r="DC3" s="145"/>
      <c r="DD3" s="145"/>
      <c r="DE3" s="145"/>
      <c r="DF3" s="145"/>
      <c r="DG3" s="145"/>
      <c r="DH3" s="145"/>
      <c r="DI3" s="145"/>
      <c r="DJ3" s="145"/>
      <c r="DK3" s="145"/>
      <c r="DL3" s="145"/>
      <c r="DM3" s="145"/>
      <c r="DN3" s="145"/>
      <c r="DO3" s="145"/>
      <c r="DP3" s="145"/>
      <c r="DQ3" s="145"/>
      <c r="DR3" s="145"/>
      <c r="DS3" s="145"/>
      <c r="DT3" s="145"/>
      <c r="DU3" s="145"/>
      <c r="DV3" s="145"/>
      <c r="DW3" s="145"/>
      <c r="DX3" s="145"/>
      <c r="DY3" s="145"/>
      <c r="DZ3" s="145"/>
      <c r="EA3" s="145"/>
      <c r="EB3" s="145"/>
      <c r="EC3" s="145"/>
      <c r="ED3" s="145"/>
      <c r="EE3" s="145"/>
      <c r="EF3" s="145"/>
      <c r="EG3" s="145"/>
      <c r="EH3" s="145"/>
      <c r="EI3" s="145"/>
      <c r="EJ3" s="145"/>
      <c r="EK3" s="145"/>
      <c r="EL3" s="143"/>
      <c r="EM3" s="143"/>
      <c r="EO3" s="113" t="str">
        <f>+IFERROR(IF(L2="ULTRA","NO",IF(AND(#REF!="SI",#REF!="SI",#REF!="SI",#REF!="SI"),"SI","NO")),"NO")</f>
        <v>NO</v>
      </c>
      <c r="EU3" s="94" t="s">
        <v>3</v>
      </c>
      <c r="EV3" s="94" t="s">
        <v>3</v>
      </c>
      <c r="EX3" s="3">
        <f>'Parámetros Caudal Bajo'!L12</f>
        <v>7.3185069984447884E-3</v>
      </c>
      <c r="EY3" s="3">
        <f>EX3/EX$9</f>
        <v>3.2141005702436491E-2</v>
      </c>
      <c r="EZ3" s="3">
        <f>'Parámetros Caudal Bajo'!M12</f>
        <v>-1</v>
      </c>
      <c r="FA3" s="5"/>
      <c r="FB3"/>
      <c r="FC3" s="2">
        <f>'Parámetros Caudal Bajo'!D22</f>
        <v>6.1999999999999998E-3</v>
      </c>
      <c r="FD3" s="3">
        <f>FC3/FC$9</f>
        <v>3.2141005702436491E-2</v>
      </c>
      <c r="FE3" s="2">
        <f>'Parámetros Caudal Bajo'!F22</f>
        <v>-1</v>
      </c>
    </row>
    <row r="4" spans="1:161" x14ac:dyDescent="0.3">
      <c r="A4" t="s">
        <v>265</v>
      </c>
      <c r="B4">
        <v>50</v>
      </c>
      <c r="C4" s="97">
        <v>43213</v>
      </c>
      <c r="D4" t="s">
        <v>4</v>
      </c>
      <c r="E4">
        <v>60093154</v>
      </c>
      <c r="F4" s="137">
        <v>3437</v>
      </c>
      <c r="G4" s="137"/>
      <c r="H4" s="154"/>
      <c r="I4" s="98"/>
      <c r="J4" s="98"/>
      <c r="K4"/>
      <c r="L4"/>
      <c r="M4"/>
      <c r="P4" s="108"/>
      <c r="Q4" s="138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40"/>
      <c r="AU4" s="141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  <c r="CS4" s="145"/>
      <c r="CT4" s="145"/>
      <c r="CU4" s="145"/>
      <c r="CV4" s="145"/>
      <c r="CW4" s="145"/>
      <c r="CX4" s="145"/>
      <c r="CY4" s="145"/>
      <c r="CZ4" s="145"/>
      <c r="DA4" s="145"/>
      <c r="DB4" s="145"/>
      <c r="DC4" s="145"/>
      <c r="DD4" s="145"/>
      <c r="DE4" s="145"/>
      <c r="DF4" s="145"/>
      <c r="DG4" s="145"/>
      <c r="DH4" s="145"/>
      <c r="DI4" s="145"/>
      <c r="DJ4" s="145"/>
      <c r="DK4" s="145"/>
      <c r="DL4" s="145"/>
      <c r="DM4" s="145"/>
      <c r="DN4" s="145"/>
      <c r="DO4" s="145"/>
      <c r="DP4" s="145"/>
      <c r="DQ4" s="145"/>
      <c r="DR4" s="145"/>
      <c r="DS4" s="145"/>
      <c r="DT4" s="145"/>
      <c r="DU4" s="145"/>
      <c r="DV4" s="145"/>
      <c r="DW4" s="145"/>
      <c r="DX4" s="145"/>
      <c r="DY4" s="145"/>
      <c r="DZ4" s="145"/>
      <c r="EA4" s="145"/>
      <c r="EB4" s="145"/>
      <c r="EC4" s="145"/>
      <c r="ED4" s="145"/>
      <c r="EE4" s="145"/>
      <c r="EF4" s="145"/>
      <c r="EG4" s="145"/>
      <c r="EH4" s="145"/>
      <c r="EI4" s="145"/>
      <c r="EJ4" s="145"/>
      <c r="EK4" s="145"/>
      <c r="EL4" s="143"/>
      <c r="EM4" s="143"/>
      <c r="EU4" s="94" t="s">
        <v>4</v>
      </c>
      <c r="EV4" s="94" t="s">
        <v>4</v>
      </c>
      <c r="EX4" s="3">
        <f>'Parámetros Caudal Bajo'!L13</f>
        <v>2.3017884914463452E-2</v>
      </c>
      <c r="EY4" s="3">
        <f t="shared" ref="EY4:EY8" si="12">EX4/EX$9</f>
        <v>0.1010886469673406</v>
      </c>
      <c r="EZ4" s="3">
        <f>'Parámetros Caudal Bajo'!M13</f>
        <v>-1</v>
      </c>
      <c r="FA4"/>
      <c r="FB4" s="19"/>
      <c r="FC4" s="2">
        <f>'Parámetros Caudal Bajo'!D23</f>
        <v>1.95E-2</v>
      </c>
      <c r="FD4" s="3">
        <f t="shared" ref="FD4:FD8" si="13">FC4/FC$9</f>
        <v>0.10108864696734059</v>
      </c>
      <c r="FE4" s="2">
        <f>'Parámetros Caudal Bajo'!F23</f>
        <v>-0.61921179121287062</v>
      </c>
    </row>
    <row r="5" spans="1:161" x14ac:dyDescent="0.3">
      <c r="A5" t="s">
        <v>265</v>
      </c>
      <c r="B5">
        <v>50</v>
      </c>
      <c r="C5" s="97">
        <v>43242</v>
      </c>
      <c r="D5" t="s">
        <v>4</v>
      </c>
      <c r="E5">
        <v>4890995</v>
      </c>
      <c r="F5" s="137">
        <v>475</v>
      </c>
      <c r="G5" s="137"/>
      <c r="H5" s="154"/>
      <c r="I5" s="98"/>
      <c r="J5" s="98"/>
      <c r="K5"/>
      <c r="L5"/>
      <c r="M5"/>
      <c r="P5" s="108"/>
      <c r="Q5" s="138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40"/>
      <c r="AU5" s="141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A5" s="143"/>
      <c r="CB5" s="143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3"/>
      <c r="EM5" s="143"/>
      <c r="EU5" s="94" t="s">
        <v>110</v>
      </c>
      <c r="EV5" s="94" t="s">
        <v>3</v>
      </c>
      <c r="EX5" s="3">
        <f>'Parámetros Caudal Bajo'!L14</f>
        <v>3.7772939346811814E-2</v>
      </c>
      <c r="EY5" s="3">
        <f t="shared" si="12"/>
        <v>0.16588906168999482</v>
      </c>
      <c r="EZ5" s="3">
        <f>'Parámetros Caudal Bajo'!M14</f>
        <v>-0.25490000000000002</v>
      </c>
      <c r="FA5" s="5"/>
      <c r="FB5"/>
      <c r="FC5" s="2">
        <f>'Parámetros Caudal Bajo'!D24</f>
        <v>3.2000000000000001E-2</v>
      </c>
      <c r="FD5" s="3">
        <f t="shared" si="13"/>
        <v>0.16588906168999482</v>
      </c>
      <c r="FE5" s="2">
        <f>'Parámetros Caudal Bajo'!F24</f>
        <v>1.5959102199875598E-2</v>
      </c>
    </row>
    <row r="6" spans="1:161" x14ac:dyDescent="0.3">
      <c r="A6" t="s">
        <v>265</v>
      </c>
      <c r="B6">
        <v>38</v>
      </c>
      <c r="C6" s="97">
        <v>43667</v>
      </c>
      <c r="D6" t="s">
        <v>4</v>
      </c>
      <c r="E6">
        <v>60023862</v>
      </c>
      <c r="F6" s="30">
        <v>1459</v>
      </c>
      <c r="G6" s="137"/>
      <c r="H6" s="154"/>
      <c r="I6" s="98"/>
      <c r="J6" s="98"/>
      <c r="K6"/>
      <c r="L6"/>
      <c r="M6"/>
      <c r="P6" s="108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40"/>
      <c r="AU6" s="141"/>
      <c r="AV6" s="143"/>
      <c r="AW6" s="143"/>
      <c r="AX6" s="143"/>
      <c r="AY6" s="143"/>
      <c r="AZ6" s="143"/>
      <c r="BA6" s="143"/>
      <c r="BB6" s="143"/>
      <c r="BC6" s="143"/>
      <c r="BD6" s="143"/>
      <c r="BE6" s="143"/>
      <c r="BF6" s="143"/>
      <c r="BG6" s="143"/>
      <c r="BH6" s="143"/>
      <c r="BI6" s="143"/>
      <c r="BJ6" s="143"/>
      <c r="BK6" s="143"/>
      <c r="BL6" s="143"/>
      <c r="BM6" s="143"/>
      <c r="BN6" s="143"/>
      <c r="BO6" s="143"/>
      <c r="BP6" s="143"/>
      <c r="BQ6" s="143"/>
      <c r="BR6" s="143"/>
      <c r="BS6" s="143"/>
      <c r="BT6" s="143"/>
      <c r="BU6" s="143"/>
      <c r="BV6" s="143"/>
      <c r="BW6" s="143"/>
      <c r="BX6" s="143"/>
      <c r="BY6" s="143"/>
      <c r="BZ6" s="143"/>
      <c r="CA6" s="143"/>
      <c r="CB6" s="143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3"/>
      <c r="EM6" s="143"/>
      <c r="EU6" s="94" t="s">
        <v>111</v>
      </c>
      <c r="EV6" s="94" t="s">
        <v>4</v>
      </c>
      <c r="EX6" s="3">
        <f>'Parámetros Caudal Bajo'!L15</f>
        <v>5.8311975116640741E-2</v>
      </c>
      <c r="EY6" s="3">
        <f t="shared" si="12"/>
        <v>0.25609123898392949</v>
      </c>
      <c r="EZ6" s="3">
        <f>'Parámetros Caudal Bajo'!M15</f>
        <v>-1.0699999999999999E-2</v>
      </c>
      <c r="FA6" s="5"/>
      <c r="FB6"/>
      <c r="FC6" s="2">
        <f>'Parámetros Caudal Bajo'!D25</f>
        <v>4.9399999999999999E-2</v>
      </c>
      <c r="FD6" s="3">
        <f t="shared" si="13"/>
        <v>0.25609123898392949</v>
      </c>
      <c r="FE6" s="2">
        <f>'Parámetros Caudal Bajo'!F25</f>
        <v>-4.5377283366632548E-2</v>
      </c>
    </row>
    <row r="7" spans="1:161" x14ac:dyDescent="0.3">
      <c r="A7" t="s">
        <v>249</v>
      </c>
      <c r="B7">
        <v>50</v>
      </c>
      <c r="C7" s="97">
        <v>43790</v>
      </c>
      <c r="D7" t="s">
        <v>4</v>
      </c>
      <c r="E7">
        <v>60247264</v>
      </c>
      <c r="F7" s="30">
        <v>1038</v>
      </c>
      <c r="G7" s="137"/>
      <c r="H7" s="154"/>
      <c r="I7" s="98"/>
      <c r="J7" s="98"/>
      <c r="K7"/>
      <c r="L7"/>
      <c r="M7"/>
      <c r="P7" s="108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40"/>
      <c r="AU7" s="141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  <c r="BT7" s="143"/>
      <c r="BU7" s="143"/>
      <c r="BV7" s="143"/>
      <c r="BW7" s="143"/>
      <c r="BX7" s="143"/>
      <c r="BY7" s="143"/>
      <c r="BZ7" s="143"/>
      <c r="CA7" s="143"/>
      <c r="CB7" s="143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3"/>
      <c r="EM7" s="143"/>
      <c r="EU7" s="94" t="s">
        <v>112</v>
      </c>
      <c r="EV7" s="94" t="s">
        <v>4</v>
      </c>
      <c r="EX7" s="3">
        <f>'Parámetros Caudal Bajo'!L16</f>
        <v>5.5479004665629848E-2</v>
      </c>
      <c r="EY7" s="3">
        <f t="shared" si="12"/>
        <v>0.24364955935717988</v>
      </c>
      <c r="EZ7" s="3">
        <f>'Parámetros Caudal Bajo'!M16</f>
        <v>-0.01</v>
      </c>
      <c r="FA7" s="5"/>
      <c r="FB7"/>
      <c r="FC7" s="2">
        <f>'Parámetros Caudal Bajo'!D26</f>
        <v>4.7E-2</v>
      </c>
      <c r="FD7" s="3">
        <f t="shared" si="13"/>
        <v>0.24364955935717986</v>
      </c>
      <c r="FE7" s="2">
        <f>'Parámetros Caudal Bajo'!F26</f>
        <v>-3.9707567753776797E-2</v>
      </c>
    </row>
    <row r="8" spans="1:161" x14ac:dyDescent="0.3">
      <c r="A8" t="s">
        <v>265</v>
      </c>
      <c r="B8">
        <v>50</v>
      </c>
      <c r="C8" s="97">
        <v>43817</v>
      </c>
      <c r="D8" t="s">
        <v>4</v>
      </c>
      <c r="E8">
        <v>942340</v>
      </c>
      <c r="F8" s="30">
        <v>1517</v>
      </c>
      <c r="G8" s="137"/>
      <c r="H8" s="154"/>
      <c r="I8" s="98"/>
      <c r="J8" s="98"/>
      <c r="K8"/>
      <c r="L8"/>
      <c r="M8"/>
      <c r="P8" s="108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40"/>
      <c r="AU8" s="141"/>
      <c r="AV8" s="143"/>
      <c r="AW8" s="143"/>
      <c r="AX8" s="143"/>
      <c r="AY8" s="143"/>
      <c r="AZ8" s="143"/>
      <c r="BA8" s="143"/>
      <c r="BB8" s="143"/>
      <c r="BC8" s="143"/>
      <c r="BD8" s="143"/>
      <c r="BE8" s="143"/>
      <c r="BF8" s="143"/>
      <c r="BG8" s="143"/>
      <c r="BH8" s="143"/>
      <c r="BI8" s="143"/>
      <c r="BJ8" s="143"/>
      <c r="BK8" s="143"/>
      <c r="BL8" s="143"/>
      <c r="BM8" s="143"/>
      <c r="BN8" s="143"/>
      <c r="BO8" s="143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3"/>
      <c r="CA8" s="143"/>
      <c r="CB8" s="143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3"/>
      <c r="EM8" s="143"/>
      <c r="EU8" s="94" t="s">
        <v>113</v>
      </c>
      <c r="EV8" s="94" t="s">
        <v>4</v>
      </c>
      <c r="EX8" s="3">
        <f>'Parámetros Caudal Bajo'!L17</f>
        <v>4.579968895800933E-2</v>
      </c>
      <c r="EY8" s="3">
        <f t="shared" si="12"/>
        <v>0.20114048729911874</v>
      </c>
      <c r="EZ8" s="3">
        <f>'Parámetros Caudal Bajo'!M17</f>
        <v>-4.4999999999999997E-3</v>
      </c>
      <c r="FA8"/>
      <c r="FB8"/>
      <c r="FC8" s="2">
        <f>'Parámetros Caudal Bajo'!D27</f>
        <v>3.8800000000000001E-2</v>
      </c>
      <c r="FD8" s="3">
        <f t="shared" si="13"/>
        <v>0.20114048729911871</v>
      </c>
      <c r="FE8" s="2">
        <f>'Parámetros Caudal Bajo'!F27</f>
        <v>-3.3491398777255363E-2</v>
      </c>
    </row>
    <row r="9" spans="1:161" x14ac:dyDescent="0.3">
      <c r="A9" t="s">
        <v>265</v>
      </c>
      <c r="B9">
        <v>50</v>
      </c>
      <c r="C9" s="97">
        <v>43294</v>
      </c>
      <c r="D9" t="s">
        <v>4</v>
      </c>
      <c r="E9">
        <v>60091707</v>
      </c>
      <c r="F9" s="30">
        <v>178</v>
      </c>
      <c r="G9" s="137"/>
      <c r="H9" s="154"/>
      <c r="I9" s="98"/>
      <c r="J9" s="98"/>
      <c r="K9"/>
      <c r="L9"/>
      <c r="M9"/>
      <c r="P9" s="108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40"/>
      <c r="AU9" s="141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  <c r="BT9" s="143"/>
      <c r="BU9" s="143"/>
      <c r="BV9" s="143"/>
      <c r="BW9" s="143"/>
      <c r="BX9" s="143"/>
      <c r="BY9" s="143"/>
      <c r="BZ9" s="143"/>
      <c r="CA9" s="143"/>
      <c r="CB9" s="143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3"/>
      <c r="EM9" s="143"/>
      <c r="EU9" s="94" t="s">
        <v>114</v>
      </c>
      <c r="EV9" s="94" t="s">
        <v>4</v>
      </c>
      <c r="EX9" s="109">
        <f>SUM(EX3:EX8)</f>
        <v>0.22769999999999996</v>
      </c>
      <c r="EY9"/>
      <c r="FC9" s="109">
        <f>SUM(FC3:FC8)</f>
        <v>0.19290000000000002</v>
      </c>
    </row>
    <row r="10" spans="1:161" x14ac:dyDescent="0.3">
      <c r="A10" t="s">
        <v>265</v>
      </c>
      <c r="B10">
        <v>50</v>
      </c>
      <c r="C10" s="97">
        <v>43392</v>
      </c>
      <c r="D10" t="s">
        <v>4</v>
      </c>
      <c r="E10">
        <v>60176753</v>
      </c>
      <c r="F10" s="137">
        <v>663</v>
      </c>
      <c r="G10" s="137"/>
      <c r="H10" s="154"/>
      <c r="I10" s="98"/>
      <c r="J10" s="98"/>
      <c r="K10"/>
      <c r="L10"/>
      <c r="M10"/>
      <c r="P10" s="108"/>
      <c r="Q10" s="138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40"/>
      <c r="AU10" s="141"/>
      <c r="AV10" s="143"/>
      <c r="AW10" s="143"/>
      <c r="AX10" s="143"/>
      <c r="AY10" s="143"/>
      <c r="AZ10" s="143"/>
      <c r="BA10" s="143"/>
      <c r="BB10" s="143"/>
      <c r="BC10" s="143"/>
      <c r="BD10" s="143"/>
      <c r="BE10" s="143"/>
      <c r="BF10" s="143"/>
      <c r="BG10" s="143"/>
      <c r="BH10" s="143"/>
      <c r="BI10" s="143"/>
      <c r="BJ10" s="143"/>
      <c r="BK10" s="143"/>
      <c r="BL10" s="143"/>
      <c r="BM10" s="143"/>
      <c r="BN10" s="143"/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/>
      <c r="CA10" s="143"/>
      <c r="CB10" s="143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3"/>
      <c r="EM10" s="143"/>
      <c r="EU10" s="94" t="s">
        <v>115</v>
      </c>
      <c r="EV10" s="94" t="s">
        <v>4</v>
      </c>
      <c r="EX10"/>
      <c r="EY10"/>
    </row>
    <row r="11" spans="1:161" x14ac:dyDescent="0.3">
      <c r="A11" t="s">
        <v>265</v>
      </c>
      <c r="B11">
        <v>50</v>
      </c>
      <c r="C11" s="97">
        <v>43392</v>
      </c>
      <c r="D11" t="s">
        <v>4</v>
      </c>
      <c r="E11">
        <v>876295</v>
      </c>
      <c r="F11" s="30">
        <v>116</v>
      </c>
      <c r="G11" s="137"/>
      <c r="H11" s="154"/>
      <c r="I11" s="98"/>
      <c r="J11" s="98"/>
      <c r="K11"/>
      <c r="L11"/>
      <c r="M11"/>
      <c r="P11" s="108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40"/>
      <c r="AU11" s="141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45"/>
      <c r="EC11" s="145"/>
      <c r="ED11" s="145"/>
      <c r="EE11" s="145"/>
      <c r="EF11" s="145"/>
      <c r="EG11" s="145"/>
      <c r="EH11" s="145"/>
      <c r="EI11" s="145"/>
      <c r="EJ11" s="145"/>
      <c r="EK11" s="145"/>
      <c r="EL11" s="143"/>
      <c r="EM11" s="143"/>
      <c r="EU11" s="94" t="s">
        <v>116</v>
      </c>
      <c r="EV11" s="94" t="s">
        <v>7</v>
      </c>
      <c r="EX11"/>
      <c r="EY11"/>
      <c r="EZ11" s="1" t="s">
        <v>37</v>
      </c>
      <c r="FA11"/>
      <c r="FB11"/>
      <c r="FC11"/>
      <c r="FD11"/>
      <c r="FE11" s="1" t="s">
        <v>38</v>
      </c>
    </row>
    <row r="12" spans="1:161" x14ac:dyDescent="0.3">
      <c r="A12" t="s">
        <v>265</v>
      </c>
      <c r="B12">
        <v>50</v>
      </c>
      <c r="C12" s="97">
        <v>43393</v>
      </c>
      <c r="D12" t="s">
        <v>4</v>
      </c>
      <c r="E12">
        <v>186207</v>
      </c>
      <c r="F12" s="30">
        <v>21</v>
      </c>
      <c r="G12" s="137"/>
      <c r="H12" s="154"/>
      <c r="I12" s="98"/>
      <c r="J12" s="98"/>
      <c r="K12"/>
      <c r="L12"/>
      <c r="M12"/>
      <c r="P12" s="108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40"/>
      <c r="AU12" s="141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3"/>
      <c r="EM12" s="143"/>
      <c r="EX12" s="1" t="s">
        <v>24</v>
      </c>
      <c r="EY12" s="1" t="s">
        <v>54</v>
      </c>
      <c r="EZ12" s="1" t="s">
        <v>36</v>
      </c>
      <c r="FA12"/>
      <c r="FB12"/>
      <c r="FC12" s="1" t="s">
        <v>24</v>
      </c>
      <c r="FD12" s="1" t="s">
        <v>54</v>
      </c>
      <c r="FE12" s="1" t="s">
        <v>36</v>
      </c>
    </row>
    <row r="13" spans="1:161" x14ac:dyDescent="0.3">
      <c r="A13" t="s">
        <v>265</v>
      </c>
      <c r="B13">
        <v>50</v>
      </c>
      <c r="C13" s="97">
        <v>43393</v>
      </c>
      <c r="D13" t="s">
        <v>4</v>
      </c>
      <c r="E13">
        <v>60091617</v>
      </c>
      <c r="F13" s="30">
        <v>377</v>
      </c>
      <c r="G13" s="137"/>
      <c r="H13" s="154"/>
      <c r="I13" s="98"/>
      <c r="J13" s="98"/>
      <c r="K13"/>
      <c r="L13"/>
      <c r="M13"/>
      <c r="P13" s="108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40"/>
      <c r="AU13" s="141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45"/>
      <c r="EC13" s="145"/>
      <c r="ED13" s="145"/>
      <c r="EE13" s="145"/>
      <c r="EF13" s="145"/>
      <c r="EG13" s="145"/>
      <c r="EH13" s="145"/>
      <c r="EI13" s="145"/>
      <c r="EJ13" s="145"/>
      <c r="EK13" s="145"/>
      <c r="EL13" s="143"/>
      <c r="EM13" s="143"/>
      <c r="EX13" s="3">
        <f>EX3</f>
        <v>7.3185069984447884E-3</v>
      </c>
      <c r="EY13" s="3">
        <f>EX13/EX$19</f>
        <v>3.2141005702436491E-2</v>
      </c>
      <c r="EZ13" s="3">
        <f>EZ3</f>
        <v>-1</v>
      </c>
      <c r="FA13" s="5">
        <f>+SUMPRODUCT(EY13:EY18,EZ13:EZ18)</f>
        <v>-0.18159657853810265</v>
      </c>
      <c r="FB13"/>
      <c r="FC13" s="2">
        <f>'Parámetros Caudal Bajo'!D12</f>
        <v>2.46E-2</v>
      </c>
      <c r="FD13" s="3">
        <f>FC13/FC$19</f>
        <v>0.1080368906455863</v>
      </c>
      <c r="FE13" s="2">
        <f>'Parámetros Caudal Bajo'!F12</f>
        <v>-1</v>
      </c>
    </row>
    <row r="14" spans="1:161" x14ac:dyDescent="0.3">
      <c r="A14" t="s">
        <v>265</v>
      </c>
      <c r="B14">
        <v>50</v>
      </c>
      <c r="C14" s="97">
        <v>43420</v>
      </c>
      <c r="D14" t="s">
        <v>4</v>
      </c>
      <c r="E14">
        <v>60219892</v>
      </c>
      <c r="F14" s="30">
        <v>774</v>
      </c>
      <c r="G14" s="137"/>
      <c r="H14" s="154"/>
      <c r="I14" s="98"/>
      <c r="J14" s="98"/>
      <c r="K14"/>
      <c r="L14"/>
      <c r="M14"/>
      <c r="P14" s="108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40"/>
      <c r="AU14" s="141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3"/>
      <c r="EM14" s="143"/>
      <c r="EX14" s="3">
        <f t="shared" ref="EX14:EX18" si="14">EX4</f>
        <v>2.3017884914463452E-2</v>
      </c>
      <c r="EY14" s="3">
        <f t="shared" ref="EY14:EY18" si="15">EX14/EX$19</f>
        <v>0.1010886469673406</v>
      </c>
      <c r="EZ14" s="3">
        <f t="shared" ref="EZ14:EZ18" si="16">EZ4</f>
        <v>-1</v>
      </c>
      <c r="FA14"/>
      <c r="FB14"/>
      <c r="FC14" s="2">
        <f>'Parámetros Caudal Bajo'!D13</f>
        <v>2.3300000000000001E-2</v>
      </c>
      <c r="FD14" s="3">
        <f t="shared" ref="FD14:FD18" si="17">FC14/FC$19</f>
        <v>0.10232762406675451</v>
      </c>
      <c r="FE14" s="2">
        <f>'Parámetros Caudal Bajo'!F13</f>
        <v>-0.47790136393750049</v>
      </c>
    </row>
    <row r="15" spans="1:161" x14ac:dyDescent="0.3">
      <c r="A15" t="s">
        <v>148</v>
      </c>
      <c r="B15">
        <v>38</v>
      </c>
      <c r="C15" s="97">
        <v>42052</v>
      </c>
      <c r="D15" t="s">
        <v>4</v>
      </c>
      <c r="E15">
        <v>941696</v>
      </c>
      <c r="F15" s="30">
        <v>26</v>
      </c>
      <c r="G15" s="137"/>
      <c r="H15" s="154"/>
      <c r="I15" s="98"/>
      <c r="J15" s="98"/>
      <c r="K15"/>
      <c r="L15"/>
      <c r="M15"/>
      <c r="P15" s="108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40"/>
      <c r="AU15" s="141"/>
      <c r="AV15" s="143"/>
      <c r="AW15" s="143"/>
      <c r="AX15" s="143"/>
      <c r="AY15" s="143"/>
      <c r="AZ15" s="143"/>
      <c r="BA15" s="143"/>
      <c r="BB15" s="143"/>
      <c r="BC15" s="143"/>
      <c r="BD15" s="143"/>
      <c r="BE15" s="143"/>
      <c r="BF15" s="143"/>
      <c r="BG15" s="143"/>
      <c r="BH15" s="143"/>
      <c r="BI15" s="143"/>
      <c r="BJ15" s="143"/>
      <c r="BK15" s="143"/>
      <c r="BL15" s="143"/>
      <c r="BM15" s="143"/>
      <c r="BN15" s="143"/>
      <c r="BO15" s="143"/>
      <c r="BP15" s="143"/>
      <c r="BQ15" s="143"/>
      <c r="BR15" s="143"/>
      <c r="BS15" s="143"/>
      <c r="BT15" s="143"/>
      <c r="BU15" s="143"/>
      <c r="BV15" s="143"/>
      <c r="BW15" s="143"/>
      <c r="BX15" s="143"/>
      <c r="BY15" s="143"/>
      <c r="BZ15" s="143"/>
      <c r="CA15" s="143"/>
      <c r="CB15" s="143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3"/>
      <c r="EM15" s="143"/>
      <c r="EX15" s="3">
        <f t="shared" si="14"/>
        <v>3.7772939346811814E-2</v>
      </c>
      <c r="EY15" s="3">
        <f t="shared" si="15"/>
        <v>0.16588906168999482</v>
      </c>
      <c r="EZ15" s="3">
        <f t="shared" si="16"/>
        <v>-0.25490000000000002</v>
      </c>
      <c r="FA15"/>
      <c r="FB15"/>
      <c r="FC15" s="2">
        <f>'Parámetros Caudal Bajo'!D14</f>
        <v>4.3499999999999997E-2</v>
      </c>
      <c r="FD15" s="3">
        <f t="shared" si="17"/>
        <v>0.19104084321475626</v>
      </c>
      <c r="FE15" s="2">
        <f>'Parámetros Caudal Bajo'!F14</f>
        <v>-0.12841097634730703</v>
      </c>
    </row>
    <row r="16" spans="1:161" x14ac:dyDescent="0.3">
      <c r="A16" t="s">
        <v>265</v>
      </c>
      <c r="B16">
        <v>38</v>
      </c>
      <c r="C16" s="97">
        <v>42058</v>
      </c>
      <c r="D16" t="s">
        <v>4</v>
      </c>
      <c r="E16">
        <v>1192961</v>
      </c>
      <c r="F16" s="30">
        <v>139</v>
      </c>
      <c r="G16" s="137"/>
      <c r="H16" s="154"/>
      <c r="I16" s="98"/>
      <c r="J16" s="98"/>
      <c r="K16"/>
      <c r="L16"/>
      <c r="M16"/>
      <c r="P16" s="108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40"/>
      <c r="AU16" s="141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3"/>
      <c r="EM16" s="143"/>
      <c r="EX16" s="3">
        <f t="shared" si="14"/>
        <v>5.8311975116640741E-2</v>
      </c>
      <c r="EY16" s="3">
        <f t="shared" si="15"/>
        <v>0.25609123898392949</v>
      </c>
      <c r="EZ16" s="3">
        <f t="shared" si="16"/>
        <v>-1.0699999999999999E-2</v>
      </c>
      <c r="FA16"/>
      <c r="FB16"/>
      <c r="FC16" s="2">
        <f>'Parámetros Caudal Bajo'!D15</f>
        <v>5.6099999999999997E-2</v>
      </c>
      <c r="FD16" s="3">
        <f t="shared" si="17"/>
        <v>0.24637681159420291</v>
      </c>
      <c r="FE16" s="2">
        <f>'Parámetros Caudal Bajo'!F15</f>
        <v>-4.3902022398413211E-2</v>
      </c>
    </row>
    <row r="17" spans="1:161" x14ac:dyDescent="0.3">
      <c r="A17" t="s">
        <v>148</v>
      </c>
      <c r="B17">
        <v>50</v>
      </c>
      <c r="C17" s="97">
        <v>42067</v>
      </c>
      <c r="D17" t="s">
        <v>4</v>
      </c>
      <c r="E17">
        <v>941724</v>
      </c>
      <c r="F17" s="30">
        <v>35</v>
      </c>
      <c r="G17" s="137"/>
      <c r="H17" s="154"/>
      <c r="I17" s="98"/>
      <c r="J17" s="98"/>
      <c r="K17"/>
      <c r="L17"/>
      <c r="M17"/>
      <c r="P17" s="108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40"/>
      <c r="AU17" s="141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143"/>
      <c r="CB17" s="143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  <c r="CT17" s="145"/>
      <c r="CU17" s="145"/>
      <c r="CV17" s="145"/>
      <c r="CW17" s="145"/>
      <c r="CX17" s="145"/>
      <c r="CY17" s="145"/>
      <c r="CZ17" s="145"/>
      <c r="DA17" s="145"/>
      <c r="DB17" s="145"/>
      <c r="DC17" s="145"/>
      <c r="DD17" s="145"/>
      <c r="DE17" s="145"/>
      <c r="DF17" s="145"/>
      <c r="DG17" s="145"/>
      <c r="DH17" s="145"/>
      <c r="DI17" s="145"/>
      <c r="DJ17" s="145"/>
      <c r="DK17" s="145"/>
      <c r="DL17" s="145"/>
      <c r="DM17" s="145"/>
      <c r="DN17" s="145"/>
      <c r="DO17" s="145"/>
      <c r="DP17" s="145"/>
      <c r="DQ17" s="145"/>
      <c r="DR17" s="145"/>
      <c r="DS17" s="145"/>
      <c r="DT17" s="145"/>
      <c r="DU17" s="145"/>
      <c r="DV17" s="145"/>
      <c r="DW17" s="145"/>
      <c r="DX17" s="145"/>
      <c r="DY17" s="145"/>
      <c r="DZ17" s="145"/>
      <c r="EA17" s="145"/>
      <c r="EB17" s="145"/>
      <c r="EC17" s="145"/>
      <c r="ED17" s="145"/>
      <c r="EE17" s="145"/>
      <c r="EF17" s="145"/>
      <c r="EG17" s="145"/>
      <c r="EH17" s="145"/>
      <c r="EI17" s="145"/>
      <c r="EJ17" s="145"/>
      <c r="EK17" s="145"/>
      <c r="EL17" s="143"/>
      <c r="EM17" s="143"/>
      <c r="EX17" s="3">
        <f t="shared" si="14"/>
        <v>5.5479004665629848E-2</v>
      </c>
      <c r="EY17" s="3">
        <f t="shared" si="15"/>
        <v>0.24364955935717988</v>
      </c>
      <c r="EZ17" s="3">
        <f t="shared" si="16"/>
        <v>-0.01</v>
      </c>
      <c r="FA17"/>
      <c r="FB17"/>
      <c r="FC17" s="2">
        <f>'Parámetros Caudal Bajo'!D16</f>
        <v>4.0800000000000003E-2</v>
      </c>
      <c r="FD17" s="3">
        <f t="shared" si="17"/>
        <v>0.17918313570487485</v>
      </c>
      <c r="FE17" s="2">
        <f>'Parámetros Caudal Bajo'!F16</f>
        <v>-3.8521993059984896E-2</v>
      </c>
    </row>
    <row r="18" spans="1:161" x14ac:dyDescent="0.3">
      <c r="A18" t="s">
        <v>148</v>
      </c>
      <c r="B18">
        <v>38</v>
      </c>
      <c r="C18" s="97">
        <v>42067</v>
      </c>
      <c r="D18" t="s">
        <v>4</v>
      </c>
      <c r="E18">
        <v>343315</v>
      </c>
      <c r="F18" s="30">
        <v>4</v>
      </c>
      <c r="G18" s="137"/>
      <c r="H18" s="154"/>
      <c r="I18" s="98"/>
      <c r="J18" s="98"/>
      <c r="K18"/>
      <c r="L18"/>
      <c r="M18"/>
      <c r="P18" s="108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40"/>
      <c r="AU18" s="141"/>
      <c r="AV18" s="143"/>
      <c r="AW18" s="143"/>
      <c r="AX18" s="143"/>
      <c r="AY18" s="143"/>
      <c r="AZ18" s="143"/>
      <c r="BA18" s="143"/>
      <c r="BB18" s="143"/>
      <c r="BC18" s="143"/>
      <c r="BD18" s="143"/>
      <c r="BE18" s="143"/>
      <c r="BF18" s="143"/>
      <c r="BG18" s="143"/>
      <c r="BH18" s="143"/>
      <c r="BI18" s="143"/>
      <c r="BJ18" s="143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143"/>
      <c r="CA18" s="143"/>
      <c r="CB18" s="143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3"/>
      <c r="EM18" s="143"/>
      <c r="EX18" s="3">
        <f t="shared" si="14"/>
        <v>4.579968895800933E-2</v>
      </c>
      <c r="EY18" s="3">
        <f t="shared" si="15"/>
        <v>0.20114048729911874</v>
      </c>
      <c r="EZ18" s="3">
        <f t="shared" si="16"/>
        <v>-4.4999999999999997E-3</v>
      </c>
      <c r="FA18"/>
      <c r="FB18"/>
      <c r="FC18" s="2">
        <f>'Parámetros Caudal Bajo'!D17</f>
        <v>3.9399999999999998E-2</v>
      </c>
      <c r="FD18" s="3">
        <f t="shared" si="17"/>
        <v>0.17303469477382522</v>
      </c>
      <c r="FE18" s="2">
        <f>'Parámetros Caudal Bajo'!F17</f>
        <v>-3.2623430636415957E-2</v>
      </c>
    </row>
    <row r="19" spans="1:161" x14ac:dyDescent="0.3">
      <c r="A19" t="s">
        <v>148</v>
      </c>
      <c r="B19">
        <v>38</v>
      </c>
      <c r="C19" s="97">
        <v>42067</v>
      </c>
      <c r="D19" t="s">
        <v>4</v>
      </c>
      <c r="E19">
        <v>345513</v>
      </c>
      <c r="F19" s="30">
        <v>15</v>
      </c>
      <c r="G19" s="137"/>
      <c r="H19" s="154"/>
      <c r="I19" s="98"/>
      <c r="J19" s="98"/>
      <c r="K19"/>
      <c r="L19"/>
      <c r="M19"/>
      <c r="P19" s="108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40"/>
      <c r="AU19" s="141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143"/>
      <c r="CA19" s="143"/>
      <c r="CB19" s="143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3"/>
      <c r="EM19" s="143"/>
      <c r="EX19" s="109">
        <f>SUM(EX13:EX18)</f>
        <v>0.22769999999999996</v>
      </c>
      <c r="FC19" s="109">
        <f>SUM(FC13:FC18)</f>
        <v>0.22769999999999999</v>
      </c>
    </row>
    <row r="20" spans="1:161" x14ac:dyDescent="0.3">
      <c r="A20" t="s">
        <v>265</v>
      </c>
      <c r="B20">
        <v>38</v>
      </c>
      <c r="C20" s="97">
        <v>42167</v>
      </c>
      <c r="D20" t="s">
        <v>4</v>
      </c>
      <c r="E20">
        <v>4299684</v>
      </c>
      <c r="F20" s="30">
        <v>56</v>
      </c>
      <c r="G20" s="137"/>
      <c r="H20" s="154"/>
      <c r="I20" s="98"/>
      <c r="J20" s="98"/>
      <c r="K20"/>
      <c r="L20"/>
      <c r="M20"/>
      <c r="P20" s="108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40"/>
      <c r="AU20" s="141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143"/>
      <c r="CA20" s="143"/>
      <c r="CB20" s="143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  <c r="CT20" s="145"/>
      <c r="CU20" s="145"/>
      <c r="CV20" s="145"/>
      <c r="CW20" s="145"/>
      <c r="CX20" s="145"/>
      <c r="CY20" s="145"/>
      <c r="CZ20" s="145"/>
      <c r="DA20" s="145"/>
      <c r="DB20" s="145"/>
      <c r="DC20" s="145"/>
      <c r="DD20" s="145"/>
      <c r="DE20" s="145"/>
      <c r="DF20" s="145"/>
      <c r="DG20" s="145"/>
      <c r="DH20" s="145"/>
      <c r="DI20" s="145"/>
      <c r="DJ20" s="145"/>
      <c r="DK20" s="145"/>
      <c r="DL20" s="145"/>
      <c r="DM20" s="145"/>
      <c r="DN20" s="145"/>
      <c r="DO20" s="145"/>
      <c r="DP20" s="145"/>
      <c r="DQ20" s="145"/>
      <c r="DR20" s="145"/>
      <c r="DS20" s="145"/>
      <c r="DT20" s="145"/>
      <c r="DU20" s="145"/>
      <c r="DV20" s="145"/>
      <c r="DW20" s="145"/>
      <c r="DX20" s="145"/>
      <c r="DY20" s="145"/>
      <c r="DZ20" s="145"/>
      <c r="EA20" s="145"/>
      <c r="EB20" s="145"/>
      <c r="EC20" s="145"/>
      <c r="ED20" s="145"/>
      <c r="EE20" s="145"/>
      <c r="EF20" s="145"/>
      <c r="EG20" s="145"/>
      <c r="EH20" s="145"/>
      <c r="EI20" s="145"/>
      <c r="EJ20" s="145"/>
      <c r="EK20" s="145"/>
      <c r="EL20" s="143"/>
      <c r="EM20" s="143"/>
      <c r="EX20"/>
      <c r="EZ20" s="30" t="s">
        <v>147</v>
      </c>
      <c r="FA20" s="30" t="s">
        <v>4</v>
      </c>
    </row>
    <row r="21" spans="1:161" x14ac:dyDescent="0.3">
      <c r="A21" t="s">
        <v>265</v>
      </c>
      <c r="B21">
        <v>38</v>
      </c>
      <c r="C21" s="97">
        <v>42167</v>
      </c>
      <c r="D21" t="s">
        <v>4</v>
      </c>
      <c r="E21">
        <v>4632450</v>
      </c>
      <c r="F21" s="30">
        <v>53</v>
      </c>
      <c r="G21" s="137"/>
      <c r="H21" s="154"/>
      <c r="I21" s="98"/>
      <c r="J21" s="98"/>
      <c r="K21"/>
      <c r="L21"/>
      <c r="M21"/>
      <c r="P21" s="108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40"/>
      <c r="AU21" s="141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143"/>
      <c r="CA21" s="143"/>
      <c r="CB21" s="143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3"/>
      <c r="EM21" s="143"/>
      <c r="EX21"/>
      <c r="EZ21" s="30" t="s">
        <v>141</v>
      </c>
      <c r="FA21" s="30">
        <v>25</v>
      </c>
    </row>
    <row r="22" spans="1:161" x14ac:dyDescent="0.3">
      <c r="A22" t="s">
        <v>265</v>
      </c>
      <c r="B22">
        <v>38</v>
      </c>
      <c r="C22" s="97">
        <v>42439</v>
      </c>
      <c r="D22" t="s">
        <v>4</v>
      </c>
      <c r="E22">
        <v>60136755</v>
      </c>
      <c r="F22" s="30">
        <v>20</v>
      </c>
      <c r="G22" s="137"/>
      <c r="H22" s="154"/>
      <c r="I22" s="98"/>
      <c r="J22" s="98"/>
      <c r="K22"/>
      <c r="L22"/>
      <c r="M22"/>
      <c r="P22" s="108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40"/>
      <c r="AU22" s="141"/>
      <c r="AV22" s="143"/>
      <c r="AW22" s="143"/>
      <c r="AX22" s="143"/>
      <c r="AY22" s="143"/>
      <c r="AZ22" s="143"/>
      <c r="BA22" s="143"/>
      <c r="BB22" s="143"/>
      <c r="BC22" s="143"/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3"/>
      <c r="EM22" s="143"/>
      <c r="EX22" s="1" t="s">
        <v>24</v>
      </c>
      <c r="EY22" s="1" t="s">
        <v>54</v>
      </c>
      <c r="EZ22" s="1" t="s">
        <v>36</v>
      </c>
      <c r="FA22" s="1" t="s">
        <v>36</v>
      </c>
    </row>
    <row r="23" spans="1:161" x14ac:dyDescent="0.3">
      <c r="A23" t="s">
        <v>265</v>
      </c>
      <c r="B23">
        <v>80</v>
      </c>
      <c r="C23" s="97">
        <v>41547</v>
      </c>
      <c r="D23" t="s">
        <v>4</v>
      </c>
      <c r="E23">
        <v>4321139</v>
      </c>
      <c r="F23" s="30">
        <v>1226</v>
      </c>
      <c r="G23" s="137"/>
      <c r="H23" s="154"/>
      <c r="I23" s="98"/>
      <c r="J23" s="98"/>
      <c r="K23"/>
      <c r="L23"/>
      <c r="M23"/>
      <c r="P23" s="108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40"/>
      <c r="AU23" s="141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3"/>
      <c r="EM23" s="143"/>
      <c r="EX23" s="3">
        <f>'Parámetros Caudal Bajo'!L32</f>
        <v>9.9692307692307684E-3</v>
      </c>
      <c r="EY23" s="3">
        <f>EX23/EX$29</f>
        <v>5.5944055944055937E-2</v>
      </c>
      <c r="EZ23" s="2">
        <f>'Parámetros Caudal Bajo'!E12</f>
        <v>-1</v>
      </c>
      <c r="FA23" s="2">
        <f>'Parámetros Caudal Bajo'!M32</f>
        <v>-1</v>
      </c>
    </row>
    <row r="24" spans="1:161" x14ac:dyDescent="0.3">
      <c r="A24" t="s">
        <v>249</v>
      </c>
      <c r="B24">
        <v>38</v>
      </c>
      <c r="C24" s="97">
        <v>40829</v>
      </c>
      <c r="D24" t="s">
        <v>4</v>
      </c>
      <c r="E24">
        <v>450387</v>
      </c>
      <c r="F24" s="30">
        <v>103</v>
      </c>
      <c r="G24" s="137"/>
      <c r="H24" s="154"/>
      <c r="I24" s="98"/>
      <c r="J24" s="98"/>
      <c r="K24"/>
      <c r="L24"/>
      <c r="M24"/>
      <c r="P24" s="108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40"/>
      <c r="AU24" s="141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3"/>
      <c r="EM24" s="143"/>
      <c r="EX24" s="3">
        <f>'Parámetros Caudal Bajo'!L33</f>
        <v>1.26E-2</v>
      </c>
      <c r="EY24" s="3">
        <f t="shared" ref="EY24:EY28" si="18">EX24/EX$29</f>
        <v>7.0707070707070704E-2</v>
      </c>
      <c r="EZ24" s="2">
        <f>'Parámetros Caudal Bajo'!E13</f>
        <v>-1</v>
      </c>
      <c r="FA24" s="2">
        <f>'Parámetros Caudal Bajo'!M33</f>
        <v>-1</v>
      </c>
    </row>
    <row r="25" spans="1:161" x14ac:dyDescent="0.3">
      <c r="A25" t="s">
        <v>265</v>
      </c>
      <c r="B25">
        <v>100</v>
      </c>
      <c r="C25" s="97">
        <v>40394</v>
      </c>
      <c r="D25" t="s">
        <v>3</v>
      </c>
      <c r="E25">
        <v>4251566</v>
      </c>
      <c r="F25" s="30">
        <v>1227</v>
      </c>
      <c r="G25" s="137"/>
      <c r="H25" s="154"/>
      <c r="I25" s="98"/>
      <c r="J25" s="98"/>
      <c r="K25"/>
      <c r="L25"/>
      <c r="M25"/>
      <c r="P25" s="108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40"/>
      <c r="AU25" s="141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3"/>
      <c r="EM25" s="143"/>
      <c r="EX25" s="3">
        <f>'Parámetros Caudal Bajo'!L34</f>
        <v>1.246153846153846E-2</v>
      </c>
      <c r="EY25" s="3">
        <f t="shared" si="18"/>
        <v>6.9930069930069921E-2</v>
      </c>
      <c r="EZ25" s="2">
        <f>'Parámetros Caudal Bajo'!E14</f>
        <v>-0.58040000000000003</v>
      </c>
      <c r="FA25" s="2">
        <f>'Parámetros Caudal Bajo'!M34</f>
        <v>-1</v>
      </c>
    </row>
    <row r="26" spans="1:161" x14ac:dyDescent="0.3">
      <c r="A26" t="s">
        <v>265</v>
      </c>
      <c r="B26">
        <v>38</v>
      </c>
      <c r="C26" s="97">
        <v>40574</v>
      </c>
      <c r="D26" t="s">
        <v>3</v>
      </c>
      <c r="E26">
        <v>4692419</v>
      </c>
      <c r="F26" s="30">
        <v>70</v>
      </c>
      <c r="G26" s="137"/>
      <c r="H26" s="154"/>
      <c r="I26" s="98"/>
      <c r="J26" s="98"/>
      <c r="K26"/>
      <c r="L26"/>
      <c r="M26"/>
      <c r="P26" s="108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40"/>
      <c r="AU26" s="141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3"/>
      <c r="EM26" s="143"/>
      <c r="EX26" s="3">
        <f>'Parámetros Caudal Bajo'!L35</f>
        <v>4.4030769230769227E-2</v>
      </c>
      <c r="EY26" s="3">
        <f t="shared" si="18"/>
        <v>0.24708624708624707</v>
      </c>
      <c r="EZ26" s="2">
        <f>'Parámetros Caudal Bajo'!E15</f>
        <v>-0.28000000000000003</v>
      </c>
      <c r="FA26" s="2">
        <f>'Parámetros Caudal Bajo'!M35</f>
        <v>-0.14069999999999999</v>
      </c>
    </row>
    <row r="27" spans="1:161" x14ac:dyDescent="0.3">
      <c r="A27" t="s">
        <v>265</v>
      </c>
      <c r="B27">
        <v>38</v>
      </c>
      <c r="C27" s="97">
        <v>39940</v>
      </c>
      <c r="D27" t="s">
        <v>3</v>
      </c>
      <c r="E27">
        <v>3929972</v>
      </c>
      <c r="F27" s="30">
        <v>369</v>
      </c>
      <c r="G27" s="137"/>
      <c r="H27" s="154"/>
      <c r="I27" s="98"/>
      <c r="J27" s="98"/>
      <c r="K27"/>
      <c r="L27"/>
      <c r="M27"/>
      <c r="P27" s="108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40"/>
      <c r="AU27" s="141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3"/>
      <c r="EM27" s="143"/>
      <c r="EX27" s="3">
        <f>'Parámetros Caudal Bajo'!L36</f>
        <v>4.3753846153846157E-2</v>
      </c>
      <c r="EY27" s="3">
        <f t="shared" si="18"/>
        <v>0.24553224553224556</v>
      </c>
      <c r="EZ27" s="2">
        <f>'Parámetros Caudal Bajo'!E16</f>
        <v>-9.7000000000000003E-3</v>
      </c>
      <c r="FA27" s="2">
        <f>'Parámetros Caudal Bajo'!M36</f>
        <v>-3.3300000000000003E-2</v>
      </c>
    </row>
    <row r="28" spans="1:161" x14ac:dyDescent="0.3">
      <c r="A28" t="s">
        <v>265</v>
      </c>
      <c r="B28">
        <v>38</v>
      </c>
      <c r="C28" s="97">
        <v>39940</v>
      </c>
      <c r="D28" t="s">
        <v>3</v>
      </c>
      <c r="E28">
        <v>402087</v>
      </c>
      <c r="F28" s="30">
        <v>47</v>
      </c>
      <c r="G28" s="137"/>
      <c r="H28" s="154"/>
      <c r="I28" s="98"/>
      <c r="J28" s="98"/>
      <c r="K28"/>
      <c r="L28"/>
      <c r="M28"/>
      <c r="P28" s="108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40"/>
      <c r="AU28" s="141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3"/>
      <c r="EM28" s="143"/>
      <c r="EX28" s="3">
        <f>'Parámetros Caudal Bajo'!L37</f>
        <v>5.5384615384615379E-2</v>
      </c>
      <c r="EY28" s="3">
        <f t="shared" si="18"/>
        <v>0.31080031080031079</v>
      </c>
      <c r="EZ28" s="2">
        <f>'Parámetros Caudal Bajo'!E17</f>
        <v>-5.5999999999999999E-3</v>
      </c>
      <c r="FA28" s="2">
        <f>'Parámetros Caudal Bajo'!M37</f>
        <v>-7.4000000000000003E-3</v>
      </c>
    </row>
    <row r="29" spans="1:161" x14ac:dyDescent="0.3">
      <c r="A29" t="s">
        <v>265</v>
      </c>
      <c r="B29">
        <v>50</v>
      </c>
      <c r="C29" s="97">
        <v>44134</v>
      </c>
      <c r="D29" t="s">
        <v>3</v>
      </c>
      <c r="E29">
        <v>942305</v>
      </c>
      <c r="F29" s="30">
        <v>819</v>
      </c>
      <c r="G29" s="137"/>
      <c r="H29" s="154"/>
      <c r="I29" s="98"/>
      <c r="J29" s="98"/>
      <c r="K29"/>
      <c r="L29"/>
      <c r="M29"/>
      <c r="P29" s="108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40"/>
      <c r="AU29" s="141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143"/>
      <c r="CA29" s="143"/>
      <c r="CB29" s="143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3"/>
      <c r="EM29" s="143"/>
      <c r="EX29" s="109">
        <f>SUM(EX23:EX28)</f>
        <v>0.1782</v>
      </c>
    </row>
    <row r="30" spans="1:161" x14ac:dyDescent="0.3">
      <c r="A30" t="s">
        <v>265</v>
      </c>
      <c r="B30">
        <v>38</v>
      </c>
      <c r="C30" s="97">
        <v>43192</v>
      </c>
      <c r="D30" t="s">
        <v>3</v>
      </c>
      <c r="E30">
        <v>60203556</v>
      </c>
      <c r="F30" s="30">
        <v>38</v>
      </c>
      <c r="G30" s="137"/>
      <c r="H30" s="154"/>
      <c r="I30" s="98"/>
      <c r="J30" s="98"/>
      <c r="K30"/>
      <c r="L30"/>
      <c r="M30"/>
      <c r="P30" s="108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40"/>
      <c r="AU30" s="141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143"/>
      <c r="CA30" s="143"/>
      <c r="CB30" s="143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3"/>
      <c r="EM30" s="143"/>
      <c r="EX30"/>
    </row>
    <row r="31" spans="1:161" x14ac:dyDescent="0.3">
      <c r="A31" s="30" t="s">
        <v>265</v>
      </c>
      <c r="B31" s="30">
        <v>50</v>
      </c>
      <c r="C31" s="30">
        <v>38930</v>
      </c>
      <c r="D31" s="30" t="s">
        <v>3</v>
      </c>
      <c r="E31" s="30">
        <v>348908</v>
      </c>
      <c r="F31" s="30">
        <v>129</v>
      </c>
    </row>
    <row r="32" spans="1:161" x14ac:dyDescent="0.3">
      <c r="A32" s="30" t="s">
        <v>265</v>
      </c>
      <c r="B32" s="30">
        <v>38</v>
      </c>
      <c r="C32" s="30">
        <v>40046</v>
      </c>
      <c r="D32" s="30" t="s">
        <v>3</v>
      </c>
      <c r="E32" s="30">
        <v>89152</v>
      </c>
      <c r="F32" s="30">
        <v>150</v>
      </c>
    </row>
    <row r="33" spans="1:6" x14ac:dyDescent="0.3">
      <c r="A33" s="30" t="s">
        <v>265</v>
      </c>
      <c r="B33" s="30">
        <v>50</v>
      </c>
      <c r="C33" s="30">
        <v>38651</v>
      </c>
      <c r="D33" s="30" t="s">
        <v>3</v>
      </c>
      <c r="E33" s="30">
        <v>941878</v>
      </c>
      <c r="F33" s="30">
        <v>182</v>
      </c>
    </row>
    <row r="34" spans="1:6" x14ac:dyDescent="0.3">
      <c r="A34" s="30" t="s">
        <v>265</v>
      </c>
      <c r="B34" s="30">
        <v>38</v>
      </c>
      <c r="C34" s="30">
        <v>40532</v>
      </c>
      <c r="D34" s="30" t="s">
        <v>3</v>
      </c>
      <c r="E34" s="30">
        <v>942018</v>
      </c>
      <c r="F34" s="30">
        <v>652</v>
      </c>
    </row>
    <row r="35" spans="1:6" x14ac:dyDescent="0.3">
      <c r="A35" s="30" t="s">
        <v>265</v>
      </c>
      <c r="B35" s="30">
        <v>50</v>
      </c>
      <c r="C35" s="30">
        <v>38805</v>
      </c>
      <c r="D35" s="30" t="s">
        <v>3</v>
      </c>
      <c r="E35" s="30">
        <v>346899</v>
      </c>
      <c r="F35" s="30">
        <v>225</v>
      </c>
    </row>
    <row r="36" spans="1:6" x14ac:dyDescent="0.3">
      <c r="A36" s="30" t="s">
        <v>265</v>
      </c>
      <c r="B36" s="30">
        <v>50</v>
      </c>
      <c r="C36" s="30">
        <v>40588</v>
      </c>
      <c r="D36" s="30" t="s">
        <v>3</v>
      </c>
      <c r="E36" s="30">
        <v>4757771</v>
      </c>
      <c r="F36" s="30">
        <v>267</v>
      </c>
    </row>
    <row r="37" spans="1:6" x14ac:dyDescent="0.3">
      <c r="A37" s="30" t="s">
        <v>242</v>
      </c>
      <c r="B37" s="30">
        <v>38</v>
      </c>
      <c r="C37" s="30">
        <v>36285</v>
      </c>
      <c r="D37" s="30" t="s">
        <v>2</v>
      </c>
      <c r="E37" s="30">
        <v>1260798</v>
      </c>
      <c r="F37" s="30">
        <v>21</v>
      </c>
    </row>
    <row r="38" spans="1:6" x14ac:dyDescent="0.3">
      <c r="A38" s="30" t="s">
        <v>265</v>
      </c>
      <c r="B38" s="30">
        <v>38</v>
      </c>
      <c r="C38" s="30">
        <v>39193</v>
      </c>
      <c r="D38" s="30" t="s">
        <v>3</v>
      </c>
      <c r="E38" s="30">
        <v>4370811</v>
      </c>
      <c r="F38" s="30">
        <v>14</v>
      </c>
    </row>
    <row r="39" spans="1:6" x14ac:dyDescent="0.3">
      <c r="A39" s="30" t="s">
        <v>148</v>
      </c>
      <c r="B39" s="30">
        <v>38</v>
      </c>
      <c r="C39" s="30">
        <v>38072</v>
      </c>
      <c r="D39" s="30" t="s">
        <v>3</v>
      </c>
      <c r="E39" s="30">
        <v>3954262</v>
      </c>
      <c r="F39" s="30">
        <v>22</v>
      </c>
    </row>
    <row r="40" spans="1:6" x14ac:dyDescent="0.3">
      <c r="A40" s="30" t="s">
        <v>265</v>
      </c>
      <c r="B40" s="30">
        <v>38</v>
      </c>
      <c r="C40" s="30">
        <v>40179</v>
      </c>
      <c r="D40" s="30" t="s">
        <v>3</v>
      </c>
      <c r="E40" s="30">
        <v>4991018</v>
      </c>
      <c r="F40" s="30">
        <v>4</v>
      </c>
    </row>
    <row r="41" spans="1:6" x14ac:dyDescent="0.3">
      <c r="A41" s="30" t="s">
        <v>265</v>
      </c>
      <c r="B41" s="30">
        <v>38</v>
      </c>
      <c r="C41" s="30">
        <v>40463</v>
      </c>
      <c r="D41" s="30" t="s">
        <v>3</v>
      </c>
      <c r="E41" s="30">
        <v>5108709</v>
      </c>
      <c r="F41" s="30">
        <v>4</v>
      </c>
    </row>
    <row r="42" spans="1:6" x14ac:dyDescent="0.3">
      <c r="A42" s="30" t="s">
        <v>265</v>
      </c>
      <c r="B42" s="30">
        <v>38</v>
      </c>
      <c r="C42" s="30">
        <v>40463</v>
      </c>
      <c r="D42" s="30" t="s">
        <v>3</v>
      </c>
      <c r="E42" s="30">
        <v>5108716</v>
      </c>
      <c r="F42" s="30">
        <v>45</v>
      </c>
    </row>
    <row r="43" spans="1:6" x14ac:dyDescent="0.3">
      <c r="A43" s="30" t="s">
        <v>265</v>
      </c>
      <c r="B43" s="30">
        <v>38</v>
      </c>
      <c r="C43" s="30">
        <v>40463</v>
      </c>
      <c r="D43" s="30" t="s">
        <v>3</v>
      </c>
      <c r="E43" s="30">
        <v>5108723</v>
      </c>
      <c r="F43" s="30">
        <v>23</v>
      </c>
    </row>
    <row r="44" spans="1:6" x14ac:dyDescent="0.3">
      <c r="A44" s="30" t="s">
        <v>265</v>
      </c>
      <c r="B44" s="30">
        <v>38</v>
      </c>
      <c r="C44" s="30">
        <v>39784</v>
      </c>
      <c r="D44" s="30" t="s">
        <v>3</v>
      </c>
      <c r="E44" s="30">
        <v>132482</v>
      </c>
      <c r="F44" s="30">
        <v>18</v>
      </c>
    </row>
    <row r="45" spans="1:6" x14ac:dyDescent="0.3">
      <c r="A45" s="30" t="s">
        <v>265</v>
      </c>
      <c r="B45" s="30">
        <v>80</v>
      </c>
      <c r="C45" s="30">
        <v>42598</v>
      </c>
      <c r="D45" s="30" t="s">
        <v>3</v>
      </c>
      <c r="E45" s="30">
        <v>60132033</v>
      </c>
      <c r="F45" s="30">
        <v>1133</v>
      </c>
    </row>
    <row r="46" spans="1:6" x14ac:dyDescent="0.3">
      <c r="A46" s="30" t="s">
        <v>242</v>
      </c>
      <c r="B46" s="30">
        <v>100</v>
      </c>
      <c r="C46" s="30">
        <v>42641</v>
      </c>
      <c r="D46" s="30" t="s">
        <v>3</v>
      </c>
      <c r="E46" s="30">
        <v>4826168</v>
      </c>
      <c r="F46" s="30">
        <v>256</v>
      </c>
    </row>
    <row r="47" spans="1:6" x14ac:dyDescent="0.3">
      <c r="A47" s="30" t="s">
        <v>249</v>
      </c>
      <c r="B47" s="30">
        <v>38</v>
      </c>
      <c r="C47" s="30">
        <v>42732</v>
      </c>
      <c r="D47" s="30" t="s">
        <v>3</v>
      </c>
      <c r="E47" s="30">
        <v>60174921</v>
      </c>
      <c r="F47" s="30">
        <v>150</v>
      </c>
    </row>
    <row r="48" spans="1:6" x14ac:dyDescent="0.3">
      <c r="A48" s="30" t="s">
        <v>265</v>
      </c>
      <c r="B48" s="30">
        <v>38</v>
      </c>
      <c r="C48" s="30">
        <v>42815</v>
      </c>
      <c r="D48" s="30" t="s">
        <v>3</v>
      </c>
      <c r="E48" s="30">
        <v>1244544</v>
      </c>
      <c r="F48" s="30">
        <v>50</v>
      </c>
    </row>
    <row r="49" spans="1:6" x14ac:dyDescent="0.3">
      <c r="A49" s="30" t="s">
        <v>265</v>
      </c>
      <c r="B49" s="30">
        <v>38</v>
      </c>
      <c r="C49" s="30">
        <v>42846</v>
      </c>
      <c r="D49" s="30" t="s">
        <v>3</v>
      </c>
      <c r="E49" s="30">
        <v>60183339</v>
      </c>
      <c r="F49" s="30">
        <v>18</v>
      </c>
    </row>
    <row r="50" spans="1:6" x14ac:dyDescent="0.3">
      <c r="A50" s="30" t="s">
        <v>265</v>
      </c>
      <c r="B50" s="30">
        <v>38</v>
      </c>
      <c r="C50" s="30">
        <v>42865</v>
      </c>
      <c r="D50" s="30" t="s">
        <v>3</v>
      </c>
      <c r="E50" s="30">
        <v>89964</v>
      </c>
      <c r="F50" s="30">
        <v>90</v>
      </c>
    </row>
    <row r="51" spans="1:6" x14ac:dyDescent="0.3">
      <c r="A51" s="30" t="s">
        <v>265</v>
      </c>
      <c r="B51" s="30">
        <v>38</v>
      </c>
      <c r="C51" s="30">
        <v>42971</v>
      </c>
      <c r="D51" s="30" t="s">
        <v>3</v>
      </c>
      <c r="E51" s="30">
        <v>60189299</v>
      </c>
      <c r="F51" s="30">
        <v>79</v>
      </c>
    </row>
    <row r="52" spans="1:6" x14ac:dyDescent="0.3">
      <c r="A52" s="30" t="s">
        <v>265</v>
      </c>
      <c r="B52" s="30">
        <v>38</v>
      </c>
      <c r="C52" s="30">
        <v>43102</v>
      </c>
      <c r="D52" s="30" t="s">
        <v>3</v>
      </c>
      <c r="E52" s="30">
        <v>512974</v>
      </c>
      <c r="F52" s="30">
        <v>303</v>
      </c>
    </row>
    <row r="53" spans="1:6" x14ac:dyDescent="0.3">
      <c r="A53" s="30" t="s">
        <v>265</v>
      </c>
      <c r="B53" s="30">
        <v>38</v>
      </c>
      <c r="C53" s="30">
        <v>43112</v>
      </c>
      <c r="D53" s="30" t="s">
        <v>3</v>
      </c>
      <c r="E53" s="30">
        <v>1245678</v>
      </c>
      <c r="F53" s="30">
        <v>45</v>
      </c>
    </row>
    <row r="54" spans="1:6" x14ac:dyDescent="0.3">
      <c r="A54" s="30" t="s">
        <v>265</v>
      </c>
      <c r="B54" s="30">
        <v>38</v>
      </c>
      <c r="C54" s="30">
        <v>43118</v>
      </c>
      <c r="D54" s="30" t="s">
        <v>3</v>
      </c>
      <c r="E54" s="30">
        <v>1245685</v>
      </c>
      <c r="F54" s="30">
        <v>59</v>
      </c>
    </row>
    <row r="55" spans="1:6" x14ac:dyDescent="0.3">
      <c r="A55" s="30" t="s">
        <v>265</v>
      </c>
      <c r="B55" s="30">
        <v>38</v>
      </c>
      <c r="C55" s="30">
        <v>43213</v>
      </c>
      <c r="D55" s="30" t="s">
        <v>3</v>
      </c>
      <c r="E55" s="30">
        <v>1245762</v>
      </c>
      <c r="F55" s="30">
        <v>53</v>
      </c>
    </row>
    <row r="56" spans="1:6" x14ac:dyDescent="0.3">
      <c r="A56" s="30" t="s">
        <v>265</v>
      </c>
      <c r="B56" s="30">
        <v>38</v>
      </c>
      <c r="C56" s="30">
        <v>43467</v>
      </c>
      <c r="D56" s="30" t="s">
        <v>3</v>
      </c>
      <c r="E56" s="30">
        <v>294987</v>
      </c>
      <c r="F56" s="30">
        <v>44</v>
      </c>
    </row>
    <row r="57" spans="1:6" x14ac:dyDescent="0.3">
      <c r="A57" s="30" t="s">
        <v>265</v>
      </c>
      <c r="B57" s="30">
        <v>38</v>
      </c>
      <c r="C57" s="30">
        <v>43500</v>
      </c>
      <c r="D57" s="30" t="s">
        <v>3</v>
      </c>
      <c r="E57" s="30">
        <v>1300390</v>
      </c>
      <c r="F57" s="30">
        <v>87</v>
      </c>
    </row>
    <row r="58" spans="1:6" x14ac:dyDescent="0.3">
      <c r="A58" s="30" t="s">
        <v>265</v>
      </c>
      <c r="B58" s="30">
        <v>38</v>
      </c>
      <c r="C58" s="30">
        <v>43509</v>
      </c>
      <c r="D58" s="30" t="s">
        <v>3</v>
      </c>
      <c r="E58" s="30">
        <v>132895</v>
      </c>
      <c r="F58" s="30">
        <v>29</v>
      </c>
    </row>
    <row r="59" spans="1:6" x14ac:dyDescent="0.3">
      <c r="A59" s="30" t="s">
        <v>265</v>
      </c>
      <c r="B59" s="30">
        <v>38</v>
      </c>
      <c r="C59" s="30">
        <v>43347</v>
      </c>
      <c r="D59" s="30" t="s">
        <v>3</v>
      </c>
      <c r="E59" s="30">
        <v>1244838</v>
      </c>
      <c r="F59" s="30">
        <v>27</v>
      </c>
    </row>
    <row r="60" spans="1:6" x14ac:dyDescent="0.3">
      <c r="A60" s="30" t="s">
        <v>249</v>
      </c>
      <c r="B60" s="30">
        <v>38</v>
      </c>
      <c r="C60" s="30">
        <v>42052</v>
      </c>
      <c r="D60" s="30" t="s">
        <v>3</v>
      </c>
      <c r="E60" s="30">
        <v>941815</v>
      </c>
      <c r="F60" s="30">
        <v>83</v>
      </c>
    </row>
    <row r="61" spans="1:6" x14ac:dyDescent="0.3">
      <c r="A61" s="30" t="s">
        <v>148</v>
      </c>
      <c r="B61" s="30">
        <v>38</v>
      </c>
      <c r="C61" s="30">
        <v>42065</v>
      </c>
      <c r="D61" s="30" t="s">
        <v>3</v>
      </c>
      <c r="E61" s="30">
        <v>60121567</v>
      </c>
      <c r="F61" s="30">
        <v>20</v>
      </c>
    </row>
    <row r="62" spans="1:6" x14ac:dyDescent="0.3">
      <c r="A62" s="30" t="s">
        <v>148</v>
      </c>
      <c r="B62" s="30">
        <v>38</v>
      </c>
      <c r="C62" s="30">
        <v>42131</v>
      </c>
      <c r="D62" s="30" t="s">
        <v>3</v>
      </c>
      <c r="E62" s="30">
        <v>60127071</v>
      </c>
      <c r="F62" s="30">
        <v>2</v>
      </c>
    </row>
    <row r="63" spans="1:6" x14ac:dyDescent="0.3">
      <c r="A63" s="30" t="s">
        <v>249</v>
      </c>
      <c r="B63" s="30">
        <v>38</v>
      </c>
      <c r="C63" s="30">
        <v>42131</v>
      </c>
      <c r="D63" s="30" t="s">
        <v>3</v>
      </c>
      <c r="E63" s="30">
        <v>60127153</v>
      </c>
      <c r="F63" s="30">
        <v>101</v>
      </c>
    </row>
    <row r="64" spans="1:6" x14ac:dyDescent="0.3">
      <c r="A64" s="30" t="s">
        <v>249</v>
      </c>
      <c r="B64" s="30">
        <v>38</v>
      </c>
      <c r="C64" s="30">
        <v>42131</v>
      </c>
      <c r="D64" s="30" t="s">
        <v>3</v>
      </c>
      <c r="E64" s="30">
        <v>60127154</v>
      </c>
      <c r="F64" s="30">
        <v>19</v>
      </c>
    </row>
    <row r="65" spans="1:6" x14ac:dyDescent="0.3">
      <c r="A65" s="30" t="s">
        <v>242</v>
      </c>
      <c r="B65" s="30">
        <v>100</v>
      </c>
      <c r="C65" s="30">
        <v>42146</v>
      </c>
      <c r="D65" s="30" t="s">
        <v>3</v>
      </c>
      <c r="E65" s="30">
        <v>384258</v>
      </c>
      <c r="F65" s="30">
        <v>38</v>
      </c>
    </row>
    <row r="66" spans="1:6" x14ac:dyDescent="0.3">
      <c r="A66" s="30" t="s">
        <v>265</v>
      </c>
      <c r="B66" s="30">
        <v>50</v>
      </c>
      <c r="C66" s="30">
        <v>42170</v>
      </c>
      <c r="D66" s="30" t="s">
        <v>3</v>
      </c>
      <c r="E66" s="30">
        <v>60131632</v>
      </c>
      <c r="F66" s="30">
        <v>381</v>
      </c>
    </row>
    <row r="67" spans="1:6" x14ac:dyDescent="0.3">
      <c r="A67" s="30" t="s">
        <v>265</v>
      </c>
      <c r="B67" s="30">
        <v>50</v>
      </c>
      <c r="C67" s="30">
        <v>42194</v>
      </c>
      <c r="D67" s="30" t="s">
        <v>3</v>
      </c>
      <c r="E67" s="30">
        <v>941990</v>
      </c>
      <c r="F67" s="30">
        <v>148</v>
      </c>
    </row>
    <row r="68" spans="1:6" x14ac:dyDescent="0.3">
      <c r="A68" s="30" t="s">
        <v>265</v>
      </c>
      <c r="B68" s="30">
        <v>50</v>
      </c>
      <c r="C68" s="30">
        <v>42208</v>
      </c>
      <c r="D68" s="30" t="s">
        <v>3</v>
      </c>
      <c r="E68" s="30">
        <v>942130</v>
      </c>
      <c r="F68" s="30">
        <v>125</v>
      </c>
    </row>
    <row r="69" spans="1:6" x14ac:dyDescent="0.3">
      <c r="A69" s="30" t="s">
        <v>148</v>
      </c>
      <c r="B69" s="30">
        <v>38</v>
      </c>
      <c r="C69" s="30">
        <v>42227</v>
      </c>
      <c r="D69" s="30" t="s">
        <v>3</v>
      </c>
      <c r="E69" s="30">
        <v>343196</v>
      </c>
      <c r="F69" s="30">
        <v>50</v>
      </c>
    </row>
    <row r="70" spans="1:6" x14ac:dyDescent="0.3">
      <c r="A70" s="30" t="s">
        <v>242</v>
      </c>
      <c r="B70" s="30">
        <v>38</v>
      </c>
      <c r="C70" s="30">
        <v>42247</v>
      </c>
      <c r="D70" s="30" t="s">
        <v>3</v>
      </c>
      <c r="E70" s="30">
        <v>60138373</v>
      </c>
      <c r="F70" s="30">
        <v>37</v>
      </c>
    </row>
    <row r="71" spans="1:6" x14ac:dyDescent="0.3">
      <c r="A71" s="30" t="s">
        <v>242</v>
      </c>
      <c r="B71" s="30">
        <v>50</v>
      </c>
      <c r="C71" s="30">
        <v>42304</v>
      </c>
      <c r="D71" s="30" t="s">
        <v>3</v>
      </c>
      <c r="E71" s="30">
        <v>4826175</v>
      </c>
      <c r="F71" s="30">
        <v>1939</v>
      </c>
    </row>
    <row r="72" spans="1:6" x14ac:dyDescent="0.3">
      <c r="A72" s="30" t="s">
        <v>265</v>
      </c>
      <c r="B72" s="30">
        <v>38</v>
      </c>
      <c r="C72" s="30">
        <v>42325</v>
      </c>
      <c r="D72" s="30" t="s">
        <v>3</v>
      </c>
      <c r="E72" s="30">
        <v>60004642</v>
      </c>
      <c r="F72" s="30">
        <v>124</v>
      </c>
    </row>
    <row r="73" spans="1:6" x14ac:dyDescent="0.3">
      <c r="A73" s="30" t="s">
        <v>249</v>
      </c>
      <c r="B73" s="30">
        <v>100</v>
      </c>
      <c r="C73" s="30">
        <v>42446</v>
      </c>
      <c r="D73" s="30" t="s">
        <v>3</v>
      </c>
      <c r="E73" s="30">
        <v>60149399</v>
      </c>
      <c r="F73" s="30">
        <v>399</v>
      </c>
    </row>
    <row r="74" spans="1:6" x14ac:dyDescent="0.3">
      <c r="A74" s="30" t="s">
        <v>265</v>
      </c>
      <c r="B74" s="30">
        <v>38</v>
      </c>
      <c r="C74" s="30">
        <v>42439</v>
      </c>
      <c r="D74" s="30" t="s">
        <v>3</v>
      </c>
      <c r="E74" s="30">
        <v>60149480</v>
      </c>
      <c r="F74" s="30">
        <v>1</v>
      </c>
    </row>
    <row r="75" spans="1:6" x14ac:dyDescent="0.3">
      <c r="A75" s="30" t="s">
        <v>265</v>
      </c>
      <c r="B75" s="30">
        <v>38</v>
      </c>
      <c r="C75" s="30">
        <v>42439</v>
      </c>
      <c r="D75" s="30" t="s">
        <v>3</v>
      </c>
      <c r="E75" s="30">
        <v>60149481</v>
      </c>
      <c r="F75" s="30">
        <v>1</v>
      </c>
    </row>
    <row r="76" spans="1:6" x14ac:dyDescent="0.3">
      <c r="A76" s="30" t="s">
        <v>265</v>
      </c>
      <c r="B76" s="30">
        <v>38</v>
      </c>
      <c r="C76" s="30">
        <v>42439</v>
      </c>
      <c r="D76" s="30" t="s">
        <v>3</v>
      </c>
      <c r="E76" s="30">
        <v>60149483</v>
      </c>
      <c r="F76" s="30">
        <v>0</v>
      </c>
    </row>
    <row r="77" spans="1:6" x14ac:dyDescent="0.3">
      <c r="A77" s="30" t="s">
        <v>265</v>
      </c>
      <c r="B77" s="30">
        <v>38</v>
      </c>
      <c r="C77" s="30">
        <v>42439</v>
      </c>
      <c r="D77" s="30" t="s">
        <v>3</v>
      </c>
      <c r="E77" s="30">
        <v>60149484</v>
      </c>
      <c r="F77" s="30">
        <v>2</v>
      </c>
    </row>
    <row r="78" spans="1:6" x14ac:dyDescent="0.3">
      <c r="A78" s="30" t="s">
        <v>265</v>
      </c>
      <c r="B78" s="30">
        <v>38</v>
      </c>
      <c r="C78" s="30">
        <v>42439</v>
      </c>
      <c r="D78" s="30" t="s">
        <v>3</v>
      </c>
      <c r="E78" s="30">
        <v>60149485</v>
      </c>
      <c r="F78" s="30">
        <v>2</v>
      </c>
    </row>
    <row r="79" spans="1:6" x14ac:dyDescent="0.3">
      <c r="A79" s="30" t="s">
        <v>265</v>
      </c>
      <c r="B79" s="30">
        <v>38</v>
      </c>
      <c r="C79" s="30">
        <v>42439</v>
      </c>
      <c r="D79" s="30" t="s">
        <v>3</v>
      </c>
      <c r="E79" s="30">
        <v>60149486</v>
      </c>
      <c r="F79" s="30">
        <v>3</v>
      </c>
    </row>
    <row r="80" spans="1:6" x14ac:dyDescent="0.3">
      <c r="A80" s="30" t="s">
        <v>265</v>
      </c>
      <c r="B80" s="30">
        <v>38</v>
      </c>
      <c r="C80" s="30">
        <v>42439</v>
      </c>
      <c r="D80" s="30" t="s">
        <v>3</v>
      </c>
      <c r="E80" s="30">
        <v>60149489</v>
      </c>
      <c r="F80" s="30">
        <v>1</v>
      </c>
    </row>
    <row r="81" spans="1:6" x14ac:dyDescent="0.3">
      <c r="A81" s="30" t="s">
        <v>265</v>
      </c>
      <c r="B81" s="30">
        <v>38</v>
      </c>
      <c r="C81" s="30">
        <v>42439</v>
      </c>
      <c r="D81" s="30" t="s">
        <v>3</v>
      </c>
      <c r="E81" s="30">
        <v>60149490</v>
      </c>
      <c r="F81" s="30">
        <v>1</v>
      </c>
    </row>
    <row r="82" spans="1:6" x14ac:dyDescent="0.3">
      <c r="A82" s="30" t="s">
        <v>265</v>
      </c>
      <c r="B82" s="30">
        <v>50</v>
      </c>
      <c r="C82" s="30">
        <v>41848</v>
      </c>
      <c r="D82" s="30" t="s">
        <v>3</v>
      </c>
      <c r="E82" s="30">
        <v>133581</v>
      </c>
      <c r="F82" s="30">
        <v>239</v>
      </c>
    </row>
    <row r="83" spans="1:6" x14ac:dyDescent="0.3">
      <c r="A83" s="30" t="s">
        <v>148</v>
      </c>
      <c r="B83" s="30">
        <v>50</v>
      </c>
      <c r="C83" s="30">
        <v>41933</v>
      </c>
      <c r="D83" s="30" t="s">
        <v>3</v>
      </c>
      <c r="E83" s="30">
        <v>345478</v>
      </c>
      <c r="F83" s="30">
        <v>20</v>
      </c>
    </row>
    <row r="84" spans="1:6" x14ac:dyDescent="0.3">
      <c r="A84" s="30" t="s">
        <v>265</v>
      </c>
      <c r="B84" s="30">
        <v>50</v>
      </c>
      <c r="C84" s="30">
        <v>41372</v>
      </c>
      <c r="D84" s="30" t="s">
        <v>3</v>
      </c>
      <c r="E84" s="30">
        <v>1245146</v>
      </c>
      <c r="F84" s="30">
        <v>35</v>
      </c>
    </row>
    <row r="85" spans="1:6" x14ac:dyDescent="0.3">
      <c r="A85" s="30" t="s">
        <v>265</v>
      </c>
      <c r="B85" s="30">
        <v>50</v>
      </c>
      <c r="C85" s="30">
        <v>41425</v>
      </c>
      <c r="D85" s="30" t="s">
        <v>3</v>
      </c>
      <c r="E85" s="30">
        <v>1245356</v>
      </c>
      <c r="F85" s="30">
        <v>138</v>
      </c>
    </row>
    <row r="86" spans="1:6" x14ac:dyDescent="0.3">
      <c r="A86" s="30" t="s">
        <v>265</v>
      </c>
      <c r="B86" s="30">
        <v>38</v>
      </c>
      <c r="C86" s="30">
        <v>41618</v>
      </c>
      <c r="D86" s="30" t="s">
        <v>3</v>
      </c>
      <c r="E86" s="30">
        <v>60084375</v>
      </c>
      <c r="F86" s="30">
        <v>552</v>
      </c>
    </row>
    <row r="87" spans="1:6" x14ac:dyDescent="0.3">
      <c r="A87" s="30" t="s">
        <v>265</v>
      </c>
      <c r="B87" s="30">
        <v>50</v>
      </c>
      <c r="C87" s="30">
        <v>41617</v>
      </c>
      <c r="D87" s="30" t="s">
        <v>3</v>
      </c>
      <c r="E87" s="30">
        <v>133672</v>
      </c>
      <c r="F87" s="30">
        <v>267</v>
      </c>
    </row>
    <row r="88" spans="1:6" x14ac:dyDescent="0.3">
      <c r="A88" s="30" t="s">
        <v>249</v>
      </c>
      <c r="B88" s="30">
        <v>38</v>
      </c>
      <c r="C88" s="30">
        <v>41732</v>
      </c>
      <c r="D88" s="30" t="s">
        <v>3</v>
      </c>
      <c r="E88" s="30">
        <v>60093974</v>
      </c>
      <c r="F88" s="30">
        <v>278</v>
      </c>
    </row>
    <row r="89" spans="1:6" x14ac:dyDescent="0.3">
      <c r="A89" s="30" t="s">
        <v>249</v>
      </c>
      <c r="B89" s="30">
        <v>38</v>
      </c>
      <c r="C89" s="30">
        <v>40753</v>
      </c>
      <c r="D89" s="30" t="s">
        <v>3</v>
      </c>
      <c r="E89" s="30">
        <v>988316</v>
      </c>
      <c r="F89" s="30">
        <v>333</v>
      </c>
    </row>
    <row r="90" spans="1:6" x14ac:dyDescent="0.3">
      <c r="A90" s="30" t="s">
        <v>265</v>
      </c>
      <c r="B90" s="30">
        <v>38</v>
      </c>
      <c r="C90" s="30">
        <v>40833</v>
      </c>
      <c r="D90" s="30" t="s">
        <v>3</v>
      </c>
      <c r="E90" s="30">
        <v>241871</v>
      </c>
      <c r="F90" s="30">
        <v>76</v>
      </c>
    </row>
    <row r="91" spans="1:6" x14ac:dyDescent="0.3">
      <c r="A91" s="30" t="s">
        <v>148</v>
      </c>
      <c r="B91" s="30">
        <v>38</v>
      </c>
      <c r="C91" s="30">
        <v>40920</v>
      </c>
      <c r="D91" s="30" t="s">
        <v>3</v>
      </c>
      <c r="E91" s="30">
        <v>4668661</v>
      </c>
      <c r="F91" s="30">
        <v>39</v>
      </c>
    </row>
    <row r="92" spans="1:6" x14ac:dyDescent="0.3">
      <c r="A92" s="30" t="s">
        <v>265</v>
      </c>
      <c r="B92" s="30">
        <v>38</v>
      </c>
      <c r="C92" s="30">
        <v>40981</v>
      </c>
      <c r="D92" s="30" t="s">
        <v>3</v>
      </c>
      <c r="E92" s="30">
        <v>345555</v>
      </c>
      <c r="F92" s="30">
        <v>29</v>
      </c>
    </row>
    <row r="93" spans="1:6" x14ac:dyDescent="0.3">
      <c r="A93" s="30" t="s">
        <v>249</v>
      </c>
      <c r="B93" s="30">
        <v>38</v>
      </c>
      <c r="C93" s="30">
        <v>40981</v>
      </c>
      <c r="D93" s="30" t="s">
        <v>3</v>
      </c>
      <c r="E93" s="30">
        <v>5162539</v>
      </c>
      <c r="F93" s="30">
        <v>200</v>
      </c>
    </row>
    <row r="94" spans="1:6" x14ac:dyDescent="0.3">
      <c r="A94" s="30" t="s">
        <v>265</v>
      </c>
      <c r="B94" s="30">
        <v>75</v>
      </c>
      <c r="C94" s="30">
        <v>40826</v>
      </c>
      <c r="D94" s="30" t="s">
        <v>3</v>
      </c>
      <c r="E94" s="30">
        <v>60019420</v>
      </c>
      <c r="F94" s="30">
        <v>954</v>
      </c>
    </row>
    <row r="95" spans="1:6" x14ac:dyDescent="0.3">
      <c r="A95" s="30" t="s">
        <v>265</v>
      </c>
      <c r="B95" s="30">
        <v>50</v>
      </c>
      <c r="C95" s="30">
        <v>40980</v>
      </c>
      <c r="D95" s="30" t="s">
        <v>3</v>
      </c>
      <c r="E95" s="30">
        <v>60025622</v>
      </c>
      <c r="F95" s="30">
        <v>151</v>
      </c>
    </row>
    <row r="96" spans="1:6" x14ac:dyDescent="0.3">
      <c r="A96" s="30" t="s">
        <v>265</v>
      </c>
      <c r="B96" s="30">
        <v>38</v>
      </c>
      <c r="C96" s="30">
        <v>41079</v>
      </c>
      <c r="D96" s="30" t="s">
        <v>3</v>
      </c>
      <c r="E96" s="30">
        <v>241115</v>
      </c>
      <c r="F96" s="30">
        <v>45</v>
      </c>
    </row>
    <row r="97" spans="1:6" x14ac:dyDescent="0.3">
      <c r="A97" s="30" t="s">
        <v>265</v>
      </c>
      <c r="B97" s="30">
        <v>75</v>
      </c>
      <c r="C97" s="30">
        <v>41118</v>
      </c>
      <c r="D97" s="30" t="s">
        <v>3</v>
      </c>
      <c r="E97" s="30">
        <v>60034197</v>
      </c>
      <c r="F97" s="30">
        <v>2197</v>
      </c>
    </row>
    <row r="98" spans="1:6" x14ac:dyDescent="0.3">
      <c r="A98" s="30" t="s">
        <v>249</v>
      </c>
      <c r="B98" s="30">
        <v>38</v>
      </c>
      <c r="C98" s="30">
        <v>41145</v>
      </c>
      <c r="D98" s="30" t="s">
        <v>3</v>
      </c>
      <c r="E98" s="30">
        <v>60035227</v>
      </c>
      <c r="F98" s="30">
        <v>29</v>
      </c>
    </row>
    <row r="99" spans="1:6" x14ac:dyDescent="0.3">
      <c r="A99" s="30" t="s">
        <v>265</v>
      </c>
      <c r="B99" s="30">
        <v>38</v>
      </c>
      <c r="C99" s="30">
        <v>41281</v>
      </c>
      <c r="D99" s="30" t="s">
        <v>3</v>
      </c>
      <c r="E99" s="30">
        <v>295575</v>
      </c>
      <c r="F99" s="30">
        <v>54</v>
      </c>
    </row>
    <row r="100" spans="1:6" x14ac:dyDescent="0.3">
      <c r="A100" s="30" t="s">
        <v>265</v>
      </c>
      <c r="B100" s="30">
        <v>38</v>
      </c>
      <c r="C100" s="30">
        <v>40704</v>
      </c>
      <c r="D100" s="30" t="s">
        <v>3</v>
      </c>
      <c r="E100" s="30">
        <v>1245615</v>
      </c>
      <c r="F100" s="30">
        <v>38</v>
      </c>
    </row>
    <row r="101" spans="1:6" x14ac:dyDescent="0.3">
      <c r="A101" s="30" t="s">
        <v>265</v>
      </c>
      <c r="B101" s="30">
        <v>38</v>
      </c>
      <c r="C101" s="30">
        <v>40711</v>
      </c>
      <c r="D101" s="30" t="s">
        <v>3</v>
      </c>
      <c r="E101" s="30">
        <v>4655725</v>
      </c>
      <c r="F101" s="30">
        <v>20</v>
      </c>
    </row>
    <row r="102" spans="1:6" x14ac:dyDescent="0.3">
      <c r="A102" s="30" t="s">
        <v>265</v>
      </c>
      <c r="B102" s="30">
        <v>38</v>
      </c>
      <c r="C102" s="30">
        <v>38580</v>
      </c>
      <c r="D102" s="30" t="s">
        <v>3</v>
      </c>
      <c r="E102" s="30">
        <v>605248</v>
      </c>
      <c r="F102" s="30">
        <v>2</v>
      </c>
    </row>
    <row r="103" spans="1:6" x14ac:dyDescent="0.3">
      <c r="A103" s="30" t="s">
        <v>265</v>
      </c>
      <c r="B103" s="30">
        <v>38</v>
      </c>
      <c r="C103" s="30">
        <v>40360</v>
      </c>
      <c r="D103" s="30" t="s">
        <v>3</v>
      </c>
      <c r="E103" s="30">
        <v>5069145</v>
      </c>
      <c r="F103" s="30">
        <v>318</v>
      </c>
    </row>
    <row r="104" spans="1:6" x14ac:dyDescent="0.3">
      <c r="A104" s="30" t="s">
        <v>265</v>
      </c>
      <c r="B104" s="30">
        <v>38</v>
      </c>
      <c r="C104" s="30">
        <v>40433</v>
      </c>
      <c r="D104" s="30" t="s">
        <v>3</v>
      </c>
      <c r="E104" s="30">
        <v>5097719</v>
      </c>
      <c r="F104" s="30">
        <v>31</v>
      </c>
    </row>
    <row r="105" spans="1:6" x14ac:dyDescent="0.3">
      <c r="A105" s="30" t="s">
        <v>148</v>
      </c>
      <c r="B105" s="30">
        <v>38</v>
      </c>
      <c r="C105" s="30">
        <v>37278</v>
      </c>
      <c r="D105" s="30" t="s">
        <v>3</v>
      </c>
      <c r="E105" s="30">
        <v>1390291</v>
      </c>
      <c r="F105" s="30">
        <v>117</v>
      </c>
    </row>
    <row r="106" spans="1:6" x14ac:dyDescent="0.3">
      <c r="A106" s="30" t="s">
        <v>148</v>
      </c>
      <c r="B106" s="30">
        <v>38</v>
      </c>
      <c r="C106" s="30">
        <v>37278</v>
      </c>
      <c r="D106" s="30" t="s">
        <v>3</v>
      </c>
      <c r="E106" s="30">
        <v>1301286</v>
      </c>
      <c r="F106" s="30">
        <v>70</v>
      </c>
    </row>
    <row r="107" spans="1:6" x14ac:dyDescent="0.3">
      <c r="A107" s="30" t="s">
        <v>265</v>
      </c>
      <c r="B107" s="30">
        <v>38</v>
      </c>
      <c r="C107" s="30">
        <v>40584</v>
      </c>
      <c r="D107" s="30" t="s">
        <v>3</v>
      </c>
      <c r="E107" s="30">
        <v>1244873</v>
      </c>
      <c r="F107" s="30">
        <v>356</v>
      </c>
    </row>
    <row r="108" spans="1:6" x14ac:dyDescent="0.3">
      <c r="A108" s="30" t="s">
        <v>265</v>
      </c>
      <c r="B108" s="30">
        <v>38</v>
      </c>
      <c r="C108" s="30">
        <v>40213</v>
      </c>
      <c r="D108" s="30" t="s">
        <v>3</v>
      </c>
      <c r="E108" s="30">
        <v>133567</v>
      </c>
      <c r="F108" s="30">
        <v>16</v>
      </c>
    </row>
    <row r="109" spans="1:6" x14ac:dyDescent="0.3">
      <c r="A109" s="30" t="s">
        <v>265</v>
      </c>
      <c r="B109" s="30">
        <v>38</v>
      </c>
      <c r="C109" s="30">
        <v>43053</v>
      </c>
      <c r="D109" s="30" t="s">
        <v>3</v>
      </c>
      <c r="E109" s="30">
        <v>60195405</v>
      </c>
      <c r="F109" s="30">
        <v>31</v>
      </c>
    </row>
    <row r="110" spans="1:6" x14ac:dyDescent="0.3">
      <c r="A110" s="30" t="s">
        <v>265</v>
      </c>
      <c r="B110" s="30">
        <v>38</v>
      </c>
      <c r="C110" s="30">
        <v>43284</v>
      </c>
      <c r="D110" s="30" t="s">
        <v>3</v>
      </c>
      <c r="E110" s="30">
        <v>60209613</v>
      </c>
      <c r="F110" s="30">
        <v>1</v>
      </c>
    </row>
    <row r="111" spans="1:6" x14ac:dyDescent="0.3">
      <c r="A111" s="30" t="s">
        <v>265</v>
      </c>
      <c r="B111" s="30">
        <v>38</v>
      </c>
      <c r="C111" s="30">
        <v>43308</v>
      </c>
      <c r="D111" s="30" t="s">
        <v>3</v>
      </c>
      <c r="E111" s="30">
        <v>60211467</v>
      </c>
      <c r="F111" s="30">
        <v>25</v>
      </c>
    </row>
    <row r="112" spans="1:6" x14ac:dyDescent="0.3">
      <c r="A112" s="30" t="s">
        <v>249</v>
      </c>
      <c r="B112" s="30">
        <v>38</v>
      </c>
      <c r="C112" s="30">
        <v>43353</v>
      </c>
      <c r="D112" s="30" t="s">
        <v>3</v>
      </c>
      <c r="E112" s="30">
        <v>60214331</v>
      </c>
      <c r="F112" s="30">
        <v>64</v>
      </c>
    </row>
    <row r="113" spans="1:6" x14ac:dyDescent="0.3">
      <c r="A113" s="30" t="s">
        <v>265</v>
      </c>
      <c r="B113" s="30">
        <v>38</v>
      </c>
      <c r="C113" s="30">
        <v>43375</v>
      </c>
      <c r="D113" s="30" t="s">
        <v>3</v>
      </c>
      <c r="E113" s="30">
        <v>60216355</v>
      </c>
      <c r="F113" s="30">
        <v>5</v>
      </c>
    </row>
    <row r="114" spans="1:6" x14ac:dyDescent="0.3">
      <c r="A114" s="30" t="s">
        <v>249</v>
      </c>
      <c r="B114" s="30">
        <v>38</v>
      </c>
      <c r="C114" s="30">
        <v>42254</v>
      </c>
      <c r="D114" s="30" t="s">
        <v>3</v>
      </c>
      <c r="E114" s="30">
        <v>941857</v>
      </c>
      <c r="F114" s="30">
        <v>31</v>
      </c>
    </row>
    <row r="115" spans="1:6" x14ac:dyDescent="0.3">
      <c r="A115" s="30" t="s">
        <v>265</v>
      </c>
      <c r="B115" s="30">
        <v>38</v>
      </c>
      <c r="C115" s="30">
        <v>42422</v>
      </c>
      <c r="D115" s="30" t="s">
        <v>3</v>
      </c>
      <c r="E115" s="30">
        <v>604429</v>
      </c>
      <c r="F115" s="30">
        <v>90</v>
      </c>
    </row>
    <row r="116" spans="1:6" x14ac:dyDescent="0.3">
      <c r="A116" s="30" t="s">
        <v>249</v>
      </c>
      <c r="B116" s="30">
        <v>38</v>
      </c>
      <c r="C116" s="30">
        <v>41699</v>
      </c>
      <c r="D116" s="30" t="s">
        <v>3</v>
      </c>
      <c r="E116" s="30">
        <v>4969794</v>
      </c>
      <c r="F116" s="30">
        <v>26</v>
      </c>
    </row>
    <row r="117" spans="1:6" x14ac:dyDescent="0.3">
      <c r="A117" s="30" t="s">
        <v>265</v>
      </c>
      <c r="B117" s="30">
        <v>38</v>
      </c>
      <c r="C117" s="30">
        <v>40379</v>
      </c>
      <c r="D117" s="30" t="s">
        <v>3</v>
      </c>
      <c r="E117" s="30">
        <v>942431</v>
      </c>
      <c r="F117" s="30">
        <v>28</v>
      </c>
    </row>
    <row r="118" spans="1:6" x14ac:dyDescent="0.3">
      <c r="A118" s="30" t="s">
        <v>265</v>
      </c>
      <c r="B118" s="30">
        <v>38</v>
      </c>
      <c r="C118" s="30">
        <v>40647</v>
      </c>
      <c r="D118" s="30" t="s">
        <v>3</v>
      </c>
      <c r="E118" s="30">
        <v>604121</v>
      </c>
      <c r="F118" s="30">
        <v>17</v>
      </c>
    </row>
    <row r="119" spans="1:6" x14ac:dyDescent="0.3">
      <c r="A119" s="30" t="s">
        <v>265</v>
      </c>
      <c r="B119" s="30">
        <v>38</v>
      </c>
      <c r="C119" s="30">
        <v>40618</v>
      </c>
      <c r="D119" s="30" t="s">
        <v>3</v>
      </c>
      <c r="E119" s="30">
        <v>1038604</v>
      </c>
      <c r="F119" s="30">
        <v>56</v>
      </c>
    </row>
    <row r="120" spans="1:6" x14ac:dyDescent="0.3">
      <c r="A120" s="30" t="s">
        <v>265</v>
      </c>
      <c r="B120" s="30">
        <v>75</v>
      </c>
      <c r="C120" s="30">
        <v>40091</v>
      </c>
      <c r="D120" s="30" t="s">
        <v>3</v>
      </c>
      <c r="E120" s="30">
        <v>4938616</v>
      </c>
      <c r="F120" s="30">
        <v>1816</v>
      </c>
    </row>
    <row r="121" spans="1:6" x14ac:dyDescent="0.3">
      <c r="A121" s="30" t="s">
        <v>265</v>
      </c>
      <c r="B121" s="30">
        <v>75</v>
      </c>
      <c r="C121" s="30">
        <v>40534</v>
      </c>
      <c r="D121" s="30" t="s">
        <v>3</v>
      </c>
      <c r="E121" s="30">
        <v>5139446</v>
      </c>
      <c r="F121" s="30">
        <v>2492</v>
      </c>
    </row>
    <row r="122" spans="1:6" x14ac:dyDescent="0.3">
      <c r="A122" s="30" t="s">
        <v>265</v>
      </c>
      <c r="B122" s="30">
        <v>38</v>
      </c>
      <c r="C122" s="30">
        <v>38296</v>
      </c>
      <c r="D122" s="30" t="s">
        <v>3</v>
      </c>
      <c r="E122" s="30">
        <v>4055566</v>
      </c>
      <c r="F122" s="30">
        <v>43</v>
      </c>
    </row>
    <row r="123" spans="1:6" x14ac:dyDescent="0.3">
      <c r="A123" s="30" t="s">
        <v>265</v>
      </c>
      <c r="B123" s="30">
        <v>38</v>
      </c>
      <c r="C123" s="30">
        <v>39695</v>
      </c>
      <c r="D123" s="30" t="s">
        <v>3</v>
      </c>
      <c r="E123" s="30">
        <v>4735273</v>
      </c>
      <c r="F123" s="30">
        <v>44</v>
      </c>
    </row>
    <row r="124" spans="1:6" x14ac:dyDescent="0.3">
      <c r="A124" s="30" t="s">
        <v>265</v>
      </c>
      <c r="B124" s="30">
        <v>38</v>
      </c>
      <c r="C124" s="30">
        <v>39854</v>
      </c>
      <c r="D124" s="30" t="s">
        <v>3</v>
      </c>
      <c r="E124" s="30">
        <v>4414792</v>
      </c>
      <c r="F124" s="30">
        <v>551</v>
      </c>
    </row>
    <row r="125" spans="1:6" x14ac:dyDescent="0.3">
      <c r="A125" s="30" t="s">
        <v>265</v>
      </c>
      <c r="B125" s="30">
        <v>38</v>
      </c>
      <c r="C125" s="30">
        <v>38619</v>
      </c>
      <c r="D125" s="30" t="s">
        <v>3</v>
      </c>
      <c r="E125" s="30">
        <v>1302889</v>
      </c>
      <c r="F125" s="30">
        <v>265</v>
      </c>
    </row>
    <row r="126" spans="1:6" x14ac:dyDescent="0.3">
      <c r="A126" s="30" t="s">
        <v>265</v>
      </c>
      <c r="B126" s="30">
        <v>38</v>
      </c>
      <c r="C126" s="30">
        <v>38566</v>
      </c>
      <c r="D126" s="30" t="s">
        <v>3</v>
      </c>
      <c r="E126" s="30">
        <v>1144689</v>
      </c>
      <c r="F126" s="30">
        <v>13</v>
      </c>
    </row>
    <row r="127" spans="1:6" x14ac:dyDescent="0.3">
      <c r="A127" s="30" t="s">
        <v>265</v>
      </c>
      <c r="B127" s="30">
        <v>38</v>
      </c>
      <c r="C127" s="30">
        <v>38619</v>
      </c>
      <c r="D127" s="30" t="s">
        <v>3</v>
      </c>
      <c r="E127" s="30">
        <v>1359554</v>
      </c>
      <c r="F127" s="30">
        <v>189</v>
      </c>
    </row>
    <row r="128" spans="1:6" x14ac:dyDescent="0.3">
      <c r="A128" s="30" t="s">
        <v>265</v>
      </c>
      <c r="B128" s="30">
        <v>38</v>
      </c>
      <c r="C128" s="30">
        <v>39716</v>
      </c>
      <c r="D128" s="30" t="s">
        <v>3</v>
      </c>
      <c r="E128" s="30">
        <v>133595</v>
      </c>
      <c r="F128" s="30">
        <v>40</v>
      </c>
    </row>
    <row r="129" spans="1:6" x14ac:dyDescent="0.3">
      <c r="A129" s="30" t="s">
        <v>265</v>
      </c>
      <c r="B129" s="30">
        <v>38</v>
      </c>
      <c r="C129" s="30">
        <v>38542</v>
      </c>
      <c r="D129" s="30" t="s">
        <v>3</v>
      </c>
      <c r="E129" s="30">
        <v>133686</v>
      </c>
      <c r="F129" s="30">
        <v>47</v>
      </c>
    </row>
    <row r="130" spans="1:6" x14ac:dyDescent="0.3">
      <c r="A130" s="30" t="s">
        <v>265</v>
      </c>
      <c r="B130" s="30">
        <v>38</v>
      </c>
      <c r="C130" s="30">
        <v>38551</v>
      </c>
      <c r="D130" s="30" t="s">
        <v>3</v>
      </c>
      <c r="E130" s="30">
        <v>294882</v>
      </c>
      <c r="F130" s="30">
        <v>22</v>
      </c>
    </row>
    <row r="131" spans="1:6" x14ac:dyDescent="0.3">
      <c r="A131" s="30" t="s">
        <v>265</v>
      </c>
      <c r="B131" s="30">
        <v>38</v>
      </c>
      <c r="C131" s="30">
        <v>42075</v>
      </c>
      <c r="D131" s="30" t="s">
        <v>3</v>
      </c>
      <c r="E131" s="30">
        <v>1244950</v>
      </c>
      <c r="F131" s="30">
        <v>57</v>
      </c>
    </row>
    <row r="132" spans="1:6" x14ac:dyDescent="0.3">
      <c r="A132" s="30" t="s">
        <v>265</v>
      </c>
      <c r="B132" s="30">
        <v>100</v>
      </c>
      <c r="C132" s="30">
        <v>42188</v>
      </c>
      <c r="D132" s="30" t="s">
        <v>3</v>
      </c>
      <c r="E132" s="30">
        <v>60049898</v>
      </c>
      <c r="F132" s="30">
        <v>2202</v>
      </c>
    </row>
    <row r="133" spans="1:6" x14ac:dyDescent="0.3">
      <c r="A133" s="30" t="s">
        <v>265</v>
      </c>
      <c r="B133" s="30">
        <v>38</v>
      </c>
      <c r="C133" s="30">
        <v>41870</v>
      </c>
      <c r="D133" s="30" t="s">
        <v>3</v>
      </c>
      <c r="E133" s="30">
        <v>1038597</v>
      </c>
      <c r="F133" s="30">
        <v>62</v>
      </c>
    </row>
    <row r="134" spans="1:6" x14ac:dyDescent="0.3">
      <c r="A134" s="30" t="s">
        <v>265</v>
      </c>
      <c r="B134" s="30">
        <v>80</v>
      </c>
      <c r="C134" s="30">
        <v>41886</v>
      </c>
      <c r="D134" s="30" t="s">
        <v>3</v>
      </c>
      <c r="E134" s="30">
        <v>60049752</v>
      </c>
      <c r="F134" s="30">
        <v>422</v>
      </c>
    </row>
    <row r="135" spans="1:6" x14ac:dyDescent="0.3">
      <c r="A135" s="30" t="s">
        <v>265</v>
      </c>
      <c r="B135" s="30">
        <v>100</v>
      </c>
      <c r="C135" s="30">
        <v>41355</v>
      </c>
      <c r="D135" s="30" t="s">
        <v>3</v>
      </c>
      <c r="E135" s="30">
        <v>60056953</v>
      </c>
      <c r="F135" s="30">
        <v>468</v>
      </c>
    </row>
    <row r="136" spans="1:6" x14ac:dyDescent="0.3">
      <c r="A136" s="30" t="s">
        <v>265</v>
      </c>
      <c r="B136" s="30">
        <v>100</v>
      </c>
      <c r="C136" s="30">
        <v>41431</v>
      </c>
      <c r="D136" s="30" t="s">
        <v>3</v>
      </c>
      <c r="E136" s="30">
        <v>60065775</v>
      </c>
      <c r="F136" s="30">
        <v>569</v>
      </c>
    </row>
    <row r="137" spans="1:6" x14ac:dyDescent="0.3">
      <c r="A137" s="30" t="s">
        <v>265</v>
      </c>
      <c r="B137" s="30">
        <v>38</v>
      </c>
      <c r="C137" s="30">
        <v>41744</v>
      </c>
      <c r="D137" s="30" t="s">
        <v>3</v>
      </c>
      <c r="E137" s="30">
        <v>942361</v>
      </c>
      <c r="F137" s="30">
        <v>275</v>
      </c>
    </row>
    <row r="138" spans="1:6" x14ac:dyDescent="0.3">
      <c r="A138" s="30" t="s">
        <v>265</v>
      </c>
      <c r="B138" s="30">
        <v>38</v>
      </c>
      <c r="C138" s="30">
        <v>40750</v>
      </c>
      <c r="D138" s="30" t="s">
        <v>3</v>
      </c>
      <c r="E138" s="30">
        <v>60003963</v>
      </c>
      <c r="F138" s="30">
        <v>42</v>
      </c>
    </row>
    <row r="139" spans="1:6" x14ac:dyDescent="0.3">
      <c r="A139" s="30" t="s">
        <v>265</v>
      </c>
      <c r="B139" s="30">
        <v>38</v>
      </c>
      <c r="C139" s="30">
        <v>41041</v>
      </c>
      <c r="D139" s="30" t="s">
        <v>3</v>
      </c>
      <c r="E139" s="30">
        <v>1244943</v>
      </c>
      <c r="F139" s="30">
        <v>14</v>
      </c>
    </row>
    <row r="140" spans="1:6" x14ac:dyDescent="0.3">
      <c r="A140" s="30" t="s">
        <v>265</v>
      </c>
      <c r="B140" s="30">
        <v>38</v>
      </c>
      <c r="C140" s="30">
        <v>41251</v>
      </c>
      <c r="D140" s="30" t="s">
        <v>3</v>
      </c>
      <c r="E140" s="30">
        <v>605150</v>
      </c>
      <c r="F140" s="30">
        <v>69</v>
      </c>
    </row>
    <row r="141" spans="1:6" x14ac:dyDescent="0.3">
      <c r="A141" s="30" t="s">
        <v>265</v>
      </c>
      <c r="B141" s="30">
        <v>38</v>
      </c>
      <c r="C141" s="30">
        <v>41295</v>
      </c>
      <c r="D141" s="30" t="s">
        <v>3</v>
      </c>
      <c r="E141" s="30">
        <v>133035</v>
      </c>
      <c r="F141" s="30">
        <v>102</v>
      </c>
    </row>
    <row r="142" spans="1:6" x14ac:dyDescent="0.3">
      <c r="A142" s="30" t="s">
        <v>265</v>
      </c>
      <c r="B142" s="30">
        <v>38</v>
      </c>
      <c r="C142" s="30">
        <v>41316</v>
      </c>
      <c r="D142" s="30" t="s">
        <v>3</v>
      </c>
      <c r="E142" s="30">
        <v>133042</v>
      </c>
      <c r="F142" s="30">
        <v>60</v>
      </c>
    </row>
    <row r="143" spans="1:6" x14ac:dyDescent="0.3">
      <c r="A143" s="30" t="s">
        <v>265</v>
      </c>
      <c r="B143" s="30">
        <v>38</v>
      </c>
      <c r="C143" s="30">
        <v>38619</v>
      </c>
      <c r="D143" s="30" t="s">
        <v>3</v>
      </c>
      <c r="E143" s="30">
        <v>942053</v>
      </c>
      <c r="F143" s="30">
        <v>321</v>
      </c>
    </row>
    <row r="144" spans="1:6" x14ac:dyDescent="0.3">
      <c r="A144" s="30" t="s">
        <v>265</v>
      </c>
      <c r="B144" s="30">
        <v>38</v>
      </c>
      <c r="C144" s="30">
        <v>38547</v>
      </c>
      <c r="D144" s="30" t="s">
        <v>3</v>
      </c>
      <c r="E144" s="30">
        <v>346815</v>
      </c>
      <c r="F144" s="30">
        <v>83</v>
      </c>
    </row>
    <row r="145" spans="1:6" x14ac:dyDescent="0.3">
      <c r="A145" s="30" t="s">
        <v>265</v>
      </c>
      <c r="B145" s="30">
        <v>38</v>
      </c>
      <c r="C145" s="30">
        <v>38721</v>
      </c>
      <c r="D145" s="30" t="s">
        <v>3</v>
      </c>
      <c r="E145" s="30">
        <v>345730</v>
      </c>
      <c r="F145" s="30">
        <v>67</v>
      </c>
    </row>
    <row r="146" spans="1:6" x14ac:dyDescent="0.3">
      <c r="A146" s="30" t="s">
        <v>265</v>
      </c>
      <c r="B146" s="30">
        <v>38</v>
      </c>
      <c r="C146" s="30">
        <v>38619</v>
      </c>
      <c r="D146" s="30" t="s">
        <v>3</v>
      </c>
      <c r="E146" s="30">
        <v>928445</v>
      </c>
      <c r="F146" s="30">
        <v>165</v>
      </c>
    </row>
    <row r="147" spans="1:6" x14ac:dyDescent="0.3">
      <c r="A147" s="30" t="s">
        <v>265</v>
      </c>
      <c r="B147" s="30">
        <v>38</v>
      </c>
      <c r="C147" s="30">
        <v>38619</v>
      </c>
      <c r="D147" s="30" t="s">
        <v>3</v>
      </c>
      <c r="E147" s="30">
        <v>928452</v>
      </c>
      <c r="F147" s="30">
        <v>278</v>
      </c>
    </row>
    <row r="148" spans="1:6" x14ac:dyDescent="0.3">
      <c r="A148" s="30" t="s">
        <v>265</v>
      </c>
      <c r="B148" s="30">
        <v>38</v>
      </c>
      <c r="C148" s="30">
        <v>41051</v>
      </c>
      <c r="D148" s="30" t="s">
        <v>3</v>
      </c>
      <c r="E148" s="30">
        <v>1245552</v>
      </c>
      <c r="F148" s="30">
        <v>11</v>
      </c>
    </row>
    <row r="149" spans="1:6" x14ac:dyDescent="0.3">
      <c r="A149" s="30" t="s">
        <v>265</v>
      </c>
      <c r="B149" s="30">
        <v>38</v>
      </c>
      <c r="C149" s="30">
        <v>39654</v>
      </c>
      <c r="D149" s="30" t="s">
        <v>3</v>
      </c>
      <c r="E149" s="30">
        <v>4607859</v>
      </c>
      <c r="F149" s="30">
        <v>84</v>
      </c>
    </row>
    <row r="150" spans="1:6" x14ac:dyDescent="0.3">
      <c r="A150" s="30" t="s">
        <v>265</v>
      </c>
      <c r="B150" s="30">
        <v>38</v>
      </c>
      <c r="C150" s="30">
        <v>39470</v>
      </c>
      <c r="D150" s="30" t="s">
        <v>3</v>
      </c>
      <c r="E150" s="30">
        <v>4642642</v>
      </c>
      <c r="F150" s="30">
        <v>88</v>
      </c>
    </row>
    <row r="151" spans="1:6" x14ac:dyDescent="0.3">
      <c r="A151" s="30" t="s">
        <v>265</v>
      </c>
      <c r="B151" s="30">
        <v>38</v>
      </c>
      <c r="C151" s="30">
        <v>39563</v>
      </c>
      <c r="D151" s="30" t="s">
        <v>3</v>
      </c>
      <c r="E151" s="30">
        <v>4844165</v>
      </c>
      <c r="F151" s="30">
        <v>121</v>
      </c>
    </row>
    <row r="152" spans="1:6" x14ac:dyDescent="0.3">
      <c r="A152" s="30" t="s">
        <v>265</v>
      </c>
      <c r="B152" s="30">
        <v>38</v>
      </c>
      <c r="C152" s="30">
        <v>37301</v>
      </c>
      <c r="D152" s="30" t="s">
        <v>3</v>
      </c>
      <c r="E152" s="30">
        <v>1245027</v>
      </c>
      <c r="F152" s="30">
        <v>16</v>
      </c>
    </row>
    <row r="153" spans="1:6" x14ac:dyDescent="0.3">
      <c r="A153" s="30" t="s">
        <v>265</v>
      </c>
      <c r="B153" s="30">
        <v>32</v>
      </c>
      <c r="C153" s="30">
        <v>37953</v>
      </c>
      <c r="D153" s="30" t="s">
        <v>3</v>
      </c>
      <c r="E153" s="30">
        <v>133602</v>
      </c>
      <c r="F153" s="30">
        <v>10</v>
      </c>
    </row>
    <row r="154" spans="1:6" x14ac:dyDescent="0.3">
      <c r="A154" s="30" t="s">
        <v>265</v>
      </c>
      <c r="B154" s="30">
        <v>38</v>
      </c>
      <c r="C154" s="30">
        <v>38233</v>
      </c>
      <c r="D154" s="30" t="s">
        <v>3</v>
      </c>
      <c r="E154" s="30">
        <v>241584</v>
      </c>
      <c r="F154" s="30">
        <v>56</v>
      </c>
    </row>
    <row r="155" spans="1:6" x14ac:dyDescent="0.3">
      <c r="A155" s="30" t="s">
        <v>265</v>
      </c>
      <c r="B155" s="30">
        <v>38</v>
      </c>
      <c r="C155" s="30">
        <v>38615</v>
      </c>
      <c r="D155" s="30" t="s">
        <v>3</v>
      </c>
      <c r="E155" s="30">
        <v>876253</v>
      </c>
      <c r="F155" s="30">
        <v>45</v>
      </c>
    </row>
    <row r="156" spans="1:6" x14ac:dyDescent="0.3">
      <c r="A156" s="30" t="s">
        <v>249</v>
      </c>
      <c r="B156" s="30">
        <v>38</v>
      </c>
      <c r="C156" s="30">
        <v>40595</v>
      </c>
      <c r="D156" s="30" t="s">
        <v>3</v>
      </c>
      <c r="E156" s="30">
        <v>941794</v>
      </c>
      <c r="F156" s="30">
        <v>189</v>
      </c>
    </row>
    <row r="157" spans="1:6" x14ac:dyDescent="0.3">
      <c r="A157" s="30" t="s">
        <v>265</v>
      </c>
      <c r="B157" s="30">
        <v>38</v>
      </c>
      <c r="C157" s="30">
        <v>40256</v>
      </c>
      <c r="D157" s="30" t="s">
        <v>3</v>
      </c>
      <c r="E157" s="30">
        <v>696717</v>
      </c>
      <c r="F157" s="30">
        <v>31</v>
      </c>
    </row>
    <row r="158" spans="1:6" x14ac:dyDescent="0.3">
      <c r="A158" s="30" t="s">
        <v>265</v>
      </c>
      <c r="B158" s="30">
        <v>38</v>
      </c>
      <c r="C158" s="30">
        <v>38608</v>
      </c>
      <c r="D158" s="30" t="s">
        <v>3</v>
      </c>
      <c r="E158" s="30">
        <v>604387</v>
      </c>
      <c r="F158" s="30">
        <v>55</v>
      </c>
    </row>
    <row r="159" spans="1:6" x14ac:dyDescent="0.3">
      <c r="A159" s="30" t="s">
        <v>265</v>
      </c>
      <c r="B159" s="30">
        <v>50</v>
      </c>
      <c r="C159" s="30">
        <v>39525</v>
      </c>
      <c r="D159" s="30" t="s">
        <v>3</v>
      </c>
      <c r="E159" s="30">
        <v>604611</v>
      </c>
      <c r="F159" s="30">
        <v>169</v>
      </c>
    </row>
    <row r="160" spans="1:6" x14ac:dyDescent="0.3">
      <c r="A160" s="30" t="s">
        <v>265</v>
      </c>
      <c r="B160" s="30">
        <v>50</v>
      </c>
      <c r="C160" s="30">
        <v>37995</v>
      </c>
      <c r="D160" s="30" t="s">
        <v>3</v>
      </c>
      <c r="E160" s="30">
        <v>604618</v>
      </c>
      <c r="F160" s="30">
        <v>275</v>
      </c>
    </row>
    <row r="161" spans="1:6" x14ac:dyDescent="0.3">
      <c r="A161" s="30" t="s">
        <v>265</v>
      </c>
      <c r="B161" s="30">
        <v>50</v>
      </c>
      <c r="C161" s="30">
        <v>42866</v>
      </c>
      <c r="D161" s="30" t="s">
        <v>4</v>
      </c>
      <c r="E161" s="30">
        <v>3982479</v>
      </c>
      <c r="F161" s="30">
        <v>1178</v>
      </c>
    </row>
    <row r="162" spans="1:6" x14ac:dyDescent="0.3">
      <c r="A162" s="30" t="s">
        <v>265</v>
      </c>
      <c r="B162" s="30">
        <v>50</v>
      </c>
      <c r="C162" s="30">
        <v>40914</v>
      </c>
      <c r="D162" s="30" t="s">
        <v>4</v>
      </c>
      <c r="E162" s="30">
        <v>941955</v>
      </c>
      <c r="F162" s="30">
        <v>150</v>
      </c>
    </row>
    <row r="163" spans="1:6" x14ac:dyDescent="0.3">
      <c r="A163" s="30" t="s">
        <v>265</v>
      </c>
      <c r="B163" s="30">
        <v>50</v>
      </c>
      <c r="C163" s="30">
        <v>40728</v>
      </c>
      <c r="D163" s="30" t="s">
        <v>4</v>
      </c>
      <c r="E163" s="30">
        <v>942347</v>
      </c>
      <c r="F163" s="30">
        <v>116</v>
      </c>
    </row>
    <row r="164" spans="1:6" x14ac:dyDescent="0.3">
      <c r="A164" s="30" t="s">
        <v>249</v>
      </c>
      <c r="B164" s="30">
        <v>50</v>
      </c>
      <c r="C164" s="30">
        <v>39716</v>
      </c>
      <c r="D164" s="30" t="s">
        <v>3</v>
      </c>
      <c r="E164" s="30">
        <v>4826182</v>
      </c>
      <c r="F164" s="30">
        <v>913</v>
      </c>
    </row>
    <row r="165" spans="1:6" x14ac:dyDescent="0.3">
      <c r="A165" s="30" t="s">
        <v>265</v>
      </c>
      <c r="B165" s="30">
        <v>50</v>
      </c>
      <c r="C165" s="30">
        <v>37237</v>
      </c>
      <c r="D165" s="30" t="s">
        <v>2</v>
      </c>
      <c r="E165" s="30">
        <v>1381527</v>
      </c>
      <c r="F165" s="30">
        <v>13</v>
      </c>
    </row>
    <row r="166" spans="1:6" x14ac:dyDescent="0.3">
      <c r="A166" s="30" t="s">
        <v>265</v>
      </c>
      <c r="B166" s="30">
        <v>50</v>
      </c>
      <c r="C166" s="30">
        <v>41870</v>
      </c>
      <c r="D166" s="30" t="s">
        <v>3</v>
      </c>
      <c r="E166" s="30">
        <v>60104051</v>
      </c>
      <c r="F166" s="30">
        <v>1027</v>
      </c>
    </row>
    <row r="167" spans="1:6" x14ac:dyDescent="0.3">
      <c r="A167" s="30" t="s">
        <v>265</v>
      </c>
      <c r="B167" s="30">
        <v>50</v>
      </c>
      <c r="C167" s="30">
        <v>42758</v>
      </c>
      <c r="D167" s="30" t="s">
        <v>111</v>
      </c>
      <c r="E167" s="30">
        <v>60176486</v>
      </c>
      <c r="F167" s="30">
        <v>866</v>
      </c>
    </row>
    <row r="168" spans="1:6" x14ac:dyDescent="0.3">
      <c r="A168" s="30" t="s">
        <v>265</v>
      </c>
      <c r="B168" s="30">
        <v>50</v>
      </c>
      <c r="C168" s="30">
        <v>42900</v>
      </c>
      <c r="D168" s="30" t="s">
        <v>111</v>
      </c>
      <c r="E168" s="30">
        <v>60185230</v>
      </c>
      <c r="F168" s="30">
        <v>376</v>
      </c>
    </row>
    <row r="169" spans="1:6" x14ac:dyDescent="0.3">
      <c r="A169" s="30" t="s">
        <v>265</v>
      </c>
      <c r="B169" s="30">
        <v>80</v>
      </c>
      <c r="C169" s="30">
        <v>42170</v>
      </c>
      <c r="D169" s="30" t="s">
        <v>111</v>
      </c>
      <c r="E169" s="30">
        <v>60131807</v>
      </c>
      <c r="F169" s="30">
        <v>897</v>
      </c>
    </row>
    <row r="170" spans="1:6" x14ac:dyDescent="0.3">
      <c r="A170" s="30" t="s">
        <v>265</v>
      </c>
      <c r="B170" s="30">
        <v>50</v>
      </c>
      <c r="C170" s="30">
        <v>44711</v>
      </c>
      <c r="D170" s="30" t="s">
        <v>4</v>
      </c>
      <c r="E170" s="30">
        <v>60305620</v>
      </c>
      <c r="F170" s="30">
        <v>110</v>
      </c>
    </row>
    <row r="171" spans="1:6" x14ac:dyDescent="0.3">
      <c r="A171" s="30" t="s">
        <v>265</v>
      </c>
      <c r="B171" s="30">
        <v>50</v>
      </c>
      <c r="C171" s="30">
        <v>44417</v>
      </c>
      <c r="D171" s="30" t="s">
        <v>4</v>
      </c>
      <c r="E171" s="30">
        <v>60288867</v>
      </c>
      <c r="F171" s="30">
        <v>862</v>
      </c>
    </row>
    <row r="172" spans="1:6" x14ac:dyDescent="0.3">
      <c r="A172" s="30" t="s">
        <v>265</v>
      </c>
      <c r="B172" s="30">
        <v>80</v>
      </c>
      <c r="C172" s="30">
        <v>44588</v>
      </c>
      <c r="D172" s="30" t="s">
        <v>4</v>
      </c>
      <c r="E172" s="30">
        <v>60298899</v>
      </c>
      <c r="F172" s="30">
        <v>48</v>
      </c>
    </row>
    <row r="173" spans="1:6" x14ac:dyDescent="0.3">
      <c r="A173" s="30" t="s">
        <v>265</v>
      </c>
      <c r="B173" s="30">
        <v>50</v>
      </c>
      <c r="C173" s="30">
        <v>44021</v>
      </c>
      <c r="D173" s="30" t="s">
        <v>4</v>
      </c>
      <c r="E173" s="30">
        <v>60263742</v>
      </c>
      <c r="F173" s="30">
        <v>640</v>
      </c>
    </row>
    <row r="174" spans="1:6" x14ac:dyDescent="0.3">
      <c r="A174" s="30" t="s">
        <v>265</v>
      </c>
      <c r="B174" s="30">
        <v>80</v>
      </c>
      <c r="C174" s="30">
        <v>43601</v>
      </c>
      <c r="D174" s="30" t="s">
        <v>4</v>
      </c>
      <c r="E174" s="30">
        <v>5139439</v>
      </c>
      <c r="F174" s="30">
        <v>2362</v>
      </c>
    </row>
    <row r="175" spans="1:6" x14ac:dyDescent="0.3">
      <c r="A175" s="30" t="s">
        <v>265</v>
      </c>
      <c r="B175" s="30">
        <v>50</v>
      </c>
      <c r="C175" s="30">
        <v>44244</v>
      </c>
      <c r="D175" s="30" t="s">
        <v>4</v>
      </c>
      <c r="E175" s="30">
        <v>60194914</v>
      </c>
      <c r="F175" s="30">
        <v>304</v>
      </c>
    </row>
    <row r="176" spans="1:6" x14ac:dyDescent="0.3">
      <c r="A176" s="30" t="s">
        <v>148</v>
      </c>
      <c r="B176" s="30">
        <v>38</v>
      </c>
      <c r="C176" s="30">
        <v>44608</v>
      </c>
      <c r="D176" s="30" t="s">
        <v>116</v>
      </c>
      <c r="E176" s="30">
        <v>345317</v>
      </c>
      <c r="F176" s="30">
        <v>124</v>
      </c>
    </row>
    <row r="177" spans="1:6" x14ac:dyDescent="0.3">
      <c r="A177" s="30" t="s">
        <v>249</v>
      </c>
      <c r="B177" s="30">
        <v>38</v>
      </c>
      <c r="C177" s="30">
        <v>44216</v>
      </c>
      <c r="D177" s="30" t="s">
        <v>116</v>
      </c>
      <c r="E177" s="30">
        <v>941780</v>
      </c>
      <c r="F177" s="30">
        <v>18</v>
      </c>
    </row>
    <row r="178" spans="1:6" x14ac:dyDescent="0.3">
      <c r="A178" s="30" t="s">
        <v>148</v>
      </c>
      <c r="B178" s="30">
        <v>38</v>
      </c>
      <c r="C178" s="30">
        <v>44138</v>
      </c>
      <c r="D178" s="30" t="s">
        <v>116</v>
      </c>
      <c r="E178" s="30">
        <v>941731</v>
      </c>
      <c r="F178" s="30">
        <v>31</v>
      </c>
    </row>
    <row r="179" spans="1:6" x14ac:dyDescent="0.3">
      <c r="A179" s="30" t="s">
        <v>265</v>
      </c>
      <c r="B179" s="30">
        <v>38</v>
      </c>
      <c r="C179" s="30">
        <v>44244</v>
      </c>
      <c r="D179" s="30" t="s">
        <v>116</v>
      </c>
      <c r="E179" s="30">
        <v>605234</v>
      </c>
      <c r="F179" s="30">
        <v>37</v>
      </c>
    </row>
    <row r="180" spans="1:6" x14ac:dyDescent="0.3">
      <c r="A180" s="30" t="s">
        <v>265</v>
      </c>
      <c r="B180" s="30">
        <v>38</v>
      </c>
      <c r="C180" s="30">
        <v>44000</v>
      </c>
      <c r="D180" s="30" t="s">
        <v>116</v>
      </c>
      <c r="E180" s="30">
        <v>513940</v>
      </c>
      <c r="F180" s="30">
        <v>54</v>
      </c>
    </row>
    <row r="181" spans="1:6" x14ac:dyDescent="0.3">
      <c r="A181" s="30" t="s">
        <v>148</v>
      </c>
      <c r="B181" s="30">
        <v>38</v>
      </c>
      <c r="C181" s="30">
        <v>43774</v>
      </c>
      <c r="D181" s="30" t="s">
        <v>116</v>
      </c>
      <c r="E181" s="30">
        <v>941640</v>
      </c>
      <c r="F181" s="30">
        <v>36</v>
      </c>
    </row>
    <row r="182" spans="1:6" x14ac:dyDescent="0.3">
      <c r="A182" s="30" t="s">
        <v>265</v>
      </c>
      <c r="B182" s="30">
        <v>80</v>
      </c>
      <c r="C182" s="30">
        <v>44482</v>
      </c>
      <c r="D182" s="30" t="s">
        <v>115</v>
      </c>
      <c r="E182" s="30">
        <v>60131924</v>
      </c>
      <c r="F182" s="30">
        <v>0</v>
      </c>
    </row>
    <row r="183" spans="1:6" x14ac:dyDescent="0.3">
      <c r="A183" s="30" t="s">
        <v>265</v>
      </c>
      <c r="B183" s="30">
        <v>80</v>
      </c>
      <c r="C183" s="30">
        <v>43510</v>
      </c>
      <c r="D183" s="30" t="s">
        <v>115</v>
      </c>
      <c r="E183" s="30">
        <v>60228356</v>
      </c>
      <c r="F183" s="30">
        <v>137</v>
      </c>
    </row>
    <row r="184" spans="1:6" x14ac:dyDescent="0.3">
      <c r="A184" s="30" t="s">
        <v>265</v>
      </c>
      <c r="B184" s="30">
        <v>50</v>
      </c>
      <c r="C184" s="30">
        <v>43546</v>
      </c>
      <c r="D184" s="30" t="s">
        <v>115</v>
      </c>
      <c r="E184" s="30">
        <v>60230639</v>
      </c>
      <c r="F184" s="30">
        <v>71</v>
      </c>
    </row>
    <row r="185" spans="1:6" x14ac:dyDescent="0.3">
      <c r="A185" s="30" t="s">
        <v>148</v>
      </c>
      <c r="B185" s="30">
        <v>38</v>
      </c>
      <c r="C185" s="30">
        <v>44236</v>
      </c>
      <c r="D185" s="30" t="s">
        <v>3</v>
      </c>
      <c r="E185" s="30">
        <v>60277205</v>
      </c>
      <c r="F185" s="30">
        <v>0</v>
      </c>
    </row>
    <row r="186" spans="1:6" x14ac:dyDescent="0.3">
      <c r="A186" s="30" t="s">
        <v>265</v>
      </c>
      <c r="B186" s="30">
        <v>38</v>
      </c>
      <c r="C186" s="30">
        <v>44237</v>
      </c>
      <c r="D186" s="30" t="s">
        <v>3</v>
      </c>
      <c r="E186" s="30">
        <v>1244586</v>
      </c>
      <c r="F186" s="30">
        <v>82</v>
      </c>
    </row>
    <row r="187" spans="1:6" x14ac:dyDescent="0.3">
      <c r="A187" s="30" t="s">
        <v>265</v>
      </c>
      <c r="B187" s="30">
        <v>38</v>
      </c>
      <c r="C187" s="30">
        <v>44433</v>
      </c>
      <c r="D187" s="30" t="s">
        <v>3</v>
      </c>
      <c r="E187" s="30">
        <v>294896</v>
      </c>
      <c r="F187" s="30">
        <v>9</v>
      </c>
    </row>
    <row r="188" spans="1:6" x14ac:dyDescent="0.3">
      <c r="A188" s="30" t="s">
        <v>265</v>
      </c>
      <c r="B188" s="30">
        <v>38</v>
      </c>
      <c r="C188" s="30">
        <v>43871</v>
      </c>
      <c r="D188" s="30" t="s">
        <v>3</v>
      </c>
      <c r="E188" s="30">
        <v>90062</v>
      </c>
      <c r="F188" s="30">
        <v>49</v>
      </c>
    </row>
    <row r="189" spans="1:6" x14ac:dyDescent="0.3">
      <c r="A189" s="30" t="s">
        <v>148</v>
      </c>
      <c r="B189" s="30">
        <v>38</v>
      </c>
      <c r="C189" s="30">
        <v>43889</v>
      </c>
      <c r="D189" s="30" t="s">
        <v>3</v>
      </c>
      <c r="E189" s="30">
        <v>345485</v>
      </c>
      <c r="F189" s="30">
        <v>69</v>
      </c>
    </row>
    <row r="190" spans="1:6" x14ac:dyDescent="0.3">
      <c r="A190" s="30" t="s">
        <v>265</v>
      </c>
      <c r="B190" s="30">
        <v>38</v>
      </c>
      <c r="C190" s="30">
        <v>43910</v>
      </c>
      <c r="D190" s="30" t="s">
        <v>3</v>
      </c>
      <c r="E190" s="30">
        <v>1192730</v>
      </c>
      <c r="F190" s="30">
        <v>21</v>
      </c>
    </row>
    <row r="191" spans="1:6" x14ac:dyDescent="0.3">
      <c r="A191" s="30" t="s">
        <v>265</v>
      </c>
      <c r="B191" s="30">
        <v>38</v>
      </c>
      <c r="C191" s="30">
        <v>44166</v>
      </c>
      <c r="D191" s="30" t="s">
        <v>3</v>
      </c>
      <c r="E191" s="30">
        <v>240695</v>
      </c>
      <c r="F191" s="30">
        <v>4</v>
      </c>
    </row>
    <row r="192" spans="1:6" x14ac:dyDescent="0.3">
      <c r="A192" s="30" t="s">
        <v>265</v>
      </c>
      <c r="B192" s="30">
        <v>38</v>
      </c>
      <c r="C192" s="30">
        <v>44201</v>
      </c>
      <c r="D192" s="30" t="s">
        <v>3</v>
      </c>
      <c r="E192" s="30">
        <v>241808</v>
      </c>
      <c r="F192" s="30">
        <v>44</v>
      </c>
    </row>
    <row r="193" spans="1:6" x14ac:dyDescent="0.3">
      <c r="A193" s="30" t="s">
        <v>265</v>
      </c>
      <c r="B193" s="30">
        <v>38</v>
      </c>
      <c r="C193" s="30">
        <v>44022</v>
      </c>
      <c r="D193" s="30" t="s">
        <v>3</v>
      </c>
      <c r="E193" s="30">
        <v>4623518</v>
      </c>
      <c r="F193" s="30">
        <v>53</v>
      </c>
    </row>
    <row r="194" spans="1:6" x14ac:dyDescent="0.3">
      <c r="A194" s="30" t="s">
        <v>249</v>
      </c>
      <c r="B194" s="30">
        <v>38</v>
      </c>
      <c r="C194" s="30">
        <v>43473</v>
      </c>
      <c r="D194" s="30" t="s">
        <v>3</v>
      </c>
      <c r="E194" s="30">
        <v>60225178</v>
      </c>
      <c r="F194" s="30">
        <v>110</v>
      </c>
    </row>
    <row r="195" spans="1:6" x14ac:dyDescent="0.3">
      <c r="A195" s="30" t="s">
        <v>265</v>
      </c>
      <c r="B195" s="30">
        <v>38</v>
      </c>
      <c r="C195" s="30">
        <v>43536</v>
      </c>
      <c r="D195" s="30" t="s">
        <v>3</v>
      </c>
      <c r="E195" s="30">
        <v>604632</v>
      </c>
      <c r="F195" s="30">
        <v>11</v>
      </c>
    </row>
    <row r="196" spans="1:6" x14ac:dyDescent="0.3">
      <c r="A196" s="30" t="s">
        <v>242</v>
      </c>
      <c r="B196" s="30">
        <v>38</v>
      </c>
      <c r="C196" s="30">
        <v>43608</v>
      </c>
      <c r="D196" s="30" t="s">
        <v>3</v>
      </c>
      <c r="E196" s="30">
        <v>60234813</v>
      </c>
      <c r="F196" s="30">
        <v>32</v>
      </c>
    </row>
    <row r="197" spans="1:6" x14ac:dyDescent="0.3">
      <c r="A197" s="30" t="s">
        <v>265</v>
      </c>
      <c r="B197" s="30">
        <v>38</v>
      </c>
      <c r="C197" s="30">
        <v>43643</v>
      </c>
      <c r="D197" s="30" t="s">
        <v>3</v>
      </c>
      <c r="E197" s="30">
        <v>4266763</v>
      </c>
      <c r="F197" s="30">
        <v>77</v>
      </c>
    </row>
    <row r="198" spans="1:6" x14ac:dyDescent="0.3">
      <c r="A198" s="30" t="s">
        <v>148</v>
      </c>
      <c r="B198" s="30">
        <v>38</v>
      </c>
      <c r="C198" s="30">
        <v>43703</v>
      </c>
      <c r="D198" s="30" t="s">
        <v>3</v>
      </c>
      <c r="E198" s="30">
        <v>343112</v>
      </c>
      <c r="F198" s="30">
        <v>25</v>
      </c>
    </row>
    <row r="199" spans="1:6" x14ac:dyDescent="0.3">
      <c r="A199" s="30" t="s">
        <v>265</v>
      </c>
      <c r="B199" s="30">
        <v>38</v>
      </c>
      <c r="C199" s="30">
        <v>43711</v>
      </c>
      <c r="D199" s="30" t="s">
        <v>3</v>
      </c>
      <c r="E199" s="30">
        <v>60243010</v>
      </c>
      <c r="F199" s="30">
        <v>28</v>
      </c>
    </row>
    <row r="200" spans="1:6" x14ac:dyDescent="0.3">
      <c r="A200" s="30" t="s">
        <v>265</v>
      </c>
      <c r="B200" s="30">
        <v>38</v>
      </c>
      <c r="C200" s="30">
        <v>43782</v>
      </c>
      <c r="D200" s="30" t="s">
        <v>3</v>
      </c>
      <c r="E200" s="30">
        <v>60245588</v>
      </c>
      <c r="F200" s="30">
        <v>0</v>
      </c>
    </row>
    <row r="201" spans="1:6" x14ac:dyDescent="0.3">
      <c r="A201" s="30" t="s">
        <v>265</v>
      </c>
      <c r="B201" s="30">
        <v>38</v>
      </c>
      <c r="C201" s="30">
        <v>44748</v>
      </c>
      <c r="D201" s="30" t="s">
        <v>110</v>
      </c>
      <c r="E201" s="30">
        <v>60306941</v>
      </c>
      <c r="F201" s="30">
        <v>40</v>
      </c>
    </row>
  </sheetData>
  <autoFilter ref="A1:EM30" xr:uid="{00000000-0001-0000-0A00-000000000000}"/>
  <sortState xmlns:xlrd2="http://schemas.microsoft.com/office/spreadsheetml/2017/richdata2" ref="EX2:EX15">
    <sortCondition ref="EX2"/>
  </sortState>
  <mergeCells count="1">
    <mergeCell ref="EU1:E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4924-7362-484B-A0D2-445866072727}">
  <dimension ref="A1:G64"/>
  <sheetViews>
    <sheetView showGridLines="0" workbookViewId="0">
      <selection activeCell="G6" sqref="G6"/>
    </sheetView>
  </sheetViews>
  <sheetFormatPr baseColWidth="10" defaultRowHeight="14.4" x14ac:dyDescent="0.3"/>
  <cols>
    <col min="1" max="1" width="9" style="102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</cols>
  <sheetData>
    <row r="1" spans="1:7" x14ac:dyDescent="0.3">
      <c r="A1" s="149" t="s">
        <v>234</v>
      </c>
      <c r="B1" s="149" t="s">
        <v>235</v>
      </c>
      <c r="C1" s="150" t="s">
        <v>236</v>
      </c>
      <c r="D1" s="150" t="s">
        <v>237</v>
      </c>
      <c r="F1" s="149" t="s">
        <v>238</v>
      </c>
      <c r="G1" s="149" t="s">
        <v>239</v>
      </c>
    </row>
    <row r="2" spans="1:7" x14ac:dyDescent="0.3">
      <c r="A2" s="151">
        <v>1</v>
      </c>
      <c r="B2" s="152" t="s">
        <v>148</v>
      </c>
      <c r="C2" s="152" t="s">
        <v>240</v>
      </c>
      <c r="D2" s="153">
        <v>1759.7890044861028</v>
      </c>
      <c r="F2" s="152" t="s">
        <v>241</v>
      </c>
      <c r="G2" s="152" t="s">
        <v>241</v>
      </c>
    </row>
    <row r="3" spans="1:7" x14ac:dyDescent="0.3">
      <c r="A3" s="151">
        <v>1</v>
      </c>
      <c r="B3" s="152" t="s">
        <v>242</v>
      </c>
      <c r="C3" s="152" t="s">
        <v>240</v>
      </c>
      <c r="D3" s="153">
        <v>1759.7890044861028</v>
      </c>
      <c r="F3" s="152" t="s">
        <v>243</v>
      </c>
      <c r="G3" s="152" t="s">
        <v>243</v>
      </c>
    </row>
    <row r="4" spans="1:7" x14ac:dyDescent="0.3">
      <c r="A4" s="151">
        <v>1</v>
      </c>
      <c r="B4" s="152" t="s">
        <v>244</v>
      </c>
      <c r="C4" s="152" t="s">
        <v>240</v>
      </c>
      <c r="D4" s="153">
        <v>1094.0834376633352</v>
      </c>
      <c r="F4" s="152" t="s">
        <v>245</v>
      </c>
      <c r="G4" s="152" t="s">
        <v>245</v>
      </c>
    </row>
    <row r="5" spans="1:7" x14ac:dyDescent="0.3">
      <c r="A5" s="151">
        <v>1</v>
      </c>
      <c r="B5" s="152" t="s">
        <v>246</v>
      </c>
      <c r="C5" s="152" t="s">
        <v>247</v>
      </c>
      <c r="D5" s="153">
        <v>1056.7596910360717</v>
      </c>
      <c r="F5" s="152" t="s">
        <v>248</v>
      </c>
      <c r="G5" s="152" t="s">
        <v>248</v>
      </c>
    </row>
    <row r="6" spans="1:7" x14ac:dyDescent="0.3">
      <c r="A6" s="151">
        <v>1</v>
      </c>
      <c r="B6" s="152" t="s">
        <v>249</v>
      </c>
      <c r="C6" s="152" t="s">
        <v>240</v>
      </c>
      <c r="D6" s="153">
        <v>1759.7890044861028</v>
      </c>
      <c r="F6" s="152" t="s">
        <v>250</v>
      </c>
      <c r="G6" s="152" t="s">
        <v>251</v>
      </c>
    </row>
    <row r="7" spans="1:7" x14ac:dyDescent="0.3">
      <c r="A7" s="151">
        <v>1</v>
      </c>
      <c r="B7" s="152" t="s">
        <v>252</v>
      </c>
      <c r="C7" s="152" t="s">
        <v>253</v>
      </c>
      <c r="D7" s="153">
        <v>1128.6646199616048</v>
      </c>
      <c r="F7" s="152" t="s">
        <v>254</v>
      </c>
      <c r="G7" s="152" t="s">
        <v>251</v>
      </c>
    </row>
    <row r="8" spans="1:7" x14ac:dyDescent="0.3">
      <c r="A8" s="151">
        <v>1</v>
      </c>
      <c r="B8" s="152" t="s">
        <v>255</v>
      </c>
      <c r="C8" s="152" t="s">
        <v>253</v>
      </c>
      <c r="D8" s="153">
        <v>1372.1337611196966</v>
      </c>
      <c r="F8" s="152" t="s">
        <v>256</v>
      </c>
      <c r="G8" s="152" t="s">
        <v>256</v>
      </c>
    </row>
    <row r="9" spans="1:7" x14ac:dyDescent="0.3">
      <c r="A9" s="151">
        <v>1</v>
      </c>
      <c r="B9" s="152" t="s">
        <v>257</v>
      </c>
      <c r="C9" s="152" t="s">
        <v>240</v>
      </c>
      <c r="D9" s="153">
        <v>1645.5464470395568</v>
      </c>
      <c r="F9" s="152" t="s">
        <v>258</v>
      </c>
      <c r="G9" s="152" t="s">
        <v>258</v>
      </c>
    </row>
    <row r="10" spans="1:7" x14ac:dyDescent="0.3">
      <c r="A10" s="151">
        <v>1</v>
      </c>
      <c r="B10" s="152" t="s">
        <v>259</v>
      </c>
      <c r="C10" s="152" t="s">
        <v>253</v>
      </c>
      <c r="D10" s="153">
        <v>1372.1337611196966</v>
      </c>
      <c r="F10" s="152" t="s">
        <v>260</v>
      </c>
      <c r="G10" s="152" t="s">
        <v>261</v>
      </c>
    </row>
    <row r="11" spans="1:7" x14ac:dyDescent="0.3">
      <c r="A11" s="151">
        <v>1</v>
      </c>
      <c r="B11" s="152" t="s">
        <v>262</v>
      </c>
      <c r="C11" s="152" t="s">
        <v>253</v>
      </c>
      <c r="D11" s="153">
        <v>1509.8622494360493</v>
      </c>
      <c r="F11" s="152" t="s">
        <v>263</v>
      </c>
      <c r="G11" s="152" t="s">
        <v>261</v>
      </c>
    </row>
    <row r="12" spans="1:7" x14ac:dyDescent="0.3">
      <c r="A12" s="151">
        <v>1</v>
      </c>
      <c r="B12" s="152" t="s">
        <v>264</v>
      </c>
      <c r="C12" s="152" t="s">
        <v>240</v>
      </c>
      <c r="D12" s="153">
        <v>1280.7942581472241</v>
      </c>
      <c r="F12" s="152" t="s">
        <v>265</v>
      </c>
      <c r="G12" s="152" t="s">
        <v>265</v>
      </c>
    </row>
    <row r="13" spans="1:7" x14ac:dyDescent="0.3">
      <c r="A13" s="151">
        <v>1</v>
      </c>
      <c r="B13" s="152" t="s">
        <v>266</v>
      </c>
      <c r="C13" s="152" t="s">
        <v>240</v>
      </c>
      <c r="D13" s="153">
        <v>1645.5464470395568</v>
      </c>
      <c r="F13" s="152" t="s">
        <v>267</v>
      </c>
      <c r="G13" s="152" t="s">
        <v>267</v>
      </c>
    </row>
    <row r="14" spans="1:7" x14ac:dyDescent="0.3">
      <c r="A14" s="151">
        <v>2</v>
      </c>
      <c r="B14" s="152" t="s">
        <v>243</v>
      </c>
      <c r="C14" s="152" t="s">
        <v>240</v>
      </c>
      <c r="D14" s="153">
        <v>1280.7942581472241</v>
      </c>
      <c r="F14" s="152" t="s">
        <v>268</v>
      </c>
      <c r="G14" s="152" t="s">
        <v>268</v>
      </c>
    </row>
    <row r="15" spans="1:7" x14ac:dyDescent="0.3">
      <c r="A15" s="151">
        <v>2</v>
      </c>
      <c r="B15" s="152" t="s">
        <v>245</v>
      </c>
      <c r="C15" s="152" t="s">
        <v>247</v>
      </c>
      <c r="D15" s="153">
        <v>1438.5432708929466</v>
      </c>
      <c r="F15" s="152" t="s">
        <v>148</v>
      </c>
      <c r="G15" s="152" t="s">
        <v>148</v>
      </c>
    </row>
    <row r="16" spans="1:7" x14ac:dyDescent="0.3">
      <c r="A16" s="151">
        <v>2</v>
      </c>
      <c r="B16" s="152" t="s">
        <v>251</v>
      </c>
      <c r="C16" s="152" t="s">
        <v>253</v>
      </c>
      <c r="D16" s="153">
        <v>1372.1337611196966</v>
      </c>
      <c r="F16" s="152" t="s">
        <v>269</v>
      </c>
      <c r="G16" s="152" t="s">
        <v>269</v>
      </c>
    </row>
    <row r="17" spans="1:7" x14ac:dyDescent="0.3">
      <c r="A17" s="151">
        <v>2</v>
      </c>
      <c r="B17" s="152" t="s">
        <v>261</v>
      </c>
      <c r="C17" s="152" t="s">
        <v>247</v>
      </c>
      <c r="D17" s="153">
        <v>1056.7596910360717</v>
      </c>
      <c r="F17" s="152" t="s">
        <v>270</v>
      </c>
      <c r="G17" s="152" t="s">
        <v>271</v>
      </c>
    </row>
    <row r="18" spans="1:7" x14ac:dyDescent="0.3">
      <c r="A18" s="151">
        <v>2</v>
      </c>
      <c r="B18" s="152" t="s">
        <v>265</v>
      </c>
      <c r="C18" s="152" t="s">
        <v>240</v>
      </c>
      <c r="D18" s="153">
        <v>1759.7890044861028</v>
      </c>
      <c r="F18" s="152" t="s">
        <v>272</v>
      </c>
      <c r="G18" s="152" t="s">
        <v>272</v>
      </c>
    </row>
    <row r="19" spans="1:7" x14ac:dyDescent="0.3">
      <c r="A19" s="151">
        <v>2</v>
      </c>
      <c r="B19" s="152" t="s">
        <v>269</v>
      </c>
      <c r="C19" s="152" t="s">
        <v>240</v>
      </c>
      <c r="D19" s="153">
        <v>1155.5587003118246</v>
      </c>
      <c r="F19" s="152" t="s">
        <v>273</v>
      </c>
      <c r="G19" s="152" t="s">
        <v>273</v>
      </c>
    </row>
    <row r="20" spans="1:7" x14ac:dyDescent="0.3">
      <c r="A20" s="151">
        <v>2</v>
      </c>
      <c r="B20" s="152" t="s">
        <v>273</v>
      </c>
      <c r="C20" s="152" t="s">
        <v>247</v>
      </c>
      <c r="D20" s="153">
        <v>1308.779718369919</v>
      </c>
      <c r="F20" s="152" t="s">
        <v>274</v>
      </c>
      <c r="G20" s="152" t="s">
        <v>274</v>
      </c>
    </row>
    <row r="21" spans="1:7" x14ac:dyDescent="0.3">
      <c r="A21" s="151">
        <v>2</v>
      </c>
      <c r="B21" s="152" t="s">
        <v>275</v>
      </c>
      <c r="C21" s="152" t="s">
        <v>247</v>
      </c>
      <c r="D21" s="153">
        <v>1056.7596910360717</v>
      </c>
      <c r="F21" s="152" t="s">
        <v>242</v>
      </c>
      <c r="G21" s="152" t="s">
        <v>242</v>
      </c>
    </row>
    <row r="22" spans="1:7" x14ac:dyDescent="0.3">
      <c r="A22" s="151">
        <v>2</v>
      </c>
      <c r="B22" s="152" t="s">
        <v>276</v>
      </c>
      <c r="C22" s="152" t="s">
        <v>247</v>
      </c>
      <c r="D22" s="153">
        <v>1438.5432708929466</v>
      </c>
      <c r="F22" s="152" t="s">
        <v>277</v>
      </c>
      <c r="G22" s="152" t="s">
        <v>277</v>
      </c>
    </row>
    <row r="23" spans="1:7" x14ac:dyDescent="0.3">
      <c r="A23" s="151">
        <v>3</v>
      </c>
      <c r="B23" s="152" t="s">
        <v>248</v>
      </c>
      <c r="C23" s="152" t="s">
        <v>253</v>
      </c>
      <c r="D23" s="153">
        <v>1509.8622494360493</v>
      </c>
      <c r="F23" s="152" t="s">
        <v>278</v>
      </c>
      <c r="G23" s="152" t="s">
        <v>278</v>
      </c>
    </row>
    <row r="24" spans="1:7" x14ac:dyDescent="0.3">
      <c r="A24" s="151">
        <v>3</v>
      </c>
      <c r="B24" s="152" t="s">
        <v>258</v>
      </c>
      <c r="C24" s="152" t="s">
        <v>253</v>
      </c>
      <c r="D24" s="153">
        <v>1372.1337611196966</v>
      </c>
      <c r="F24" s="152" t="s">
        <v>244</v>
      </c>
      <c r="G24" s="152" t="s">
        <v>244</v>
      </c>
    </row>
    <row r="25" spans="1:7" x14ac:dyDescent="0.3">
      <c r="A25" s="151">
        <v>3</v>
      </c>
      <c r="B25" s="152" t="s">
        <v>267</v>
      </c>
      <c r="C25" s="152" t="s">
        <v>247</v>
      </c>
      <c r="D25" s="153">
        <v>1056.7596910360717</v>
      </c>
      <c r="F25" s="152" t="s">
        <v>279</v>
      </c>
      <c r="G25" s="152" t="s">
        <v>279</v>
      </c>
    </row>
    <row r="26" spans="1:7" x14ac:dyDescent="0.3">
      <c r="A26" s="151">
        <v>3</v>
      </c>
      <c r="B26" s="152" t="s">
        <v>271</v>
      </c>
      <c r="C26" s="152" t="s">
        <v>253</v>
      </c>
      <c r="D26" s="153">
        <v>1372.1337611196966</v>
      </c>
      <c r="F26" s="152" t="s">
        <v>280</v>
      </c>
      <c r="G26" s="152" t="s">
        <v>280</v>
      </c>
    </row>
    <row r="27" spans="1:7" x14ac:dyDescent="0.3">
      <c r="A27" s="151">
        <v>3</v>
      </c>
      <c r="B27" s="152" t="s">
        <v>278</v>
      </c>
      <c r="C27" s="152" t="s">
        <v>247</v>
      </c>
      <c r="D27" s="153">
        <v>1308.779718369919</v>
      </c>
      <c r="F27" s="152" t="s">
        <v>246</v>
      </c>
      <c r="G27" s="152" t="s">
        <v>246</v>
      </c>
    </row>
    <row r="28" spans="1:7" x14ac:dyDescent="0.3">
      <c r="A28" s="151">
        <v>3</v>
      </c>
      <c r="B28" s="152" t="s">
        <v>279</v>
      </c>
      <c r="C28" s="152" t="s">
        <v>253</v>
      </c>
      <c r="D28" s="153">
        <v>1372.1337611196966</v>
      </c>
      <c r="F28" s="152" t="s">
        <v>281</v>
      </c>
      <c r="G28" s="152" t="s">
        <v>282</v>
      </c>
    </row>
    <row r="29" spans="1:7" x14ac:dyDescent="0.3">
      <c r="A29" s="151">
        <v>3</v>
      </c>
      <c r="B29" s="152" t="s">
        <v>280</v>
      </c>
      <c r="C29" s="152" t="s">
        <v>240</v>
      </c>
      <c r="D29" s="153">
        <v>1584.0711843910672</v>
      </c>
      <c r="F29" s="152" t="s">
        <v>275</v>
      </c>
      <c r="G29" s="152" t="s">
        <v>275</v>
      </c>
    </row>
    <row r="30" spans="1:7" x14ac:dyDescent="0.3">
      <c r="A30" s="151">
        <v>3</v>
      </c>
      <c r="B30" s="152" t="s">
        <v>283</v>
      </c>
      <c r="C30" s="152" t="s">
        <v>253</v>
      </c>
      <c r="D30" s="153">
        <v>1509.8622494360493</v>
      </c>
      <c r="F30" s="152" t="s">
        <v>283</v>
      </c>
      <c r="G30" s="152" t="s">
        <v>283</v>
      </c>
    </row>
    <row r="31" spans="1:7" x14ac:dyDescent="0.3">
      <c r="A31" s="151">
        <v>3</v>
      </c>
      <c r="B31" s="152" t="s">
        <v>284</v>
      </c>
      <c r="C31" s="152" t="s">
        <v>247</v>
      </c>
      <c r="D31" s="153">
        <v>1438.5432708929466</v>
      </c>
      <c r="F31" s="152" t="s">
        <v>285</v>
      </c>
      <c r="G31" s="152" t="s">
        <v>285</v>
      </c>
    </row>
    <row r="32" spans="1:7" x14ac:dyDescent="0.3">
      <c r="A32" s="151">
        <v>3</v>
      </c>
      <c r="B32" s="152" t="s">
        <v>286</v>
      </c>
      <c r="C32" s="152" t="s">
        <v>240</v>
      </c>
      <c r="D32" s="153">
        <v>1584.0711843910672</v>
      </c>
      <c r="F32" s="152" t="s">
        <v>287</v>
      </c>
      <c r="G32" s="152" t="s">
        <v>284</v>
      </c>
    </row>
    <row r="33" spans="1:7" x14ac:dyDescent="0.3">
      <c r="A33" s="151">
        <v>3</v>
      </c>
      <c r="B33" s="152" t="s">
        <v>288</v>
      </c>
      <c r="C33" s="152" t="s">
        <v>247</v>
      </c>
      <c r="D33" s="153">
        <v>1056.7596910360717</v>
      </c>
      <c r="F33" s="152" t="s">
        <v>286</v>
      </c>
      <c r="G33" s="152" t="s">
        <v>286</v>
      </c>
    </row>
    <row r="34" spans="1:7" x14ac:dyDescent="0.3">
      <c r="A34" s="151">
        <v>3</v>
      </c>
      <c r="B34" s="152" t="s">
        <v>289</v>
      </c>
      <c r="C34" s="152" t="s">
        <v>253</v>
      </c>
      <c r="D34" s="153">
        <v>1509.8622494360493</v>
      </c>
      <c r="F34" s="152" t="s">
        <v>249</v>
      </c>
      <c r="G34" s="152" t="s">
        <v>249</v>
      </c>
    </row>
    <row r="35" spans="1:7" x14ac:dyDescent="0.3">
      <c r="A35" s="151">
        <v>3</v>
      </c>
      <c r="B35" s="152" t="s">
        <v>290</v>
      </c>
      <c r="C35" s="152" t="s">
        <v>253</v>
      </c>
      <c r="D35" s="153">
        <v>1509.8622494360493</v>
      </c>
      <c r="F35" s="152" t="s">
        <v>291</v>
      </c>
      <c r="G35" s="152" t="s">
        <v>288</v>
      </c>
    </row>
    <row r="36" spans="1:7" x14ac:dyDescent="0.3">
      <c r="A36" s="151">
        <v>3</v>
      </c>
      <c r="B36" s="152" t="s">
        <v>292</v>
      </c>
      <c r="C36" s="152" t="s">
        <v>253</v>
      </c>
      <c r="D36" s="153">
        <v>1128.6646199616048</v>
      </c>
      <c r="F36" s="152" t="s">
        <v>293</v>
      </c>
      <c r="G36" s="152" t="s">
        <v>288</v>
      </c>
    </row>
    <row r="37" spans="1:7" x14ac:dyDescent="0.3">
      <c r="A37" s="151">
        <v>3</v>
      </c>
      <c r="B37" s="152" t="s">
        <v>294</v>
      </c>
      <c r="C37" s="152" t="s">
        <v>240</v>
      </c>
      <c r="D37" s="153">
        <v>1584.0711843910672</v>
      </c>
      <c r="F37" s="152" t="s">
        <v>289</v>
      </c>
      <c r="G37" s="152" t="s">
        <v>289</v>
      </c>
    </row>
    <row r="38" spans="1:7" x14ac:dyDescent="0.3">
      <c r="A38" s="151">
        <v>3</v>
      </c>
      <c r="B38" s="152" t="s">
        <v>295</v>
      </c>
      <c r="C38" s="152" t="s">
        <v>253</v>
      </c>
      <c r="D38" s="153">
        <v>1266.3931082779577</v>
      </c>
      <c r="F38" s="152" t="s">
        <v>290</v>
      </c>
      <c r="G38" s="152" t="s">
        <v>290</v>
      </c>
    </row>
    <row r="39" spans="1:7" x14ac:dyDescent="0.3">
      <c r="A39" s="151">
        <v>3</v>
      </c>
      <c r="B39" s="152" t="s">
        <v>296</v>
      </c>
      <c r="C39" s="152" t="s">
        <v>253</v>
      </c>
      <c r="D39" s="153">
        <v>1372.1337611196966</v>
      </c>
      <c r="F39" s="152" t="s">
        <v>297</v>
      </c>
      <c r="G39" s="152" t="s">
        <v>297</v>
      </c>
    </row>
    <row r="40" spans="1:7" x14ac:dyDescent="0.3">
      <c r="A40" s="151">
        <v>3</v>
      </c>
      <c r="B40" s="152" t="s">
        <v>298</v>
      </c>
      <c r="C40" s="152" t="s">
        <v>240</v>
      </c>
      <c r="D40" s="153">
        <v>1584.0711843910672</v>
      </c>
      <c r="F40" s="152" t="s">
        <v>276</v>
      </c>
      <c r="G40" s="152" t="s">
        <v>276</v>
      </c>
    </row>
    <row r="41" spans="1:7" x14ac:dyDescent="0.3">
      <c r="A41" s="151">
        <v>3</v>
      </c>
      <c r="B41" s="152" t="s">
        <v>299</v>
      </c>
      <c r="C41" s="152" t="s">
        <v>247</v>
      </c>
      <c r="D41" s="153">
        <v>1056.7596910360717</v>
      </c>
      <c r="F41" s="152" t="s">
        <v>300</v>
      </c>
      <c r="G41" s="152" t="s">
        <v>300</v>
      </c>
    </row>
    <row r="42" spans="1:7" x14ac:dyDescent="0.3">
      <c r="A42" s="151">
        <v>3</v>
      </c>
      <c r="B42" s="152" t="s">
        <v>301</v>
      </c>
      <c r="C42" s="152" t="s">
        <v>253</v>
      </c>
      <c r="D42" s="153">
        <v>1372.1337611196966</v>
      </c>
      <c r="F42" s="152" t="s">
        <v>302</v>
      </c>
      <c r="G42" s="152" t="s">
        <v>302</v>
      </c>
    </row>
    <row r="43" spans="1:7" x14ac:dyDescent="0.3">
      <c r="A43" s="151">
        <v>4</v>
      </c>
      <c r="B43" s="152" t="s">
        <v>241</v>
      </c>
      <c r="C43" s="152" t="s">
        <v>247</v>
      </c>
      <c r="D43" s="153">
        <v>1308.779718369919</v>
      </c>
      <c r="F43" s="152" t="s">
        <v>303</v>
      </c>
      <c r="G43" s="152" t="s">
        <v>252</v>
      </c>
    </row>
    <row r="44" spans="1:7" x14ac:dyDescent="0.3">
      <c r="A44" s="151">
        <v>4</v>
      </c>
      <c r="B44" s="152" t="s">
        <v>256</v>
      </c>
      <c r="C44" s="152" t="s">
        <v>253</v>
      </c>
      <c r="D44" s="153">
        <v>1372.1337611196966</v>
      </c>
      <c r="F44" s="152" t="s">
        <v>304</v>
      </c>
      <c r="G44" s="152" t="s">
        <v>252</v>
      </c>
    </row>
    <row r="45" spans="1:7" x14ac:dyDescent="0.3">
      <c r="A45" s="151">
        <v>4</v>
      </c>
      <c r="B45" s="152" t="s">
        <v>268</v>
      </c>
      <c r="C45" s="152" t="s">
        <v>253</v>
      </c>
      <c r="D45" s="153">
        <v>1372.1337611196966</v>
      </c>
      <c r="F45" s="152" t="s">
        <v>292</v>
      </c>
      <c r="G45" s="152" t="s">
        <v>292</v>
      </c>
    </row>
    <row r="46" spans="1:7" x14ac:dyDescent="0.3">
      <c r="A46" s="151">
        <v>4</v>
      </c>
      <c r="B46" s="152" t="s">
        <v>272</v>
      </c>
      <c r="C46" s="152" t="s">
        <v>240</v>
      </c>
      <c r="D46" s="153">
        <v>1584.0711843910672</v>
      </c>
      <c r="F46" s="152" t="s">
        <v>255</v>
      </c>
      <c r="G46" s="152" t="s">
        <v>255</v>
      </c>
    </row>
    <row r="47" spans="1:7" x14ac:dyDescent="0.3">
      <c r="A47" s="151">
        <v>4</v>
      </c>
      <c r="B47" s="152" t="s">
        <v>274</v>
      </c>
      <c r="C47" s="152" t="s">
        <v>240</v>
      </c>
      <c r="D47" s="153">
        <v>1584.0711843910672</v>
      </c>
      <c r="F47" s="152" t="s">
        <v>294</v>
      </c>
      <c r="G47" s="152" t="s">
        <v>294</v>
      </c>
    </row>
    <row r="48" spans="1:7" x14ac:dyDescent="0.3">
      <c r="A48" s="151">
        <v>4</v>
      </c>
      <c r="B48" s="152" t="s">
        <v>277</v>
      </c>
      <c r="C48" s="152" t="s">
        <v>247</v>
      </c>
      <c r="D48" s="153">
        <v>1308.779718369919</v>
      </c>
      <c r="F48" s="152" t="s">
        <v>257</v>
      </c>
      <c r="G48" s="152" t="s">
        <v>257</v>
      </c>
    </row>
    <row r="49" spans="1:7" x14ac:dyDescent="0.3">
      <c r="A49" s="151">
        <v>4</v>
      </c>
      <c r="B49" s="152" t="s">
        <v>282</v>
      </c>
      <c r="C49" s="152" t="s">
        <v>240</v>
      </c>
      <c r="D49" s="153">
        <v>1645.5464470395568</v>
      </c>
      <c r="F49" s="152" t="s">
        <v>259</v>
      </c>
      <c r="G49" s="152" t="s">
        <v>259</v>
      </c>
    </row>
    <row r="50" spans="1:7" x14ac:dyDescent="0.3">
      <c r="A50" s="151">
        <v>4</v>
      </c>
      <c r="B50" s="152" t="s">
        <v>285</v>
      </c>
      <c r="C50" s="152" t="s">
        <v>247</v>
      </c>
      <c r="D50" s="153">
        <v>1438.5432708929466</v>
      </c>
      <c r="F50" s="152" t="s">
        <v>295</v>
      </c>
      <c r="G50" s="152" t="s">
        <v>295</v>
      </c>
    </row>
    <row r="51" spans="1:7" x14ac:dyDescent="0.3">
      <c r="A51" s="151">
        <v>4</v>
      </c>
      <c r="B51" s="152" t="s">
        <v>297</v>
      </c>
      <c r="C51" s="152" t="s">
        <v>247</v>
      </c>
      <c r="D51" s="153">
        <v>1308.779718369919</v>
      </c>
      <c r="F51" s="152" t="s">
        <v>305</v>
      </c>
      <c r="G51" s="152" t="s">
        <v>296</v>
      </c>
    </row>
    <row r="52" spans="1:7" x14ac:dyDescent="0.3">
      <c r="A52" s="151">
        <v>4</v>
      </c>
      <c r="B52" s="152" t="s">
        <v>300</v>
      </c>
      <c r="C52" s="152" t="s">
        <v>253</v>
      </c>
      <c r="D52" s="153">
        <v>1372.1337611196966</v>
      </c>
      <c r="F52" s="152" t="s">
        <v>298</v>
      </c>
      <c r="G52" s="152" t="s">
        <v>298</v>
      </c>
    </row>
    <row r="53" spans="1:7" x14ac:dyDescent="0.3">
      <c r="A53" s="151">
        <v>4</v>
      </c>
      <c r="B53" s="152" t="s">
        <v>302</v>
      </c>
      <c r="C53" s="152" t="s">
        <v>247</v>
      </c>
      <c r="D53" s="153">
        <v>1438.5432708929466</v>
      </c>
      <c r="F53" s="152" t="s">
        <v>306</v>
      </c>
      <c r="G53" s="152" t="s">
        <v>299</v>
      </c>
    </row>
    <row r="54" spans="1:7" x14ac:dyDescent="0.3">
      <c r="A54" s="151">
        <v>4</v>
      </c>
      <c r="B54" s="152" t="s">
        <v>307</v>
      </c>
      <c r="C54" s="152" t="s">
        <v>240</v>
      </c>
      <c r="D54" s="153">
        <v>1584.0711843910672</v>
      </c>
      <c r="F54" s="152" t="s">
        <v>307</v>
      </c>
      <c r="G54" s="152" t="s">
        <v>307</v>
      </c>
    </row>
    <row r="55" spans="1:7" x14ac:dyDescent="0.3">
      <c r="A55" s="151">
        <v>4</v>
      </c>
      <c r="B55" s="152" t="s">
        <v>308</v>
      </c>
      <c r="C55" s="152" t="s">
        <v>247</v>
      </c>
      <c r="D55" s="153">
        <v>1308.779718369919</v>
      </c>
      <c r="F55" s="152" t="s">
        <v>308</v>
      </c>
      <c r="G55" s="152" t="s">
        <v>308</v>
      </c>
    </row>
    <row r="56" spans="1:7" x14ac:dyDescent="0.3">
      <c r="A56" s="151">
        <v>4</v>
      </c>
      <c r="B56" s="152" t="s">
        <v>309</v>
      </c>
      <c r="C56" s="152" t="s">
        <v>247</v>
      </c>
      <c r="D56" s="153">
        <v>1438.5432708929466</v>
      </c>
      <c r="F56" s="152" t="s">
        <v>310</v>
      </c>
      <c r="G56" s="152" t="s">
        <v>301</v>
      </c>
    </row>
    <row r="57" spans="1:7" x14ac:dyDescent="0.3">
      <c r="A57" s="151">
        <v>4</v>
      </c>
      <c r="B57" s="152" t="s">
        <v>311</v>
      </c>
      <c r="C57" s="152" t="s">
        <v>247</v>
      </c>
      <c r="D57" s="153">
        <v>1308.779718369919</v>
      </c>
      <c r="F57" s="152" t="s">
        <v>309</v>
      </c>
      <c r="G57" s="152" t="s">
        <v>309</v>
      </c>
    </row>
    <row r="58" spans="1:7" x14ac:dyDescent="0.3">
      <c r="A58" s="151">
        <v>4</v>
      </c>
      <c r="B58" s="152" t="s">
        <v>312</v>
      </c>
      <c r="C58" s="152" t="s">
        <v>247</v>
      </c>
      <c r="D58" s="153">
        <v>1056.7596910360717</v>
      </c>
      <c r="F58" s="152" t="s">
        <v>313</v>
      </c>
      <c r="G58" s="152" t="s">
        <v>262</v>
      </c>
    </row>
    <row r="59" spans="1:7" x14ac:dyDescent="0.3">
      <c r="A59" s="151">
        <v>4</v>
      </c>
      <c r="B59" s="152" t="s">
        <v>314</v>
      </c>
      <c r="C59" s="152" t="s">
        <v>240</v>
      </c>
      <c r="D59" s="153">
        <v>1584.0711843910672</v>
      </c>
      <c r="F59" s="152" t="s">
        <v>315</v>
      </c>
      <c r="G59" s="152" t="s">
        <v>262</v>
      </c>
    </row>
    <row r="60" spans="1:7" x14ac:dyDescent="0.3">
      <c r="F60" s="152" t="s">
        <v>311</v>
      </c>
      <c r="G60" s="152" t="s">
        <v>311</v>
      </c>
    </row>
    <row r="61" spans="1:7" x14ac:dyDescent="0.3">
      <c r="F61" s="152" t="s">
        <v>264</v>
      </c>
      <c r="G61" s="152" t="s">
        <v>264</v>
      </c>
    </row>
    <row r="62" spans="1:7" x14ac:dyDescent="0.3">
      <c r="F62" s="152" t="s">
        <v>266</v>
      </c>
      <c r="G62" s="152" t="s">
        <v>266</v>
      </c>
    </row>
    <row r="63" spans="1:7" x14ac:dyDescent="0.3">
      <c r="F63" s="152" t="s">
        <v>312</v>
      </c>
      <c r="G63" s="152" t="s">
        <v>312</v>
      </c>
    </row>
    <row r="64" spans="1:7" x14ac:dyDescent="0.3">
      <c r="F64" s="152" t="s">
        <v>314</v>
      </c>
      <c r="G64" s="152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6"/>
  <dimension ref="A2:AR104"/>
  <sheetViews>
    <sheetView showGridLines="0" topLeftCell="A12" zoomScale="90" zoomScaleNormal="90" workbookViewId="0">
      <selection activeCell="B86" sqref="B86"/>
    </sheetView>
  </sheetViews>
  <sheetFormatPr baseColWidth="10" defaultRowHeight="14.4" x14ac:dyDescent="0.3"/>
  <cols>
    <col min="1" max="1" width="14.6640625" bestFit="1" customWidth="1"/>
    <col min="2" max="2" width="11.5546875" customWidth="1"/>
    <col min="3" max="3" width="16.44140625" customWidth="1"/>
    <col min="4" max="4" width="13.77734375" customWidth="1"/>
    <col min="5" max="5" width="14.6640625" bestFit="1" customWidth="1"/>
    <col min="6" max="6" width="14.44140625" bestFit="1" customWidth="1"/>
    <col min="11" max="11" width="13" customWidth="1"/>
    <col min="13" max="13" width="19.109375" bestFit="1" customWidth="1"/>
    <col min="14" max="14" width="14.6640625" bestFit="1" customWidth="1"/>
  </cols>
  <sheetData>
    <row r="2" spans="3:44" ht="18" x14ac:dyDescent="0.35">
      <c r="C2" s="20" t="s">
        <v>22</v>
      </c>
    </row>
    <row r="3" spans="3:44" ht="18" x14ac:dyDescent="0.35">
      <c r="C3" s="20"/>
    </row>
    <row r="4" spans="3:44" x14ac:dyDescent="0.3">
      <c r="C4" s="78" t="s">
        <v>87</v>
      </c>
      <c r="E4" t="s">
        <v>58</v>
      </c>
    </row>
    <row r="7" spans="3:44" ht="18" x14ac:dyDescent="0.35">
      <c r="C7" s="24" t="s">
        <v>49</v>
      </c>
      <c r="K7" t="s">
        <v>123</v>
      </c>
      <c r="N7" s="4"/>
    </row>
    <row r="8" spans="3:44" x14ac:dyDescent="0.3">
      <c r="N8" s="4"/>
    </row>
    <row r="9" spans="3:44" x14ac:dyDescent="0.3">
      <c r="E9" s="23" t="s">
        <v>46</v>
      </c>
      <c r="F9" s="23" t="s">
        <v>47</v>
      </c>
      <c r="M9" s="120" t="s">
        <v>122</v>
      </c>
      <c r="N9" s="4"/>
    </row>
    <row r="10" spans="3:44" x14ac:dyDescent="0.3">
      <c r="E10" s="23" t="s">
        <v>33</v>
      </c>
      <c r="F10" s="23" t="s">
        <v>31</v>
      </c>
      <c r="M10" s="120" t="s">
        <v>33</v>
      </c>
      <c r="N10" s="4"/>
    </row>
    <row r="11" spans="3:44" x14ac:dyDescent="0.3">
      <c r="C11" s="1" t="s">
        <v>53</v>
      </c>
      <c r="D11" s="9" t="s">
        <v>24</v>
      </c>
      <c r="E11" s="9" t="s">
        <v>36</v>
      </c>
      <c r="F11" s="9" t="s">
        <v>36</v>
      </c>
      <c r="K11" s="128" t="s">
        <v>53</v>
      </c>
      <c r="L11" s="121" t="s">
        <v>24</v>
      </c>
      <c r="M11" s="121" t="s">
        <v>36</v>
      </c>
      <c r="N11" s="4"/>
      <c r="AK11" t="s">
        <v>32</v>
      </c>
      <c r="AL11" s="159" t="s">
        <v>39</v>
      </c>
      <c r="AM11" s="159"/>
      <c r="AN11" s="159"/>
      <c r="AO11" s="159"/>
      <c r="AP11" s="159"/>
      <c r="AQ11" s="159"/>
      <c r="AR11" s="159"/>
    </row>
    <row r="12" spans="3:44" x14ac:dyDescent="0.3">
      <c r="C12" s="1" t="s">
        <v>25</v>
      </c>
      <c r="D12" s="25">
        <v>2.46E-2</v>
      </c>
      <c r="E12" s="6">
        <v>-1</v>
      </c>
      <c r="F12" s="22">
        <v>-1</v>
      </c>
      <c r="G12" s="5">
        <f>D12/D$18</f>
        <v>0.1080368906455863</v>
      </c>
      <c r="I12" s="5">
        <f>SUMPRODUCT(G12:G17,E12:E17)</f>
        <v>-0.39293719806763283</v>
      </c>
      <c r="K12" s="128" t="s">
        <v>25</v>
      </c>
      <c r="L12" s="129">
        <f>G22*L$18</f>
        <v>7.3185069984447884E-3</v>
      </c>
      <c r="M12" s="122">
        <f>E22</f>
        <v>-1</v>
      </c>
      <c r="N12" s="5">
        <f t="shared" ref="N12:N18" si="0">L12/L$18</f>
        <v>3.2141005702436491E-2</v>
      </c>
      <c r="P12" s="29">
        <f>SUMPRODUCT(N12:N17,M12:M17)</f>
        <v>-0.18159657853810263</v>
      </c>
      <c r="AK12" s="14">
        <v>0</v>
      </c>
      <c r="AL12" s="15">
        <v>6</v>
      </c>
      <c r="AM12" s="14">
        <v>7</v>
      </c>
      <c r="AN12" s="14">
        <v>11</v>
      </c>
      <c r="AO12" s="14">
        <v>12</v>
      </c>
      <c r="AP12" s="14">
        <v>16</v>
      </c>
      <c r="AQ12" s="14">
        <v>19</v>
      </c>
      <c r="AR12" s="15">
        <v>21</v>
      </c>
    </row>
    <row r="13" spans="3:44" x14ac:dyDescent="0.3">
      <c r="C13" s="1" t="s">
        <v>26</v>
      </c>
      <c r="D13" s="25">
        <v>2.3300000000000001E-2</v>
      </c>
      <c r="E13" s="6">
        <v>-1</v>
      </c>
      <c r="F13" s="22">
        <v>-0.47790136393750049</v>
      </c>
      <c r="G13" s="5">
        <f t="shared" ref="G13:G17" si="1">D13/D$18</f>
        <v>0.10232762406675451</v>
      </c>
      <c r="I13" s="5"/>
      <c r="K13" s="128" t="s">
        <v>26</v>
      </c>
      <c r="L13" s="129">
        <f t="shared" ref="L13:L17" si="2">G23*L$18</f>
        <v>2.3017884914463452E-2</v>
      </c>
      <c r="M13" s="122">
        <f t="shared" ref="M13:M17" si="3">E23</f>
        <v>-1</v>
      </c>
      <c r="N13" s="5">
        <f t="shared" si="0"/>
        <v>0.10108864696734059</v>
      </c>
      <c r="P13" s="5"/>
      <c r="AJ13" s="16" t="s">
        <v>14</v>
      </c>
      <c r="AK13" s="8">
        <v>-4.4999999999999997E-3</v>
      </c>
      <c r="AL13" s="17">
        <v>-2.7224192980419039E-2</v>
      </c>
      <c r="AM13" s="8">
        <v>-6.6788301192663116E-2</v>
      </c>
      <c r="AN13" s="8">
        <v>-5.2152332919471037E-2</v>
      </c>
      <c r="AO13" s="8">
        <v>2.2534091514000213E-2</v>
      </c>
      <c r="AP13" s="8">
        <v>-3.8017934318405103E-3</v>
      </c>
      <c r="AQ13" s="8">
        <v>-2.6241190594059279E-2</v>
      </c>
      <c r="AR13" s="17">
        <v>6.0538766632484454E-3</v>
      </c>
    </row>
    <row r="14" spans="3:44" x14ac:dyDescent="0.3">
      <c r="C14" s="1" t="s">
        <v>27</v>
      </c>
      <c r="D14" s="25">
        <v>4.3499999999999997E-2</v>
      </c>
      <c r="E14" s="26">
        <v>-0.58040000000000003</v>
      </c>
      <c r="F14" s="22">
        <v>-0.12841097634730703</v>
      </c>
      <c r="G14" s="5">
        <f t="shared" si="1"/>
        <v>0.19104084321475626</v>
      </c>
      <c r="K14" s="128" t="s">
        <v>27</v>
      </c>
      <c r="L14" s="129">
        <f t="shared" si="2"/>
        <v>3.7772939346811814E-2</v>
      </c>
      <c r="M14" s="122">
        <f t="shared" si="3"/>
        <v>-0.25490000000000002</v>
      </c>
      <c r="N14" s="5">
        <f t="shared" si="0"/>
        <v>0.16588906168999479</v>
      </c>
      <c r="AJ14" s="16" t="s">
        <v>13</v>
      </c>
      <c r="AK14" s="8">
        <v>-0.01</v>
      </c>
      <c r="AL14" s="17">
        <v>-0.10385779712042996</v>
      </c>
      <c r="AM14" s="8">
        <v>-9.4951676232310461E-2</v>
      </c>
      <c r="AN14" s="8">
        <v>-0.20768968210734665</v>
      </c>
      <c r="AO14" s="8">
        <v>-0.25182804645104534</v>
      </c>
      <c r="AP14" s="8">
        <v>-0.28159552060407411</v>
      </c>
      <c r="AQ14" s="8">
        <v>-0.88945733538638527</v>
      </c>
      <c r="AR14" s="17">
        <v>-0.4696246589939807</v>
      </c>
    </row>
    <row r="15" spans="3:44" x14ac:dyDescent="0.3">
      <c r="C15" s="1" t="s">
        <v>28</v>
      </c>
      <c r="D15" s="25">
        <v>5.6099999999999997E-2</v>
      </c>
      <c r="E15" s="6">
        <v>-0.28000000000000003</v>
      </c>
      <c r="F15" s="22">
        <v>-4.3902022398413211E-2</v>
      </c>
      <c r="G15" s="5">
        <f t="shared" si="1"/>
        <v>0.24637681159420291</v>
      </c>
      <c r="K15" s="128" t="s">
        <v>28</v>
      </c>
      <c r="L15" s="129">
        <f t="shared" si="2"/>
        <v>5.8311975116640741E-2</v>
      </c>
      <c r="M15" s="122">
        <f t="shared" si="3"/>
        <v>-1.0699999999999999E-2</v>
      </c>
      <c r="N15" s="5">
        <f t="shared" si="0"/>
        <v>0.25609123898392949</v>
      </c>
      <c r="AJ15" s="16" t="s">
        <v>12</v>
      </c>
      <c r="AK15" s="8">
        <v>-1.0699999999999999E-2</v>
      </c>
      <c r="AL15" s="17">
        <v>-0.11367142589890901</v>
      </c>
      <c r="AM15" s="8">
        <v>-9.8558252105777441E-2</v>
      </c>
      <c r="AN15" s="8">
        <v>-0.22760765181851605</v>
      </c>
      <c r="AO15" s="8">
        <v>-0.28696260919377625</v>
      </c>
      <c r="AP15" s="8">
        <v>-0.31249310349864318</v>
      </c>
      <c r="AQ15" s="8">
        <v>-1</v>
      </c>
      <c r="AR15" s="17">
        <v>-0.51174799878975363</v>
      </c>
    </row>
    <row r="16" spans="3:44" x14ac:dyDescent="0.3">
      <c r="C16" s="1" t="s">
        <v>29</v>
      </c>
      <c r="D16" s="25">
        <v>4.0800000000000003E-2</v>
      </c>
      <c r="E16" s="26">
        <v>-9.7000000000000003E-3</v>
      </c>
      <c r="F16" s="22">
        <v>-3.8521993059984896E-2</v>
      </c>
      <c r="G16" s="5">
        <f t="shared" si="1"/>
        <v>0.17918313570487485</v>
      </c>
      <c r="K16" s="128" t="s">
        <v>29</v>
      </c>
      <c r="L16" s="129">
        <f t="shared" si="2"/>
        <v>5.5479004665629848E-2</v>
      </c>
      <c r="M16" s="122">
        <f t="shared" si="3"/>
        <v>-0.01</v>
      </c>
      <c r="N16" s="5">
        <f t="shared" si="0"/>
        <v>0.24364955935717986</v>
      </c>
      <c r="AJ16" s="16" t="s">
        <v>11</v>
      </c>
      <c r="AK16" s="8">
        <v>-0.25490000000000002</v>
      </c>
      <c r="AL16" s="17">
        <v>-0.98435816981509205</v>
      </c>
      <c r="AM16" s="8">
        <v>-1</v>
      </c>
      <c r="AN16" s="8">
        <v>-0.8401259608094771</v>
      </c>
      <c r="AO16" s="8">
        <v>-0.8464834673000996</v>
      </c>
      <c r="AP16" s="8">
        <v>-0.98891497473485479</v>
      </c>
      <c r="AQ16" s="8">
        <v>-1</v>
      </c>
      <c r="AR16" s="17">
        <v>-0.89985633966666678</v>
      </c>
    </row>
    <row r="17" spans="1:44" x14ac:dyDescent="0.3">
      <c r="C17" s="1" t="s">
        <v>30</v>
      </c>
      <c r="D17" s="25">
        <v>3.9399999999999998E-2</v>
      </c>
      <c r="E17" s="26">
        <v>-5.5999999999999999E-3</v>
      </c>
      <c r="F17" s="22">
        <v>-3.2623430636415957E-2</v>
      </c>
      <c r="G17" s="5">
        <f t="shared" si="1"/>
        <v>0.17303469477382522</v>
      </c>
      <c r="K17" s="128" t="s">
        <v>30</v>
      </c>
      <c r="L17" s="129">
        <f t="shared" si="2"/>
        <v>4.579968895800933E-2</v>
      </c>
      <c r="M17" s="122">
        <f t="shared" si="3"/>
        <v>-4.4999999999999997E-3</v>
      </c>
      <c r="N17" s="5">
        <f t="shared" si="0"/>
        <v>0.20114048729911871</v>
      </c>
      <c r="AJ17" s="16" t="s">
        <v>10</v>
      </c>
      <c r="AK17" s="8">
        <v>-1</v>
      </c>
      <c r="AL17" s="17">
        <v>-1</v>
      </c>
      <c r="AM17" s="8">
        <v>-1</v>
      </c>
      <c r="AN17" s="8">
        <v>-1</v>
      </c>
      <c r="AO17" s="8">
        <v>-1</v>
      </c>
      <c r="AP17" s="8">
        <v>-1</v>
      </c>
      <c r="AQ17" s="8">
        <v>-1</v>
      </c>
      <c r="AR17" s="17">
        <v>-1</v>
      </c>
    </row>
    <row r="18" spans="1:44" x14ac:dyDescent="0.3">
      <c r="D18" s="7">
        <f>SUM(D12:D17)</f>
        <v>0.22769999999999999</v>
      </c>
      <c r="L18" s="4">
        <f>D18</f>
        <v>0.22769999999999999</v>
      </c>
      <c r="M18" s="4"/>
      <c r="N18" s="5">
        <f t="shared" si="0"/>
        <v>1</v>
      </c>
      <c r="AJ18" s="16" t="s">
        <v>9</v>
      </c>
      <c r="AK18" s="8">
        <v>-1</v>
      </c>
      <c r="AL18" s="17">
        <v>-1</v>
      </c>
      <c r="AM18" s="8">
        <v>-1</v>
      </c>
      <c r="AN18" s="8">
        <v>-1</v>
      </c>
      <c r="AO18" s="8">
        <v>-1</v>
      </c>
      <c r="AP18" s="8">
        <v>-1</v>
      </c>
      <c r="AQ18" s="8">
        <v>-1</v>
      </c>
      <c r="AR18" s="17">
        <v>-1</v>
      </c>
    </row>
    <row r="19" spans="1:44" x14ac:dyDescent="0.3">
      <c r="A19" s="10"/>
      <c r="E19" s="21" t="s">
        <v>44</v>
      </c>
      <c r="F19" s="21" t="s">
        <v>45</v>
      </c>
      <c r="M19" s="4"/>
      <c r="N19" s="4"/>
      <c r="AJ19" s="5">
        <v>-1</v>
      </c>
      <c r="AK19" s="8">
        <v>-1</v>
      </c>
      <c r="AL19" s="8">
        <v>-1</v>
      </c>
      <c r="AM19" s="8">
        <v>-1</v>
      </c>
    </row>
    <row r="20" spans="1:44" x14ac:dyDescent="0.3">
      <c r="E20" s="21" t="s">
        <v>23</v>
      </c>
      <c r="F20" s="21" t="s">
        <v>31</v>
      </c>
    </row>
    <row r="21" spans="1:44" x14ac:dyDescent="0.3">
      <c r="C21" s="1" t="s">
        <v>53</v>
      </c>
      <c r="D21" s="9" t="s">
        <v>24</v>
      </c>
      <c r="E21" s="9" t="s">
        <v>36</v>
      </c>
      <c r="F21" s="9" t="s">
        <v>36</v>
      </c>
      <c r="M21" s="123"/>
      <c r="N21" s="4"/>
    </row>
    <row r="22" spans="1:44" x14ac:dyDescent="0.3">
      <c r="C22" s="1" t="s">
        <v>25</v>
      </c>
      <c r="D22" s="25">
        <v>6.1999999999999998E-3</v>
      </c>
      <c r="E22" s="6">
        <v>-1</v>
      </c>
      <c r="F22" s="27">
        <v>-1</v>
      </c>
      <c r="G22" s="5">
        <f>D22/D$28</f>
        <v>3.2141005702436491E-2</v>
      </c>
      <c r="I22" s="5">
        <f>SUMPRODUCT(G22:G27,E22:E27)</f>
        <v>-0.18159657853810265</v>
      </c>
      <c r="J22" s="5"/>
      <c r="M22" s="123"/>
      <c r="N22" s="4"/>
    </row>
    <row r="23" spans="1:44" x14ac:dyDescent="0.3">
      <c r="C23" s="1" t="s">
        <v>26</v>
      </c>
      <c r="D23" s="25">
        <v>1.95E-2</v>
      </c>
      <c r="E23" s="6">
        <v>-1</v>
      </c>
      <c r="F23" s="22">
        <v>-0.61921179121287062</v>
      </c>
      <c r="G23" s="5">
        <f t="shared" ref="G23:G27" si="4">D23/D$28</f>
        <v>0.10108864696734059</v>
      </c>
      <c r="I23" s="5"/>
      <c r="J23" s="5"/>
      <c r="L23" s="102"/>
      <c r="M23" s="102"/>
      <c r="N23" s="4"/>
    </row>
    <row r="24" spans="1:44" x14ac:dyDescent="0.3">
      <c r="C24" s="1" t="s">
        <v>27</v>
      </c>
      <c r="D24" s="25">
        <v>3.2000000000000001E-2</v>
      </c>
      <c r="E24" s="6">
        <v>-0.25490000000000002</v>
      </c>
      <c r="F24" s="22">
        <v>1.5959102199875598E-2</v>
      </c>
      <c r="G24" s="5">
        <f t="shared" si="4"/>
        <v>0.16588906168999482</v>
      </c>
      <c r="L24" s="124"/>
      <c r="M24" s="125"/>
      <c r="N24" s="126"/>
      <c r="P24" s="127"/>
    </row>
    <row r="25" spans="1:44" x14ac:dyDescent="0.3">
      <c r="C25" s="1" t="s">
        <v>28</v>
      </c>
      <c r="D25" s="25">
        <v>4.9399999999999999E-2</v>
      </c>
      <c r="E25" s="6">
        <v>-1.0699999999999999E-2</v>
      </c>
      <c r="F25" s="22">
        <v>-4.5377283366632548E-2</v>
      </c>
      <c r="G25" s="5">
        <f t="shared" si="4"/>
        <v>0.25609123898392949</v>
      </c>
      <c r="L25" s="124"/>
      <c r="M25" s="125"/>
      <c r="N25" s="126"/>
      <c r="P25" s="126"/>
    </row>
    <row r="26" spans="1:44" x14ac:dyDescent="0.3">
      <c r="C26" s="1" t="s">
        <v>29</v>
      </c>
      <c r="D26" s="25">
        <v>4.7E-2</v>
      </c>
      <c r="E26" s="6">
        <v>-0.01</v>
      </c>
      <c r="F26" s="22">
        <v>-3.9707567753776797E-2</v>
      </c>
      <c r="G26" s="5">
        <f t="shared" si="4"/>
        <v>0.24364955935717986</v>
      </c>
      <c r="L26" s="124"/>
      <c r="M26" s="125"/>
      <c r="N26" s="126"/>
    </row>
    <row r="27" spans="1:44" x14ac:dyDescent="0.3">
      <c r="C27" s="1" t="s">
        <v>30</v>
      </c>
      <c r="D27" s="25">
        <v>3.8800000000000001E-2</v>
      </c>
      <c r="E27" s="6">
        <v>-4.4999999999999997E-3</v>
      </c>
      <c r="F27" s="22">
        <v>-3.3491398777255363E-2</v>
      </c>
      <c r="G27" s="5">
        <f t="shared" si="4"/>
        <v>0.20114048729911871</v>
      </c>
      <c r="L27" s="124"/>
      <c r="M27" s="125"/>
      <c r="N27" s="126"/>
    </row>
    <row r="28" spans="1:44" x14ac:dyDescent="0.3">
      <c r="D28" s="7">
        <f>SUM(D22:D27)</f>
        <v>0.19290000000000002</v>
      </c>
      <c r="K28" t="s">
        <v>124</v>
      </c>
      <c r="L28" s="124"/>
      <c r="M28" s="125"/>
      <c r="N28" s="126"/>
    </row>
    <row r="29" spans="1:44" x14ac:dyDescent="0.3">
      <c r="D29" s="160" t="s">
        <v>43</v>
      </c>
      <c r="E29" s="160"/>
      <c r="L29" s="162" t="s">
        <v>43</v>
      </c>
      <c r="M29" s="162"/>
      <c r="N29" s="126"/>
    </row>
    <row r="30" spans="1:44" x14ac:dyDescent="0.3">
      <c r="D30" s="160"/>
      <c r="E30" s="160"/>
      <c r="L30" s="162"/>
      <c r="M30" s="162"/>
      <c r="N30" s="126"/>
    </row>
    <row r="31" spans="1:44" x14ac:dyDescent="0.3">
      <c r="C31" s="1" t="s">
        <v>53</v>
      </c>
      <c r="D31" s="9" t="s">
        <v>24</v>
      </c>
      <c r="E31" s="9" t="s">
        <v>36</v>
      </c>
      <c r="K31" s="128" t="s">
        <v>53</v>
      </c>
      <c r="L31" s="121" t="s">
        <v>24</v>
      </c>
      <c r="M31" s="121" t="s">
        <v>36</v>
      </c>
    </row>
    <row r="32" spans="1:44" x14ac:dyDescent="0.3">
      <c r="C32" s="1" t="s">
        <v>25</v>
      </c>
      <c r="D32" s="25">
        <v>7.1999999999999998E-3</v>
      </c>
      <c r="E32" s="6">
        <v>-1</v>
      </c>
      <c r="F32" s="5">
        <f>D32/D$38</f>
        <v>5.5944055944055937E-2</v>
      </c>
      <c r="K32" s="128" t="s">
        <v>25</v>
      </c>
      <c r="L32" s="130">
        <f>F32*L$38</f>
        <v>9.9692307692307684E-3</v>
      </c>
      <c r="M32" s="122">
        <f>E32</f>
        <v>-1</v>
      </c>
    </row>
    <row r="33" spans="3:21" x14ac:dyDescent="0.3">
      <c r="C33" s="1" t="s">
        <v>26</v>
      </c>
      <c r="D33" s="25">
        <v>9.1000000000000004E-3</v>
      </c>
      <c r="E33" s="6">
        <v>-1</v>
      </c>
      <c r="F33" s="5">
        <f t="shared" ref="F33:F37" si="5">D33/D$38</f>
        <v>7.0707070707070704E-2</v>
      </c>
      <c r="K33" s="128" t="s">
        <v>26</v>
      </c>
      <c r="L33" s="130">
        <f t="shared" ref="L33:L37" si="6">F33*L$38</f>
        <v>1.26E-2</v>
      </c>
      <c r="M33" s="122">
        <f t="shared" ref="M33:M37" si="7">E33</f>
        <v>-1</v>
      </c>
    </row>
    <row r="34" spans="3:21" x14ac:dyDescent="0.3">
      <c r="C34" s="1" t="s">
        <v>27</v>
      </c>
      <c r="D34" s="25">
        <v>8.9999999999999993E-3</v>
      </c>
      <c r="E34" s="6">
        <v>-1</v>
      </c>
      <c r="F34" s="5">
        <f t="shared" si="5"/>
        <v>6.9930069930069921E-2</v>
      </c>
      <c r="K34" s="128" t="s">
        <v>27</v>
      </c>
      <c r="L34" s="130">
        <f t="shared" si="6"/>
        <v>1.246153846153846E-2</v>
      </c>
      <c r="M34" s="122">
        <f t="shared" si="7"/>
        <v>-1</v>
      </c>
    </row>
    <row r="35" spans="3:21" x14ac:dyDescent="0.3">
      <c r="C35" s="1" t="s">
        <v>28</v>
      </c>
      <c r="D35" s="25">
        <v>3.1800000000000002E-2</v>
      </c>
      <c r="E35" s="6">
        <v>-0.14069999999999999</v>
      </c>
      <c r="F35" s="5">
        <f t="shared" si="5"/>
        <v>0.24708624708624707</v>
      </c>
      <c r="K35" s="128" t="s">
        <v>28</v>
      </c>
      <c r="L35" s="130">
        <f t="shared" si="6"/>
        <v>4.4030769230769227E-2</v>
      </c>
      <c r="M35" s="122">
        <f t="shared" si="7"/>
        <v>-0.14069999999999999</v>
      </c>
    </row>
    <row r="36" spans="3:21" x14ac:dyDescent="0.3">
      <c r="C36" s="1" t="s">
        <v>29</v>
      </c>
      <c r="D36" s="25">
        <v>3.1600000000000003E-2</v>
      </c>
      <c r="E36" s="6">
        <v>-3.3300000000000003E-2</v>
      </c>
      <c r="F36" s="5">
        <f t="shared" si="5"/>
        <v>0.24553224553224554</v>
      </c>
      <c r="K36" s="128" t="s">
        <v>29</v>
      </c>
      <c r="L36" s="130">
        <f t="shared" si="6"/>
        <v>4.3753846153846157E-2</v>
      </c>
      <c r="M36" s="122">
        <f t="shared" si="7"/>
        <v>-3.3300000000000003E-2</v>
      </c>
    </row>
    <row r="37" spans="3:21" x14ac:dyDescent="0.3">
      <c r="C37" s="1" t="s">
        <v>30</v>
      </c>
      <c r="D37" s="25">
        <v>0.04</v>
      </c>
      <c r="E37" s="6">
        <v>-7.4000000000000003E-3</v>
      </c>
      <c r="F37" s="5">
        <f t="shared" si="5"/>
        <v>0.31080031080031079</v>
      </c>
      <c r="K37" s="128" t="s">
        <v>30</v>
      </c>
      <c r="L37" s="130">
        <f t="shared" si="6"/>
        <v>5.5384615384615379E-2</v>
      </c>
      <c r="M37" s="122">
        <f t="shared" si="7"/>
        <v>-7.4000000000000003E-3</v>
      </c>
    </row>
    <row r="38" spans="3:21" x14ac:dyDescent="0.3">
      <c r="D38" s="7">
        <f>SUM(D32:D37)</f>
        <v>0.12870000000000001</v>
      </c>
      <c r="L38" s="7">
        <f>AVERAGE(D18,D38)</f>
        <v>0.1782</v>
      </c>
    </row>
    <row r="39" spans="3:21" x14ac:dyDescent="0.3">
      <c r="H39">
        <f>+LN(2)</f>
        <v>0.69314718055994529</v>
      </c>
      <c r="I39">
        <f>+H39*-6.58</f>
        <v>-4.5609084480844402</v>
      </c>
    </row>
    <row r="40" spans="3:21" ht="18" x14ac:dyDescent="0.35">
      <c r="C40" s="24" t="s">
        <v>48</v>
      </c>
      <c r="H40">
        <f>+LN(6)</f>
        <v>1.791759469228055</v>
      </c>
      <c r="I40">
        <f>+H40*-6.58</f>
        <v>-11.789777307520602</v>
      </c>
    </row>
    <row r="41" spans="3:21" x14ac:dyDescent="0.3">
      <c r="G41">
        <f>+LN(1)</f>
        <v>0</v>
      </c>
    </row>
    <row r="42" spans="3:21" x14ac:dyDescent="0.3">
      <c r="C42" t="s">
        <v>50</v>
      </c>
      <c r="J42" t="s">
        <v>51</v>
      </c>
    </row>
    <row r="43" spans="3:21" x14ac:dyDescent="0.3">
      <c r="D43" s="161" t="s">
        <v>6</v>
      </c>
      <c r="E43" s="161"/>
      <c r="F43" s="161"/>
      <c r="K43" s="161" t="s">
        <v>6</v>
      </c>
      <c r="L43" s="161"/>
      <c r="M43" s="161"/>
    </row>
    <row r="44" spans="3:21" x14ac:dyDescent="0.3">
      <c r="C44" s="1" t="s">
        <v>37</v>
      </c>
      <c r="D44" s="12">
        <v>0.5</v>
      </c>
      <c r="E44" s="12">
        <v>6</v>
      </c>
      <c r="F44" s="11">
        <v>11</v>
      </c>
      <c r="G44" s="11">
        <v>19</v>
      </c>
      <c r="J44" s="1" t="s">
        <v>38</v>
      </c>
      <c r="K44" s="12">
        <v>0.5</v>
      </c>
      <c r="L44" s="11">
        <v>2</v>
      </c>
      <c r="M44" s="11">
        <v>3</v>
      </c>
      <c r="N44" s="11">
        <v>4</v>
      </c>
      <c r="O44" s="11">
        <v>20</v>
      </c>
    </row>
    <row r="45" spans="3:21" x14ac:dyDescent="0.3">
      <c r="C45" s="18" t="s">
        <v>21</v>
      </c>
      <c r="D45" s="13">
        <v>96</v>
      </c>
      <c r="E45" s="13">
        <v>93.01</v>
      </c>
      <c r="F45" s="13">
        <v>88.31</v>
      </c>
      <c r="G45" s="13">
        <v>85.45</v>
      </c>
      <c r="J45" s="18" t="s">
        <v>20</v>
      </c>
      <c r="K45" s="13">
        <v>94.57</v>
      </c>
      <c r="L45" s="13">
        <v>94.17</v>
      </c>
      <c r="M45" s="13">
        <v>93.97</v>
      </c>
      <c r="N45" s="13">
        <v>92.87</v>
      </c>
      <c r="O45" s="13">
        <v>91.12</v>
      </c>
    </row>
    <row r="48" spans="3:21" x14ac:dyDescent="0.3">
      <c r="S48" t="s">
        <v>1</v>
      </c>
      <c r="T48" t="s">
        <v>3</v>
      </c>
      <c r="U48" t="s">
        <v>4</v>
      </c>
    </row>
    <row r="49" spans="1:21" x14ac:dyDescent="0.3">
      <c r="S49" t="s">
        <v>15</v>
      </c>
      <c r="T49" s="4">
        <v>0.22764462012548461</v>
      </c>
      <c r="U49" s="4">
        <f>+J84</f>
        <v>7.0000000000000007E-2</v>
      </c>
    </row>
    <row r="50" spans="1:21" x14ac:dyDescent="0.3">
      <c r="S50" t="s">
        <v>16</v>
      </c>
      <c r="T50" s="4">
        <v>0.7723553798745153</v>
      </c>
      <c r="U50" s="4">
        <f>+J85</f>
        <v>0.93</v>
      </c>
    </row>
    <row r="51" spans="1:21" x14ac:dyDescent="0.3">
      <c r="A51" t="s">
        <v>55</v>
      </c>
      <c r="B51">
        <v>-2.6720000000000002</v>
      </c>
      <c r="P51" t="s">
        <v>55</v>
      </c>
      <c r="Q51">
        <v>-0.97599999999999998</v>
      </c>
    </row>
    <row r="52" spans="1:21" x14ac:dyDescent="0.3">
      <c r="A52" t="s">
        <v>56</v>
      </c>
      <c r="B52">
        <f>+B51/T49</f>
        <v>-11.73759344071963</v>
      </c>
      <c r="P52" t="s">
        <v>56</v>
      </c>
      <c r="Q52">
        <f>+Q51/U49</f>
        <v>-13.942857142857141</v>
      </c>
    </row>
    <row r="53" spans="1:21" x14ac:dyDescent="0.3">
      <c r="A53" t="s">
        <v>57</v>
      </c>
      <c r="B53">
        <f>+IF($E$4="SI",B51,B52)</f>
        <v>-11.73759344071963</v>
      </c>
      <c r="P53" t="s">
        <v>57</v>
      </c>
      <c r="Q53">
        <f>+IF($E$4="SI",Q51,Q52)</f>
        <v>-13.942857142857141</v>
      </c>
    </row>
    <row r="59" spans="1:21" x14ac:dyDescent="0.3">
      <c r="C59" t="s">
        <v>42</v>
      </c>
      <c r="J59" t="s">
        <v>41</v>
      </c>
    </row>
    <row r="60" spans="1:21" x14ac:dyDescent="0.3">
      <c r="C60" s="1" t="s">
        <v>34</v>
      </c>
      <c r="D60" s="12">
        <v>0.5</v>
      </c>
      <c r="E60" s="11">
        <v>6</v>
      </c>
      <c r="F60" s="11">
        <v>11</v>
      </c>
      <c r="J60" s="1" t="s">
        <v>35</v>
      </c>
      <c r="K60" s="12">
        <v>2</v>
      </c>
      <c r="L60" s="11">
        <v>4</v>
      </c>
      <c r="M60" s="11">
        <v>5</v>
      </c>
      <c r="N60" s="11">
        <v>11</v>
      </c>
    </row>
    <row r="61" spans="1:21" x14ac:dyDescent="0.3">
      <c r="C61" s="18" t="s">
        <v>19</v>
      </c>
      <c r="D61" s="13">
        <v>96.44</v>
      </c>
      <c r="E61" s="13">
        <v>94.71</v>
      </c>
      <c r="F61" s="13">
        <v>84.29</v>
      </c>
      <c r="J61" s="18" t="s">
        <v>20</v>
      </c>
      <c r="K61" s="13">
        <v>97.56</v>
      </c>
      <c r="L61" s="13">
        <v>96.49</v>
      </c>
      <c r="M61" s="13">
        <v>96.38</v>
      </c>
      <c r="N61" s="13">
        <v>95.08</v>
      </c>
    </row>
    <row r="64" spans="1:21" x14ac:dyDescent="0.3">
      <c r="S64" t="s">
        <v>0</v>
      </c>
      <c r="T64" t="s">
        <v>3</v>
      </c>
      <c r="U64" t="s">
        <v>4</v>
      </c>
    </row>
    <row r="65" spans="1:21" x14ac:dyDescent="0.3">
      <c r="A65" t="s">
        <v>55</v>
      </c>
      <c r="B65">
        <v>-2.9929999999999999</v>
      </c>
      <c r="P65" t="s">
        <v>55</v>
      </c>
      <c r="Q65">
        <v>-1.44</v>
      </c>
      <c r="S65" t="s">
        <v>15</v>
      </c>
      <c r="T65" s="4">
        <v>0.19296252036422679</v>
      </c>
      <c r="U65" s="4">
        <f>+J84</f>
        <v>7.0000000000000007E-2</v>
      </c>
    </row>
    <row r="66" spans="1:21" x14ac:dyDescent="0.3">
      <c r="A66" t="s">
        <v>56</v>
      </c>
      <c r="B66">
        <f>+B65/T65</f>
        <v>-15.510784137513113</v>
      </c>
      <c r="P66" t="s">
        <v>56</v>
      </c>
      <c r="Q66">
        <f>+Q65/U65</f>
        <v>-20.571428571428569</v>
      </c>
      <c r="S66" t="s">
        <v>16</v>
      </c>
      <c r="T66" s="4">
        <v>0.80703747963577332</v>
      </c>
      <c r="U66" s="4">
        <f>+J85</f>
        <v>0.93</v>
      </c>
    </row>
    <row r="67" spans="1:21" x14ac:dyDescent="0.3">
      <c r="A67" t="s">
        <v>57</v>
      </c>
      <c r="B67">
        <f>+IF($E$4="SI",B65,B66)</f>
        <v>-15.510784137513113</v>
      </c>
      <c r="P67" t="s">
        <v>57</v>
      </c>
      <c r="Q67">
        <f>+IF($E$4="SI",Q65,Q66)</f>
        <v>-20.571428571428569</v>
      </c>
    </row>
    <row r="69" spans="1:21" x14ac:dyDescent="0.3">
      <c r="Q69" s="5"/>
    </row>
    <row r="76" spans="1:21" x14ac:dyDescent="0.3">
      <c r="C76" t="s">
        <v>52</v>
      </c>
    </row>
    <row r="77" spans="1:21" x14ac:dyDescent="0.3">
      <c r="C77" s="1" t="s">
        <v>40</v>
      </c>
      <c r="D77" s="12">
        <v>0.5</v>
      </c>
      <c r="E77" s="11">
        <v>5</v>
      </c>
      <c r="F77" s="11">
        <v>6</v>
      </c>
    </row>
    <row r="78" spans="1:21" x14ac:dyDescent="0.3">
      <c r="C78" s="18" t="s">
        <v>31</v>
      </c>
      <c r="D78" s="13">
        <v>96.95</v>
      </c>
      <c r="E78" s="13">
        <v>95.51</v>
      </c>
      <c r="F78" s="13">
        <v>94.39</v>
      </c>
    </row>
    <row r="83" spans="1:10" x14ac:dyDescent="0.3">
      <c r="I83" t="s">
        <v>17</v>
      </c>
    </row>
    <row r="84" spans="1:10" x14ac:dyDescent="0.3">
      <c r="A84" t="s">
        <v>55</v>
      </c>
      <c r="B84">
        <v>-0.85899999999999999</v>
      </c>
      <c r="I84" t="s">
        <v>15</v>
      </c>
      <c r="J84" s="4">
        <v>7.0000000000000007E-2</v>
      </c>
    </row>
    <row r="85" spans="1:10" x14ac:dyDescent="0.3">
      <c r="A85" t="s">
        <v>56</v>
      </c>
      <c r="B85">
        <f>+B84/J84</f>
        <v>-12.27142857142857</v>
      </c>
      <c r="I85" t="s">
        <v>16</v>
      </c>
      <c r="J85" s="4">
        <v>0.93</v>
      </c>
    </row>
    <row r="86" spans="1:10" x14ac:dyDescent="0.3">
      <c r="A86" t="s">
        <v>57</v>
      </c>
      <c r="B86">
        <f>+IF($E$4="SI",B84,B85)</f>
        <v>-12.27142857142857</v>
      </c>
    </row>
    <row r="103" spans="1:1" x14ac:dyDescent="0.3">
      <c r="A103" t="s">
        <v>8</v>
      </c>
    </row>
    <row r="104" spans="1:1" x14ac:dyDescent="0.3">
      <c r="A104" t="s">
        <v>58</v>
      </c>
    </row>
  </sheetData>
  <mergeCells count="5">
    <mergeCell ref="AL11:AR11"/>
    <mergeCell ref="D29:E30"/>
    <mergeCell ref="D43:F43"/>
    <mergeCell ref="K43:M43"/>
    <mergeCell ref="L29:M30"/>
  </mergeCells>
  <pageMargins left="0.7" right="0.7" top="0.75" bottom="0.75" header="0.3" footer="0.3"/>
  <pageSetup orientation="portrait" r:id="rId1"/>
  <ignoredErrors>
    <ignoredError sqref="C34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FLUJO</vt:lpstr>
      <vt:lpstr>Clase A</vt:lpstr>
      <vt:lpstr>BBDD</vt:lpstr>
      <vt:lpstr>Datos</vt:lpstr>
      <vt:lpstr>Parámetros Caudal Bajo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Matías Brown</cp:lastModifiedBy>
  <cp:lastPrinted>2020-06-30T21:48:14Z</cp:lastPrinted>
  <dcterms:created xsi:type="dcterms:W3CDTF">2020-06-27T01:31:34Z</dcterms:created>
  <dcterms:modified xsi:type="dcterms:W3CDTF">2024-03-12T13:31:33Z</dcterms:modified>
</cp:coreProperties>
</file>