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ECS" sheetId="3" r:id="rId1"/>
    <sheet name="Network" sheetId="4" r:id="rId2"/>
    <sheet name="D%$&amp;01_DevSheet" sheetId="5" state="veryHidden" r:id="rId3"/>
  </sheets>
  <calcPr calcId="145621"/>
</workbook>
</file>

<file path=xl/calcChain.xml><?xml version="1.0" encoding="utf-8"?>
<calcChain xmlns="http://schemas.openxmlformats.org/spreadsheetml/2006/main">
  <c r="CD8" i="5" l="1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GU8" i="5"/>
  <c r="GV8" i="5"/>
  <c r="GW8" i="5"/>
  <c r="GX8" i="5"/>
  <c r="GY8" i="5"/>
  <c r="GZ8" i="5"/>
  <c r="HA8" i="5"/>
  <c r="HB8" i="5"/>
  <c r="HC8" i="5"/>
  <c r="HD8" i="5"/>
  <c r="HE8" i="5"/>
  <c r="HF8" i="5"/>
  <c r="HG8" i="5"/>
  <c r="HH8" i="5"/>
  <c r="HI8" i="5"/>
  <c r="HJ8" i="5"/>
  <c r="HK8" i="5"/>
  <c r="HL8" i="5"/>
  <c r="HM8" i="5"/>
  <c r="HN8" i="5"/>
  <c r="HO8" i="5"/>
  <c r="HP8" i="5"/>
  <c r="HQ8" i="5"/>
  <c r="HR8" i="5"/>
  <c r="HS8" i="5"/>
  <c r="HT8" i="5"/>
  <c r="HU8" i="5"/>
  <c r="HV8" i="5"/>
  <c r="HW8" i="5"/>
  <c r="HX8" i="5"/>
  <c r="HY8" i="5"/>
  <c r="HZ8" i="5"/>
  <c r="IA8" i="5"/>
  <c r="IB8" i="5"/>
  <c r="IC8" i="5"/>
  <c r="ID8" i="5"/>
  <c r="IE8" i="5"/>
  <c r="IF8" i="5"/>
  <c r="IG8" i="5"/>
  <c r="F8" i="5" l="1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HZ7" i="5"/>
  <c r="IA7" i="5"/>
  <c r="IB7" i="5"/>
  <c r="IC7" i="5"/>
  <c r="ID7" i="5"/>
  <c r="IE7" i="5"/>
  <c r="IF7" i="5"/>
  <c r="IG7" i="5"/>
  <c r="IH7" i="5"/>
  <c r="II7" i="5"/>
  <c r="IJ7" i="5"/>
  <c r="IK7" i="5"/>
  <c r="IL7" i="5"/>
  <c r="IM7" i="5"/>
  <c r="IN7" i="5"/>
  <c r="IO7" i="5"/>
  <c r="IP7" i="5"/>
  <c r="IQ7" i="5"/>
  <c r="IR7" i="5"/>
  <c r="IS7" i="5"/>
  <c r="IT7" i="5"/>
  <c r="IU7" i="5"/>
  <c r="IV7" i="5"/>
  <c r="CK7" i="5" l="1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GS7" i="5"/>
  <c r="GT7" i="5"/>
  <c r="GU7" i="5"/>
  <c r="GV7" i="5"/>
  <c r="GW7" i="5"/>
  <c r="GX7" i="5"/>
  <c r="GY7" i="5"/>
  <c r="GZ7" i="5"/>
  <c r="HA7" i="5"/>
  <c r="HB7" i="5"/>
  <c r="HC7" i="5"/>
  <c r="HD7" i="5"/>
  <c r="HE7" i="5"/>
  <c r="HF7" i="5"/>
  <c r="HG7" i="5"/>
  <c r="HH7" i="5"/>
  <c r="HI7" i="5"/>
  <c r="HJ7" i="5"/>
  <c r="HK7" i="5"/>
  <c r="HL7" i="5"/>
  <c r="HM7" i="5"/>
  <c r="HN7" i="5"/>
  <c r="HO7" i="5"/>
  <c r="HP7" i="5"/>
  <c r="HQ7" i="5"/>
  <c r="HR7" i="5"/>
  <c r="HS7" i="5"/>
  <c r="HT7" i="5"/>
  <c r="HU7" i="5"/>
  <c r="HV7" i="5"/>
  <c r="HW7" i="5"/>
  <c r="HX7" i="5"/>
  <c r="HY7" i="5"/>
  <c r="CJ7" i="5" l="1"/>
  <c r="BW7" i="5" l="1"/>
  <c r="BX7" i="5"/>
  <c r="BY7" i="5"/>
  <c r="BZ7" i="5"/>
  <c r="CA7" i="5"/>
  <c r="CB7" i="5"/>
  <c r="CC7" i="5"/>
  <c r="CD7" i="5"/>
  <c r="CE7" i="5"/>
  <c r="CF7" i="5"/>
  <c r="CG7" i="5"/>
  <c r="CH7" i="5"/>
  <c r="CI7" i="5"/>
  <c r="BV7" i="5" l="1"/>
  <c r="AC7" i="5" l="1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Y7" i="5" l="1"/>
  <c r="Z7" i="5"/>
  <c r="AA7" i="5"/>
  <c r="AB7" i="5"/>
  <c r="X7" i="5" l="1"/>
  <c r="U7" i="5" l="1"/>
  <c r="V7" i="5"/>
  <c r="W7" i="5"/>
  <c r="F7" i="5" l="1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GX6" i="5"/>
  <c r="GY6" i="5"/>
  <c r="GZ6" i="5"/>
  <c r="HA6" i="5"/>
  <c r="HB6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Z6" i="5"/>
  <c r="IA6" i="5"/>
  <c r="IB6" i="5"/>
  <c r="IC6" i="5"/>
  <c r="ID6" i="5"/>
  <c r="IE6" i="5"/>
  <c r="IF6" i="5"/>
  <c r="IG6" i="5"/>
  <c r="IH6" i="5"/>
  <c r="II6" i="5"/>
  <c r="IJ6" i="5"/>
  <c r="IK6" i="5"/>
  <c r="IL6" i="5"/>
  <c r="IM6" i="5"/>
  <c r="IN6" i="5"/>
  <c r="IO6" i="5"/>
  <c r="IP6" i="5"/>
  <c r="IQ6" i="5"/>
  <c r="IR6" i="5"/>
  <c r="IS6" i="5"/>
  <c r="IT6" i="5"/>
  <c r="IU6" i="5"/>
  <c r="IV6" i="5"/>
  <c r="F2" i="5" l="1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HI3" i="5"/>
  <c r="HJ3" i="5"/>
  <c r="HK3" i="5"/>
  <c r="HL3" i="5"/>
  <c r="HM3" i="5"/>
  <c r="HN3" i="5"/>
  <c r="HO3" i="5"/>
  <c r="HP3" i="5"/>
  <c r="HQ3" i="5"/>
  <c r="HR3" i="5"/>
  <c r="HS3" i="5"/>
  <c r="HT3" i="5"/>
  <c r="HU3" i="5"/>
  <c r="HV3" i="5"/>
  <c r="HW3" i="5"/>
  <c r="HX3" i="5"/>
  <c r="HY3" i="5"/>
  <c r="HZ3" i="5"/>
  <c r="IA3" i="5"/>
  <c r="IB3" i="5"/>
  <c r="IC3" i="5"/>
  <c r="ID3" i="5"/>
  <c r="IE3" i="5"/>
  <c r="IF3" i="5"/>
  <c r="IG3" i="5"/>
  <c r="IH3" i="5"/>
  <c r="II3" i="5"/>
  <c r="IJ3" i="5"/>
  <c r="IK3" i="5"/>
  <c r="IL3" i="5"/>
  <c r="IM3" i="5"/>
  <c r="IN3" i="5"/>
  <c r="IO3" i="5"/>
  <c r="IP3" i="5"/>
  <c r="IQ3" i="5"/>
  <c r="IR3" i="5"/>
  <c r="IS3" i="5"/>
  <c r="IT3" i="5"/>
  <c r="IU3" i="5"/>
  <c r="IV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HI4" i="5"/>
  <c r="HJ4" i="5"/>
  <c r="HK4" i="5"/>
  <c r="HL4" i="5"/>
  <c r="HM4" i="5"/>
  <c r="HN4" i="5"/>
  <c r="HO4" i="5"/>
  <c r="HP4" i="5"/>
  <c r="HQ4" i="5"/>
  <c r="HR4" i="5"/>
  <c r="HS4" i="5"/>
  <c r="HT4" i="5"/>
  <c r="HU4" i="5"/>
  <c r="HV4" i="5"/>
  <c r="HW4" i="5"/>
  <c r="HX4" i="5"/>
  <c r="HY4" i="5"/>
  <c r="HZ4" i="5"/>
  <c r="IA4" i="5"/>
  <c r="IB4" i="5"/>
  <c r="IC4" i="5"/>
  <c r="ID4" i="5"/>
  <c r="IE4" i="5"/>
  <c r="IF4" i="5"/>
  <c r="IG4" i="5"/>
  <c r="IH4" i="5"/>
  <c r="II4" i="5"/>
  <c r="IJ4" i="5"/>
  <c r="IK4" i="5"/>
  <c r="IL4" i="5"/>
  <c r="IM4" i="5"/>
  <c r="IN4" i="5"/>
  <c r="IO4" i="5"/>
  <c r="IP4" i="5"/>
  <c r="IQ4" i="5"/>
  <c r="IR4" i="5"/>
  <c r="IS4" i="5"/>
  <c r="IT4" i="5"/>
  <c r="IU4" i="5"/>
  <c r="IV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GT5" i="5"/>
  <c r="GU5" i="5"/>
  <c r="GV5" i="5"/>
  <c r="GW5" i="5"/>
  <c r="GX5" i="5"/>
  <c r="GY5" i="5"/>
  <c r="GZ5" i="5"/>
  <c r="HA5" i="5"/>
  <c r="HB5" i="5"/>
  <c r="HC5" i="5"/>
  <c r="HD5" i="5"/>
  <c r="HE5" i="5"/>
  <c r="HF5" i="5"/>
  <c r="HG5" i="5"/>
  <c r="HH5" i="5"/>
  <c r="HI5" i="5"/>
  <c r="HJ5" i="5"/>
  <c r="HK5" i="5"/>
  <c r="HL5" i="5"/>
  <c r="HM5" i="5"/>
  <c r="HN5" i="5"/>
  <c r="HO5" i="5"/>
  <c r="HP5" i="5"/>
  <c r="HQ5" i="5"/>
  <c r="HR5" i="5"/>
  <c r="HS5" i="5"/>
  <c r="HT5" i="5"/>
  <c r="HU5" i="5"/>
  <c r="HV5" i="5"/>
  <c r="HW5" i="5"/>
  <c r="HX5" i="5"/>
  <c r="HY5" i="5"/>
  <c r="HZ5" i="5"/>
  <c r="IA5" i="5"/>
  <c r="IB5" i="5"/>
  <c r="IC5" i="5"/>
  <c r="ID5" i="5"/>
  <c r="IE5" i="5"/>
  <c r="IF5" i="5"/>
  <c r="IG5" i="5"/>
  <c r="IH5" i="5"/>
  <c r="II5" i="5"/>
  <c r="IJ5" i="5"/>
  <c r="IK5" i="5"/>
  <c r="IL5" i="5"/>
  <c r="IM5" i="5"/>
  <c r="IN5" i="5"/>
  <c r="IO5" i="5"/>
  <c r="IP5" i="5"/>
  <c r="IQ5" i="5"/>
  <c r="IR5" i="5"/>
  <c r="IS5" i="5"/>
  <c r="IT5" i="5"/>
  <c r="IU5" i="5"/>
  <c r="IV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GU6" i="5"/>
  <c r="GV6" i="5"/>
  <c r="GW6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GO1" i="5"/>
  <c r="GP1" i="5"/>
  <c r="GQ1" i="5"/>
  <c r="GR1" i="5"/>
  <c r="GS1" i="5"/>
  <c r="GT1" i="5"/>
  <c r="GU1" i="5"/>
  <c r="GV1" i="5"/>
  <c r="GW1" i="5"/>
  <c r="GX1" i="5"/>
  <c r="GY1" i="5"/>
  <c r="GZ1" i="5"/>
  <c r="HA1" i="5"/>
  <c r="HB1" i="5"/>
  <c r="HC1" i="5"/>
  <c r="HD1" i="5"/>
  <c r="HE1" i="5"/>
  <c r="HF1" i="5"/>
  <c r="HG1" i="5"/>
  <c r="HH1" i="5"/>
  <c r="HI1" i="5"/>
  <c r="HJ1" i="5"/>
  <c r="HK1" i="5"/>
  <c r="HL1" i="5"/>
  <c r="HM1" i="5"/>
  <c r="HN1" i="5"/>
  <c r="HO1" i="5"/>
  <c r="HP1" i="5"/>
  <c r="HQ1" i="5"/>
  <c r="HR1" i="5"/>
  <c r="HS1" i="5"/>
  <c r="HT1" i="5"/>
  <c r="HU1" i="5"/>
  <c r="HV1" i="5"/>
  <c r="HW1" i="5"/>
  <c r="HX1" i="5"/>
  <c r="HY1" i="5"/>
  <c r="HZ1" i="5"/>
  <c r="IA1" i="5"/>
  <c r="IB1" i="5"/>
  <c r="IC1" i="5"/>
  <c r="ID1" i="5"/>
  <c r="IE1" i="5"/>
  <c r="IF1" i="5"/>
  <c r="IG1" i="5"/>
  <c r="IH1" i="5"/>
  <c r="II1" i="5"/>
  <c r="IJ1" i="5"/>
  <c r="IK1" i="5"/>
  <c r="IL1" i="5"/>
  <c r="IM1" i="5"/>
  <c r="IN1" i="5"/>
  <c r="IO1" i="5"/>
  <c r="IP1" i="5"/>
  <c r="IQ1" i="5"/>
  <c r="IR1" i="5"/>
  <c r="IS1" i="5"/>
  <c r="IT1" i="5"/>
  <c r="IU1" i="5"/>
  <c r="IV1" i="5"/>
</calcChain>
</file>

<file path=xl/sharedStrings.xml><?xml version="1.0" encoding="utf-8"?>
<sst xmlns="http://schemas.openxmlformats.org/spreadsheetml/2006/main" count="311" uniqueCount="233">
  <si>
    <t>Server Name</t>
  </si>
  <si>
    <t>Server Health Status (Yes/No)</t>
  </si>
  <si>
    <t>EU1_TSP_PRD_LVS_01</t>
  </si>
  <si>
    <t>EU1_TSP_PRD_LVS_02</t>
  </si>
  <si>
    <t>EU1_TSP_PRD_Mysql_01</t>
  </si>
  <si>
    <t>EU1_TSP_PRD_Mysql_02</t>
  </si>
  <si>
    <t>EU1_TSP_PRD_Mongdb_01</t>
  </si>
  <si>
    <t>EU1_TSP_PRD_Mongdb_02</t>
  </si>
  <si>
    <t>EU1_TSP_PRD_Mongdb_03</t>
  </si>
  <si>
    <t>EU1_TSP_PRD_NGINX_01</t>
  </si>
  <si>
    <t>EU1_TSP_PRD_NGINX_02</t>
  </si>
  <si>
    <t>EU1_TSP_PRD_LOG_01</t>
  </si>
  <si>
    <t>EU1_TSP_PRD_LOG_02</t>
  </si>
  <si>
    <t>EU1_TSP_PRD_REDIS_01</t>
  </si>
  <si>
    <t>EU1_TSP_PRD_REDIS_02</t>
  </si>
  <si>
    <t>EU1_TSP_PRD_VG_01</t>
  </si>
  <si>
    <t>EU1_TSP_PRD_VG_02</t>
  </si>
  <si>
    <t>EU1_TSP_PRD_VG_03</t>
  </si>
  <si>
    <t>EU1_TSP_PRD_PORTAL_01</t>
  </si>
  <si>
    <t>EU1_TSP_PRD_PORTAL_02</t>
  </si>
  <si>
    <t>EU1_TSP_PRD_SP_01</t>
  </si>
  <si>
    <t>EU1_TSP_PRD_SP_02</t>
  </si>
  <si>
    <t>EU1_TSP_PRD_SP_03</t>
  </si>
  <si>
    <t>EU1_TSP_PRD_SP_04</t>
  </si>
  <si>
    <t>EU1_TSP_PRD_SP_05</t>
  </si>
  <si>
    <t>EU1_TSP_PRD_SP_06</t>
  </si>
  <si>
    <t>EU1_TSP_PRD_SP_07</t>
  </si>
  <si>
    <t>EU1_TSP_PRD_SP_08</t>
  </si>
  <si>
    <t>EU1_TSP_PRD_PUSHGW_01</t>
  </si>
  <si>
    <t>EU1_TSP_PRD_PUSHGW_02</t>
  </si>
  <si>
    <t>EU1_TSP_PRD_PUSHGW_03</t>
  </si>
  <si>
    <t>EU1_TSP_PRD_PUSHGW_04</t>
  </si>
  <si>
    <t>EU1_TSP_PRD_BACKUP_01</t>
  </si>
  <si>
    <t>EU1_TSP_PRD_MONITOR_01</t>
  </si>
  <si>
    <t>EU1_TSP_PRD_HADOOP_master01</t>
  </si>
  <si>
    <t>EU1_TSP_PRD_HADOOP_master02</t>
  </si>
  <si>
    <t>EU1_TSP_PRD_HADOOP_slave01</t>
  </si>
  <si>
    <t>EU1_TSP_PRD_HADOOP_slave02</t>
  </si>
  <si>
    <t>EU1_TSP_PRD_HADOOP_slave03</t>
  </si>
  <si>
    <t>EU1_TSP_PRD_VPN_01</t>
  </si>
  <si>
    <t>EU1_TSP_PRD_DNS_01</t>
  </si>
  <si>
    <t>EU1_STMS_PRD_WEB_01</t>
  </si>
  <si>
    <t>EU1_STMS_PRD_WEB_02</t>
  </si>
  <si>
    <t>EU1_STMS_PRD_DB_01</t>
  </si>
  <si>
    <t>EU1_STMS_PRD_DB_02</t>
  </si>
  <si>
    <t>EU1_DCS_PRD_APP_01</t>
  </si>
  <si>
    <t>EU1_DCS_PRD_APP_02</t>
  </si>
  <si>
    <t>EU1_DCS_PRD_WEB_01</t>
  </si>
  <si>
    <t>EU1_DCS_PRD_FILE_01</t>
  </si>
  <si>
    <t>EU1_DCS_PRD_DB_01</t>
  </si>
  <si>
    <t>EU1_DCS_PRD_DB_02</t>
  </si>
  <si>
    <t>EU1_DCS_PRD_APPDB_01</t>
  </si>
  <si>
    <t>EU1_DCS_PRD_APPDB_02</t>
  </si>
  <si>
    <t>EU1_CM2_PRD_NGINX_01</t>
  </si>
  <si>
    <t>EU1_CM2_PRD_NGINX_02</t>
  </si>
  <si>
    <t>EU1_CM2_PRD_SVCLUSTER_01</t>
  </si>
  <si>
    <t>EU1_CM2_PRD_SVCLUSTER_02</t>
  </si>
  <si>
    <t>EU1_CM2_PRD_SVCLUSTER_03</t>
  </si>
  <si>
    <t>EU1_CM2_PRD_SVCLUSTER_04</t>
  </si>
  <si>
    <t>EU1_CM2_PRD_SVCLUSTER_05</t>
  </si>
  <si>
    <t>EU1_CM2_PRD_SVCLUSTER_06</t>
  </si>
  <si>
    <t>EU1_CM2_PRD_LVS_01</t>
  </si>
  <si>
    <t>EU1_CM2_PRD_LVS_02</t>
  </si>
  <si>
    <t>EU1_CM2_PRD_Mysql_01</t>
  </si>
  <si>
    <t>EU1_CM2_PRD_Mysql_02</t>
  </si>
  <si>
    <t>BVPN Galerie 100M Usage Report</t>
  </si>
  <si>
    <t>90M Internet Usage Report</t>
  </si>
  <si>
    <t>OK</t>
  </si>
  <si>
    <t xml:space="preserve">CPU Average (Max)Usage </t>
  </si>
  <si>
    <t>Min</t>
  </si>
  <si>
    <t>D%$&amp;01_39773bf906eb47cca6e9bc1743efebfd</t>
  </si>
  <si>
    <t>ASHUTOSH Ashutosh OBS/OCB_7210_ORANGE FT Group_Windows (32-bit) NT 6.02_EQ-EQ6283664_DNTP4867$$$12072018</t>
  </si>
  <si>
    <t>Max</t>
  </si>
  <si>
    <t>SINGHAL Manya Ext OBS/OCB_7210_ORANGE FT Group_Windows (32-bit) NT 6.02_EQ-EQ6283622_CDQL7462$$$12072018</t>
  </si>
  <si>
    <t>"Byy!4"</t>
  </si>
  <si>
    <t>SINGH Devender OBS/OCB_7210_ORANGE FT Group_Windows (32-bit) NT 6.02_EQ-EQ6283631_DKSL2812$$$12072018</t>
  </si>
  <si>
    <t>GAUTAM Vivek Ext OBS/OCB_7210_ORANGE FT Group_Windows (32-bit) NT 6.02_EQ-EQ6283632_XKHH9806$$$12072018</t>
  </si>
  <si>
    <t>KAROLIA Aman OBS/OCB_7210_ORANGE FT Group_Windows (32-bit) NT 6.02_EQ-EQ6283661_QNQM5322$$$12072018</t>
  </si>
  <si>
    <t>GUPTA Akriti Ext OBS/OCB_7210_ORANGE FT Group_Windows (32-bit) NT 6.02_EQ-EQ6283637_JMJG6788$$$12072018</t>
  </si>
  <si>
    <t>"$8Ul!5"</t>
  </si>
  <si>
    <t>KUMAR Narender Ext OBS/OCB_7210_ORANGE FT Group_Windows (32-bit) NT 6.02_EQ-EQ6283654_KBXT1572$$$12072018</t>
  </si>
  <si>
    <t>"$#Wl!1"</t>
  </si>
  <si>
    <t>EIP</t>
  </si>
  <si>
    <t>90.84.44.217</t>
  </si>
  <si>
    <t>90.84.44.69</t>
  </si>
  <si>
    <t>90.84.45.33</t>
  </si>
  <si>
    <t>90.84.47.9</t>
  </si>
  <si>
    <t>90.84.46.148</t>
  </si>
  <si>
    <t>90.84.44.201</t>
  </si>
  <si>
    <t>90.84.45.204</t>
  </si>
  <si>
    <t>90.84.45.138</t>
  </si>
  <si>
    <t>90.84.44.55</t>
  </si>
  <si>
    <t>90.84.47.35</t>
  </si>
  <si>
    <t>90.84.46.126</t>
  </si>
  <si>
    <t>90.84.45.40</t>
  </si>
  <si>
    <t>90.84.46.53</t>
  </si>
  <si>
    <t>90.84.45.140</t>
  </si>
  <si>
    <t>"wcv!68"</t>
  </si>
  <si>
    <t>Disk Average Usage (MB)</t>
  </si>
  <si>
    <t>Memory Average Usage  (KB)</t>
  </si>
  <si>
    <t>"58d!14"</t>
  </si>
  <si>
    <t>"LG|!2"</t>
  </si>
  <si>
    <t>Inbound Traffic(Bytes)</t>
  </si>
  <si>
    <t>Outbound Traffic(Bytes)</t>
  </si>
  <si>
    <t>"&gt;V}!191"</t>
  </si>
  <si>
    <t>S. No.</t>
  </si>
  <si>
    <t>Percentage</t>
  </si>
  <si>
    <t>Value</t>
  </si>
  <si>
    <t>KANUGA Hemant OBS/OCB_7210_ORANGE FT Group_Windows (32-bit) NT 6.02_EQ-EQ6283647_QLHR8258$$$13072018</t>
  </si>
  <si>
    <t>"$61^!1716"</t>
  </si>
  <si>
    <t>34658 </t>
  </si>
  <si>
    <t>1073672 </t>
  </si>
  <si>
    <t>36271 </t>
  </si>
  <si>
    <t>765784 </t>
  </si>
  <si>
    <t>35287 </t>
  </si>
  <si>
    <t>5503700 </t>
  </si>
  <si>
    <t>35388 </t>
  </si>
  <si>
    <t>5115980 </t>
  </si>
  <si>
    <t>30193 </t>
  </si>
  <si>
    <t>5250592 </t>
  </si>
  <si>
    <t>30291 </t>
  </si>
  <si>
    <t>5212488 </t>
  </si>
  <si>
    <t>30283 </t>
  </si>
  <si>
    <t>5212552 </t>
  </si>
  <si>
    <t>24102 </t>
  </si>
  <si>
    <t>952672 </t>
  </si>
  <si>
    <t>26247 </t>
  </si>
  <si>
    <t>963820 </t>
  </si>
  <si>
    <t>31778 </t>
  </si>
  <si>
    <t>4095660 </t>
  </si>
  <si>
    <t>31651 </t>
  </si>
  <si>
    <t>2916000 </t>
  </si>
  <si>
    <t>35151 </t>
  </si>
  <si>
    <t>777324 </t>
  </si>
  <si>
    <t>35150 </t>
  </si>
  <si>
    <t>771564 </t>
  </si>
  <si>
    <t>34088 </t>
  </si>
  <si>
    <t>2066632 </t>
  </si>
  <si>
    <t>34096 </t>
  </si>
  <si>
    <t>2087620 </t>
  </si>
  <si>
    <t>2057404 </t>
  </si>
  <si>
    <t>34997 </t>
  </si>
  <si>
    <t>1239648 </t>
  </si>
  <si>
    <t>34572 </t>
  </si>
  <si>
    <t>1152412 </t>
  </si>
  <si>
    <t>34556 </t>
  </si>
  <si>
    <t>1847484 </t>
  </si>
  <si>
    <t>32310 </t>
  </si>
  <si>
    <t>3368664 </t>
  </si>
  <si>
    <t>35046 </t>
  </si>
  <si>
    <t>2139548 </t>
  </si>
  <si>
    <t>34643 </t>
  </si>
  <si>
    <t>1897532 </t>
  </si>
  <si>
    <t>34631 </t>
  </si>
  <si>
    <t>2211568 </t>
  </si>
  <si>
    <t>34557 </t>
  </si>
  <si>
    <t>2870480 </t>
  </si>
  <si>
    <t>34777 </t>
  </si>
  <si>
    <t>2642424 </t>
  </si>
  <si>
    <t>34838 </t>
  </si>
  <si>
    <t>1562716 </t>
  </si>
  <si>
    <t>35202 </t>
  </si>
  <si>
    <t>1197068 </t>
  </si>
  <si>
    <t>35229 </t>
  </si>
  <si>
    <t>1187780 </t>
  </si>
  <si>
    <t>1195720 </t>
  </si>
  <si>
    <t>1196576 </t>
  </si>
  <si>
    <t>33802 </t>
  </si>
  <si>
    <t>734456 </t>
  </si>
  <si>
    <t>31520 </t>
  </si>
  <si>
    <t>3156856 </t>
  </si>
  <si>
    <t>30492 </t>
  </si>
  <si>
    <t>6650636 </t>
  </si>
  <si>
    <t>31041 </t>
  </si>
  <si>
    <t>5367648 </t>
  </si>
  <si>
    <t>29017 </t>
  </si>
  <si>
    <t>7484652 </t>
  </si>
  <si>
    <t>31624 </t>
  </si>
  <si>
    <t>4244548 </t>
  </si>
  <si>
    <t>30464 </t>
  </si>
  <si>
    <t>4255652 </t>
  </si>
  <si>
    <t>37661 </t>
  </si>
  <si>
    <t>810476 </t>
  </si>
  <si>
    <t>32685 </t>
  </si>
  <si>
    <t>6502884 </t>
  </si>
  <si>
    <t>NA</t>
  </si>
  <si>
    <t>15G</t>
  </si>
  <si>
    <t>2.58G</t>
  </si>
  <si>
    <t>2.47G</t>
  </si>
  <si>
    <t>17.4G</t>
  </si>
  <si>
    <t>2.78G</t>
  </si>
  <si>
    <t> 2.67G</t>
  </si>
  <si>
    <t>1121384 </t>
  </si>
  <si>
    <t>36841 </t>
  </si>
  <si>
    <t>1628816 </t>
  </si>
  <si>
    <t>37753 </t>
  </si>
  <si>
    <t>800532 </t>
  </si>
  <si>
    <t>35606 </t>
  </si>
  <si>
    <t>810556 </t>
  </si>
  <si>
    <t>11337 </t>
  </si>
  <si>
    <t>1897408 </t>
  </si>
  <si>
    <t>22074 </t>
  </si>
  <si>
    <t>1224560 </t>
  </si>
  <si>
    <t>28321 </t>
  </si>
  <si>
    <t>2055640 </t>
  </si>
  <si>
    <t>9136 </t>
  </si>
  <si>
    <t>1530360 </t>
  </si>
  <si>
    <t>20820 </t>
  </si>
  <si>
    <t>732616 </t>
  </si>
  <si>
    <t>25908 </t>
  </si>
  <si>
    <t>1247576 </t>
  </si>
  <si>
    <t>34936 </t>
  </si>
  <si>
    <t>1388452 </t>
  </si>
  <si>
    <t>34880 </t>
  </si>
  <si>
    <t>1422460 </t>
  </si>
  <si>
    <t>34320 </t>
  </si>
  <si>
    <t>1336764 </t>
  </si>
  <si>
    <t>34389 </t>
  </si>
  <si>
    <t>34307 </t>
  </si>
  <si>
    <t>3801736 </t>
  </si>
  <si>
    <t>34629 </t>
  </si>
  <si>
    <t>2073852 </t>
  </si>
  <si>
    <t>36243 </t>
  </si>
  <si>
    <t>758364 </t>
  </si>
  <si>
    <t>733640 </t>
  </si>
  <si>
    <t>34920 </t>
  </si>
  <si>
    <t>5183744 </t>
  </si>
  <si>
    <t>34890 </t>
  </si>
  <si>
    <t>5054740 </t>
  </si>
  <si>
    <t>NARUKA Manvendra Ext OBS/OCB_7210_ORANGE FT Group_Windows (32-bit) NT 6.02_EQ-EQ6283623_CDJP3096$$$21072018</t>
  </si>
  <si>
    <t>"Fmn!1"</t>
  </si>
  <si>
    <t>ECS Server Usage Monthly report July (14th-20th) 2018</t>
  </si>
  <si>
    <t>16.8ddd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</si>
</sst>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B2B2B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7" fillId="0" borderId="0"/>
  </cellStyleXfs>
  <cellXfs count="59">
    <xf numFmtId="0" fontId="0" fillId="0" borderId="0" xfId="0"/>
    <xf numFmtId="0" fontId="17" fillId="2" borderId="0" xfId="1" applyFill="1"/>
    <xf numFmtId="0" fontId="17" fillId="0" borderId="0" xfId="1"/>
    <xf numFmtId="0" fontId="0" fillId="2" borderId="0" xfId="0" applyFill="1"/>
    <xf numFmtId="0" fontId="17" fillId="2" borderId="0" xfId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0" fontId="0" fillId="0" borderId="1" xfId="0" applyBorder="1" applyAlignment="1">
      <alignment horizontal="left"/>
    </xf>
    <xf numFmtId="10" fontId="0" fillId="0" borderId="0" xfId="0" applyNumberFormat="1"/>
    <xf numFmtId="0" fontId="17" fillId="2" borderId="0" xfId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2" fillId="4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4" borderId="1" xfId="1" applyFont="1" applyFill="1" applyBorder="1" applyAlignment="1">
      <alignment horizontal="left" vertical="center" wrapText="1"/>
    </xf>
    <xf numFmtId="0" fontId="17" fillId="2" borderId="1" xfId="1" applyFill="1" applyBorder="1" applyAlignment="1">
      <alignment horizontal="left"/>
    </xf>
    <xf numFmtId="0" fontId="16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/>
    </xf>
    <xf numFmtId="0" fontId="17" fillId="0" borderId="1" xfId="1" applyBorder="1" applyAlignment="1">
      <alignment horizontal="left"/>
    </xf>
    <xf numFmtId="0" fontId="8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11" fillId="0" borderId="1" xfId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4" fillId="0" borderId="1" xfId="1" applyFont="1" applyBorder="1" applyAlignment="1">
      <alignment horizontal="left"/>
    </xf>
    <xf numFmtId="0" fontId="17" fillId="0" borderId="1" xfId="1" applyFill="1" applyBorder="1" applyAlignment="1">
      <alignment horizontal="left"/>
    </xf>
    <xf numFmtId="0" fontId="10" fillId="0" borderId="1" xfId="1" applyFont="1" applyBorder="1" applyAlignment="1">
      <alignment horizontal="left"/>
    </xf>
    <xf numFmtId="0" fontId="17" fillId="2" borderId="0" xfId="1" applyFill="1" applyBorder="1"/>
    <xf numFmtId="0" fontId="17" fillId="2" borderId="0" xfId="1" applyFill="1" applyBorder="1" applyAlignment="1">
      <alignment horizontal="center" vertical="center"/>
    </xf>
    <xf numFmtId="0" fontId="19" fillId="2" borderId="0" xfId="1" applyFont="1" applyFill="1" applyBorder="1" applyAlignment="1">
      <alignment horizontal="center" vertical="center"/>
    </xf>
    <xf numFmtId="0" fontId="19" fillId="2" borderId="0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0" fontId="17" fillId="2" borderId="0" xfId="1" applyFill="1" applyBorder="1" applyAlignment="1">
      <alignment horizontal="center"/>
    </xf>
    <xf numFmtId="0" fontId="17" fillId="0" borderId="0" xfId="1" applyBorder="1"/>
    <xf numFmtId="0" fontId="17" fillId="0" borderId="0" xfId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9" fillId="0" borderId="0" xfId="1" applyFont="1" applyBorder="1"/>
    <xf numFmtId="0" fontId="17" fillId="0" borderId="1" xfId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vertical="center" wrapText="1"/>
    </xf>
    <xf numFmtId="0" fontId="3" fillId="0" borderId="1" xfId="1" applyFont="1" applyBorder="1" applyAlignment="1">
      <alignment horizontal="left"/>
    </xf>
    <xf numFmtId="0" fontId="20" fillId="0" borderId="0" xfId="0" applyFont="1"/>
    <xf numFmtId="0" fontId="0" fillId="0" borderId="1" xfId="0" applyBorder="1" applyAlignment="1">
      <alignment horizontal="right"/>
    </xf>
    <xf numFmtId="0" fontId="21" fillId="0" borderId="1" xfId="0" applyFont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1" fillId="0" borderId="1" xfId="0" applyFont="1" applyBorder="1"/>
    <xf numFmtId="0" fontId="18" fillId="3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left" vertical="center"/>
    </xf>
    <xf numFmtId="0" fontId="17" fillId="4" borderId="1" xfId="1" applyFill="1" applyBorder="1" applyAlignment="1">
      <alignment horizontal="left" vertical="center"/>
    </xf>
    <xf numFmtId="0" fontId="17" fillId="4" borderId="1" xfId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tabSelected="1" workbookViewId="0">
      <selection activeCell="H9" sqref="H9"/>
    </sheetView>
  </sheetViews>
  <sheetFormatPr defaultRowHeight="15" x14ac:dyDescent="0.25"/>
  <cols>
    <col min="1" max="1" width="6.140625" style="33" bestFit="1" customWidth="1"/>
    <col min="2" max="2" width="31.7109375" style="33" bestFit="1" customWidth="1"/>
    <col min="3" max="3" width="16.28515625" style="33" customWidth="1"/>
    <col min="4" max="4" width="6" style="34" bestFit="1" customWidth="1"/>
    <col min="5" max="5" width="5" style="35" bestFit="1" customWidth="1"/>
    <col min="6" max="6" width="11" style="35" customWidth="1"/>
    <col min="7" max="7" width="6.140625" style="36" bestFit="1" customWidth="1"/>
    <col min="8" max="8" width="11" style="36" customWidth="1"/>
    <col min="9" max="9" width="8.140625" style="37" customWidth="1"/>
    <col min="10" max="10" width="26.5703125" style="38" customWidth="1"/>
    <col min="11" max="26" width="9.140625" style="27"/>
    <col min="27" max="16384" width="9.140625" style="33"/>
  </cols>
  <sheetData>
    <row r="1" spans="1:26" s="1" customFormat="1" x14ac:dyDescent="0.25">
      <c r="D1" s="4"/>
      <c r="E1" s="5"/>
      <c r="F1" s="5"/>
      <c r="G1" s="6"/>
      <c r="H1" s="6"/>
      <c r="I1" s="7"/>
      <c r="J1" s="10"/>
    </row>
    <row r="2" spans="1:26" s="1" customFormat="1" x14ac:dyDescent="0.25">
      <c r="D2" s="4"/>
      <c r="E2" s="5"/>
      <c r="F2" s="5"/>
      <c r="G2" s="6"/>
      <c r="H2" s="6"/>
      <c r="I2" s="7"/>
      <c r="J2" s="10"/>
    </row>
    <row r="3" spans="1:26" s="1" customFormat="1" ht="0.75" customHeight="1" x14ac:dyDescent="0.25">
      <c r="D3" s="4"/>
      <c r="E3" s="5"/>
      <c r="F3" s="5"/>
      <c r="G3" s="6"/>
      <c r="H3" s="6"/>
      <c r="I3" s="7"/>
      <c r="J3" s="10"/>
    </row>
    <row r="4" spans="1:26" s="2" customFormat="1" ht="33" customHeight="1" x14ac:dyDescent="0.25">
      <c r="A4" s="50" t="s">
        <v>231</v>
      </c>
      <c r="B4" s="50"/>
      <c r="C4" s="50"/>
      <c r="D4" s="50"/>
      <c r="E4" s="50"/>
      <c r="F4" s="50"/>
      <c r="G4" s="50"/>
      <c r="H4" s="50"/>
      <c r="I4" s="50"/>
      <c r="J4" s="1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1" customFormat="1" ht="15" customHeight="1" x14ac:dyDescent="0.25">
      <c r="A5" s="51" t="s">
        <v>105</v>
      </c>
      <c r="B5" s="52" t="s">
        <v>0</v>
      </c>
      <c r="C5" s="53" t="s">
        <v>1</v>
      </c>
      <c r="D5" s="54" t="s">
        <v>68</v>
      </c>
      <c r="E5" s="54"/>
      <c r="F5" s="55" t="s">
        <v>98</v>
      </c>
      <c r="G5" s="55"/>
      <c r="H5" s="56" t="s">
        <v>99</v>
      </c>
      <c r="I5" s="57"/>
    </row>
    <row r="6" spans="1:26" s="1" customFormat="1" x14ac:dyDescent="0.25">
      <c r="A6" s="52" t="s">
        <v>105</v>
      </c>
      <c r="B6" s="52"/>
      <c r="C6" s="53"/>
      <c r="D6" s="15" t="s">
        <v>72</v>
      </c>
      <c r="E6" s="15" t="s">
        <v>69</v>
      </c>
      <c r="F6" s="41" t="s">
        <v>106</v>
      </c>
      <c r="G6" s="42" t="s">
        <v>107</v>
      </c>
      <c r="H6" s="41" t="s">
        <v>106</v>
      </c>
      <c r="I6" s="42" t="s">
        <v>107</v>
      </c>
    </row>
    <row r="7" spans="1:26" s="1" customFormat="1" x14ac:dyDescent="0.25">
      <c r="A7" s="16">
        <v>1</v>
      </c>
      <c r="B7" s="43" t="s">
        <v>2</v>
      </c>
      <c r="C7" s="17" t="s">
        <v>67</v>
      </c>
      <c r="D7" s="44">
        <v>0.66</v>
      </c>
      <c r="E7" s="8">
        <v>0.36</v>
      </c>
      <c r="F7" s="8">
        <v>90</v>
      </c>
      <c r="G7" s="46" t="s">
        <v>110</v>
      </c>
      <c r="H7" s="47">
        <v>13.4</v>
      </c>
      <c r="I7" s="46" t="s">
        <v>111</v>
      </c>
    </row>
    <row r="8" spans="1:26" s="1" customFormat="1" x14ac:dyDescent="0.25">
      <c r="A8" s="16">
        <v>2</v>
      </c>
      <c r="B8" s="43" t="s">
        <v>3</v>
      </c>
      <c r="C8" s="17" t="s">
        <v>67</v>
      </c>
      <c r="D8" s="45">
        <v>0.35</v>
      </c>
      <c r="E8" s="8">
        <v>0.12</v>
      </c>
      <c r="F8" s="16">
        <v>95</v>
      </c>
      <c r="G8" s="46" t="s">
        <v>112</v>
      </c>
      <c r="H8" s="16">
        <v>9.5</v>
      </c>
      <c r="I8" s="46" t="s">
        <v>113</v>
      </c>
    </row>
    <row r="9" spans="1:26" s="1" customFormat="1" x14ac:dyDescent="0.25">
      <c r="A9" s="16">
        <v>3</v>
      </c>
      <c r="B9" s="43" t="s">
        <v>4</v>
      </c>
      <c r="C9" s="17" t="s">
        <v>67</v>
      </c>
      <c r="D9" s="45">
        <v>0.31</v>
      </c>
      <c r="E9" s="8">
        <v>0.16</v>
      </c>
      <c r="F9" s="8">
        <v>92</v>
      </c>
      <c r="G9" s="46" t="s">
        <v>114</v>
      </c>
      <c r="H9" s="58" t="s">
        <v>232</v>
      </c>
      <c r="I9" s="46" t="s">
        <v>115</v>
      </c>
    </row>
    <row r="10" spans="1:26" s="1" customFormat="1" x14ac:dyDescent="0.25">
      <c r="A10" s="16">
        <v>4</v>
      </c>
      <c r="B10" s="43" t="s">
        <v>5</v>
      </c>
      <c r="C10" s="17" t="s">
        <v>67</v>
      </c>
      <c r="D10" s="44">
        <v>0.22</v>
      </c>
      <c r="E10" s="8">
        <v>0.14000000000000001</v>
      </c>
      <c r="F10" s="8">
        <v>92</v>
      </c>
      <c r="G10" s="46" t="s">
        <v>116</v>
      </c>
      <c r="H10" s="8">
        <v>15.6</v>
      </c>
      <c r="I10" s="46" t="s">
        <v>117</v>
      </c>
    </row>
    <row r="11" spans="1:26" s="1" customFormat="1" x14ac:dyDescent="0.25">
      <c r="A11" s="16">
        <v>5</v>
      </c>
      <c r="B11" s="43" t="s">
        <v>6</v>
      </c>
      <c r="C11" s="17" t="s">
        <v>67</v>
      </c>
      <c r="D11" s="45">
        <v>3.1</v>
      </c>
      <c r="E11" s="8">
        <v>1.96</v>
      </c>
      <c r="F11" s="8">
        <v>79</v>
      </c>
      <c r="G11" s="46" t="s">
        <v>118</v>
      </c>
      <c r="H11" s="8">
        <v>16</v>
      </c>
      <c r="I11" s="46" t="s">
        <v>119</v>
      </c>
    </row>
    <row r="12" spans="1:26" s="1" customFormat="1" x14ac:dyDescent="0.25">
      <c r="A12" s="16">
        <v>6</v>
      </c>
      <c r="B12" s="43" t="s">
        <v>7</v>
      </c>
      <c r="C12" s="17" t="s">
        <v>67</v>
      </c>
      <c r="D12" s="45">
        <v>2.17</v>
      </c>
      <c r="E12" s="8">
        <v>1.82</v>
      </c>
      <c r="F12" s="8">
        <v>79</v>
      </c>
      <c r="G12" s="46" t="s">
        <v>120</v>
      </c>
      <c r="H12" s="8">
        <v>15.9</v>
      </c>
      <c r="I12" s="46" t="s">
        <v>121</v>
      </c>
    </row>
    <row r="13" spans="1:26" s="1" customFormat="1" x14ac:dyDescent="0.25">
      <c r="A13" s="16">
        <v>7</v>
      </c>
      <c r="B13" s="18" t="s">
        <v>8</v>
      </c>
      <c r="C13" s="17" t="s">
        <v>67</v>
      </c>
      <c r="D13" s="45">
        <v>2.1800000000000002</v>
      </c>
      <c r="E13" s="8">
        <v>1.67</v>
      </c>
      <c r="F13" s="8">
        <v>79</v>
      </c>
      <c r="G13" s="46" t="s">
        <v>122</v>
      </c>
      <c r="H13" s="8">
        <v>15.9</v>
      </c>
      <c r="I13" s="46" t="s">
        <v>123</v>
      </c>
    </row>
    <row r="14" spans="1:26" s="1" customFormat="1" x14ac:dyDescent="0.25">
      <c r="A14" s="16">
        <v>8</v>
      </c>
      <c r="B14" s="18" t="s">
        <v>9</v>
      </c>
      <c r="C14" s="17" t="s">
        <v>67</v>
      </c>
      <c r="D14" s="45">
        <v>1.47</v>
      </c>
      <c r="E14" s="45">
        <v>1</v>
      </c>
      <c r="F14" s="8">
        <v>62</v>
      </c>
      <c r="G14" s="46" t="s">
        <v>124</v>
      </c>
      <c r="H14" s="8">
        <v>11.9</v>
      </c>
      <c r="I14" s="46" t="s">
        <v>125</v>
      </c>
    </row>
    <row r="15" spans="1:26" s="1" customFormat="1" x14ac:dyDescent="0.25">
      <c r="A15" s="16">
        <v>9</v>
      </c>
      <c r="B15" s="18" t="s">
        <v>10</v>
      </c>
      <c r="C15" s="17" t="s">
        <v>67</v>
      </c>
      <c r="D15" s="45">
        <v>1.53</v>
      </c>
      <c r="E15" s="8">
        <v>1.1399999999999999</v>
      </c>
      <c r="F15" s="8">
        <v>68</v>
      </c>
      <c r="G15" s="46" t="s">
        <v>126</v>
      </c>
      <c r="H15" s="8">
        <v>12</v>
      </c>
      <c r="I15" s="46" t="s">
        <v>127</v>
      </c>
    </row>
    <row r="16" spans="1:26" s="1" customFormat="1" x14ac:dyDescent="0.25">
      <c r="A16" s="16">
        <v>10</v>
      </c>
      <c r="B16" s="18" t="s">
        <v>11</v>
      </c>
      <c r="C16" s="17" t="s">
        <v>67</v>
      </c>
      <c r="D16" s="45">
        <v>4.08</v>
      </c>
      <c r="E16" s="8">
        <v>3.01</v>
      </c>
      <c r="F16" s="8">
        <v>83</v>
      </c>
      <c r="G16" s="46" t="s">
        <v>128</v>
      </c>
      <c r="H16" s="8">
        <v>51</v>
      </c>
      <c r="I16" s="46" t="s">
        <v>129</v>
      </c>
    </row>
    <row r="17" spans="1:9" s="1" customFormat="1" x14ac:dyDescent="0.25">
      <c r="A17" s="16">
        <v>11</v>
      </c>
      <c r="B17" s="19" t="s">
        <v>12</v>
      </c>
      <c r="C17" s="17" t="s">
        <v>67</v>
      </c>
      <c r="D17" s="45">
        <v>7.44</v>
      </c>
      <c r="E17" s="8">
        <v>4.05</v>
      </c>
      <c r="F17" s="8">
        <v>82</v>
      </c>
      <c r="G17" s="46" t="s">
        <v>130</v>
      </c>
      <c r="H17" s="8">
        <v>36.299999999999997</v>
      </c>
      <c r="I17" s="46" t="s">
        <v>131</v>
      </c>
    </row>
    <row r="18" spans="1:9" s="1" customFormat="1" x14ac:dyDescent="0.25">
      <c r="A18" s="16">
        <v>12</v>
      </c>
      <c r="B18" s="19" t="s">
        <v>13</v>
      </c>
      <c r="C18" s="17" t="s">
        <v>67</v>
      </c>
      <c r="D18" s="45">
        <v>0.27</v>
      </c>
      <c r="E18" s="8">
        <v>0.15</v>
      </c>
      <c r="F18" s="8">
        <v>92</v>
      </c>
      <c r="G18" s="46" t="s">
        <v>132</v>
      </c>
      <c r="H18" s="8">
        <v>9.6999999999999993</v>
      </c>
      <c r="I18" s="46" t="s">
        <v>133</v>
      </c>
    </row>
    <row r="19" spans="1:9" s="1" customFormat="1" x14ac:dyDescent="0.25">
      <c r="A19" s="16">
        <v>13</v>
      </c>
      <c r="B19" s="20" t="s">
        <v>14</v>
      </c>
      <c r="C19" s="17" t="s">
        <v>67</v>
      </c>
      <c r="D19" s="45">
        <v>0.3</v>
      </c>
      <c r="E19" s="8">
        <v>0.23</v>
      </c>
      <c r="F19" s="8">
        <v>92</v>
      </c>
      <c r="G19" s="46" t="s">
        <v>134</v>
      </c>
      <c r="H19" s="8">
        <v>9.6</v>
      </c>
      <c r="I19" s="46" t="s">
        <v>135</v>
      </c>
    </row>
    <row r="20" spans="1:9" s="1" customFormat="1" x14ac:dyDescent="0.25">
      <c r="A20" s="16">
        <v>14</v>
      </c>
      <c r="B20" s="19" t="s">
        <v>15</v>
      </c>
      <c r="C20" s="17" t="s">
        <v>67</v>
      </c>
      <c r="D20" s="45">
        <v>4.08</v>
      </c>
      <c r="E20" s="8">
        <v>1.69</v>
      </c>
      <c r="F20" s="8">
        <v>89</v>
      </c>
      <c r="G20" s="46" t="s">
        <v>136</v>
      </c>
      <c r="H20" s="8">
        <v>25.7</v>
      </c>
      <c r="I20" s="46" t="s">
        <v>137</v>
      </c>
    </row>
    <row r="21" spans="1:9" s="1" customFormat="1" x14ac:dyDescent="0.25">
      <c r="A21" s="16">
        <v>15</v>
      </c>
      <c r="B21" s="19" t="s">
        <v>16</v>
      </c>
      <c r="C21" s="17" t="s">
        <v>67</v>
      </c>
      <c r="D21" s="45">
        <v>1.96</v>
      </c>
      <c r="E21" s="8">
        <v>1.23</v>
      </c>
      <c r="F21" s="8">
        <v>89</v>
      </c>
      <c r="G21" s="46" t="s">
        <v>138</v>
      </c>
      <c r="H21" s="8">
        <v>26</v>
      </c>
      <c r="I21" s="46" t="s">
        <v>139</v>
      </c>
    </row>
    <row r="22" spans="1:9" s="1" customFormat="1" x14ac:dyDescent="0.25">
      <c r="A22" s="16">
        <v>16</v>
      </c>
      <c r="B22" s="20" t="s">
        <v>17</v>
      </c>
      <c r="C22" s="17" t="s">
        <v>67</v>
      </c>
      <c r="D22" s="45">
        <v>3.57</v>
      </c>
      <c r="E22" s="8">
        <v>1.32</v>
      </c>
      <c r="F22" s="8">
        <v>89</v>
      </c>
      <c r="G22" s="46" t="s">
        <v>138</v>
      </c>
      <c r="H22" s="8">
        <v>25.6</v>
      </c>
      <c r="I22" s="46" t="s">
        <v>140</v>
      </c>
    </row>
    <row r="23" spans="1:9" s="1" customFormat="1" x14ac:dyDescent="0.25">
      <c r="A23" s="16">
        <v>17</v>
      </c>
      <c r="B23" s="21" t="s">
        <v>18</v>
      </c>
      <c r="C23" s="17" t="s">
        <v>67</v>
      </c>
      <c r="D23" s="45">
        <v>4.05</v>
      </c>
      <c r="E23" s="8">
        <v>0.14000000000000001</v>
      </c>
      <c r="F23" s="8">
        <v>91</v>
      </c>
      <c r="G23" s="46" t="s">
        <v>141</v>
      </c>
      <c r="H23" s="8">
        <v>15.4</v>
      </c>
      <c r="I23" s="46" t="s">
        <v>142</v>
      </c>
    </row>
    <row r="24" spans="1:9" s="1" customFormat="1" x14ac:dyDescent="0.25">
      <c r="A24" s="16">
        <v>18</v>
      </c>
      <c r="B24" s="20" t="s">
        <v>19</v>
      </c>
      <c r="C24" s="17" t="s">
        <v>67</v>
      </c>
      <c r="D24" s="45">
        <v>0.37</v>
      </c>
      <c r="E24" s="8">
        <v>0.13</v>
      </c>
      <c r="F24" s="8">
        <v>90</v>
      </c>
      <c r="G24" s="46" t="s">
        <v>143</v>
      </c>
      <c r="H24" s="8">
        <v>14.3</v>
      </c>
      <c r="I24" s="46" t="s">
        <v>144</v>
      </c>
    </row>
    <row r="25" spans="1:9" s="1" customFormat="1" x14ac:dyDescent="0.25">
      <c r="A25" s="16">
        <v>19</v>
      </c>
      <c r="B25" s="21" t="s">
        <v>20</v>
      </c>
      <c r="C25" s="17" t="s">
        <v>67</v>
      </c>
      <c r="D25" s="45">
        <v>0.32</v>
      </c>
      <c r="E25" s="8">
        <v>0.21</v>
      </c>
      <c r="F25" s="8">
        <v>90</v>
      </c>
      <c r="G25" s="46" t="s">
        <v>145</v>
      </c>
      <c r="H25" s="8">
        <v>23</v>
      </c>
      <c r="I25" s="46" t="s">
        <v>146</v>
      </c>
    </row>
    <row r="26" spans="1:9" s="1" customFormat="1" x14ac:dyDescent="0.25">
      <c r="A26" s="16">
        <v>20</v>
      </c>
      <c r="B26" s="20" t="s">
        <v>21</v>
      </c>
      <c r="C26" s="17" t="s">
        <v>67</v>
      </c>
      <c r="D26" s="45">
        <v>2.88</v>
      </c>
      <c r="E26" s="8">
        <v>0.39</v>
      </c>
      <c r="F26" s="8">
        <v>84</v>
      </c>
      <c r="G26" s="46" t="s">
        <v>147</v>
      </c>
      <c r="H26" s="8">
        <v>41.9</v>
      </c>
      <c r="I26" s="46" t="s">
        <v>148</v>
      </c>
    </row>
    <row r="27" spans="1:9" s="1" customFormat="1" x14ac:dyDescent="0.25">
      <c r="A27" s="16">
        <v>21</v>
      </c>
      <c r="B27" s="22" t="s">
        <v>22</v>
      </c>
      <c r="C27" s="17" t="s">
        <v>67</v>
      </c>
      <c r="D27" s="45">
        <v>0.73</v>
      </c>
      <c r="E27" s="8">
        <v>0.36</v>
      </c>
      <c r="F27" s="8">
        <v>91</v>
      </c>
      <c r="G27" s="46" t="s">
        <v>149</v>
      </c>
      <c r="H27" s="8">
        <v>26.6</v>
      </c>
      <c r="I27" s="46" t="s">
        <v>150</v>
      </c>
    </row>
    <row r="28" spans="1:9" s="1" customFormat="1" x14ac:dyDescent="0.25">
      <c r="A28" s="16">
        <v>22</v>
      </c>
      <c r="B28" s="22" t="s">
        <v>23</v>
      </c>
      <c r="C28" s="17" t="s">
        <v>67</v>
      </c>
      <c r="D28" s="45">
        <v>0.46</v>
      </c>
      <c r="E28" s="8">
        <v>0.26</v>
      </c>
      <c r="F28" s="8">
        <v>90</v>
      </c>
      <c r="G28" s="46" t="s">
        <v>151</v>
      </c>
      <c r="H28" s="8">
        <v>23.6</v>
      </c>
      <c r="I28" s="46" t="s">
        <v>152</v>
      </c>
    </row>
    <row r="29" spans="1:9" s="1" customFormat="1" x14ac:dyDescent="0.25">
      <c r="A29" s="16">
        <v>23</v>
      </c>
      <c r="B29" s="22" t="s">
        <v>24</v>
      </c>
      <c r="C29" s="17" t="s">
        <v>67</v>
      </c>
      <c r="D29" s="45">
        <v>0.4</v>
      </c>
      <c r="E29" s="8">
        <v>0.25</v>
      </c>
      <c r="F29" s="8">
        <v>90</v>
      </c>
      <c r="G29" s="46" t="s">
        <v>153</v>
      </c>
      <c r="H29" s="8">
        <v>27.5</v>
      </c>
      <c r="I29" s="46" t="s">
        <v>154</v>
      </c>
    </row>
    <row r="30" spans="1:9" s="1" customFormat="1" x14ac:dyDescent="0.25">
      <c r="A30" s="16">
        <v>24</v>
      </c>
      <c r="B30" s="23" t="s">
        <v>25</v>
      </c>
      <c r="C30" s="17" t="s">
        <v>67</v>
      </c>
      <c r="D30" s="45">
        <v>1.22</v>
      </c>
      <c r="E30" s="8">
        <v>0.62</v>
      </c>
      <c r="F30" s="8">
        <v>90</v>
      </c>
      <c r="G30" s="46" t="s">
        <v>155</v>
      </c>
      <c r="H30" s="8">
        <v>37.5</v>
      </c>
      <c r="I30" s="46" t="s">
        <v>156</v>
      </c>
    </row>
    <row r="31" spans="1:9" s="1" customFormat="1" x14ac:dyDescent="0.25">
      <c r="A31" s="16">
        <v>25</v>
      </c>
      <c r="B31" s="19" t="s">
        <v>26</v>
      </c>
      <c r="C31" s="17" t="s">
        <v>67</v>
      </c>
      <c r="D31" s="45">
        <v>3.82</v>
      </c>
      <c r="E31" s="8">
        <v>0.56999999999999995</v>
      </c>
      <c r="F31" s="8">
        <v>91</v>
      </c>
      <c r="G31" s="46" t="s">
        <v>157</v>
      </c>
      <c r="H31" s="8">
        <v>32.9</v>
      </c>
      <c r="I31" s="46" t="s">
        <v>158</v>
      </c>
    </row>
    <row r="32" spans="1:9" s="1" customFormat="1" x14ac:dyDescent="0.25">
      <c r="A32" s="16">
        <v>26</v>
      </c>
      <c r="B32" s="19" t="s">
        <v>27</v>
      </c>
      <c r="C32" s="17" t="s">
        <v>67</v>
      </c>
      <c r="D32" s="45">
        <v>3.51</v>
      </c>
      <c r="E32" s="8">
        <v>0.45</v>
      </c>
      <c r="F32" s="8">
        <v>91</v>
      </c>
      <c r="G32" s="46" t="s">
        <v>159</v>
      </c>
      <c r="H32" s="8">
        <v>19.399999999999999</v>
      </c>
      <c r="I32" s="46" t="s">
        <v>160</v>
      </c>
    </row>
    <row r="33" spans="1:9" s="1" customFormat="1" x14ac:dyDescent="0.25">
      <c r="A33" s="16">
        <v>27</v>
      </c>
      <c r="B33" s="22" t="s">
        <v>28</v>
      </c>
      <c r="C33" s="17" t="s">
        <v>67</v>
      </c>
      <c r="D33" s="45">
        <v>4.08</v>
      </c>
      <c r="E33" s="8">
        <v>0.3</v>
      </c>
      <c r="F33" s="8">
        <v>92</v>
      </c>
      <c r="G33" s="46" t="s">
        <v>161</v>
      </c>
      <c r="H33" s="8">
        <v>14.9</v>
      </c>
      <c r="I33" s="46" t="s">
        <v>162</v>
      </c>
    </row>
    <row r="34" spans="1:9" s="1" customFormat="1" x14ac:dyDescent="0.25">
      <c r="A34" s="16">
        <v>28</v>
      </c>
      <c r="B34" s="43" t="s">
        <v>29</v>
      </c>
      <c r="C34" s="17" t="s">
        <v>67</v>
      </c>
      <c r="D34" s="45">
        <v>0.48</v>
      </c>
      <c r="E34" s="8">
        <v>0.27</v>
      </c>
      <c r="F34" s="8">
        <v>92</v>
      </c>
      <c r="G34" s="46" t="s">
        <v>163</v>
      </c>
      <c r="H34" s="8">
        <v>14.8</v>
      </c>
      <c r="I34" s="46" t="s">
        <v>164</v>
      </c>
    </row>
    <row r="35" spans="1:9" s="1" customFormat="1" x14ac:dyDescent="0.25">
      <c r="A35" s="16">
        <v>29</v>
      </c>
      <c r="B35" s="24" t="s">
        <v>30</v>
      </c>
      <c r="C35" s="17" t="s">
        <v>67</v>
      </c>
      <c r="D35" s="45">
        <v>3.73</v>
      </c>
      <c r="E35" s="8">
        <v>0.45</v>
      </c>
      <c r="F35" s="8">
        <v>92</v>
      </c>
      <c r="G35" s="46" t="s">
        <v>163</v>
      </c>
      <c r="H35" s="8">
        <v>14.9</v>
      </c>
      <c r="I35" s="46" t="s">
        <v>165</v>
      </c>
    </row>
    <row r="36" spans="1:9" s="1" customFormat="1" x14ac:dyDescent="0.25">
      <c r="A36" s="16">
        <v>30</v>
      </c>
      <c r="B36" s="24" t="s">
        <v>31</v>
      </c>
      <c r="C36" s="17" t="s">
        <v>67</v>
      </c>
      <c r="D36" s="45">
        <v>0.54</v>
      </c>
      <c r="E36" s="8">
        <v>0.38</v>
      </c>
      <c r="F36" s="8">
        <v>92</v>
      </c>
      <c r="G36" s="46" t="s">
        <v>163</v>
      </c>
      <c r="H36" s="8">
        <v>14.9</v>
      </c>
      <c r="I36" s="46" t="s">
        <v>166</v>
      </c>
    </row>
    <row r="37" spans="1:9" s="1" customFormat="1" x14ac:dyDescent="0.25">
      <c r="A37" s="16">
        <v>31</v>
      </c>
      <c r="B37" s="19" t="s">
        <v>32</v>
      </c>
      <c r="C37" s="17" t="s">
        <v>67</v>
      </c>
      <c r="D37" s="45">
        <v>5.92</v>
      </c>
      <c r="E37" s="8">
        <v>0.23</v>
      </c>
      <c r="F37" s="8">
        <v>88</v>
      </c>
      <c r="G37" s="46" t="s">
        <v>167</v>
      </c>
      <c r="H37" s="8">
        <v>18.8</v>
      </c>
      <c r="I37" s="46" t="s">
        <v>168</v>
      </c>
    </row>
    <row r="38" spans="1:9" s="1" customFormat="1" x14ac:dyDescent="0.25">
      <c r="A38" s="16">
        <v>32</v>
      </c>
      <c r="B38" s="19" t="s">
        <v>33</v>
      </c>
      <c r="C38" s="17" t="s">
        <v>67</v>
      </c>
      <c r="D38" s="45">
        <v>2.0699999999999998</v>
      </c>
      <c r="E38" s="8">
        <v>1.54</v>
      </c>
      <c r="F38" s="8">
        <v>82</v>
      </c>
      <c r="G38" s="46" t="s">
        <v>169</v>
      </c>
      <c r="H38" s="8">
        <v>81</v>
      </c>
      <c r="I38" s="46" t="s">
        <v>170</v>
      </c>
    </row>
    <row r="39" spans="1:9" s="1" customFormat="1" x14ac:dyDescent="0.25">
      <c r="A39" s="16">
        <v>33</v>
      </c>
      <c r="B39" s="19" t="s">
        <v>34</v>
      </c>
      <c r="C39" s="17" t="s">
        <v>67</v>
      </c>
      <c r="D39" s="45">
        <v>1.63</v>
      </c>
      <c r="E39" s="8">
        <v>0.34</v>
      </c>
      <c r="F39" s="8">
        <v>79</v>
      </c>
      <c r="G39" s="46" t="s">
        <v>171</v>
      </c>
      <c r="H39" s="8">
        <v>20</v>
      </c>
      <c r="I39" s="46" t="s">
        <v>172</v>
      </c>
    </row>
    <row r="40" spans="1:9" s="1" customFormat="1" x14ac:dyDescent="0.25">
      <c r="A40" s="16">
        <v>34</v>
      </c>
      <c r="B40" s="19" t="s">
        <v>35</v>
      </c>
      <c r="C40" s="17" t="s">
        <v>67</v>
      </c>
      <c r="D40" s="45">
        <v>1.6</v>
      </c>
      <c r="E40" s="8">
        <v>0.2</v>
      </c>
      <c r="F40" s="8">
        <v>81</v>
      </c>
      <c r="G40" s="46" t="s">
        <v>173</v>
      </c>
      <c r="H40" s="8">
        <v>16.3</v>
      </c>
      <c r="I40" s="46" t="s">
        <v>174</v>
      </c>
    </row>
    <row r="41" spans="1:9" s="1" customFormat="1" x14ac:dyDescent="0.25">
      <c r="A41" s="16">
        <v>35</v>
      </c>
      <c r="B41" s="19" t="s">
        <v>36</v>
      </c>
      <c r="C41" s="17" t="s">
        <v>67</v>
      </c>
      <c r="D41" s="45">
        <v>1.49</v>
      </c>
      <c r="E41" s="8">
        <v>1.04</v>
      </c>
      <c r="F41" s="8">
        <v>76</v>
      </c>
      <c r="G41" s="46" t="s">
        <v>175</v>
      </c>
      <c r="H41" s="8">
        <v>22.8</v>
      </c>
      <c r="I41" s="46" t="s">
        <v>176</v>
      </c>
    </row>
    <row r="42" spans="1:9" s="1" customFormat="1" x14ac:dyDescent="0.25">
      <c r="A42" s="16">
        <v>36</v>
      </c>
      <c r="B42" s="19" t="s">
        <v>37</v>
      </c>
      <c r="C42" s="17" t="s">
        <v>67</v>
      </c>
      <c r="D42" s="45">
        <v>0.83</v>
      </c>
      <c r="E42" s="8">
        <v>0.65</v>
      </c>
      <c r="F42" s="8">
        <v>82</v>
      </c>
      <c r="G42" s="46" t="s">
        <v>177</v>
      </c>
      <c r="H42" s="8">
        <v>12.9</v>
      </c>
      <c r="I42" s="46" t="s">
        <v>178</v>
      </c>
    </row>
    <row r="43" spans="1:9" s="1" customFormat="1" x14ac:dyDescent="0.25">
      <c r="A43" s="16">
        <v>37</v>
      </c>
      <c r="B43" s="19" t="s">
        <v>38</v>
      </c>
      <c r="C43" s="17" t="s">
        <v>67</v>
      </c>
      <c r="D43" s="45">
        <v>2.31</v>
      </c>
      <c r="E43" s="8">
        <v>0.82</v>
      </c>
      <c r="F43" s="8">
        <v>79</v>
      </c>
      <c r="G43" s="46" t="s">
        <v>179</v>
      </c>
      <c r="H43" s="8">
        <v>13</v>
      </c>
      <c r="I43" s="46" t="s">
        <v>180</v>
      </c>
    </row>
    <row r="44" spans="1:9" s="1" customFormat="1" x14ac:dyDescent="0.25">
      <c r="A44" s="16">
        <v>38</v>
      </c>
      <c r="B44" s="16" t="s">
        <v>39</v>
      </c>
      <c r="C44" s="17" t="s">
        <v>67</v>
      </c>
      <c r="D44" s="45">
        <v>1.71</v>
      </c>
      <c r="E44" s="8">
        <v>0.19</v>
      </c>
      <c r="F44" s="8">
        <v>91</v>
      </c>
      <c r="G44" s="46" t="s">
        <v>181</v>
      </c>
      <c r="H44" s="8">
        <v>10.8</v>
      </c>
      <c r="I44" s="46" t="s">
        <v>182</v>
      </c>
    </row>
    <row r="45" spans="1:9" s="1" customFormat="1" x14ac:dyDescent="0.25">
      <c r="A45" s="16">
        <v>39</v>
      </c>
      <c r="B45" s="16" t="s">
        <v>40</v>
      </c>
      <c r="C45" s="17" t="s">
        <v>67</v>
      </c>
      <c r="D45" s="45">
        <v>1.97</v>
      </c>
      <c r="E45" s="8">
        <v>1.1100000000000001</v>
      </c>
      <c r="F45" s="8">
        <v>85</v>
      </c>
      <c r="G45" s="46" t="s">
        <v>183</v>
      </c>
      <c r="H45" s="8">
        <v>80.900000000000006</v>
      </c>
      <c r="I45" s="46" t="s">
        <v>184</v>
      </c>
    </row>
    <row r="46" spans="1:9" s="1" customFormat="1" x14ac:dyDescent="0.25">
      <c r="A46" s="16">
        <v>40</v>
      </c>
      <c r="B46" s="16" t="s">
        <v>41</v>
      </c>
      <c r="C46" s="17" t="s">
        <v>67</v>
      </c>
      <c r="D46" s="45">
        <v>0.74</v>
      </c>
      <c r="E46" s="8">
        <v>0.14000000000000001</v>
      </c>
      <c r="F46" s="48" t="s">
        <v>185</v>
      </c>
      <c r="G46" s="49" t="s">
        <v>186</v>
      </c>
      <c r="H46" s="48" t="s">
        <v>185</v>
      </c>
      <c r="I46" s="46" t="s">
        <v>187</v>
      </c>
    </row>
    <row r="47" spans="1:9" s="1" customFormat="1" x14ac:dyDescent="0.25">
      <c r="A47" s="16">
        <v>41</v>
      </c>
      <c r="B47" s="25" t="s">
        <v>42</v>
      </c>
      <c r="C47" s="17" t="s">
        <v>67</v>
      </c>
      <c r="D47" s="45">
        <v>0.81</v>
      </c>
      <c r="E47" s="8">
        <v>0.03</v>
      </c>
      <c r="F47" s="48" t="s">
        <v>185</v>
      </c>
      <c r="G47" s="49" t="s">
        <v>186</v>
      </c>
      <c r="H47" s="48" t="s">
        <v>185</v>
      </c>
      <c r="I47" s="46" t="s">
        <v>188</v>
      </c>
    </row>
    <row r="48" spans="1:9" s="1" customFormat="1" x14ac:dyDescent="0.25">
      <c r="A48" s="16">
        <v>42</v>
      </c>
      <c r="B48" s="25" t="s">
        <v>43</v>
      </c>
      <c r="C48" s="17" t="s">
        <v>67</v>
      </c>
      <c r="D48" s="45">
        <v>0.32</v>
      </c>
      <c r="E48" s="8">
        <v>0.08</v>
      </c>
      <c r="F48" s="48" t="s">
        <v>185</v>
      </c>
      <c r="G48" s="49" t="s">
        <v>189</v>
      </c>
      <c r="H48" s="48" t="s">
        <v>185</v>
      </c>
      <c r="I48" s="46" t="s">
        <v>190</v>
      </c>
    </row>
    <row r="49" spans="1:9" s="1" customFormat="1" x14ac:dyDescent="0.25">
      <c r="A49" s="16">
        <v>43</v>
      </c>
      <c r="B49" s="25" t="s">
        <v>44</v>
      </c>
      <c r="C49" s="17" t="s">
        <v>67</v>
      </c>
      <c r="D49" s="45">
        <v>0.32</v>
      </c>
      <c r="E49" s="8">
        <v>0.09</v>
      </c>
      <c r="F49" s="48" t="s">
        <v>185</v>
      </c>
      <c r="G49" s="49" t="s">
        <v>189</v>
      </c>
      <c r="H49" s="48" t="s">
        <v>185</v>
      </c>
      <c r="I49" s="46" t="s">
        <v>191</v>
      </c>
    </row>
    <row r="50" spans="1:9" s="1" customFormat="1" x14ac:dyDescent="0.25">
      <c r="A50" s="16">
        <v>44</v>
      </c>
      <c r="B50" s="25" t="s">
        <v>45</v>
      </c>
      <c r="C50" s="17" t="s">
        <v>67</v>
      </c>
      <c r="D50" s="45">
        <v>0.63</v>
      </c>
      <c r="E50" s="8">
        <v>0.42</v>
      </c>
      <c r="F50" s="8">
        <v>67</v>
      </c>
      <c r="G50" s="46">
        <v>27557</v>
      </c>
      <c r="H50" s="8">
        <v>7.1</v>
      </c>
      <c r="I50" s="46" t="s">
        <v>192</v>
      </c>
    </row>
    <row r="51" spans="1:9" s="1" customFormat="1" x14ac:dyDescent="0.25">
      <c r="A51" s="16">
        <v>45</v>
      </c>
      <c r="B51" s="25" t="s">
        <v>46</v>
      </c>
      <c r="C51" s="17" t="s">
        <v>67</v>
      </c>
      <c r="D51" s="45">
        <v>0.78</v>
      </c>
      <c r="E51" s="8">
        <v>0.34</v>
      </c>
      <c r="F51" s="8">
        <v>89</v>
      </c>
      <c r="G51" s="46" t="s">
        <v>193</v>
      </c>
      <c r="H51" s="8">
        <v>10.4</v>
      </c>
      <c r="I51" s="46" t="s">
        <v>194</v>
      </c>
    </row>
    <row r="52" spans="1:9" s="1" customFormat="1" x14ac:dyDescent="0.25">
      <c r="A52" s="16">
        <v>46</v>
      </c>
      <c r="B52" s="25" t="s">
        <v>47</v>
      </c>
      <c r="C52" s="17" t="s">
        <v>67</v>
      </c>
      <c r="D52" s="45">
        <v>0.54</v>
      </c>
      <c r="E52" s="8">
        <v>0.25</v>
      </c>
      <c r="F52" s="8">
        <v>92</v>
      </c>
      <c r="G52" s="46" t="s">
        <v>195</v>
      </c>
      <c r="H52" s="8">
        <v>10.7</v>
      </c>
      <c r="I52" s="46" t="s">
        <v>196</v>
      </c>
    </row>
    <row r="53" spans="1:9" s="1" customFormat="1" x14ac:dyDescent="0.25">
      <c r="A53" s="16">
        <v>47</v>
      </c>
      <c r="B53" s="25" t="s">
        <v>48</v>
      </c>
      <c r="C53" s="17" t="s">
        <v>67</v>
      </c>
      <c r="D53" s="45">
        <v>7.68</v>
      </c>
      <c r="E53" s="8">
        <v>0.35</v>
      </c>
      <c r="F53" s="8">
        <v>86</v>
      </c>
      <c r="G53" s="46" t="s">
        <v>197</v>
      </c>
      <c r="H53" s="8">
        <v>10.9</v>
      </c>
      <c r="I53" s="46" t="s">
        <v>198</v>
      </c>
    </row>
    <row r="54" spans="1:9" s="1" customFormat="1" x14ac:dyDescent="0.25">
      <c r="A54" s="16">
        <v>48</v>
      </c>
      <c r="B54" s="25" t="s">
        <v>49</v>
      </c>
      <c r="C54" s="17" t="s">
        <v>67</v>
      </c>
      <c r="D54" s="45">
        <v>44.71</v>
      </c>
      <c r="E54" s="8">
        <v>13.3</v>
      </c>
      <c r="F54" s="8">
        <v>27</v>
      </c>
      <c r="G54" s="46" t="s">
        <v>199</v>
      </c>
      <c r="H54" s="8">
        <v>5.9</v>
      </c>
      <c r="I54" s="46" t="s">
        <v>200</v>
      </c>
    </row>
    <row r="55" spans="1:9" s="1" customFormat="1" x14ac:dyDescent="0.25">
      <c r="A55" s="16">
        <v>49</v>
      </c>
      <c r="B55" s="25" t="s">
        <v>50</v>
      </c>
      <c r="C55" s="17" t="s">
        <v>67</v>
      </c>
      <c r="D55" s="45">
        <v>1.54</v>
      </c>
      <c r="E55" s="8">
        <v>1.1100000000000001</v>
      </c>
      <c r="F55" s="8">
        <v>53</v>
      </c>
      <c r="G55" s="46" t="s">
        <v>201</v>
      </c>
      <c r="H55" s="8">
        <v>3.8</v>
      </c>
      <c r="I55" s="46" t="s">
        <v>202</v>
      </c>
    </row>
    <row r="56" spans="1:9" s="1" customFormat="1" x14ac:dyDescent="0.25">
      <c r="A56" s="16">
        <v>50</v>
      </c>
      <c r="B56" s="25" t="s">
        <v>51</v>
      </c>
      <c r="C56" s="17" t="s">
        <v>67</v>
      </c>
      <c r="D56" s="45">
        <v>0.85</v>
      </c>
      <c r="E56" s="8">
        <v>0.36</v>
      </c>
      <c r="F56" s="16">
        <v>69</v>
      </c>
      <c r="G56" s="46" t="s">
        <v>203</v>
      </c>
      <c r="H56" s="8">
        <v>13.1</v>
      </c>
      <c r="I56" s="46" t="s">
        <v>204</v>
      </c>
    </row>
    <row r="57" spans="1:9" s="1" customFormat="1" x14ac:dyDescent="0.25">
      <c r="A57" s="16">
        <v>51</v>
      </c>
      <c r="B57" s="25" t="s">
        <v>52</v>
      </c>
      <c r="C57" s="17" t="s">
        <v>67</v>
      </c>
      <c r="D57" s="45">
        <v>4.5</v>
      </c>
      <c r="E57" s="8">
        <v>1.47</v>
      </c>
      <c r="F57" s="8">
        <v>22</v>
      </c>
      <c r="G57" s="46" t="s">
        <v>205</v>
      </c>
      <c r="H57" s="8">
        <v>9.6999999999999993</v>
      </c>
      <c r="I57" s="46" t="s">
        <v>206</v>
      </c>
    </row>
    <row r="58" spans="1:9" s="1" customFormat="1" x14ac:dyDescent="0.25">
      <c r="A58" s="16">
        <v>52</v>
      </c>
      <c r="B58" s="25" t="s">
        <v>53</v>
      </c>
      <c r="C58" s="17" t="s">
        <v>67</v>
      </c>
      <c r="D58" s="45">
        <v>7.26</v>
      </c>
      <c r="E58" s="8">
        <v>1.05</v>
      </c>
      <c r="F58" s="8">
        <v>54</v>
      </c>
      <c r="G58" s="46" t="s">
        <v>207</v>
      </c>
      <c r="H58" s="8">
        <v>18.8</v>
      </c>
      <c r="I58" s="46" t="s">
        <v>208</v>
      </c>
    </row>
    <row r="59" spans="1:9" s="1" customFormat="1" x14ac:dyDescent="0.25">
      <c r="A59" s="16">
        <v>53</v>
      </c>
      <c r="B59" s="25" t="s">
        <v>54</v>
      </c>
      <c r="C59" s="17" t="s">
        <v>67</v>
      </c>
      <c r="D59" s="45">
        <v>1.81</v>
      </c>
      <c r="E59" s="8">
        <v>1.23</v>
      </c>
      <c r="F59" s="8">
        <v>67</v>
      </c>
      <c r="G59" s="46" t="s">
        <v>209</v>
      </c>
      <c r="H59" s="8">
        <v>32</v>
      </c>
      <c r="I59" s="46" t="s">
        <v>210</v>
      </c>
    </row>
    <row r="60" spans="1:9" s="1" customFormat="1" x14ac:dyDescent="0.25">
      <c r="A60" s="16">
        <v>54</v>
      </c>
      <c r="B60" s="25" t="s">
        <v>55</v>
      </c>
      <c r="C60" s="17" t="s">
        <v>67</v>
      </c>
      <c r="D60" s="45">
        <v>3.26</v>
      </c>
      <c r="E60" s="44">
        <v>0.26</v>
      </c>
      <c r="F60" s="8">
        <v>91</v>
      </c>
      <c r="G60" s="46" t="s">
        <v>211</v>
      </c>
      <c r="H60" s="8">
        <v>17.3</v>
      </c>
      <c r="I60" s="46" t="s">
        <v>212</v>
      </c>
    </row>
    <row r="61" spans="1:9" s="1" customFormat="1" x14ac:dyDescent="0.25">
      <c r="A61" s="16">
        <v>55</v>
      </c>
      <c r="B61" s="25" t="s">
        <v>56</v>
      </c>
      <c r="C61" s="17" t="s">
        <v>67</v>
      </c>
      <c r="D61" s="45">
        <v>2.59</v>
      </c>
      <c r="E61" s="8">
        <v>0.37</v>
      </c>
      <c r="F61" s="8">
        <v>91</v>
      </c>
      <c r="G61" s="46" t="s">
        <v>213</v>
      </c>
      <c r="H61" s="8">
        <v>17.7</v>
      </c>
      <c r="I61" s="46" t="s">
        <v>214</v>
      </c>
    </row>
    <row r="62" spans="1:9" s="1" customFormat="1" x14ac:dyDescent="0.25">
      <c r="A62" s="16">
        <v>56</v>
      </c>
      <c r="B62" s="25" t="s">
        <v>57</v>
      </c>
      <c r="C62" s="17" t="s">
        <v>67</v>
      </c>
      <c r="D62" s="45">
        <v>0.27</v>
      </c>
      <c r="E62" s="8">
        <v>0.14000000000000001</v>
      </c>
      <c r="F62" s="8">
        <v>89</v>
      </c>
      <c r="G62" s="46" t="s">
        <v>215</v>
      </c>
      <c r="H62" s="8">
        <v>16.600000000000001</v>
      </c>
      <c r="I62" s="46" t="s">
        <v>216</v>
      </c>
    </row>
    <row r="63" spans="1:9" s="1" customFormat="1" x14ac:dyDescent="0.25">
      <c r="A63" s="16">
        <v>57</v>
      </c>
      <c r="B63" s="25" t="s">
        <v>58</v>
      </c>
      <c r="C63" s="17" t="s">
        <v>67</v>
      </c>
      <c r="D63" s="45">
        <v>0.31</v>
      </c>
      <c r="E63" s="8">
        <v>0.2</v>
      </c>
      <c r="F63" s="8">
        <v>90</v>
      </c>
      <c r="G63" s="46" t="s">
        <v>217</v>
      </c>
      <c r="H63" s="8">
        <v>16.899999999999999</v>
      </c>
      <c r="I63" s="46">
        <v>1354416</v>
      </c>
    </row>
    <row r="64" spans="1:9" s="1" customFormat="1" x14ac:dyDescent="0.25">
      <c r="A64" s="16">
        <v>58</v>
      </c>
      <c r="B64" s="25" t="s">
        <v>59</v>
      </c>
      <c r="C64" s="17" t="s">
        <v>67</v>
      </c>
      <c r="D64" s="45">
        <v>0.44</v>
      </c>
      <c r="E64" s="44">
        <v>0.32</v>
      </c>
      <c r="F64" s="8">
        <v>89</v>
      </c>
      <c r="G64" s="46" t="s">
        <v>218</v>
      </c>
      <c r="H64" s="8">
        <v>47.3</v>
      </c>
      <c r="I64" s="46" t="s">
        <v>219</v>
      </c>
    </row>
    <row r="65" spans="1:10" s="1" customFormat="1" x14ac:dyDescent="0.25">
      <c r="A65" s="16">
        <v>59</v>
      </c>
      <c r="B65" s="25" t="s">
        <v>60</v>
      </c>
      <c r="C65" s="17" t="s">
        <v>67</v>
      </c>
      <c r="D65" s="45">
        <v>0.26</v>
      </c>
      <c r="E65" s="8">
        <v>0.16</v>
      </c>
      <c r="F65" s="8">
        <v>90</v>
      </c>
      <c r="G65" s="46" t="s">
        <v>220</v>
      </c>
      <c r="H65" s="8">
        <v>25.8</v>
      </c>
      <c r="I65" s="46" t="s">
        <v>221</v>
      </c>
    </row>
    <row r="66" spans="1:10" s="1" customFormat="1" x14ac:dyDescent="0.25">
      <c r="A66" s="16">
        <v>60</v>
      </c>
      <c r="B66" s="25" t="s">
        <v>61</v>
      </c>
      <c r="C66" s="17" t="s">
        <v>67</v>
      </c>
      <c r="D66" s="45">
        <v>0.4</v>
      </c>
      <c r="E66" s="8">
        <v>0.17</v>
      </c>
      <c r="F66" s="8">
        <v>95</v>
      </c>
      <c r="G66" s="46" t="s">
        <v>222</v>
      </c>
      <c r="H66" s="8">
        <v>19.5</v>
      </c>
      <c r="I66" s="46" t="s">
        <v>223</v>
      </c>
    </row>
    <row r="67" spans="1:10" s="1" customFormat="1" x14ac:dyDescent="0.25">
      <c r="A67" s="16">
        <v>61</v>
      </c>
      <c r="B67" s="26" t="s">
        <v>62</v>
      </c>
      <c r="C67" s="17" t="s">
        <v>67</v>
      </c>
      <c r="D67" s="45">
        <v>3.71</v>
      </c>
      <c r="E67" s="8">
        <v>0.22</v>
      </c>
      <c r="F67" s="8">
        <v>95</v>
      </c>
      <c r="G67" s="46" t="s">
        <v>112</v>
      </c>
      <c r="H67" s="8">
        <v>18.8</v>
      </c>
      <c r="I67" s="46" t="s">
        <v>224</v>
      </c>
    </row>
    <row r="68" spans="1:10" s="1" customFormat="1" x14ac:dyDescent="0.25">
      <c r="A68" s="16">
        <v>62</v>
      </c>
      <c r="B68" s="19" t="s">
        <v>63</v>
      </c>
      <c r="C68" s="17" t="s">
        <v>67</v>
      </c>
      <c r="D68" s="45">
        <v>0.82</v>
      </c>
      <c r="E68" s="8">
        <v>0.46</v>
      </c>
      <c r="F68" s="8">
        <v>91</v>
      </c>
      <c r="G68" s="46" t="s">
        <v>225</v>
      </c>
      <c r="H68" s="8">
        <v>64.5</v>
      </c>
      <c r="I68" s="46" t="s">
        <v>226</v>
      </c>
    </row>
    <row r="69" spans="1:10" s="1" customFormat="1" x14ac:dyDescent="0.25">
      <c r="A69" s="16">
        <v>63</v>
      </c>
      <c r="B69" s="19" t="s">
        <v>64</v>
      </c>
      <c r="C69" s="17" t="s">
        <v>67</v>
      </c>
      <c r="D69" s="45">
        <v>8.1999999999999993</v>
      </c>
      <c r="E69" s="8">
        <v>0.86</v>
      </c>
      <c r="F69" s="8">
        <v>91</v>
      </c>
      <c r="G69" s="46" t="s">
        <v>227</v>
      </c>
      <c r="H69" s="8">
        <v>62.9</v>
      </c>
      <c r="I69" s="46" t="s">
        <v>228</v>
      </c>
    </row>
    <row r="70" spans="1:10" s="27" customFormat="1" x14ac:dyDescent="0.25">
      <c r="D70" s="28"/>
      <c r="E70" s="29"/>
      <c r="F70" s="29"/>
      <c r="G70" s="30"/>
      <c r="H70" s="30"/>
      <c r="I70" s="31"/>
      <c r="J70" s="32"/>
    </row>
    <row r="71" spans="1:10" s="27" customFormat="1" x14ac:dyDescent="0.25">
      <c r="D71" s="28"/>
      <c r="E71" s="29"/>
      <c r="F71" s="29"/>
      <c r="G71" s="30"/>
      <c r="H71" s="30"/>
      <c r="I71" s="31"/>
      <c r="J71" s="32"/>
    </row>
    <row r="72" spans="1:10" s="27" customFormat="1" x14ac:dyDescent="0.25">
      <c r="D72" s="28"/>
      <c r="E72" s="29"/>
      <c r="F72" s="29"/>
      <c r="G72" s="30"/>
      <c r="H72" s="30"/>
      <c r="I72" s="31"/>
      <c r="J72" s="32"/>
    </row>
    <row r="73" spans="1:10" s="27" customFormat="1" x14ac:dyDescent="0.25">
      <c r="D73" s="28"/>
      <c r="E73" s="29"/>
      <c r="F73" s="29"/>
      <c r="G73" s="30"/>
      <c r="H73" s="30"/>
      <c r="I73" s="31"/>
      <c r="J73" s="32"/>
    </row>
    <row r="74" spans="1:10" s="27" customFormat="1" x14ac:dyDescent="0.25">
      <c r="D74" s="28"/>
      <c r="E74" s="29"/>
      <c r="F74" s="29"/>
      <c r="G74" s="30"/>
      <c r="H74" s="30"/>
      <c r="I74" s="31"/>
      <c r="J74" s="32"/>
    </row>
    <row r="75" spans="1:10" s="27" customFormat="1" x14ac:dyDescent="0.25">
      <c r="D75" s="28"/>
      <c r="E75" s="29"/>
      <c r="F75" s="29"/>
      <c r="G75" s="30"/>
      <c r="H75" s="30"/>
      <c r="I75" s="31"/>
      <c r="J75" s="32"/>
    </row>
    <row r="76" spans="1:10" s="27" customFormat="1" x14ac:dyDescent="0.25">
      <c r="D76" s="28"/>
      <c r="E76" s="29"/>
      <c r="F76" s="29"/>
      <c r="G76" s="30"/>
      <c r="H76" s="30"/>
      <c r="I76" s="31"/>
      <c r="J76" s="32"/>
    </row>
    <row r="77" spans="1:10" s="27" customFormat="1" x14ac:dyDescent="0.25">
      <c r="D77" s="28"/>
      <c r="E77" s="29"/>
      <c r="F77" s="29"/>
      <c r="G77" s="30"/>
      <c r="H77" s="30"/>
      <c r="I77" s="31"/>
      <c r="J77" s="32"/>
    </row>
    <row r="78" spans="1:10" s="27" customFormat="1" x14ac:dyDescent="0.25">
      <c r="D78" s="28"/>
      <c r="E78" s="29"/>
      <c r="F78" s="29"/>
      <c r="G78" s="30"/>
      <c r="H78" s="30"/>
      <c r="I78" s="31"/>
      <c r="J78" s="32"/>
    </row>
    <row r="79" spans="1:10" s="27" customFormat="1" x14ac:dyDescent="0.25">
      <c r="D79" s="28"/>
      <c r="E79" s="29"/>
      <c r="F79" s="29"/>
      <c r="G79" s="30"/>
      <c r="H79" s="30"/>
      <c r="I79" s="31"/>
      <c r="J79" s="32"/>
    </row>
  </sheetData>
  <mergeCells count="7">
    <mergeCell ref="A4:I4"/>
    <mergeCell ref="A5:A6"/>
    <mergeCell ref="B5:B6"/>
    <mergeCell ref="C5:C6"/>
    <mergeCell ref="D5:E5"/>
    <mergeCell ref="F5:G5"/>
    <mergeCell ref="H5:I5"/>
  </mergeCells>
  <pageMargins left="0.7" right="0.7" top="0.75" bottom="0.75" header="0.3" footer="0.3"/>
  <pageSetup orientation="portrait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50"/>
  <sheetViews>
    <sheetView topLeftCell="A19" workbookViewId="0">
      <selection activeCell="I38" sqref="I38"/>
    </sheetView>
  </sheetViews>
  <sheetFormatPr defaultColWidth="9.140625" defaultRowHeight="12.75" x14ac:dyDescent="0.2"/>
  <cols>
    <col min="3" max="3" width="31.5703125" bestFit="1" customWidth="1"/>
    <col min="4" max="4" width="27.5703125" bestFit="1" customWidth="1"/>
    <col min="5" max="5" width="17.85546875" style="14" customWidth="1"/>
    <col min="6" max="6" width="12.28515625" style="14" customWidth="1"/>
    <col min="7" max="7" width="16.42578125" style="14" customWidth="1"/>
  </cols>
  <sheetData>
    <row r="1" spans="4:9" s="3" customFormat="1" x14ac:dyDescent="0.2">
      <c r="E1" s="11"/>
      <c r="F1" s="11"/>
      <c r="G1" s="11"/>
    </row>
    <row r="2" spans="4:9" s="3" customFormat="1" x14ac:dyDescent="0.2">
      <c r="E2" s="11"/>
      <c r="F2" s="11"/>
      <c r="G2" s="11"/>
    </row>
    <row r="3" spans="4:9" s="3" customFormat="1" ht="18.75" customHeight="1" x14ac:dyDescent="0.2">
      <c r="D3" s="50" t="s">
        <v>65</v>
      </c>
      <c r="E3" s="50"/>
      <c r="F3" s="50"/>
      <c r="G3" s="50"/>
      <c r="H3" s="50"/>
      <c r="I3" s="50"/>
    </row>
    <row r="4" spans="4:9" s="3" customFormat="1" x14ac:dyDescent="0.2">
      <c r="D4" s="50"/>
      <c r="E4" s="50"/>
      <c r="F4" s="50"/>
      <c r="G4" s="50"/>
      <c r="H4" s="50"/>
      <c r="I4" s="50"/>
    </row>
    <row r="5" spans="4:9" s="3" customFormat="1" x14ac:dyDescent="0.2">
      <c r="D5" s="50"/>
      <c r="E5" s="50"/>
      <c r="F5" s="50"/>
      <c r="G5" s="50"/>
      <c r="H5" s="50"/>
      <c r="I5" s="50"/>
    </row>
    <row r="6" spans="4:9" s="3" customFormat="1" x14ac:dyDescent="0.2">
      <c r="E6" s="11"/>
      <c r="F6" s="11"/>
      <c r="G6" s="11"/>
    </row>
    <row r="7" spans="4:9" s="3" customFormat="1" x14ac:dyDescent="0.2">
      <c r="E7" s="11"/>
      <c r="F7" s="11"/>
      <c r="G7" s="11"/>
    </row>
    <row r="8" spans="4:9" s="3" customFormat="1" x14ac:dyDescent="0.2">
      <c r="E8" s="11"/>
      <c r="F8" s="11"/>
      <c r="G8" s="11"/>
    </row>
    <row r="9" spans="4:9" s="3" customFormat="1" x14ac:dyDescent="0.2">
      <c r="E9" s="11"/>
      <c r="F9" s="11"/>
      <c r="G9" s="11"/>
    </row>
    <row r="10" spans="4:9" s="3" customFormat="1" x14ac:dyDescent="0.2">
      <c r="E10" s="11"/>
      <c r="F10" s="11"/>
      <c r="G10" s="11"/>
    </row>
    <row r="11" spans="4:9" s="3" customFormat="1" x14ac:dyDescent="0.2">
      <c r="E11" s="11"/>
      <c r="F11" s="11"/>
      <c r="G11" s="11"/>
    </row>
    <row r="12" spans="4:9" s="3" customFormat="1" x14ac:dyDescent="0.2">
      <c r="E12" s="11"/>
      <c r="F12" s="11"/>
      <c r="G12" s="11"/>
    </row>
    <row r="13" spans="4:9" s="3" customFormat="1" x14ac:dyDescent="0.2">
      <c r="E13" s="11"/>
      <c r="F13" s="11"/>
      <c r="G13" s="11"/>
    </row>
    <row r="14" spans="4:9" s="3" customFormat="1" x14ac:dyDescent="0.2">
      <c r="E14" s="11"/>
      <c r="F14" s="11"/>
      <c r="G14" s="11"/>
    </row>
    <row r="15" spans="4:9" s="3" customFormat="1" x14ac:dyDescent="0.2">
      <c r="E15" s="11"/>
      <c r="F15" s="11"/>
      <c r="G15" s="11"/>
    </row>
    <row r="16" spans="4:9" s="3" customFormat="1" x14ac:dyDescent="0.2">
      <c r="E16" s="11"/>
      <c r="F16" s="11"/>
      <c r="G16" s="11"/>
    </row>
    <row r="17" spans="4:9" s="3" customFormat="1" x14ac:dyDescent="0.2">
      <c r="E17" s="11"/>
      <c r="F17" s="11"/>
      <c r="G17" s="11"/>
    </row>
    <row r="18" spans="4:9" s="3" customFormat="1" x14ac:dyDescent="0.2">
      <c r="E18" s="11"/>
      <c r="F18" s="11"/>
      <c r="G18" s="11"/>
    </row>
    <row r="19" spans="4:9" s="3" customFormat="1" x14ac:dyDescent="0.2">
      <c r="E19" s="11"/>
      <c r="F19" s="11"/>
      <c r="G19" s="11"/>
    </row>
    <row r="20" spans="4:9" s="3" customFormat="1" x14ac:dyDescent="0.2">
      <c r="E20" s="11"/>
      <c r="F20" s="11"/>
      <c r="G20" s="11"/>
    </row>
    <row r="21" spans="4:9" s="3" customFormat="1" x14ac:dyDescent="0.2">
      <c r="D21" s="50" t="s">
        <v>66</v>
      </c>
      <c r="E21" s="50"/>
      <c r="F21" s="50"/>
      <c r="G21" s="50"/>
      <c r="H21" s="50"/>
      <c r="I21" s="50"/>
    </row>
    <row r="22" spans="4:9" s="3" customFormat="1" x14ac:dyDescent="0.2">
      <c r="D22" s="50"/>
      <c r="E22" s="50"/>
      <c r="F22" s="50"/>
      <c r="G22" s="50"/>
      <c r="H22" s="50"/>
      <c r="I22" s="50"/>
    </row>
    <row r="23" spans="4:9" s="3" customFormat="1" x14ac:dyDescent="0.2">
      <c r="D23" s="50"/>
      <c r="E23" s="50"/>
      <c r="F23" s="50"/>
      <c r="G23" s="50"/>
      <c r="H23" s="50"/>
      <c r="I23" s="50"/>
    </row>
    <row r="24" spans="4:9" s="3" customFormat="1" x14ac:dyDescent="0.2">
      <c r="E24" s="11"/>
      <c r="F24" s="11"/>
      <c r="G24" s="11"/>
    </row>
    <row r="25" spans="4:9" s="3" customFormat="1" ht="29.25" customHeight="1" x14ac:dyDescent="0.2">
      <c r="E25" s="12" t="s">
        <v>82</v>
      </c>
      <c r="F25" s="13" t="s">
        <v>102</v>
      </c>
      <c r="G25" s="13" t="s">
        <v>103</v>
      </c>
    </row>
    <row r="26" spans="4:9" s="3" customFormat="1" ht="15" x14ac:dyDescent="0.2">
      <c r="E26" s="39" t="s">
        <v>83</v>
      </c>
      <c r="F26" s="39">
        <v>6.95</v>
      </c>
      <c r="G26" s="39">
        <v>9.7100000000000009</v>
      </c>
    </row>
    <row r="27" spans="4:9" s="3" customFormat="1" ht="15" x14ac:dyDescent="0.2">
      <c r="E27" s="39" t="s">
        <v>84</v>
      </c>
      <c r="F27" s="39">
        <v>2.52</v>
      </c>
      <c r="G27" s="39">
        <v>0.95</v>
      </c>
    </row>
    <row r="28" spans="4:9" s="3" customFormat="1" ht="15" x14ac:dyDescent="0.2">
      <c r="E28" s="39" t="s">
        <v>85</v>
      </c>
      <c r="F28" s="39">
        <v>5.68</v>
      </c>
      <c r="G28" s="39">
        <v>7</v>
      </c>
    </row>
    <row r="29" spans="4:9" s="3" customFormat="1" ht="15" x14ac:dyDescent="0.2">
      <c r="E29" s="39" t="s">
        <v>86</v>
      </c>
      <c r="F29" s="39">
        <v>3.98</v>
      </c>
      <c r="G29" s="39">
        <v>3.47</v>
      </c>
    </row>
    <row r="30" spans="4:9" s="3" customFormat="1" ht="15" x14ac:dyDescent="0.2">
      <c r="E30" s="39" t="s">
        <v>87</v>
      </c>
      <c r="F30" s="39">
        <v>1485.55</v>
      </c>
      <c r="G30" s="39">
        <v>1044.22</v>
      </c>
    </row>
    <row r="31" spans="4:9" s="3" customFormat="1" ht="15" x14ac:dyDescent="0.2">
      <c r="E31" s="39" t="s">
        <v>88</v>
      </c>
      <c r="F31" s="39">
        <v>24.44</v>
      </c>
      <c r="G31" s="39">
        <v>13.35</v>
      </c>
    </row>
    <row r="32" spans="4:9" s="3" customFormat="1" ht="15" x14ac:dyDescent="0.2">
      <c r="E32" s="39" t="s">
        <v>89</v>
      </c>
      <c r="F32" s="39">
        <v>6.4</v>
      </c>
      <c r="G32" s="39">
        <v>9.8800000000000008</v>
      </c>
    </row>
    <row r="33" spans="5:7" s="3" customFormat="1" ht="15" x14ac:dyDescent="0.2">
      <c r="E33" s="39" t="s">
        <v>90</v>
      </c>
      <c r="F33" s="39">
        <v>4.03</v>
      </c>
      <c r="G33" s="39">
        <v>4.45</v>
      </c>
    </row>
    <row r="34" spans="5:7" s="3" customFormat="1" ht="15" x14ac:dyDescent="0.2">
      <c r="E34" s="39" t="s">
        <v>91</v>
      </c>
      <c r="F34" s="39">
        <v>2.11</v>
      </c>
      <c r="G34" s="39">
        <v>0</v>
      </c>
    </row>
    <row r="35" spans="5:7" s="3" customFormat="1" ht="15" x14ac:dyDescent="0.2">
      <c r="E35" s="39" t="s">
        <v>92</v>
      </c>
      <c r="F35" s="39">
        <v>9.26</v>
      </c>
      <c r="G35" s="39">
        <v>67.95</v>
      </c>
    </row>
    <row r="36" spans="5:7" s="3" customFormat="1" ht="15" x14ac:dyDescent="0.2">
      <c r="E36" s="39" t="s">
        <v>93</v>
      </c>
      <c r="F36" s="39">
        <v>12.54</v>
      </c>
      <c r="G36" s="39">
        <v>216.89</v>
      </c>
    </row>
    <row r="37" spans="5:7" s="3" customFormat="1" ht="15" x14ac:dyDescent="0.2">
      <c r="E37" s="40" t="s">
        <v>94</v>
      </c>
      <c r="F37" s="39">
        <v>4</v>
      </c>
      <c r="G37" s="39">
        <v>4.6399999999999997</v>
      </c>
    </row>
    <row r="38" spans="5:7" s="3" customFormat="1" ht="15" x14ac:dyDescent="0.2">
      <c r="E38" s="39" t="s">
        <v>95</v>
      </c>
      <c r="F38" s="39">
        <v>2.5</v>
      </c>
      <c r="G38" s="39">
        <v>0.37</v>
      </c>
    </row>
    <row r="39" spans="5:7" s="3" customFormat="1" ht="15" x14ac:dyDescent="0.2">
      <c r="E39" s="39" t="s">
        <v>96</v>
      </c>
      <c r="F39" s="39">
        <v>2.08</v>
      </c>
      <c r="G39" s="39">
        <v>0.17</v>
      </c>
    </row>
    <row r="40" spans="5:7" s="3" customFormat="1" x14ac:dyDescent="0.2">
      <c r="E40" s="11"/>
      <c r="F40" s="11"/>
      <c r="G40" s="11"/>
    </row>
    <row r="41" spans="5:7" s="3" customFormat="1" x14ac:dyDescent="0.2">
      <c r="E41" s="11"/>
      <c r="F41" s="11"/>
      <c r="G41" s="11"/>
    </row>
    <row r="42" spans="5:7" s="3" customFormat="1" x14ac:dyDescent="0.2">
      <c r="E42" s="11"/>
      <c r="F42" s="11"/>
      <c r="G42" s="11"/>
    </row>
    <row r="43" spans="5:7" s="3" customFormat="1" x14ac:dyDescent="0.2">
      <c r="E43" s="11"/>
      <c r="F43" s="11"/>
      <c r="G43" s="11"/>
    </row>
    <row r="44" spans="5:7" s="3" customFormat="1" x14ac:dyDescent="0.2">
      <c r="E44" s="11"/>
      <c r="F44" s="11"/>
      <c r="G44" s="11"/>
    </row>
    <row r="45" spans="5:7" s="3" customFormat="1" x14ac:dyDescent="0.2">
      <c r="E45" s="11"/>
      <c r="F45" s="11"/>
      <c r="G45" s="11"/>
    </row>
    <row r="46" spans="5:7" s="3" customFormat="1" x14ac:dyDescent="0.2">
      <c r="E46" s="11"/>
      <c r="F46" s="11"/>
      <c r="G46" s="11"/>
    </row>
    <row r="47" spans="5:7" s="3" customFormat="1" x14ac:dyDescent="0.2">
      <c r="E47" s="11"/>
      <c r="F47" s="11"/>
      <c r="G47" s="11"/>
    </row>
    <row r="48" spans="5:7" s="3" customFormat="1" x14ac:dyDescent="0.2">
      <c r="E48" s="11"/>
      <c r="F48" s="11"/>
      <c r="G48" s="11"/>
    </row>
    <row r="49" spans="5:7" s="3" customFormat="1" x14ac:dyDescent="0.2">
      <c r="E49" s="11"/>
      <c r="F49" s="11"/>
      <c r="G49" s="11"/>
    </row>
    <row r="50" spans="5:7" s="3" customFormat="1" x14ac:dyDescent="0.2">
      <c r="E50" s="11"/>
      <c r="F50" s="11"/>
      <c r="G50" s="11"/>
    </row>
  </sheetData>
  <mergeCells count="2">
    <mergeCell ref="D3:I5"/>
    <mergeCell ref="D21:I23"/>
  </mergeCells>
  <pageMargins left="0.7" right="0.7" top="0.75" bottom="0.75" header="0.3" footer="0.3"/>
  <pageSetup orientation="portrait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workbookViewId="0"/>
  </sheetViews>
  <sheetFormatPr defaultRowHeight="12.75" x14ac:dyDescent="0.2"/>
  <sheetData>
    <row r="1" spans="1:256" x14ac:dyDescent="0.2">
      <c r="A1" t="s">
        <v>70</v>
      </c>
      <c r="F1" t="e">
        <f>ECS!B:B*"$61^!%"</f>
        <v>#VALUE!</v>
      </c>
      <c r="G1" t="e">
        <f>ECS!C:C*"$61^!&amp;"</f>
        <v>#VALUE!</v>
      </c>
      <c r="H1" t="e">
        <f>ECS!D:D*"$61^!'"</f>
        <v>#VALUE!</v>
      </c>
      <c r="I1" t="e">
        <f>ECS!E:E*"$61^!("</f>
        <v>#VALUE!</v>
      </c>
      <c r="J1" t="e">
        <f>ECS!G:G*"$61^!)"</f>
        <v>#VALUE!</v>
      </c>
      <c r="K1" t="e">
        <f>ECS!I:I*"$61^!."</f>
        <v>#VALUE!</v>
      </c>
      <c r="L1" t="e">
        <f>ECS!#REF!*"$61^!/"</f>
        <v>#REF!</v>
      </c>
      <c r="M1" t="e">
        <f>ECS!#REF!*"$61^!0"</f>
        <v>#REF!</v>
      </c>
      <c r="N1" t="e">
        <f>ECS!#REF!*"$61^!1"</f>
        <v>#REF!</v>
      </c>
      <c r="O1" t="e">
        <f>ECS!J:J*"$61^!2"</f>
        <v>#VALUE!</v>
      </c>
      <c r="P1" t="e">
        <f>ECS!#REF!*"$61^!3"</f>
        <v>#REF!</v>
      </c>
      <c r="Q1" t="e">
        <f>ECS!K:K*"$61^!4"</f>
        <v>#VALUE!</v>
      </c>
      <c r="R1" t="e">
        <f>ECS!L:L*"$61^!5"</f>
        <v>#VALUE!</v>
      </c>
      <c r="S1" t="e">
        <f>ECS!M:M*"$61^!6"</f>
        <v>#VALUE!</v>
      </c>
      <c r="T1" t="e">
        <f>ECS!N:N*"$61^!7"</f>
        <v>#VALUE!</v>
      </c>
      <c r="U1" t="e">
        <f>ECS!O:O*"$61^!8"</f>
        <v>#VALUE!</v>
      </c>
      <c r="V1" t="e">
        <f>ECS!P:P*"$61^!9"</f>
        <v>#VALUE!</v>
      </c>
      <c r="W1" t="e">
        <f>ECS!Q:Q*"$61^!:"</f>
        <v>#VALUE!</v>
      </c>
      <c r="X1" t="e">
        <f>ECS!R:R*"$61^!;"</f>
        <v>#VALUE!</v>
      </c>
      <c r="Y1" t="e">
        <f>ECS!S:S*"$61^!&lt;"</f>
        <v>#VALUE!</v>
      </c>
      <c r="Z1" t="e">
        <f>ECS!T:T*"$61^!="</f>
        <v>#VALUE!</v>
      </c>
      <c r="AA1" t="e">
        <f>ECS!U:U*"$61^!&gt;"</f>
        <v>#VALUE!</v>
      </c>
      <c r="AB1" t="e">
        <f>ECS!V:V*"$61^!?"</f>
        <v>#VALUE!</v>
      </c>
      <c r="AC1" t="e">
        <f>ECS!W:W*"$61^!@"</f>
        <v>#VALUE!</v>
      </c>
      <c r="AD1" t="e">
        <f>ECS!X:X*"$61^!A"</f>
        <v>#VALUE!</v>
      </c>
      <c r="AE1" t="e">
        <f>ECS!Y:Y*"$61^!B"</f>
        <v>#VALUE!</v>
      </c>
      <c r="AF1" t="e">
        <f>ECS!Z:Z*"$61^!C"</f>
        <v>#VALUE!</v>
      </c>
      <c r="AG1" t="e">
        <f>ECS!AA:AA*"$61^!D"</f>
        <v>#VALUE!</v>
      </c>
      <c r="AH1" t="e">
        <f>ECS!AB:AB*"$61^!E"</f>
        <v>#VALUE!</v>
      </c>
      <c r="AI1" t="e">
        <f>ECS!AC:AC*"$61^!F"</f>
        <v>#VALUE!</v>
      </c>
      <c r="AJ1" t="e">
        <f>ECS!AD:AD*"$61^!G"</f>
        <v>#VALUE!</v>
      </c>
      <c r="AK1" t="e">
        <f>ECS!AE:AE*"$61^!H"</f>
        <v>#VALUE!</v>
      </c>
      <c r="AL1" t="e">
        <f>ECS!AF:AF*"$61^!I"</f>
        <v>#VALUE!</v>
      </c>
      <c r="AM1" t="e">
        <f>ECS!AG:AG*"$61^!J"</f>
        <v>#VALUE!</v>
      </c>
      <c r="AN1" t="e">
        <f>ECS!AH:AH*"$61^!K"</f>
        <v>#VALUE!</v>
      </c>
      <c r="AO1" t="e">
        <f>ECS!AI:AI*"$61^!L"</f>
        <v>#VALUE!</v>
      </c>
      <c r="AP1" t="e">
        <f>ECS!AJ:AJ*"$61^!M"</f>
        <v>#VALUE!</v>
      </c>
      <c r="AQ1" t="e">
        <f>ECS!AK:AK*"$61^!N"</f>
        <v>#VALUE!</v>
      </c>
      <c r="AR1" t="e">
        <f>ECS!AL:AL*"$61^!O"</f>
        <v>#VALUE!</v>
      </c>
      <c r="AS1" t="e">
        <f>ECS!AM:AM*"$61^!P"</f>
        <v>#VALUE!</v>
      </c>
      <c r="AT1" t="e">
        <f>ECS!AN:AN*"$61^!Q"</f>
        <v>#VALUE!</v>
      </c>
      <c r="AU1" t="e">
        <f>ECS!AO:AO*"$61^!R"</f>
        <v>#VALUE!</v>
      </c>
      <c r="AV1" t="e">
        <f>ECS!AP:AP*"$61^!S"</f>
        <v>#VALUE!</v>
      </c>
      <c r="AW1" t="e">
        <f>ECS!AQ:AQ*"$61^!T"</f>
        <v>#VALUE!</v>
      </c>
      <c r="AX1" t="e">
        <f>ECS!AR:AR*"$61^!U"</f>
        <v>#VALUE!</v>
      </c>
      <c r="AY1" t="e">
        <f>ECS!AS:AS*"$61^!V"</f>
        <v>#VALUE!</v>
      </c>
      <c r="AZ1" t="e">
        <f>ECS!AT:AT*"$61^!W"</f>
        <v>#VALUE!</v>
      </c>
      <c r="BA1" t="e">
        <f>ECS!AU:AU*"$61^!X"</f>
        <v>#VALUE!</v>
      </c>
      <c r="BB1" t="e">
        <f>ECS!AV:AV*"$61^!Y"</f>
        <v>#VALUE!</v>
      </c>
      <c r="BC1" t="e">
        <f>ECS!AW:AW*"$61^!Z"</f>
        <v>#VALUE!</v>
      </c>
      <c r="BD1" t="e">
        <f>ECS!AX:AX*"$61^!["</f>
        <v>#VALUE!</v>
      </c>
      <c r="BE1" t="e">
        <f>ECS!AY:AY*"$61^!\"</f>
        <v>#VALUE!</v>
      </c>
      <c r="BF1" t="e">
        <f>ECS!AZ:AZ*"$61^!]"</f>
        <v>#VALUE!</v>
      </c>
      <c r="BG1" t="e">
        <f>ECS!BA:BA*"$61^!^"</f>
        <v>#VALUE!</v>
      </c>
      <c r="BH1" t="e">
        <f>ECS!BB:BB*"$61^!_"</f>
        <v>#VALUE!</v>
      </c>
      <c r="BI1" t="e">
        <f>ECS!BC:BC*"$61^!`"</f>
        <v>#VALUE!</v>
      </c>
      <c r="BJ1" t="e">
        <f>ECS!BD:BD*"$61^!a"</f>
        <v>#VALUE!</v>
      </c>
      <c r="BK1" t="e">
        <f>ECS!BE:BE*"$61^!b"</f>
        <v>#VALUE!</v>
      </c>
      <c r="BL1" t="e">
        <f>ECS!BF:BF*"$61^!c"</f>
        <v>#VALUE!</v>
      </c>
      <c r="BM1" t="e">
        <f>ECS!BG:BG*"$61^!d"</f>
        <v>#VALUE!</v>
      </c>
      <c r="BN1" t="e">
        <f>ECS!BH:BH*"$61^!e"</f>
        <v>#VALUE!</v>
      </c>
      <c r="BO1" t="e">
        <f>ECS!1:1-"$61^!f"</f>
        <v>#VALUE!</v>
      </c>
      <c r="BP1" t="e">
        <f>ECS!2:2-"$61^!g"</f>
        <v>#VALUE!</v>
      </c>
      <c r="BQ1" t="e">
        <f>ECS!3:3-"$61^!h"</f>
        <v>#VALUE!</v>
      </c>
      <c r="BR1" t="e">
        <f>ECS!4:4-"$61^!i"</f>
        <v>#VALUE!</v>
      </c>
      <c r="BS1" t="e">
        <f>ECS!5:5-"$61^!j"</f>
        <v>#VALUE!</v>
      </c>
      <c r="BT1" t="e">
        <f>ECS!6:6-"$61^!k"</f>
        <v>#VALUE!</v>
      </c>
      <c r="BU1" t="e">
        <f>ECS!7:7-"$61^!l"</f>
        <v>#VALUE!</v>
      </c>
      <c r="BV1" t="e">
        <f>ECS!8:8-"$61^!m"</f>
        <v>#VALUE!</v>
      </c>
      <c r="BW1" t="e">
        <f>ECS!9:9-"$61^!n"</f>
        <v>#VALUE!</v>
      </c>
      <c r="BX1" t="e">
        <f>ECS!10:10-"$61^!o"</f>
        <v>#VALUE!</v>
      </c>
      <c r="BY1" t="e">
        <f>ECS!11:11-"$61^!p"</f>
        <v>#VALUE!</v>
      </c>
      <c r="BZ1" t="e">
        <f>ECS!12:12-"$61^!q"</f>
        <v>#VALUE!</v>
      </c>
      <c r="CA1" t="e">
        <f>ECS!13:13-"$61^!r"</f>
        <v>#VALUE!</v>
      </c>
      <c r="CB1" t="e">
        <f>ECS!14:14-"$61^!s"</f>
        <v>#VALUE!</v>
      </c>
      <c r="CC1" t="e">
        <f>ECS!15:15-"$61^!t"</f>
        <v>#VALUE!</v>
      </c>
      <c r="CD1" t="e">
        <f>ECS!16:16-"$61^!u"</f>
        <v>#VALUE!</v>
      </c>
      <c r="CE1" t="e">
        <f>ECS!17:17-"$61^!v"</f>
        <v>#VALUE!</v>
      </c>
      <c r="CF1" t="e">
        <f>ECS!18:18-"$61^!w"</f>
        <v>#VALUE!</v>
      </c>
      <c r="CG1" t="e">
        <f>ECS!19:19-"$61^!x"</f>
        <v>#VALUE!</v>
      </c>
      <c r="CH1" t="e">
        <f>ECS!20:20-"$61^!y"</f>
        <v>#VALUE!</v>
      </c>
      <c r="CI1" t="e">
        <f>ECS!21:21-"$61^!z"</f>
        <v>#VALUE!</v>
      </c>
      <c r="CJ1" t="e">
        <f>ECS!22:22-"$61^!{"</f>
        <v>#VALUE!</v>
      </c>
      <c r="CK1" t="e">
        <f>ECS!23:23-"$61^!|"</f>
        <v>#VALUE!</v>
      </c>
      <c r="CL1" t="e">
        <f>ECS!24:24-"$61^!}"</f>
        <v>#VALUE!</v>
      </c>
      <c r="CM1" t="e">
        <f>ECS!25:25-"$61^!~"</f>
        <v>#VALUE!</v>
      </c>
      <c r="CN1" t="e">
        <f>ECS!26:26-"$61^!$#"</f>
        <v>#VALUE!</v>
      </c>
      <c r="CO1" t="e">
        <f>ECS!27:27-"$61^!$$"</f>
        <v>#VALUE!</v>
      </c>
      <c r="CP1" t="e">
        <f>ECS!28:28-"$61^!$%"</f>
        <v>#VALUE!</v>
      </c>
      <c r="CQ1" t="e">
        <f>ECS!29:29-"$61^!$&amp;"</f>
        <v>#VALUE!</v>
      </c>
      <c r="CR1" t="e">
        <f>ECS!30:30-"$61^!$'"</f>
        <v>#VALUE!</v>
      </c>
      <c r="CS1" t="e">
        <f>ECS!31:31-"$61^!$("</f>
        <v>#VALUE!</v>
      </c>
      <c r="CT1" t="e">
        <f>ECS!32:32-"$61^!$)"</f>
        <v>#VALUE!</v>
      </c>
      <c r="CU1" t="e">
        <f>ECS!33:33-"$61^!$."</f>
        <v>#VALUE!</v>
      </c>
      <c r="CV1" t="e">
        <f>ECS!34:34-"$61^!$/"</f>
        <v>#VALUE!</v>
      </c>
      <c r="CW1" t="e">
        <f>ECS!35:35-"$61^!$0"</f>
        <v>#VALUE!</v>
      </c>
      <c r="CX1" t="e">
        <f>ECS!36:36-"$61^!$1"</f>
        <v>#VALUE!</v>
      </c>
      <c r="CY1" t="e">
        <f>ECS!37:37-"$61^!$2"</f>
        <v>#VALUE!</v>
      </c>
      <c r="CZ1" t="e">
        <f>ECS!38:38-"$61^!$3"</f>
        <v>#VALUE!</v>
      </c>
      <c r="DA1" t="e">
        <f>ECS!39:39-"$61^!$4"</f>
        <v>#VALUE!</v>
      </c>
      <c r="DB1" t="e">
        <f>ECS!40:40-"$61^!$5"</f>
        <v>#VALUE!</v>
      </c>
      <c r="DC1" t="e">
        <f>ECS!41:41-"$61^!$6"</f>
        <v>#VALUE!</v>
      </c>
      <c r="DD1" t="e">
        <f>ECS!42:42-"$61^!$7"</f>
        <v>#VALUE!</v>
      </c>
      <c r="DE1" t="e">
        <f>ECS!43:43-"$61^!$8"</f>
        <v>#VALUE!</v>
      </c>
      <c r="DF1" t="e">
        <f>ECS!44:44-"$61^!$9"</f>
        <v>#VALUE!</v>
      </c>
      <c r="DG1" t="e">
        <f>ECS!45:45-"$61^!$:"</f>
        <v>#VALUE!</v>
      </c>
      <c r="DH1" t="e">
        <f>ECS!46:46-"$61^!$;"</f>
        <v>#VALUE!</v>
      </c>
      <c r="DI1" t="e">
        <f>ECS!47:47-"$61^!$&lt;"</f>
        <v>#VALUE!</v>
      </c>
      <c r="DJ1" t="e">
        <f>ECS!48:48-"$61^!$="</f>
        <v>#VALUE!</v>
      </c>
      <c r="DK1" t="e">
        <f>ECS!49:49-"$61^!$&gt;"</f>
        <v>#VALUE!</v>
      </c>
      <c r="DL1" t="e">
        <f>ECS!50:50-"$61^!$?"</f>
        <v>#VALUE!</v>
      </c>
      <c r="DM1" t="e">
        <f>ECS!51:51-"$61^!$@"</f>
        <v>#VALUE!</v>
      </c>
      <c r="DN1" t="e">
        <f>ECS!52:52-"$61^!$A"</f>
        <v>#VALUE!</v>
      </c>
      <c r="DO1" t="e">
        <f>ECS!53:53-"$61^!$B"</f>
        <v>#VALUE!</v>
      </c>
      <c r="DP1" t="e">
        <f>ECS!54:54-"$61^!$C"</f>
        <v>#VALUE!</v>
      </c>
      <c r="DQ1" t="e">
        <f>ECS!55:55-"$61^!$D"</f>
        <v>#VALUE!</v>
      </c>
      <c r="DR1" t="e">
        <f>ECS!56:56-"$61^!$E"</f>
        <v>#VALUE!</v>
      </c>
      <c r="DS1" t="e">
        <f>ECS!57:57-"$61^!$F"</f>
        <v>#VALUE!</v>
      </c>
      <c r="DT1" t="e">
        <f>ECS!58:58-"$61^!$G"</f>
        <v>#VALUE!</v>
      </c>
      <c r="DU1" t="e">
        <f>ECS!59:59-"$61^!$H"</f>
        <v>#VALUE!</v>
      </c>
      <c r="DV1" t="e">
        <f>ECS!60:60-"$61^!$I"</f>
        <v>#VALUE!</v>
      </c>
      <c r="DW1" t="e">
        <f>ECS!61:61-"$61^!$J"</f>
        <v>#VALUE!</v>
      </c>
      <c r="DX1" t="e">
        <f>ECS!62:62-"$61^!$K"</f>
        <v>#VALUE!</v>
      </c>
      <c r="DY1" t="e">
        <f>ECS!63:63-"$61^!$L"</f>
        <v>#VALUE!</v>
      </c>
      <c r="DZ1" t="e">
        <f>ECS!64:64-"$61^!$M"</f>
        <v>#VALUE!</v>
      </c>
      <c r="EA1" t="e">
        <f>ECS!65:65-"$61^!$N"</f>
        <v>#VALUE!</v>
      </c>
      <c r="EB1" t="e">
        <f>ECS!66:66-"$61^!$O"</f>
        <v>#VALUE!</v>
      </c>
      <c r="EC1" t="e">
        <f>ECS!67:67-"$61^!$P"</f>
        <v>#VALUE!</v>
      </c>
      <c r="ED1" t="e">
        <f>ECS!68:68-"$61^!$Q"</f>
        <v>#VALUE!</v>
      </c>
      <c r="EE1" t="e">
        <f>ECS!69:69-"$61^!$R"</f>
        <v>#VALUE!</v>
      </c>
      <c r="EF1" t="e">
        <f>ECS!70:70-"$61^!$S"</f>
        <v>#VALUE!</v>
      </c>
      <c r="EG1" t="e">
        <f>ECS!71:71-"$61^!$T"</f>
        <v>#VALUE!</v>
      </c>
      <c r="EH1" t="e">
        <f>ECS!72:72-"$61^!$U"</f>
        <v>#VALUE!</v>
      </c>
      <c r="EI1" t="e">
        <f>ECS!73:73-"$61^!$V"</f>
        <v>#VALUE!</v>
      </c>
      <c r="EJ1" t="e">
        <f>ECS!74:74-"$61^!$W"</f>
        <v>#VALUE!</v>
      </c>
      <c r="EK1" t="e">
        <f>ECS!75:75-"$61^!$X"</f>
        <v>#VALUE!</v>
      </c>
      <c r="EL1" t="e">
        <f>ECS!76:76-"$61^!$Y"</f>
        <v>#VALUE!</v>
      </c>
      <c r="EM1" t="e">
        <f>ECS!77:77-"$61^!$Z"</f>
        <v>#VALUE!</v>
      </c>
      <c r="EN1" t="e">
        <f>ECS!78:78-"$61^!$["</f>
        <v>#VALUE!</v>
      </c>
      <c r="EO1" t="e">
        <f>ECS!79:79-"$61^!$\"</f>
        <v>#VALUE!</v>
      </c>
      <c r="EP1" t="e">
        <f>ECS!80:80-"$61^!$]"</f>
        <v>#VALUE!</v>
      </c>
      <c r="EQ1" t="e">
        <f>ECS!81:81-"$61^!$^"</f>
        <v>#VALUE!</v>
      </c>
      <c r="ER1" t="e">
        <f>ECS!82:82-"$61^!$_"</f>
        <v>#VALUE!</v>
      </c>
      <c r="ES1" t="e">
        <f>ECS!83:83-"$61^!$`"</f>
        <v>#VALUE!</v>
      </c>
      <c r="ET1" t="e">
        <f>ECS!84:84-"$61^!$a"</f>
        <v>#VALUE!</v>
      </c>
      <c r="EU1" t="e">
        <f>ECS!85:85-"$61^!$b"</f>
        <v>#VALUE!</v>
      </c>
      <c r="EV1" t="e">
        <f>ECS!86:86-"$61^!$c"</f>
        <v>#VALUE!</v>
      </c>
      <c r="EW1" t="e">
        <f>ECS!87:87-"$61^!$d"</f>
        <v>#VALUE!</v>
      </c>
      <c r="EX1" t="e">
        <f>ECS!88:88-"$61^!$e"</f>
        <v>#VALUE!</v>
      </c>
      <c r="EY1" t="e">
        <f>ECS!89:89-"$61^!$f"</f>
        <v>#VALUE!</v>
      </c>
      <c r="EZ1" t="e">
        <f>ECS!90:90-"$61^!$g"</f>
        <v>#VALUE!</v>
      </c>
      <c r="FA1" t="e">
        <f>ECS!91:91-"$61^!$h"</f>
        <v>#VALUE!</v>
      </c>
      <c r="FB1" t="e">
        <f>ECS!92:92-"$61^!$i"</f>
        <v>#VALUE!</v>
      </c>
      <c r="FC1" t="e">
        <f>ECS!93:93-"$61^!$j"</f>
        <v>#VALUE!</v>
      </c>
      <c r="FD1" t="e">
        <f>ECS!94:94-"$61^!$k"</f>
        <v>#VALUE!</v>
      </c>
      <c r="FE1" t="e">
        <f>ECS!95:95-"$61^!$l"</f>
        <v>#VALUE!</v>
      </c>
      <c r="FF1" t="e">
        <f>ECS!96:96-"$61^!$m"</f>
        <v>#VALUE!</v>
      </c>
      <c r="FG1" t="e">
        <f>ECS!97:97-"$61^!$n"</f>
        <v>#VALUE!</v>
      </c>
      <c r="FH1" t="e">
        <f>ECS!98:98-"$61^!$o"</f>
        <v>#VALUE!</v>
      </c>
      <c r="FI1" t="e">
        <f>ECS!99:99-"$61^!$p"</f>
        <v>#VALUE!</v>
      </c>
      <c r="FJ1" t="e">
        <f>ECS!100:100-"$61^!$q"</f>
        <v>#VALUE!</v>
      </c>
      <c r="FK1" t="e">
        <f>ECS!101:101-"$61^!$r"</f>
        <v>#VALUE!</v>
      </c>
      <c r="FL1" t="e">
        <f>ECS!102:102-"$61^!$s"</f>
        <v>#VALUE!</v>
      </c>
      <c r="FM1" t="e">
        <f>ECS!103:103-"$61^!$t"</f>
        <v>#VALUE!</v>
      </c>
      <c r="FN1" t="e">
        <f>ECS!104:104-"$61^!$u"</f>
        <v>#VALUE!</v>
      </c>
      <c r="FO1" t="e">
        <f>ECS!105:105-"$61^!$v"</f>
        <v>#VALUE!</v>
      </c>
      <c r="FP1" t="e">
        <f>ECS!106:106-"$61^!$w"</f>
        <v>#VALUE!</v>
      </c>
      <c r="FQ1" t="e">
        <f>ECS!107:107-"$61^!$x"</f>
        <v>#VALUE!</v>
      </c>
      <c r="FR1" t="e">
        <f>ECS!108:108-"$61^!$y"</f>
        <v>#VALUE!</v>
      </c>
      <c r="FS1" t="e">
        <f>ECS!109:109-"$61^!$z"</f>
        <v>#VALUE!</v>
      </c>
      <c r="FT1" t="e">
        <f>ECS!110:110-"$61^!${"</f>
        <v>#VALUE!</v>
      </c>
      <c r="FU1" t="e">
        <f>ECS!111:111-"$61^!$|"</f>
        <v>#VALUE!</v>
      </c>
      <c r="FV1" t="e">
        <f>ECS!112:112-"$61^!$}"</f>
        <v>#VALUE!</v>
      </c>
      <c r="FW1" t="e">
        <f>ECS!113:113-"$61^!$~"</f>
        <v>#VALUE!</v>
      </c>
      <c r="FX1" t="e">
        <f>ECS!114:114-"$61^!%#"</f>
        <v>#VALUE!</v>
      </c>
      <c r="FY1" t="e">
        <f>ECS!115:115-"$61^!%$"</f>
        <v>#VALUE!</v>
      </c>
      <c r="FZ1" t="e">
        <f>ECS!116:116-"$61^!%%"</f>
        <v>#VALUE!</v>
      </c>
      <c r="GA1" t="e">
        <f>ECS!117:117-"$61^!%&amp;"</f>
        <v>#VALUE!</v>
      </c>
      <c r="GB1" t="e">
        <f>ECS!118:118-"$61^!%'"</f>
        <v>#VALUE!</v>
      </c>
      <c r="GC1" t="e">
        <f>ECS!119:119-"$61^!%("</f>
        <v>#VALUE!</v>
      </c>
      <c r="GD1" t="e">
        <f>ECS!120:120-"$61^!%)"</f>
        <v>#VALUE!</v>
      </c>
      <c r="GE1" t="e">
        <f>ECS!121:121-"$61^!%."</f>
        <v>#VALUE!</v>
      </c>
      <c r="GF1" t="e">
        <f>ECS!122:122-"$61^!%/"</f>
        <v>#VALUE!</v>
      </c>
      <c r="GG1" t="e">
        <f>ECS!123:123-"$61^!%0"</f>
        <v>#VALUE!</v>
      </c>
      <c r="GH1" t="e">
        <f>ECS!124:124-"$61^!%1"</f>
        <v>#VALUE!</v>
      </c>
      <c r="GI1" t="e">
        <f>ECS!125:125-"$61^!%2"</f>
        <v>#VALUE!</v>
      </c>
      <c r="GJ1" t="e">
        <f>ECS!126:126-"$61^!%3"</f>
        <v>#VALUE!</v>
      </c>
      <c r="GK1" t="e">
        <f>ECS!127:127-"$61^!%4"</f>
        <v>#VALUE!</v>
      </c>
      <c r="GL1" t="e">
        <f>ECS!128:128-"$61^!%5"</f>
        <v>#VALUE!</v>
      </c>
      <c r="GM1" t="e">
        <f>ECS!129:129-"$61^!%6"</f>
        <v>#VALUE!</v>
      </c>
      <c r="GN1" t="e">
        <f>ECS!130:130-"$61^!%7"</f>
        <v>#VALUE!</v>
      </c>
      <c r="GO1" t="e">
        <f>ECS!131:131-"$61^!%8"</f>
        <v>#VALUE!</v>
      </c>
      <c r="GP1" t="e">
        <f>ECS!132:132-"$61^!%9"</f>
        <v>#VALUE!</v>
      </c>
      <c r="GQ1" t="e">
        <f>ECS!133:133-"$61^!%:"</f>
        <v>#VALUE!</v>
      </c>
      <c r="GR1" t="e">
        <f>ECS!134:134-"$61^!%;"</f>
        <v>#VALUE!</v>
      </c>
      <c r="GS1" t="e">
        <f>ECS!135:135-"$61^!%&lt;"</f>
        <v>#VALUE!</v>
      </c>
      <c r="GT1" t="e">
        <f>ECS!136:136-"$61^!%="</f>
        <v>#VALUE!</v>
      </c>
      <c r="GU1" t="e">
        <f>ECS!137:137-"$61^!%&gt;"</f>
        <v>#VALUE!</v>
      </c>
      <c r="GV1" t="e">
        <f>ECS!138:138-"$61^!%?"</f>
        <v>#VALUE!</v>
      </c>
      <c r="GW1" t="e">
        <f>ECS!139:139-"$61^!%@"</f>
        <v>#VALUE!</v>
      </c>
      <c r="GX1" t="e">
        <f>ECS!140:140-"$61^!%A"</f>
        <v>#VALUE!</v>
      </c>
      <c r="GY1" t="e">
        <f>ECS!141:141-"$61^!%B"</f>
        <v>#VALUE!</v>
      </c>
      <c r="GZ1" t="e">
        <f>ECS!142:142-"$61^!%C"</f>
        <v>#VALUE!</v>
      </c>
      <c r="HA1" t="e">
        <f>ECS!143:143-"$61^!%D"</f>
        <v>#VALUE!</v>
      </c>
      <c r="HB1" t="e">
        <f>ECS!144:144-"$61^!%E"</f>
        <v>#VALUE!</v>
      </c>
      <c r="HC1" t="e">
        <f>ECS!145:145-"$61^!%F"</f>
        <v>#VALUE!</v>
      </c>
      <c r="HD1" t="e">
        <f>ECS!146:146-"$61^!%G"</f>
        <v>#VALUE!</v>
      </c>
      <c r="HE1" t="e">
        <f>ECS!147:147-"$61^!%H"</f>
        <v>#VALUE!</v>
      </c>
      <c r="HF1" t="e">
        <f>ECS!148:148-"$61^!%I"</f>
        <v>#VALUE!</v>
      </c>
      <c r="HG1" t="e">
        <f>ECS!149:149-"$61^!%J"</f>
        <v>#VALUE!</v>
      </c>
      <c r="HH1" t="e">
        <f>ECS!150:150-"$61^!%K"</f>
        <v>#VALUE!</v>
      </c>
      <c r="HI1" t="e">
        <f>ECS!151:151-"$61^!%L"</f>
        <v>#VALUE!</v>
      </c>
      <c r="HJ1" t="e">
        <f>ECS!152:152-"$61^!%M"</f>
        <v>#VALUE!</v>
      </c>
      <c r="HK1" t="e">
        <f>ECS!153:153-"$61^!%N"</f>
        <v>#VALUE!</v>
      </c>
      <c r="HL1" t="e">
        <f>ECS!154:154-"$61^!%O"</f>
        <v>#VALUE!</v>
      </c>
      <c r="HM1" t="e">
        <f>ECS!155:155-"$61^!%P"</f>
        <v>#VALUE!</v>
      </c>
      <c r="HN1" t="e">
        <f>ECS!156:156-"$61^!%Q"</f>
        <v>#VALUE!</v>
      </c>
      <c r="HO1" t="e">
        <f>ECS!157:157-"$61^!%R"</f>
        <v>#VALUE!</v>
      </c>
      <c r="HP1" t="e">
        <f>ECS!158:158-"$61^!%S"</f>
        <v>#VALUE!</v>
      </c>
      <c r="HQ1" t="e">
        <f>ECS!159:159-"$61^!%T"</f>
        <v>#VALUE!</v>
      </c>
      <c r="HR1" t="e">
        <f>ECS!160:160-"$61^!%U"</f>
        <v>#VALUE!</v>
      </c>
      <c r="HS1" t="e">
        <f>ECS!161:161-"$61^!%V"</f>
        <v>#VALUE!</v>
      </c>
      <c r="HT1" t="e">
        <f>ECS!162:162-"$61^!%W"</f>
        <v>#VALUE!</v>
      </c>
      <c r="HU1" t="e">
        <f>ECS!163:163-"$61^!%X"</f>
        <v>#VALUE!</v>
      </c>
      <c r="HV1" t="e">
        <f>ECS!164:164-"$61^!%Y"</f>
        <v>#VALUE!</v>
      </c>
      <c r="HW1" t="e">
        <f>ECS!165:165-"$61^!%Z"</f>
        <v>#VALUE!</v>
      </c>
      <c r="HX1" t="e">
        <f>ECS!166:166-"$61^!%["</f>
        <v>#VALUE!</v>
      </c>
      <c r="HY1" t="e">
        <f>ECS!167:167-"$61^!%\"</f>
        <v>#VALUE!</v>
      </c>
      <c r="HZ1" t="e">
        <f>ECS!168:168-"$61^!%]"</f>
        <v>#VALUE!</v>
      </c>
      <c r="IA1" t="e">
        <f>ECS!169:169-"$61^!%^"</f>
        <v>#VALUE!</v>
      </c>
      <c r="IB1" t="e">
        <f>ECS!170:170-"$61^!%_"</f>
        <v>#VALUE!</v>
      </c>
      <c r="IC1" t="e">
        <f>ECS!171:171-"$61^!%`"</f>
        <v>#VALUE!</v>
      </c>
      <c r="ID1" t="e">
        <f>ECS!172:172-"$61^!%a"</f>
        <v>#VALUE!</v>
      </c>
      <c r="IE1" t="e">
        <f>ECS!173:173-"$61^!%b"</f>
        <v>#VALUE!</v>
      </c>
      <c r="IF1" t="e">
        <f>ECS!174:174-"$61^!%c"</f>
        <v>#VALUE!</v>
      </c>
      <c r="IG1" t="e">
        <f>ECS!175:175-"$61^!%d"</f>
        <v>#VALUE!</v>
      </c>
      <c r="IH1" t="e">
        <f>ECS!176:176-"$61^!%e"</f>
        <v>#VALUE!</v>
      </c>
      <c r="II1" t="e">
        <f>ECS!177:177-"$61^!%f"</f>
        <v>#VALUE!</v>
      </c>
      <c r="IJ1" t="e">
        <f>ECS!178:178-"$61^!%g"</f>
        <v>#VALUE!</v>
      </c>
      <c r="IK1" t="e">
        <f>ECS!179:179-"$61^!%h"</f>
        <v>#VALUE!</v>
      </c>
      <c r="IL1" t="e">
        <f>ECS!180:180-"$61^!%i"</f>
        <v>#VALUE!</v>
      </c>
      <c r="IM1" t="e">
        <f>ECS!181:181-"$61^!%j"</f>
        <v>#VALUE!</v>
      </c>
      <c r="IN1" t="e">
        <f>ECS!182:182-"$61^!%k"</f>
        <v>#VALUE!</v>
      </c>
      <c r="IO1" t="e">
        <f>ECS!183:183-"$61^!%l"</f>
        <v>#VALUE!</v>
      </c>
      <c r="IP1" t="e">
        <f>ECS!184:184-"$61^!%m"</f>
        <v>#VALUE!</v>
      </c>
      <c r="IQ1" t="e">
        <f>ECS!185:185-"$61^!%n"</f>
        <v>#VALUE!</v>
      </c>
      <c r="IR1" t="e">
        <f>ECS!186:186-"$61^!%o"</f>
        <v>#VALUE!</v>
      </c>
      <c r="IS1" t="e">
        <f>ECS!187:187-"$61^!%p"</f>
        <v>#VALUE!</v>
      </c>
      <c r="IT1" t="e">
        <f>ECS!188:188-"$61^!%q"</f>
        <v>#VALUE!</v>
      </c>
      <c r="IU1" t="e">
        <f>ECS!189:189-"$61^!%r"</f>
        <v>#VALUE!</v>
      </c>
      <c r="IV1" t="e">
        <f>ECS!190:190-"$61^!%s"</f>
        <v>#VALUE!</v>
      </c>
    </row>
    <row r="2" spans="1:256" x14ac:dyDescent="0.2">
      <c r="A2" t="s">
        <v>108</v>
      </c>
      <c r="F2" t="e">
        <f>ECS!191:191-"$61^!%t"</f>
        <v>#VALUE!</v>
      </c>
      <c r="G2" t="e">
        <f>ECS!192:192-"$61^!%u"</f>
        <v>#VALUE!</v>
      </c>
      <c r="H2" t="e">
        <f>ECS!193:193-"$61^!%v"</f>
        <v>#VALUE!</v>
      </c>
      <c r="I2" t="e">
        <f>ECS!194:194-"$61^!%w"</f>
        <v>#VALUE!</v>
      </c>
      <c r="J2" t="e">
        <f>ECS!195:195-"$61^!%x"</f>
        <v>#VALUE!</v>
      </c>
      <c r="K2" t="e">
        <f>ECS!196:196-"$61^!%y"</f>
        <v>#VALUE!</v>
      </c>
      <c r="L2" t="e">
        <f>ECS!197:197-"$61^!%z"</f>
        <v>#VALUE!</v>
      </c>
      <c r="M2" t="e">
        <f>ECS!198:198-"$61^!%{"</f>
        <v>#VALUE!</v>
      </c>
      <c r="N2" t="e">
        <f>ECS!199:199-"$61^!%|"</f>
        <v>#VALUE!</v>
      </c>
      <c r="O2" t="e">
        <f>ECS!200:200-"$61^!%}"</f>
        <v>#VALUE!</v>
      </c>
      <c r="P2" t="e">
        <f>ECS!201:201-"$61^!%~"</f>
        <v>#VALUE!</v>
      </c>
      <c r="Q2" t="e">
        <f>ECS!202:202-"$61^!&amp;#"</f>
        <v>#VALUE!</v>
      </c>
      <c r="R2" t="e">
        <f>ECS!203:203-"$61^!&amp;$"</f>
        <v>#VALUE!</v>
      </c>
      <c r="S2" t="e">
        <f>ECS!204:204-"$61^!&amp;%"</f>
        <v>#VALUE!</v>
      </c>
      <c r="T2" t="e">
        <f>ECS!205:205-"$61^!&amp;&amp;"</f>
        <v>#VALUE!</v>
      </c>
      <c r="U2" t="e">
        <f>ECS!206:206-"$61^!&amp;'"</f>
        <v>#VALUE!</v>
      </c>
      <c r="V2" t="e">
        <f>ECS!207:207-"$61^!&amp;("</f>
        <v>#VALUE!</v>
      </c>
      <c r="W2" t="e">
        <f>ECS!208:208-"$61^!&amp;)"</f>
        <v>#VALUE!</v>
      </c>
      <c r="X2" t="e">
        <f>ECS!209:209-"$61^!&amp;."</f>
        <v>#VALUE!</v>
      </c>
      <c r="Y2" t="e">
        <f>ECS!210:210-"$61^!&amp;/"</f>
        <v>#VALUE!</v>
      </c>
      <c r="Z2" t="e">
        <f>ECS!211:211-"$61^!&amp;0"</f>
        <v>#VALUE!</v>
      </c>
      <c r="AA2" t="e">
        <f>ECS!212:212-"$61^!&amp;1"</f>
        <v>#VALUE!</v>
      </c>
      <c r="AB2" t="e">
        <f>ECS!213:213-"$61^!&amp;2"</f>
        <v>#VALUE!</v>
      </c>
      <c r="AC2" t="e">
        <f>ECS!214:214-"$61^!&amp;3"</f>
        <v>#VALUE!</v>
      </c>
      <c r="AD2" t="e">
        <f>ECS!215:215-"$61^!&amp;4"</f>
        <v>#VALUE!</v>
      </c>
      <c r="AE2" t="e">
        <f>ECS!216:216-"$61^!&amp;5"</f>
        <v>#VALUE!</v>
      </c>
      <c r="AF2" t="e">
        <f>ECS!217:217-"$61^!&amp;6"</f>
        <v>#VALUE!</v>
      </c>
      <c r="AG2" t="e">
        <f>ECS!218:218-"$61^!&amp;7"</f>
        <v>#VALUE!</v>
      </c>
      <c r="AH2" t="e">
        <f>ECS!219:219-"$61^!&amp;8"</f>
        <v>#VALUE!</v>
      </c>
      <c r="AI2" t="e">
        <f>ECS!220:220-"$61^!&amp;9"</f>
        <v>#VALUE!</v>
      </c>
      <c r="AJ2" t="e">
        <f>ECS!221:221-"$61^!&amp;:"</f>
        <v>#VALUE!</v>
      </c>
      <c r="AK2" t="e">
        <f>ECS!222:222-"$61^!&amp;;"</f>
        <v>#VALUE!</v>
      </c>
      <c r="AL2" t="e">
        <f>ECS!223:223-"$61^!&amp;&lt;"</f>
        <v>#VALUE!</v>
      </c>
      <c r="AM2" t="e">
        <f>ECS!224:224-"$61^!&amp;="</f>
        <v>#VALUE!</v>
      </c>
      <c r="AN2" t="e">
        <f>ECS!225:225-"$61^!&amp;&gt;"</f>
        <v>#VALUE!</v>
      </c>
      <c r="AO2" t="e">
        <f>ECS!226:226-"$61^!&amp;?"</f>
        <v>#VALUE!</v>
      </c>
      <c r="AP2" t="e">
        <f>ECS!227:227-"$61^!&amp;@"</f>
        <v>#VALUE!</v>
      </c>
      <c r="AQ2" t="e">
        <f>ECS!228:228-"$61^!&amp;A"</f>
        <v>#VALUE!</v>
      </c>
      <c r="AR2" t="e">
        <f>ECS!229:229-"$61^!&amp;B"</f>
        <v>#VALUE!</v>
      </c>
      <c r="AS2" t="e">
        <f>ECS!230:230-"$61^!&amp;C"</f>
        <v>#VALUE!</v>
      </c>
      <c r="AT2" t="e">
        <f>ECS!231:231-"$61^!&amp;D"</f>
        <v>#VALUE!</v>
      </c>
      <c r="AU2" t="e">
        <f>ECS!232:232-"$61^!&amp;E"</f>
        <v>#VALUE!</v>
      </c>
      <c r="AV2" t="e">
        <f>ECS!233:233-"$61^!&amp;F"</f>
        <v>#VALUE!</v>
      </c>
      <c r="AW2" t="e">
        <f>ECS!234:234-"$61^!&amp;G"</f>
        <v>#VALUE!</v>
      </c>
      <c r="AX2" t="e">
        <f>ECS!235:235-"$61^!&amp;H"</f>
        <v>#VALUE!</v>
      </c>
      <c r="AY2" t="e">
        <f>ECS!236:236-"$61^!&amp;I"</f>
        <v>#VALUE!</v>
      </c>
      <c r="AZ2" t="e">
        <f>ECS!237:237-"$61^!&amp;J"</f>
        <v>#VALUE!</v>
      </c>
      <c r="BA2" t="e">
        <f>ECS!238:238-"$61^!&amp;K"</f>
        <v>#VALUE!</v>
      </c>
      <c r="BB2" t="e">
        <f>ECS!239:239-"$61^!&amp;L"</f>
        <v>#VALUE!</v>
      </c>
      <c r="BC2" t="e">
        <f>ECS!240:240-"$61^!&amp;M"</f>
        <v>#VALUE!</v>
      </c>
      <c r="BD2" t="e">
        <f>ECS!241:241-"$61^!&amp;N"</f>
        <v>#VALUE!</v>
      </c>
      <c r="BE2" t="e">
        <f>ECS!242:242-"$61^!&amp;O"</f>
        <v>#VALUE!</v>
      </c>
      <c r="BF2" t="e">
        <f>ECS!243:243-"$61^!&amp;P"</f>
        <v>#VALUE!</v>
      </c>
      <c r="BG2" t="e">
        <f>ECS!244:244-"$61^!&amp;Q"</f>
        <v>#VALUE!</v>
      </c>
      <c r="BH2" t="e">
        <f>ECS!245:245-"$61^!&amp;R"</f>
        <v>#VALUE!</v>
      </c>
      <c r="BI2" t="e">
        <f>ECS!246:246-"$61^!&amp;S"</f>
        <v>#VALUE!</v>
      </c>
      <c r="BJ2" t="e">
        <f>ECS!247:247-"$61^!&amp;T"</f>
        <v>#VALUE!</v>
      </c>
      <c r="BK2" t="e">
        <f>ECS!248:248-"$61^!&amp;U"</f>
        <v>#VALUE!</v>
      </c>
      <c r="BL2" t="e">
        <f>ECS!249:249-"$61^!&amp;V"</f>
        <v>#VALUE!</v>
      </c>
      <c r="BM2" t="e">
        <f>ECS!250:250-"$61^!&amp;W"</f>
        <v>#VALUE!</v>
      </c>
      <c r="BN2" t="e">
        <f>ECS!251:251-"$61^!&amp;X"</f>
        <v>#VALUE!</v>
      </c>
      <c r="BO2" t="e">
        <f>ECS!252:252-"$61^!&amp;Y"</f>
        <v>#VALUE!</v>
      </c>
      <c r="BP2" t="e">
        <f>ECS!253:253-"$61^!&amp;Z"</f>
        <v>#VALUE!</v>
      </c>
      <c r="BQ2" t="e">
        <f>ECS!254:254-"$61^!&amp;["</f>
        <v>#VALUE!</v>
      </c>
      <c r="BR2" t="e">
        <f>ECS!255:255-"$61^!&amp;\"</f>
        <v>#VALUE!</v>
      </c>
      <c r="BS2" t="e">
        <f>ECS!256:256-"$61^!&amp;]"</f>
        <v>#VALUE!</v>
      </c>
      <c r="BT2" t="e">
        <f>ECS!257:257-"$61^!&amp;^"</f>
        <v>#VALUE!</v>
      </c>
      <c r="BU2" t="e">
        <f>ECS!258:258-"$61^!&amp;_"</f>
        <v>#VALUE!</v>
      </c>
      <c r="BV2" t="e">
        <f>ECS!259:259-"$61^!&amp;`"</f>
        <v>#VALUE!</v>
      </c>
      <c r="BW2" t="e">
        <f>ECS!260:260-"$61^!&amp;a"</f>
        <v>#VALUE!</v>
      </c>
      <c r="BX2" t="e">
        <f>ECS!261:261-"$61^!&amp;b"</f>
        <v>#VALUE!</v>
      </c>
      <c r="BY2" t="e">
        <f>ECS!262:262-"$61^!&amp;c"</f>
        <v>#VALUE!</v>
      </c>
      <c r="BZ2" t="e">
        <f>ECS!263:263-"$61^!&amp;d"</f>
        <v>#VALUE!</v>
      </c>
      <c r="CA2" t="e">
        <f>ECS!264:264-"$61^!&amp;e"</f>
        <v>#VALUE!</v>
      </c>
      <c r="CB2" t="e">
        <f>ECS!265:265-"$61^!&amp;f"</f>
        <v>#VALUE!</v>
      </c>
      <c r="CC2" t="e">
        <f>ECS!266:266-"$61^!&amp;g"</f>
        <v>#VALUE!</v>
      </c>
      <c r="CD2" t="e">
        <f>ECS!267:267-"$61^!&amp;h"</f>
        <v>#VALUE!</v>
      </c>
      <c r="CE2" t="e">
        <f>ECS!268:268-"$61^!&amp;i"</f>
        <v>#VALUE!</v>
      </c>
      <c r="CF2" t="e">
        <f>ECS!269:269-"$61^!&amp;j"</f>
        <v>#VALUE!</v>
      </c>
      <c r="CG2" t="e">
        <f>ECS!270:270-"$61^!&amp;k"</f>
        <v>#VALUE!</v>
      </c>
      <c r="CH2" t="e">
        <f>ECS!271:271-"$61^!&amp;l"</f>
        <v>#VALUE!</v>
      </c>
      <c r="CI2" t="e">
        <f>ECS!272:272-"$61^!&amp;m"</f>
        <v>#VALUE!</v>
      </c>
      <c r="CJ2" t="e">
        <f>ECS!273:273-"$61^!&amp;n"</f>
        <v>#VALUE!</v>
      </c>
      <c r="CK2" t="e">
        <f>ECS!274:274-"$61^!&amp;o"</f>
        <v>#VALUE!</v>
      </c>
      <c r="CL2" t="e">
        <f>ECS!275:275-"$61^!&amp;p"</f>
        <v>#VALUE!</v>
      </c>
      <c r="CM2" t="e">
        <f>ECS!276:276-"$61^!&amp;q"</f>
        <v>#VALUE!</v>
      </c>
      <c r="CN2" t="e">
        <f>ECS!277:277-"$61^!&amp;r"</f>
        <v>#VALUE!</v>
      </c>
      <c r="CO2" t="e">
        <f>ECS!278:278-"$61^!&amp;s"</f>
        <v>#VALUE!</v>
      </c>
      <c r="CP2" t="e">
        <f>ECS!279:279-"$61^!&amp;t"</f>
        <v>#VALUE!</v>
      </c>
      <c r="CQ2" t="e">
        <f>ECS!D1+"$61^!&amp;u"</f>
        <v>#VALUE!</v>
      </c>
      <c r="CR2" t="e">
        <f>ECS!E1+"$61^!&amp;v"</f>
        <v>#VALUE!</v>
      </c>
      <c r="CS2" t="e">
        <f>ECS!D2+"$61^!&amp;w"</f>
        <v>#VALUE!</v>
      </c>
      <c r="CT2" t="e">
        <f>ECS!E2+"$61^!&amp;x"</f>
        <v>#VALUE!</v>
      </c>
      <c r="CU2" t="e">
        <f>ECS!D3+"$61^!&amp;y"</f>
        <v>#VALUE!</v>
      </c>
      <c r="CV2" t="e">
        <f>ECS!E3+"$61^!&amp;z"</f>
        <v>#VALUE!</v>
      </c>
      <c r="CW2" t="e">
        <f>ECS!A4+"$61^!&amp;{"</f>
        <v>#VALUE!</v>
      </c>
      <c r="CX2" t="e">
        <f>ECS!C4+"$61^!&amp;|"</f>
        <v>#VALUE!</v>
      </c>
      <c r="CY2" t="e">
        <f>ECS!D4+"$61^!&amp;}"</f>
        <v>#VALUE!</v>
      </c>
      <c r="CZ2" t="e">
        <f>ECS!E4+"$61^!&amp;~"</f>
        <v>#VALUE!</v>
      </c>
      <c r="DA2" t="e">
        <f>ECS!G4+"$61^!'#"</f>
        <v>#VALUE!</v>
      </c>
      <c r="DB2" t="e">
        <f>ECS!I4+"$61^!'$"</f>
        <v>#VALUE!</v>
      </c>
      <c r="DC2" t="e">
        <f>ECS!#REF!+"$61^!'%"</f>
        <v>#REF!</v>
      </c>
      <c r="DD2" t="e">
        <f>ECS!#REF!+"$61^!'&amp;"</f>
        <v>#REF!</v>
      </c>
      <c r="DE2" t="e">
        <f>ECS!#REF!+"$61^!''"</f>
        <v>#REF!</v>
      </c>
      <c r="DF2" t="e">
        <f>ECS!J4+"$61^!'("</f>
        <v>#VALUE!</v>
      </c>
      <c r="DG2" t="e">
        <f>ECS!#REF!+"$61^!')"</f>
        <v>#REF!</v>
      </c>
      <c r="DH2" t="e">
        <f>ECS!B5+"$61^!'."</f>
        <v>#VALUE!</v>
      </c>
      <c r="DI2" t="e">
        <f>ECS!#REF!+"$61^!'/"</f>
        <v>#REF!</v>
      </c>
      <c r="DJ2" t="e">
        <f>ECS!C5+"$61^!'0"</f>
        <v>#VALUE!</v>
      </c>
      <c r="DK2" t="e">
        <f>ECS!D5+"$61^!'1"</f>
        <v>#VALUE!</v>
      </c>
      <c r="DL2" t="e">
        <f>ECS!E5+"$61^!'2"</f>
        <v>#VALUE!</v>
      </c>
      <c r="DM2" t="e">
        <f>ECS!F5+"$61^!'3"</f>
        <v>#VALUE!</v>
      </c>
      <c r="DN2" t="e">
        <f>ECS!#REF!+"$61^!'4"</f>
        <v>#REF!</v>
      </c>
      <c r="DO2" t="e">
        <f>ECS!#REF!+"$61^!'5"</f>
        <v>#REF!</v>
      </c>
      <c r="DP2" t="e">
        <f>ECS!#REF!+"$61^!'6"</f>
        <v>#REF!</v>
      </c>
      <c r="DQ2" t="e">
        <f>ECS!H5+"$61^!'7"</f>
        <v>#VALUE!</v>
      </c>
      <c r="DR2" t="e">
        <f>ECS!#REF!+"$61^!'8"</f>
        <v>#REF!</v>
      </c>
      <c r="DS2" t="e">
        <f>ECS!B6+"$61^!'9"</f>
        <v>#VALUE!</v>
      </c>
      <c r="DT2" t="e">
        <f>ECS!#REF!+"$61^!':"</f>
        <v>#REF!</v>
      </c>
      <c r="DU2" t="e">
        <f>ECS!C6+"$61^!';"</f>
        <v>#VALUE!</v>
      </c>
      <c r="DV2" t="e">
        <f>ECS!D6+"$61^!'&lt;"</f>
        <v>#VALUE!</v>
      </c>
      <c r="DW2" t="e">
        <f>ECS!E6+"$61^!'="</f>
        <v>#VALUE!</v>
      </c>
      <c r="DX2" t="e">
        <f>ECS!G6+"$61^!'&gt;"</f>
        <v>#VALUE!</v>
      </c>
      <c r="DY2" t="e">
        <f>ECS!#REF!+"$61^!'?"</f>
        <v>#REF!</v>
      </c>
      <c r="DZ2" t="e">
        <f>ECS!#REF!+"$61^!'@"</f>
        <v>#REF!</v>
      </c>
      <c r="EA2" t="e">
        <f>ECS!#REF!+"$61^!'A"</f>
        <v>#REF!</v>
      </c>
      <c r="EB2" t="e">
        <f>ECS!I6+"$61^!'B"</f>
        <v>#VALUE!</v>
      </c>
      <c r="EC2" t="e">
        <f>ECS!#REF!+"$61^!'C"</f>
        <v>#REF!</v>
      </c>
      <c r="ED2" t="e">
        <f>ECS!B7+"$61^!'D"</f>
        <v>#VALUE!</v>
      </c>
      <c r="EE2" t="e">
        <f>ECS!#REF!+"$61^!'E"</f>
        <v>#REF!</v>
      </c>
      <c r="EF2" t="e">
        <f>ECS!C7+"$61^!'F"</f>
        <v>#VALUE!</v>
      </c>
      <c r="EG2" t="e">
        <f>ECS!D7+"$61^!'G"</f>
        <v>#VALUE!</v>
      </c>
      <c r="EH2" t="e">
        <f>ECS!E7+"$61^!'H"</f>
        <v>#VALUE!</v>
      </c>
      <c r="EI2" t="e">
        <f>ECS!#REF!+"$61^!'I"</f>
        <v>#REF!</v>
      </c>
      <c r="EJ2" t="e">
        <f>ECS!#REF!+"$61^!'J"</f>
        <v>#REF!</v>
      </c>
      <c r="EK2" t="e">
        <f>ECS!#REF!+"$61^!'K"</f>
        <v>#REF!</v>
      </c>
      <c r="EL2" t="e">
        <f>ECS!I7+"$61^!'L"</f>
        <v>#VALUE!</v>
      </c>
      <c r="EM2" t="e">
        <f>ECS!#REF!+"$61^!'M"</f>
        <v>#REF!</v>
      </c>
      <c r="EN2" t="e">
        <f>ECS!B8+"$61^!'N"</f>
        <v>#VALUE!</v>
      </c>
      <c r="EO2" t="e">
        <f>ECS!#REF!+"$61^!'O"</f>
        <v>#REF!</v>
      </c>
      <c r="EP2" t="e">
        <f>ECS!C8+"$61^!'P"</f>
        <v>#VALUE!</v>
      </c>
      <c r="EQ2" t="e">
        <f>ECS!D8+"$61^!'Q"</f>
        <v>#VALUE!</v>
      </c>
      <c r="ER2" t="e">
        <f>ECS!E8+"$61^!'R"</f>
        <v>#VALUE!</v>
      </c>
      <c r="ES2" t="e">
        <f>ECS!G8+"$61^!'S"</f>
        <v>#VALUE!</v>
      </c>
      <c r="ET2" t="e">
        <f>ECS!#REF!+"$61^!'T"</f>
        <v>#REF!</v>
      </c>
      <c r="EU2" t="e">
        <f>ECS!#REF!+"$61^!'U"</f>
        <v>#REF!</v>
      </c>
      <c r="EV2" t="e">
        <f>ECS!#REF!+"$61^!'V"</f>
        <v>#REF!</v>
      </c>
      <c r="EW2" t="e">
        <f>ECS!I8+"$61^!'W"</f>
        <v>#VALUE!</v>
      </c>
      <c r="EX2" t="e">
        <f>ECS!#REF!+"$61^!'X"</f>
        <v>#REF!</v>
      </c>
      <c r="EY2" t="e">
        <f>ECS!B9+"$61^!'Y"</f>
        <v>#VALUE!</v>
      </c>
      <c r="EZ2" t="e">
        <f>ECS!#REF!+"$61^!'Z"</f>
        <v>#REF!</v>
      </c>
      <c r="FA2" t="e">
        <f>ECS!C9+"$61^!'["</f>
        <v>#VALUE!</v>
      </c>
      <c r="FB2" t="e">
        <f>ECS!D9+"$61^!'\"</f>
        <v>#VALUE!</v>
      </c>
      <c r="FC2" t="e">
        <f>ECS!E9+"$61^!']"</f>
        <v>#VALUE!</v>
      </c>
      <c r="FD2" t="e">
        <f>ECS!G9+"$61^!'^"</f>
        <v>#VALUE!</v>
      </c>
      <c r="FE2" t="e">
        <f>ECS!#REF!+"$61^!'_"</f>
        <v>#REF!</v>
      </c>
      <c r="FF2" t="e">
        <f>ECS!#REF!+"$61^!'`"</f>
        <v>#REF!</v>
      </c>
      <c r="FG2" t="e">
        <f>ECS!#REF!+"$61^!'a"</f>
        <v>#REF!</v>
      </c>
      <c r="FH2" t="e">
        <f>ECS!I9+"$61^!'b"</f>
        <v>#VALUE!</v>
      </c>
      <c r="FI2" t="e">
        <f>ECS!#REF!+"$61^!'c"</f>
        <v>#REF!</v>
      </c>
      <c r="FJ2" t="e">
        <f>ECS!B10+"$61^!'d"</f>
        <v>#VALUE!</v>
      </c>
      <c r="FK2" t="e">
        <f>ECS!#REF!+"$61^!'e"</f>
        <v>#REF!</v>
      </c>
      <c r="FL2" t="e">
        <f>ECS!C10+"$61^!'f"</f>
        <v>#VALUE!</v>
      </c>
      <c r="FM2" t="e">
        <f>ECS!D10+"$61^!'g"</f>
        <v>#VALUE!</v>
      </c>
      <c r="FN2" t="e">
        <f>ECS!E10+"$61^!'h"</f>
        <v>#VALUE!</v>
      </c>
      <c r="FO2" t="e">
        <f>ECS!G10+"$61^!'i"</f>
        <v>#VALUE!</v>
      </c>
      <c r="FP2" t="e">
        <f>ECS!#REF!+"$61^!'j"</f>
        <v>#REF!</v>
      </c>
      <c r="FQ2" t="e">
        <f>ECS!#REF!+"$61^!'k"</f>
        <v>#REF!</v>
      </c>
      <c r="FR2" t="e">
        <f>ECS!#REF!+"$61^!'l"</f>
        <v>#REF!</v>
      </c>
      <c r="FS2" t="e">
        <f>ECS!I10+"$61^!'m"</f>
        <v>#VALUE!</v>
      </c>
      <c r="FT2" t="e">
        <f>ECS!#REF!+"$61^!'n"</f>
        <v>#REF!</v>
      </c>
      <c r="FU2" t="e">
        <f>ECS!B11+"$61^!'o"</f>
        <v>#VALUE!</v>
      </c>
      <c r="FV2" t="e">
        <f>ECS!#REF!+"$61^!'p"</f>
        <v>#REF!</v>
      </c>
      <c r="FW2" t="e">
        <f>ECS!C11+"$61^!'q"</f>
        <v>#VALUE!</v>
      </c>
      <c r="FX2" t="e">
        <f>ECS!D11+"$61^!'r"</f>
        <v>#VALUE!</v>
      </c>
      <c r="FY2" t="e">
        <f>ECS!E11+"$61^!'s"</f>
        <v>#VALUE!</v>
      </c>
      <c r="FZ2" t="e">
        <f>ECS!G11+"$61^!'t"</f>
        <v>#VALUE!</v>
      </c>
      <c r="GA2" t="e">
        <f>ECS!#REF!+"$61^!'u"</f>
        <v>#REF!</v>
      </c>
      <c r="GB2" t="e">
        <f>ECS!#REF!+"$61^!'v"</f>
        <v>#REF!</v>
      </c>
      <c r="GC2" t="e">
        <f>ECS!#REF!+"$61^!'w"</f>
        <v>#REF!</v>
      </c>
      <c r="GD2" t="e">
        <f>ECS!I11+"$61^!'x"</f>
        <v>#VALUE!</v>
      </c>
      <c r="GE2" t="e">
        <f>ECS!#REF!+"$61^!'y"</f>
        <v>#REF!</v>
      </c>
      <c r="GF2" t="e">
        <f>ECS!B12+"$61^!'z"</f>
        <v>#VALUE!</v>
      </c>
      <c r="GG2" t="e">
        <f>ECS!#REF!+"$61^!'{"</f>
        <v>#REF!</v>
      </c>
      <c r="GH2" t="e">
        <f>ECS!C12+"$61^!'|"</f>
        <v>#VALUE!</v>
      </c>
      <c r="GI2" t="e">
        <f>ECS!D12+"$61^!'}"</f>
        <v>#VALUE!</v>
      </c>
      <c r="GJ2" t="e">
        <f>ECS!E12+"$61^!'~"</f>
        <v>#VALUE!</v>
      </c>
      <c r="GK2" t="e">
        <f>ECS!G12+"$61^!(#"</f>
        <v>#VALUE!</v>
      </c>
      <c r="GL2" t="e">
        <f>ECS!#REF!+"$61^!($"</f>
        <v>#REF!</v>
      </c>
      <c r="GM2" t="e">
        <f>ECS!#REF!+"$61^!(%"</f>
        <v>#REF!</v>
      </c>
      <c r="GN2" t="e">
        <f>ECS!#REF!+"$61^!(&amp;"</f>
        <v>#REF!</v>
      </c>
      <c r="GO2" t="e">
        <f>ECS!I12+"$61^!('"</f>
        <v>#VALUE!</v>
      </c>
      <c r="GP2" t="e">
        <f>ECS!#REF!+"$61^!(("</f>
        <v>#REF!</v>
      </c>
      <c r="GQ2" t="e">
        <f>ECS!B13+"$61^!()"</f>
        <v>#VALUE!</v>
      </c>
      <c r="GR2" t="e">
        <f>ECS!#REF!+"$61^!(."</f>
        <v>#REF!</v>
      </c>
      <c r="GS2" t="e">
        <f>ECS!C13+"$61^!(/"</f>
        <v>#VALUE!</v>
      </c>
      <c r="GT2" t="e">
        <f>ECS!D13+"$61^!(0"</f>
        <v>#VALUE!</v>
      </c>
      <c r="GU2" t="e">
        <f>ECS!E13+"$61^!(1"</f>
        <v>#VALUE!</v>
      </c>
      <c r="GV2" t="e">
        <f>ECS!G13+"$61^!(2"</f>
        <v>#VALUE!</v>
      </c>
      <c r="GW2" t="e">
        <f>ECS!#REF!+"$61^!(3"</f>
        <v>#REF!</v>
      </c>
      <c r="GX2" t="e">
        <f>ECS!#REF!+"$61^!(4"</f>
        <v>#REF!</v>
      </c>
      <c r="GY2" t="e">
        <f>ECS!#REF!+"$61^!(5"</f>
        <v>#REF!</v>
      </c>
      <c r="GZ2" t="e">
        <f>ECS!I17+"$61^!(6"</f>
        <v>#VALUE!</v>
      </c>
      <c r="HA2" t="e">
        <f>ECS!#REF!+"$61^!(7"</f>
        <v>#REF!</v>
      </c>
      <c r="HB2" t="e">
        <f>ECS!B14+"$61^!(8"</f>
        <v>#VALUE!</v>
      </c>
      <c r="HC2" t="e">
        <f>ECS!#REF!+"$61^!(9"</f>
        <v>#REF!</v>
      </c>
      <c r="HD2" t="e">
        <f>ECS!C14+"$61^!(:"</f>
        <v>#VALUE!</v>
      </c>
      <c r="HE2" t="e">
        <f>ECS!D14+"$61^!(;"</f>
        <v>#VALUE!</v>
      </c>
      <c r="HF2" t="e">
        <f>ECS!E14+"$61^!(&lt;"</f>
        <v>#VALUE!</v>
      </c>
      <c r="HG2" t="e">
        <f>ECS!G14+"$61^!(="</f>
        <v>#VALUE!</v>
      </c>
      <c r="HH2" t="e">
        <f>ECS!#REF!+"$61^!(&gt;"</f>
        <v>#REF!</v>
      </c>
      <c r="HI2" t="e">
        <f>ECS!#REF!+"$61^!(?"</f>
        <v>#REF!</v>
      </c>
      <c r="HJ2" t="e">
        <f>ECS!#REF!+"$61^!(@"</f>
        <v>#REF!</v>
      </c>
      <c r="HK2" t="e">
        <f>ECS!I14+"$61^!(A"</f>
        <v>#VALUE!</v>
      </c>
      <c r="HL2" t="e">
        <f>ECS!#REF!+"$61^!(B"</f>
        <v>#REF!</v>
      </c>
      <c r="HM2" t="e">
        <f>ECS!B15+"$61^!(C"</f>
        <v>#VALUE!</v>
      </c>
      <c r="HN2" t="e">
        <f>ECS!#REF!+"$61^!(D"</f>
        <v>#REF!</v>
      </c>
      <c r="HO2" t="e">
        <f>ECS!C15+"$61^!(E"</f>
        <v>#VALUE!</v>
      </c>
      <c r="HP2" t="e">
        <f>ECS!D15+"$61^!(F"</f>
        <v>#VALUE!</v>
      </c>
      <c r="HQ2" t="e">
        <f>ECS!E15+"$61^!(G"</f>
        <v>#VALUE!</v>
      </c>
      <c r="HR2" t="e">
        <f>ECS!G15+"$61^!(H"</f>
        <v>#VALUE!</v>
      </c>
      <c r="HS2" t="e">
        <f>ECS!#REF!+"$61^!(I"</f>
        <v>#REF!</v>
      </c>
      <c r="HT2" t="e">
        <f>ECS!#REF!+"$61^!(J"</f>
        <v>#REF!</v>
      </c>
      <c r="HU2" t="e">
        <f>ECS!#REF!+"$61^!(K"</f>
        <v>#REF!</v>
      </c>
      <c r="HV2" t="e">
        <f>ECS!I15+"$61^!(L"</f>
        <v>#VALUE!</v>
      </c>
      <c r="HW2" t="e">
        <f>ECS!#REF!+"$61^!(M"</f>
        <v>#REF!</v>
      </c>
      <c r="HX2" t="e">
        <f>ECS!B16+"$61^!(N"</f>
        <v>#VALUE!</v>
      </c>
      <c r="HY2" t="e">
        <f>ECS!#REF!+"$61^!(O"</f>
        <v>#REF!</v>
      </c>
      <c r="HZ2" t="e">
        <f>ECS!C16+"$61^!(P"</f>
        <v>#VALUE!</v>
      </c>
      <c r="IA2" t="e">
        <f>ECS!D16+"$61^!(Q"</f>
        <v>#VALUE!</v>
      </c>
      <c r="IB2" t="e">
        <f>ECS!E16+"$61^!(R"</f>
        <v>#VALUE!</v>
      </c>
      <c r="IC2" t="e">
        <f>ECS!G16+"$61^!(S"</f>
        <v>#VALUE!</v>
      </c>
      <c r="ID2" t="e">
        <f>ECS!#REF!+"$61^!(T"</f>
        <v>#REF!</v>
      </c>
      <c r="IE2" t="e">
        <f>ECS!#REF!+"$61^!(U"</f>
        <v>#REF!</v>
      </c>
      <c r="IF2" t="e">
        <f>ECS!#REF!+"$61^!(V"</f>
        <v>#REF!</v>
      </c>
      <c r="IG2" t="e">
        <f>ECS!I16+"$61^!(W"</f>
        <v>#VALUE!</v>
      </c>
      <c r="IH2" t="e">
        <f>ECS!#REF!+"$61^!(X"</f>
        <v>#REF!</v>
      </c>
      <c r="II2" t="e">
        <f>ECS!B17+"$61^!(Y"</f>
        <v>#VALUE!</v>
      </c>
      <c r="IJ2" t="e">
        <f>ECS!#REF!+"$61^!(Z"</f>
        <v>#REF!</v>
      </c>
      <c r="IK2" t="e">
        <f>ECS!C17+"$61^!(["</f>
        <v>#VALUE!</v>
      </c>
      <c r="IL2" t="e">
        <f>ECS!D17+"$61^!(\"</f>
        <v>#VALUE!</v>
      </c>
      <c r="IM2" t="e">
        <f>ECS!E17+"$61^!(]"</f>
        <v>#VALUE!</v>
      </c>
      <c r="IN2" t="e">
        <f>ECS!G17+"$61^!(^"</f>
        <v>#VALUE!</v>
      </c>
      <c r="IO2" t="e">
        <f>ECS!#REF!+"$61^!(_"</f>
        <v>#REF!</v>
      </c>
      <c r="IP2" t="e">
        <f>ECS!#REF!+"$61^!(`"</f>
        <v>#REF!</v>
      </c>
      <c r="IQ2" t="e">
        <f>ECS!#REF!+"$61^!(a"</f>
        <v>#REF!</v>
      </c>
      <c r="IR2" t="e">
        <f>ECS!#REF!+"$61^!(b"</f>
        <v>#REF!</v>
      </c>
      <c r="IS2" t="e">
        <f>ECS!#REF!+"$61^!(c"</f>
        <v>#REF!</v>
      </c>
      <c r="IT2" t="e">
        <f>ECS!B18+"$61^!(d"</f>
        <v>#VALUE!</v>
      </c>
      <c r="IU2" t="e">
        <f>ECS!#REF!+"$61^!(e"</f>
        <v>#REF!</v>
      </c>
      <c r="IV2" t="e">
        <f>ECS!C18+"$61^!(f"</f>
        <v>#VALUE!</v>
      </c>
    </row>
    <row r="3" spans="1:256" x14ac:dyDescent="0.2">
      <c r="A3" t="s">
        <v>109</v>
      </c>
      <c r="F3" t="e">
        <f>ECS!D18+"$61^!(g"</f>
        <v>#VALUE!</v>
      </c>
      <c r="G3" t="e">
        <f>ECS!E18+"$61^!(h"</f>
        <v>#VALUE!</v>
      </c>
      <c r="H3" t="e">
        <f>ECS!G18+"$61^!(i"</f>
        <v>#VALUE!</v>
      </c>
      <c r="I3" t="e">
        <f>ECS!#REF!+"$61^!(j"</f>
        <v>#REF!</v>
      </c>
      <c r="J3" t="e">
        <f>ECS!#REF!+"$61^!(k"</f>
        <v>#REF!</v>
      </c>
      <c r="K3" t="e">
        <f>ECS!#REF!+"$61^!(l"</f>
        <v>#REF!</v>
      </c>
      <c r="L3" t="e">
        <f>ECS!I18+"$61^!(m"</f>
        <v>#VALUE!</v>
      </c>
      <c r="M3" t="e">
        <f>ECS!#REF!+"$61^!(n"</f>
        <v>#REF!</v>
      </c>
      <c r="N3" t="e">
        <f>ECS!B19+"$61^!(o"</f>
        <v>#VALUE!</v>
      </c>
      <c r="O3" t="e">
        <f>ECS!#REF!+"$61^!(p"</f>
        <v>#REF!</v>
      </c>
      <c r="P3" t="e">
        <f>ECS!C19+"$61^!(q"</f>
        <v>#VALUE!</v>
      </c>
      <c r="Q3" t="e">
        <f>ECS!D19+"$61^!(r"</f>
        <v>#VALUE!</v>
      </c>
      <c r="R3" t="e">
        <f>ECS!E19+"$61^!(s"</f>
        <v>#VALUE!</v>
      </c>
      <c r="S3" t="e">
        <f>ECS!G19+"$61^!(t"</f>
        <v>#VALUE!</v>
      </c>
      <c r="T3" t="e">
        <f>ECS!#REF!+"$61^!(u"</f>
        <v>#REF!</v>
      </c>
      <c r="U3" t="e">
        <f>ECS!#REF!+"$61^!(v"</f>
        <v>#REF!</v>
      </c>
      <c r="V3" t="e">
        <f>ECS!#REF!+"$61^!(w"</f>
        <v>#REF!</v>
      </c>
      <c r="W3" t="e">
        <f>ECS!I19+"$61^!(x"</f>
        <v>#VALUE!</v>
      </c>
      <c r="X3" t="e">
        <f>ECS!#REF!+"$61^!(y"</f>
        <v>#REF!</v>
      </c>
      <c r="Y3" t="e">
        <f>ECS!B20+"$61^!(z"</f>
        <v>#VALUE!</v>
      </c>
      <c r="Z3" t="e">
        <f>ECS!#REF!+"$61^!({"</f>
        <v>#REF!</v>
      </c>
      <c r="AA3" t="e">
        <f>ECS!C20+"$61^!(|"</f>
        <v>#VALUE!</v>
      </c>
      <c r="AB3" t="e">
        <f>ECS!D20+"$61^!(}"</f>
        <v>#VALUE!</v>
      </c>
      <c r="AC3" t="e">
        <f>ECS!E20+"$61^!(~"</f>
        <v>#VALUE!</v>
      </c>
      <c r="AD3" t="e">
        <f>ECS!G20+"$61^!)#"</f>
        <v>#VALUE!</v>
      </c>
      <c r="AE3" t="e">
        <f>ECS!#REF!+"$61^!)$"</f>
        <v>#REF!</v>
      </c>
      <c r="AF3" t="e">
        <f>ECS!#REF!+"$61^!)%"</f>
        <v>#REF!</v>
      </c>
      <c r="AG3" t="e">
        <f>ECS!#REF!+"$61^!)&amp;"</f>
        <v>#REF!</v>
      </c>
      <c r="AH3" t="e">
        <f>ECS!I20+"$61^!)'"</f>
        <v>#VALUE!</v>
      </c>
      <c r="AI3" t="e">
        <f>ECS!#REF!+"$61^!)("</f>
        <v>#REF!</v>
      </c>
      <c r="AJ3" t="e">
        <f>ECS!B21+"$61^!))"</f>
        <v>#VALUE!</v>
      </c>
      <c r="AK3" t="e">
        <f>ECS!#REF!+"$61^!)."</f>
        <v>#REF!</v>
      </c>
      <c r="AL3" t="e">
        <f>ECS!C21+"$61^!)/"</f>
        <v>#VALUE!</v>
      </c>
      <c r="AM3" t="e">
        <f>ECS!D21+"$61^!)0"</f>
        <v>#VALUE!</v>
      </c>
      <c r="AN3" t="e">
        <f>ECS!E21+"$61^!)1"</f>
        <v>#VALUE!</v>
      </c>
      <c r="AO3" t="e">
        <f>ECS!G21+"$61^!)2"</f>
        <v>#VALUE!</v>
      </c>
      <c r="AP3" t="e">
        <f>ECS!#REF!+"$61^!)3"</f>
        <v>#REF!</v>
      </c>
      <c r="AQ3" t="e">
        <f>ECS!#REF!+"$61^!)4"</f>
        <v>#REF!</v>
      </c>
      <c r="AR3" t="e">
        <f>ECS!#REF!+"$61^!)5"</f>
        <v>#REF!</v>
      </c>
      <c r="AS3" t="e">
        <f>ECS!I21+"$61^!)6"</f>
        <v>#VALUE!</v>
      </c>
      <c r="AT3" t="e">
        <f>ECS!#REF!+"$61^!)7"</f>
        <v>#REF!</v>
      </c>
      <c r="AU3" t="e">
        <f>ECS!B22+"$61^!)8"</f>
        <v>#VALUE!</v>
      </c>
      <c r="AV3" t="e">
        <f>ECS!#REF!+"$61^!)9"</f>
        <v>#REF!</v>
      </c>
      <c r="AW3" t="e">
        <f>ECS!C22+"$61^!):"</f>
        <v>#VALUE!</v>
      </c>
      <c r="AX3" t="e">
        <f>ECS!D22+"$61^!);"</f>
        <v>#VALUE!</v>
      </c>
      <c r="AY3" t="e">
        <f>ECS!E22+"$61^!)&lt;"</f>
        <v>#VALUE!</v>
      </c>
      <c r="AZ3" t="e">
        <f>ECS!G22+"$61^!)="</f>
        <v>#VALUE!</v>
      </c>
      <c r="BA3" t="e">
        <f>ECS!#REF!+"$61^!)&gt;"</f>
        <v>#REF!</v>
      </c>
      <c r="BB3" t="e">
        <f>ECS!#REF!+"$61^!)?"</f>
        <v>#REF!</v>
      </c>
      <c r="BC3" t="e">
        <f>ECS!#REF!+"$61^!)@"</f>
        <v>#REF!</v>
      </c>
      <c r="BD3" t="e">
        <f>ECS!I22+"$61^!)A"</f>
        <v>#VALUE!</v>
      </c>
      <c r="BE3" t="e">
        <f>ECS!#REF!+"$61^!)B"</f>
        <v>#REF!</v>
      </c>
      <c r="BF3" t="e">
        <f>ECS!B23+"$61^!)C"</f>
        <v>#VALUE!</v>
      </c>
      <c r="BG3" t="e">
        <f>ECS!#REF!+"$61^!)D"</f>
        <v>#REF!</v>
      </c>
      <c r="BH3" t="e">
        <f>ECS!C23+"$61^!)E"</f>
        <v>#VALUE!</v>
      </c>
      <c r="BI3" t="e">
        <f>ECS!D23+"$61^!)F"</f>
        <v>#VALUE!</v>
      </c>
      <c r="BJ3" t="e">
        <f>ECS!E23+"$61^!)G"</f>
        <v>#VALUE!</v>
      </c>
      <c r="BK3" t="e">
        <f>ECS!G23+"$61^!)H"</f>
        <v>#VALUE!</v>
      </c>
      <c r="BL3" t="e">
        <f>ECS!#REF!+"$61^!)I"</f>
        <v>#REF!</v>
      </c>
      <c r="BM3" t="e">
        <f>ECS!#REF!+"$61^!)J"</f>
        <v>#REF!</v>
      </c>
      <c r="BN3" t="e">
        <f>ECS!#REF!+"$61^!)K"</f>
        <v>#REF!</v>
      </c>
      <c r="BO3" t="e">
        <f>ECS!I23+"$61^!)L"</f>
        <v>#VALUE!</v>
      </c>
      <c r="BP3" t="e">
        <f>ECS!#REF!+"$61^!)M"</f>
        <v>#REF!</v>
      </c>
      <c r="BQ3" t="e">
        <f>ECS!B24+"$61^!)N"</f>
        <v>#VALUE!</v>
      </c>
      <c r="BR3" t="e">
        <f>ECS!#REF!+"$61^!)O"</f>
        <v>#REF!</v>
      </c>
      <c r="BS3" t="e">
        <f>ECS!C24+"$61^!)P"</f>
        <v>#VALUE!</v>
      </c>
      <c r="BT3" t="e">
        <f>ECS!D24+"$61^!)Q"</f>
        <v>#VALUE!</v>
      </c>
      <c r="BU3" t="e">
        <f>ECS!E24+"$61^!)R"</f>
        <v>#VALUE!</v>
      </c>
      <c r="BV3" t="e">
        <f>ECS!G24+"$61^!)S"</f>
        <v>#VALUE!</v>
      </c>
      <c r="BW3" t="e">
        <f>ECS!#REF!+"$61^!)T"</f>
        <v>#REF!</v>
      </c>
      <c r="BX3" t="e">
        <f>ECS!#REF!+"$61^!)U"</f>
        <v>#REF!</v>
      </c>
      <c r="BY3" t="e">
        <f>ECS!#REF!+"$61^!)V"</f>
        <v>#REF!</v>
      </c>
      <c r="BZ3" t="e">
        <f>ECS!I24+"$61^!)W"</f>
        <v>#VALUE!</v>
      </c>
      <c r="CA3" t="e">
        <f>ECS!#REF!+"$61^!)X"</f>
        <v>#REF!</v>
      </c>
      <c r="CB3" t="e">
        <f>ECS!B25+"$61^!)Y"</f>
        <v>#VALUE!</v>
      </c>
      <c r="CC3" t="e">
        <f>ECS!#REF!+"$61^!)Z"</f>
        <v>#REF!</v>
      </c>
      <c r="CD3" t="e">
        <f>ECS!C25+"$61^!)["</f>
        <v>#VALUE!</v>
      </c>
      <c r="CE3" t="e">
        <f>ECS!D25+"$61^!)\"</f>
        <v>#VALUE!</v>
      </c>
      <c r="CF3" t="e">
        <f>ECS!E25+"$61^!)]"</f>
        <v>#VALUE!</v>
      </c>
      <c r="CG3" t="e">
        <f>ECS!G25+"$61^!)^"</f>
        <v>#VALUE!</v>
      </c>
      <c r="CH3" t="e">
        <f>ECS!#REF!+"$61^!)_"</f>
        <v>#REF!</v>
      </c>
      <c r="CI3" t="e">
        <f>ECS!#REF!+"$61^!)`"</f>
        <v>#REF!</v>
      </c>
      <c r="CJ3" t="e">
        <f>ECS!#REF!+"$61^!)a"</f>
        <v>#REF!</v>
      </c>
      <c r="CK3" t="e">
        <f>ECS!I25+"$61^!)b"</f>
        <v>#VALUE!</v>
      </c>
      <c r="CL3" t="e">
        <f>ECS!#REF!+"$61^!)c"</f>
        <v>#REF!</v>
      </c>
      <c r="CM3" t="e">
        <f>ECS!B26+"$61^!)d"</f>
        <v>#VALUE!</v>
      </c>
      <c r="CN3" t="e">
        <f>ECS!#REF!+"$61^!)e"</f>
        <v>#REF!</v>
      </c>
      <c r="CO3" t="e">
        <f>ECS!C26+"$61^!)f"</f>
        <v>#VALUE!</v>
      </c>
      <c r="CP3" t="e">
        <f>ECS!D26+"$61^!)g"</f>
        <v>#VALUE!</v>
      </c>
      <c r="CQ3" t="e">
        <f>ECS!E26+"$61^!)h"</f>
        <v>#VALUE!</v>
      </c>
      <c r="CR3" t="e">
        <f>ECS!G26+"$61^!)i"</f>
        <v>#VALUE!</v>
      </c>
      <c r="CS3" t="e">
        <f>ECS!#REF!+"$61^!)j"</f>
        <v>#REF!</v>
      </c>
      <c r="CT3" t="e">
        <f>ECS!#REF!+"$61^!)k"</f>
        <v>#REF!</v>
      </c>
      <c r="CU3" t="e">
        <f>ECS!#REF!+"$61^!)l"</f>
        <v>#REF!</v>
      </c>
      <c r="CV3" t="e">
        <f>ECS!I26+"$61^!)m"</f>
        <v>#VALUE!</v>
      </c>
      <c r="CW3" t="e">
        <f>ECS!#REF!+"$61^!)n"</f>
        <v>#REF!</v>
      </c>
      <c r="CX3" t="e">
        <f>ECS!B27+"$61^!)o"</f>
        <v>#VALUE!</v>
      </c>
      <c r="CY3" t="e">
        <f>ECS!#REF!+"$61^!)p"</f>
        <v>#REF!</v>
      </c>
      <c r="CZ3" t="e">
        <f>ECS!C27+"$61^!)q"</f>
        <v>#VALUE!</v>
      </c>
      <c r="DA3" t="e">
        <f>ECS!D27+"$61^!)r"</f>
        <v>#VALUE!</v>
      </c>
      <c r="DB3" t="e">
        <f>ECS!E27+"$61^!)s"</f>
        <v>#VALUE!</v>
      </c>
      <c r="DC3" t="e">
        <f>ECS!G27+"$61^!)t"</f>
        <v>#VALUE!</v>
      </c>
      <c r="DD3" t="e">
        <f>ECS!#REF!+"$61^!)u"</f>
        <v>#REF!</v>
      </c>
      <c r="DE3" t="e">
        <f>ECS!#REF!+"$61^!)v"</f>
        <v>#REF!</v>
      </c>
      <c r="DF3" t="e">
        <f>ECS!#REF!+"$61^!)w"</f>
        <v>#REF!</v>
      </c>
      <c r="DG3" t="e">
        <f>ECS!I27+"$61^!)x"</f>
        <v>#VALUE!</v>
      </c>
      <c r="DH3" t="e">
        <f>ECS!#REF!+"$61^!)y"</f>
        <v>#REF!</v>
      </c>
      <c r="DI3" t="e">
        <f>ECS!B28+"$61^!)z"</f>
        <v>#VALUE!</v>
      </c>
      <c r="DJ3" t="e">
        <f>ECS!#REF!+"$61^!){"</f>
        <v>#REF!</v>
      </c>
      <c r="DK3" t="e">
        <f>ECS!C28+"$61^!)|"</f>
        <v>#VALUE!</v>
      </c>
      <c r="DL3" t="e">
        <f>ECS!#REF!+"$61^!)}"</f>
        <v>#REF!</v>
      </c>
      <c r="DM3" t="e">
        <f>ECS!D28+"$61^!)~"</f>
        <v>#VALUE!</v>
      </c>
      <c r="DN3" t="e">
        <f>ECS!E28+"$61^!.#"</f>
        <v>#VALUE!</v>
      </c>
      <c r="DO3" t="e">
        <f>ECS!#REF!+"$61^!.$"</f>
        <v>#REF!</v>
      </c>
      <c r="DP3" t="e">
        <f>ECS!#REF!+"$61^!.%"</f>
        <v>#REF!</v>
      </c>
      <c r="DQ3" t="e">
        <f>ECS!#REF!+"$61^!.&amp;"</f>
        <v>#REF!</v>
      </c>
      <c r="DR3" t="e">
        <f>ECS!I28+"$61^!.'"</f>
        <v>#VALUE!</v>
      </c>
      <c r="DS3" t="e">
        <f>ECS!#REF!+"$61^!.("</f>
        <v>#REF!</v>
      </c>
      <c r="DT3" t="e">
        <f>ECS!B29+"$61^!.)"</f>
        <v>#VALUE!</v>
      </c>
      <c r="DU3" t="e">
        <f>ECS!#REF!+"$61^!.."</f>
        <v>#REF!</v>
      </c>
      <c r="DV3" t="e">
        <f>ECS!C29+"$61^!./"</f>
        <v>#VALUE!</v>
      </c>
      <c r="DW3" t="e">
        <f>ECS!D29+"$61^!.0"</f>
        <v>#VALUE!</v>
      </c>
      <c r="DX3" t="e">
        <f>ECS!E29+"$61^!.1"</f>
        <v>#VALUE!</v>
      </c>
      <c r="DY3" t="e">
        <f>ECS!G29+"$61^!.2"</f>
        <v>#VALUE!</v>
      </c>
      <c r="DZ3" t="e">
        <f>ECS!#REF!+"$61^!.3"</f>
        <v>#REF!</v>
      </c>
      <c r="EA3" t="e">
        <f>ECS!#REF!+"$61^!.4"</f>
        <v>#REF!</v>
      </c>
      <c r="EB3" t="e">
        <f>ECS!#REF!+"$61^!.5"</f>
        <v>#REF!</v>
      </c>
      <c r="EC3" t="e">
        <f>ECS!I29+"$61^!.6"</f>
        <v>#VALUE!</v>
      </c>
      <c r="ED3" t="e">
        <f>ECS!#REF!+"$61^!.7"</f>
        <v>#REF!</v>
      </c>
      <c r="EE3" t="e">
        <f>ECS!B30+"$61^!.8"</f>
        <v>#VALUE!</v>
      </c>
      <c r="EF3" t="e">
        <f>ECS!#REF!+"$61^!.9"</f>
        <v>#REF!</v>
      </c>
      <c r="EG3" t="e">
        <f>ECS!C30+"$61^!.:"</f>
        <v>#VALUE!</v>
      </c>
      <c r="EH3" t="e">
        <f>ECS!D30+"$61^!.;"</f>
        <v>#VALUE!</v>
      </c>
      <c r="EI3" t="e">
        <f>ECS!E30+"$61^!.&lt;"</f>
        <v>#VALUE!</v>
      </c>
      <c r="EJ3" t="e">
        <f>ECS!G30+"$61^!.="</f>
        <v>#VALUE!</v>
      </c>
      <c r="EK3" t="e">
        <f>ECS!#REF!+"$61^!.&gt;"</f>
        <v>#REF!</v>
      </c>
      <c r="EL3" t="e">
        <f>ECS!#REF!+"$61^!.?"</f>
        <v>#REF!</v>
      </c>
      <c r="EM3" t="e">
        <f>ECS!#REF!+"$61^!.@"</f>
        <v>#REF!</v>
      </c>
      <c r="EN3" t="e">
        <f>ECS!I30+"$61^!.A"</f>
        <v>#VALUE!</v>
      </c>
      <c r="EO3" t="e">
        <f>ECS!#REF!+"$61^!.B"</f>
        <v>#REF!</v>
      </c>
      <c r="EP3" t="e">
        <f>ECS!B31+"$61^!.C"</f>
        <v>#VALUE!</v>
      </c>
      <c r="EQ3" t="e">
        <f>ECS!#REF!+"$61^!.D"</f>
        <v>#REF!</v>
      </c>
      <c r="ER3" t="e">
        <f>ECS!C31+"$61^!.E"</f>
        <v>#VALUE!</v>
      </c>
      <c r="ES3" t="e">
        <f>ECS!D31+"$61^!.F"</f>
        <v>#VALUE!</v>
      </c>
      <c r="ET3" t="e">
        <f>ECS!E31+"$61^!.G"</f>
        <v>#VALUE!</v>
      </c>
      <c r="EU3" t="e">
        <f>ECS!G31+"$61^!.H"</f>
        <v>#VALUE!</v>
      </c>
      <c r="EV3" t="e">
        <f>ECS!#REF!+"$61^!.I"</f>
        <v>#REF!</v>
      </c>
      <c r="EW3" t="e">
        <f>ECS!#REF!+"$61^!.J"</f>
        <v>#REF!</v>
      </c>
      <c r="EX3" t="e">
        <f>ECS!#REF!+"$61^!.K"</f>
        <v>#REF!</v>
      </c>
      <c r="EY3" t="e">
        <f>ECS!I31+"$61^!.L"</f>
        <v>#VALUE!</v>
      </c>
      <c r="EZ3" t="e">
        <f>ECS!#REF!+"$61^!.M"</f>
        <v>#REF!</v>
      </c>
      <c r="FA3" t="e">
        <f>ECS!B32+"$61^!.N"</f>
        <v>#VALUE!</v>
      </c>
      <c r="FB3" t="e">
        <f>ECS!#REF!+"$61^!.O"</f>
        <v>#REF!</v>
      </c>
      <c r="FC3" t="e">
        <f>ECS!C32+"$61^!.P"</f>
        <v>#VALUE!</v>
      </c>
      <c r="FD3" t="e">
        <f>ECS!D32+"$61^!.Q"</f>
        <v>#VALUE!</v>
      </c>
      <c r="FE3" t="e">
        <f>ECS!E32+"$61^!.R"</f>
        <v>#VALUE!</v>
      </c>
      <c r="FF3" t="e">
        <f>ECS!G32+"$61^!.S"</f>
        <v>#VALUE!</v>
      </c>
      <c r="FG3" t="e">
        <f>ECS!#REF!+"$61^!.T"</f>
        <v>#REF!</v>
      </c>
      <c r="FH3" t="e">
        <f>ECS!#REF!+"$61^!.U"</f>
        <v>#REF!</v>
      </c>
      <c r="FI3" t="e">
        <f>ECS!#REF!+"$61^!.V"</f>
        <v>#REF!</v>
      </c>
      <c r="FJ3" t="e">
        <f>ECS!I32+"$61^!.W"</f>
        <v>#VALUE!</v>
      </c>
      <c r="FK3" t="e">
        <f>ECS!#REF!+"$61^!.X"</f>
        <v>#REF!</v>
      </c>
      <c r="FL3" t="e">
        <f>ECS!B33+"$61^!.Y"</f>
        <v>#VALUE!</v>
      </c>
      <c r="FM3" t="e">
        <f>ECS!#REF!+"$61^!.Z"</f>
        <v>#REF!</v>
      </c>
      <c r="FN3" t="e">
        <f>ECS!C33+"$61^!.["</f>
        <v>#VALUE!</v>
      </c>
      <c r="FO3" t="e">
        <f>ECS!D33+"$61^!.\"</f>
        <v>#VALUE!</v>
      </c>
      <c r="FP3" t="e">
        <f>ECS!E33+"$61^!.]"</f>
        <v>#VALUE!</v>
      </c>
      <c r="FQ3" t="e">
        <f>ECS!G33+"$61^!.^"</f>
        <v>#VALUE!</v>
      </c>
      <c r="FR3" t="e">
        <f>ECS!#REF!+"$61^!._"</f>
        <v>#REF!</v>
      </c>
      <c r="FS3" t="e">
        <f>ECS!#REF!+"$61^!.`"</f>
        <v>#REF!</v>
      </c>
      <c r="FT3" t="e">
        <f>ECS!#REF!+"$61^!.a"</f>
        <v>#REF!</v>
      </c>
      <c r="FU3" t="e">
        <f>ECS!I33+"$61^!.b"</f>
        <v>#VALUE!</v>
      </c>
      <c r="FV3" t="e">
        <f>ECS!#REF!+"$61^!.c"</f>
        <v>#REF!</v>
      </c>
      <c r="FW3" t="e">
        <f>ECS!B34+"$61^!.d"</f>
        <v>#VALUE!</v>
      </c>
      <c r="FX3" t="e">
        <f>ECS!#REF!+"$61^!.e"</f>
        <v>#REF!</v>
      </c>
      <c r="FY3" t="e">
        <f>ECS!C34+"$61^!.f"</f>
        <v>#VALUE!</v>
      </c>
      <c r="FZ3" t="e">
        <f>ECS!D34+"$61^!.g"</f>
        <v>#VALUE!</v>
      </c>
      <c r="GA3" t="e">
        <f>ECS!E34+"$61^!.h"</f>
        <v>#VALUE!</v>
      </c>
      <c r="GB3" t="e">
        <f>ECS!G34+"$61^!.i"</f>
        <v>#VALUE!</v>
      </c>
      <c r="GC3" t="e">
        <f>ECS!#REF!+"$61^!.j"</f>
        <v>#REF!</v>
      </c>
      <c r="GD3" t="e">
        <f>ECS!#REF!+"$61^!.k"</f>
        <v>#REF!</v>
      </c>
      <c r="GE3" t="e">
        <f>ECS!#REF!+"$61^!.l"</f>
        <v>#REF!</v>
      </c>
      <c r="GF3" t="e">
        <f>ECS!I34+"$61^!.m"</f>
        <v>#VALUE!</v>
      </c>
      <c r="GG3" t="e">
        <f>ECS!#REF!+"$61^!.n"</f>
        <v>#REF!</v>
      </c>
      <c r="GH3" t="e">
        <f>ECS!B35+"$61^!.o"</f>
        <v>#VALUE!</v>
      </c>
      <c r="GI3" t="e">
        <f>ECS!#REF!+"$61^!.p"</f>
        <v>#REF!</v>
      </c>
      <c r="GJ3" t="e">
        <f>ECS!C35+"$61^!.q"</f>
        <v>#VALUE!</v>
      </c>
      <c r="GK3" t="e">
        <f>ECS!D35+"$61^!.r"</f>
        <v>#VALUE!</v>
      </c>
      <c r="GL3" t="e">
        <f>ECS!E35+"$61^!.s"</f>
        <v>#VALUE!</v>
      </c>
      <c r="GM3" t="e">
        <f>ECS!G35+"$61^!.t"</f>
        <v>#VALUE!</v>
      </c>
      <c r="GN3" t="e">
        <f>ECS!#REF!+"$61^!.u"</f>
        <v>#REF!</v>
      </c>
      <c r="GO3" t="e">
        <f>ECS!#REF!+"$61^!.v"</f>
        <v>#REF!</v>
      </c>
      <c r="GP3" t="e">
        <f>ECS!#REF!+"$61^!.w"</f>
        <v>#REF!</v>
      </c>
      <c r="GQ3" t="e">
        <f>ECS!I35+"$61^!.x"</f>
        <v>#VALUE!</v>
      </c>
      <c r="GR3" t="e">
        <f>ECS!#REF!+"$61^!.y"</f>
        <v>#REF!</v>
      </c>
      <c r="GS3" t="e">
        <f>ECS!B36+"$61^!.z"</f>
        <v>#VALUE!</v>
      </c>
      <c r="GT3" t="e">
        <f>ECS!#REF!+"$61^!.{"</f>
        <v>#REF!</v>
      </c>
      <c r="GU3" t="e">
        <f>ECS!C36+"$61^!.|"</f>
        <v>#VALUE!</v>
      </c>
      <c r="GV3" t="e">
        <f>ECS!D36+"$61^!.}"</f>
        <v>#VALUE!</v>
      </c>
      <c r="GW3" t="e">
        <f>ECS!E36+"$61^!.~"</f>
        <v>#VALUE!</v>
      </c>
      <c r="GX3" t="e">
        <f>ECS!G36+"$61^!/#"</f>
        <v>#VALUE!</v>
      </c>
      <c r="GY3" t="e">
        <f>ECS!#REF!+"$61^!/$"</f>
        <v>#REF!</v>
      </c>
      <c r="GZ3" t="e">
        <f>ECS!#REF!+"$61^!/%"</f>
        <v>#REF!</v>
      </c>
      <c r="HA3" t="e">
        <f>ECS!#REF!+"$61^!/&amp;"</f>
        <v>#REF!</v>
      </c>
      <c r="HB3" t="e">
        <f>ECS!I36+"$61^!/'"</f>
        <v>#VALUE!</v>
      </c>
      <c r="HC3" t="e">
        <f>ECS!#REF!+"$61^!/("</f>
        <v>#REF!</v>
      </c>
      <c r="HD3" t="e">
        <f>ECS!B37+"$61^!/)"</f>
        <v>#VALUE!</v>
      </c>
      <c r="HE3" t="e">
        <f>ECS!#REF!+"$61^!/."</f>
        <v>#REF!</v>
      </c>
      <c r="HF3" t="e">
        <f>ECS!C37+"$61^!//"</f>
        <v>#VALUE!</v>
      </c>
      <c r="HG3" t="e">
        <f>ECS!D37+"$61^!/0"</f>
        <v>#VALUE!</v>
      </c>
      <c r="HH3" t="e">
        <f>ECS!E37+"$61^!/1"</f>
        <v>#VALUE!</v>
      </c>
      <c r="HI3" t="e">
        <f>ECS!G37+"$61^!/2"</f>
        <v>#VALUE!</v>
      </c>
      <c r="HJ3" t="e">
        <f>ECS!#REF!+"$61^!/3"</f>
        <v>#REF!</v>
      </c>
      <c r="HK3" t="e">
        <f>ECS!#REF!+"$61^!/4"</f>
        <v>#REF!</v>
      </c>
      <c r="HL3" t="e">
        <f>ECS!#REF!+"$61^!/5"</f>
        <v>#REF!</v>
      </c>
      <c r="HM3" t="e">
        <f>ECS!I37+"$61^!/6"</f>
        <v>#VALUE!</v>
      </c>
      <c r="HN3" t="e">
        <f>ECS!#REF!+"$61^!/7"</f>
        <v>#REF!</v>
      </c>
      <c r="HO3" t="e">
        <f>ECS!B38+"$61^!/8"</f>
        <v>#VALUE!</v>
      </c>
      <c r="HP3" t="e">
        <f>ECS!#REF!+"$61^!/9"</f>
        <v>#REF!</v>
      </c>
      <c r="HQ3" t="e">
        <f>ECS!C38+"$61^!/:"</f>
        <v>#VALUE!</v>
      </c>
      <c r="HR3" t="e">
        <f>ECS!D38+"$61^!/;"</f>
        <v>#VALUE!</v>
      </c>
      <c r="HS3" t="e">
        <f>ECS!E38+"$61^!/&lt;"</f>
        <v>#VALUE!</v>
      </c>
      <c r="HT3" t="e">
        <f>ECS!G38+"$61^!/="</f>
        <v>#VALUE!</v>
      </c>
      <c r="HU3" t="e">
        <f>ECS!#REF!+"$61^!/&gt;"</f>
        <v>#REF!</v>
      </c>
      <c r="HV3" t="e">
        <f>ECS!#REF!+"$61^!/?"</f>
        <v>#REF!</v>
      </c>
      <c r="HW3" t="e">
        <f>ECS!#REF!+"$61^!/@"</f>
        <v>#REF!</v>
      </c>
      <c r="HX3" t="e">
        <f>ECS!I38+"$61^!/A"</f>
        <v>#VALUE!</v>
      </c>
      <c r="HY3" t="e">
        <f>ECS!#REF!+"$61^!/B"</f>
        <v>#REF!</v>
      </c>
      <c r="HZ3" t="e">
        <f>ECS!B39+"$61^!/C"</f>
        <v>#VALUE!</v>
      </c>
      <c r="IA3" t="e">
        <f>ECS!#REF!+"$61^!/D"</f>
        <v>#REF!</v>
      </c>
      <c r="IB3" t="e">
        <f>ECS!C39+"$61^!/E"</f>
        <v>#VALUE!</v>
      </c>
      <c r="IC3" t="e">
        <f>ECS!D39+"$61^!/F"</f>
        <v>#VALUE!</v>
      </c>
      <c r="ID3" t="e">
        <f>ECS!E39+"$61^!/G"</f>
        <v>#VALUE!</v>
      </c>
      <c r="IE3" t="e">
        <f>ECS!G39+"$61^!/H"</f>
        <v>#VALUE!</v>
      </c>
      <c r="IF3" t="e">
        <f>ECS!#REF!+"$61^!/I"</f>
        <v>#REF!</v>
      </c>
      <c r="IG3" t="e">
        <f>ECS!#REF!+"$61^!/J"</f>
        <v>#REF!</v>
      </c>
      <c r="IH3" t="e">
        <f>ECS!#REF!+"$61^!/K"</f>
        <v>#REF!</v>
      </c>
      <c r="II3" t="e">
        <f>ECS!I39+"$61^!/L"</f>
        <v>#VALUE!</v>
      </c>
      <c r="IJ3" t="e">
        <f>ECS!#REF!+"$61^!/M"</f>
        <v>#REF!</v>
      </c>
      <c r="IK3" t="e">
        <f>ECS!B40+"$61^!/N"</f>
        <v>#VALUE!</v>
      </c>
      <c r="IL3" t="e">
        <f>ECS!#REF!+"$61^!/O"</f>
        <v>#REF!</v>
      </c>
      <c r="IM3" t="e">
        <f>ECS!C40+"$61^!/P"</f>
        <v>#VALUE!</v>
      </c>
      <c r="IN3" t="e">
        <f>ECS!D40+"$61^!/Q"</f>
        <v>#VALUE!</v>
      </c>
      <c r="IO3" t="e">
        <f>ECS!E40+"$61^!/R"</f>
        <v>#VALUE!</v>
      </c>
      <c r="IP3" t="e">
        <f>ECS!G40+"$61^!/S"</f>
        <v>#VALUE!</v>
      </c>
      <c r="IQ3" t="e">
        <f>ECS!#REF!+"$61^!/T"</f>
        <v>#REF!</v>
      </c>
      <c r="IR3" t="e">
        <f>ECS!#REF!+"$61^!/U"</f>
        <v>#REF!</v>
      </c>
      <c r="IS3" t="e">
        <f>ECS!#REF!+"$61^!/V"</f>
        <v>#REF!</v>
      </c>
      <c r="IT3" t="e">
        <f>ECS!I40+"$61^!/W"</f>
        <v>#VALUE!</v>
      </c>
      <c r="IU3" t="e">
        <f>ECS!#REF!+"$61^!/X"</f>
        <v>#REF!</v>
      </c>
      <c r="IV3" t="e">
        <f>ECS!B41+"$61^!/Y"</f>
        <v>#VALUE!</v>
      </c>
    </row>
    <row r="4" spans="1:256" x14ac:dyDescent="0.2">
      <c r="A4" t="s">
        <v>71</v>
      </c>
      <c r="F4" t="e">
        <f>ECS!#REF!+"$61^!/Z"</f>
        <v>#REF!</v>
      </c>
      <c r="G4" t="e">
        <f>ECS!C41+"$61^!/["</f>
        <v>#VALUE!</v>
      </c>
      <c r="H4" t="e">
        <f>ECS!D41+"$61^!/\"</f>
        <v>#VALUE!</v>
      </c>
      <c r="I4" t="e">
        <f>ECS!E41+"$61^!/]"</f>
        <v>#VALUE!</v>
      </c>
      <c r="J4" t="e">
        <f>ECS!G41+"$61^!/^"</f>
        <v>#VALUE!</v>
      </c>
      <c r="K4" t="e">
        <f>ECS!#REF!+"$61^!/_"</f>
        <v>#REF!</v>
      </c>
      <c r="L4" t="e">
        <f>ECS!#REF!+"$61^!/`"</f>
        <v>#REF!</v>
      </c>
      <c r="M4" t="e">
        <f>ECS!#REF!+"$61^!/a"</f>
        <v>#REF!</v>
      </c>
      <c r="N4" t="e">
        <f>ECS!I41+"$61^!/b"</f>
        <v>#VALUE!</v>
      </c>
      <c r="O4" t="e">
        <f>ECS!#REF!+"$61^!/c"</f>
        <v>#REF!</v>
      </c>
      <c r="P4" t="e">
        <f>ECS!B42+"$61^!/d"</f>
        <v>#VALUE!</v>
      </c>
      <c r="Q4" t="e">
        <f>ECS!#REF!+"$61^!/e"</f>
        <v>#REF!</v>
      </c>
      <c r="R4" t="e">
        <f>ECS!C42+"$61^!/f"</f>
        <v>#VALUE!</v>
      </c>
      <c r="S4" t="e">
        <f>ECS!D42+"$61^!/g"</f>
        <v>#VALUE!</v>
      </c>
      <c r="T4" t="e">
        <f>ECS!E42+"$61^!/h"</f>
        <v>#VALUE!</v>
      </c>
      <c r="U4" t="e">
        <f>ECS!G42+"$61^!/i"</f>
        <v>#VALUE!</v>
      </c>
      <c r="V4" t="e">
        <f>ECS!#REF!+"$61^!/j"</f>
        <v>#REF!</v>
      </c>
      <c r="W4" t="e">
        <f>ECS!#REF!+"$61^!/k"</f>
        <v>#REF!</v>
      </c>
      <c r="X4" t="e">
        <f>ECS!#REF!+"$61^!/l"</f>
        <v>#REF!</v>
      </c>
      <c r="Y4" t="e">
        <f>ECS!I42+"$61^!/m"</f>
        <v>#VALUE!</v>
      </c>
      <c r="Z4" t="e">
        <f>ECS!#REF!+"$61^!/n"</f>
        <v>#REF!</v>
      </c>
      <c r="AA4" t="e">
        <f>ECS!B43+"$61^!/o"</f>
        <v>#VALUE!</v>
      </c>
      <c r="AB4" t="e">
        <f>ECS!#REF!+"$61^!/p"</f>
        <v>#REF!</v>
      </c>
      <c r="AC4" t="e">
        <f>ECS!C43+"$61^!/q"</f>
        <v>#VALUE!</v>
      </c>
      <c r="AD4" t="e">
        <f>ECS!D43+"$61^!/r"</f>
        <v>#VALUE!</v>
      </c>
      <c r="AE4" t="e">
        <f>ECS!E43+"$61^!/s"</f>
        <v>#VALUE!</v>
      </c>
      <c r="AF4" t="e">
        <f>ECS!G43+"$61^!/t"</f>
        <v>#VALUE!</v>
      </c>
      <c r="AG4" t="e">
        <f>ECS!#REF!+"$61^!/u"</f>
        <v>#REF!</v>
      </c>
      <c r="AH4" t="e">
        <f>ECS!#REF!+"$61^!/v"</f>
        <v>#REF!</v>
      </c>
      <c r="AI4" t="e">
        <f>ECS!#REF!+"$61^!/w"</f>
        <v>#REF!</v>
      </c>
      <c r="AJ4" t="e">
        <f>ECS!I43+"$61^!/x"</f>
        <v>#VALUE!</v>
      </c>
      <c r="AK4" t="e">
        <f>ECS!#REF!+"$61^!/y"</f>
        <v>#REF!</v>
      </c>
      <c r="AL4" t="e">
        <f>ECS!B44+"$61^!/z"</f>
        <v>#VALUE!</v>
      </c>
      <c r="AM4" t="e">
        <f>ECS!#REF!+"$61^!/{"</f>
        <v>#REF!</v>
      </c>
      <c r="AN4" t="e">
        <f>ECS!C44+"$61^!/|"</f>
        <v>#VALUE!</v>
      </c>
      <c r="AO4" t="e">
        <f>ECS!D44+"$61^!/}"</f>
        <v>#VALUE!</v>
      </c>
      <c r="AP4" t="e">
        <f>ECS!E44+"$61^!/~"</f>
        <v>#VALUE!</v>
      </c>
      <c r="AQ4" t="e">
        <f>ECS!I45+"$61^!0#"</f>
        <v>#VALUE!</v>
      </c>
      <c r="AR4" t="e">
        <f>ECS!#REF!+"$61^!0$"</f>
        <v>#REF!</v>
      </c>
      <c r="AS4" t="e">
        <f>ECS!#REF!+"$61^!0%"</f>
        <v>#REF!</v>
      </c>
      <c r="AT4" t="e">
        <f>ECS!#REF!+"$61^!0&amp;"</f>
        <v>#REF!</v>
      </c>
      <c r="AU4" t="e">
        <f>ECS!I44+"$61^!0'"</f>
        <v>#VALUE!</v>
      </c>
      <c r="AV4" t="e">
        <f>ECS!#REF!+"$61^!0("</f>
        <v>#REF!</v>
      </c>
      <c r="AW4" t="e">
        <f>ECS!B45+"$61^!0)"</f>
        <v>#VALUE!</v>
      </c>
      <c r="AX4" t="e">
        <f>ECS!#REF!+"$61^!0."</f>
        <v>#REF!</v>
      </c>
      <c r="AY4" t="e">
        <f>ECS!C45+"$61^!0/"</f>
        <v>#VALUE!</v>
      </c>
      <c r="AZ4" t="e">
        <f>ECS!D45+"$61^!00"</f>
        <v>#VALUE!</v>
      </c>
      <c r="BA4" t="e">
        <f>ECS!E45+"$61^!01"</f>
        <v>#VALUE!</v>
      </c>
      <c r="BB4" t="e">
        <f>ECS!G45+"$61^!02"</f>
        <v>#VALUE!</v>
      </c>
      <c r="BC4" t="e">
        <f>ECS!#REF!+"$61^!03"</f>
        <v>#REF!</v>
      </c>
      <c r="BD4" t="e">
        <f>ECS!#REF!+"$61^!04"</f>
        <v>#REF!</v>
      </c>
      <c r="BE4" t="e">
        <f>ECS!#REF!+"$61^!05"</f>
        <v>#REF!</v>
      </c>
      <c r="BF4" t="e">
        <f>ECS!#REF!+"$61^!06"</f>
        <v>#REF!</v>
      </c>
      <c r="BG4" t="e">
        <f>ECS!#REF!+"$61^!07"</f>
        <v>#REF!</v>
      </c>
      <c r="BH4" t="e">
        <f>ECS!B46+"$61^!08"</f>
        <v>#VALUE!</v>
      </c>
      <c r="BI4" t="e">
        <f>ECS!#REF!+"$61^!09"</f>
        <v>#REF!</v>
      </c>
      <c r="BJ4" t="e">
        <f>ECS!C46+"$61^!0:"</f>
        <v>#VALUE!</v>
      </c>
      <c r="BK4" t="e">
        <f>ECS!D46+"$61^!0;"</f>
        <v>#VALUE!</v>
      </c>
      <c r="BL4" t="e">
        <f>ECS!E46+"$61^!0&lt;"</f>
        <v>#VALUE!</v>
      </c>
      <c r="BM4" t="e">
        <f>ECS!G46+"$61^!0="</f>
        <v>#VALUE!</v>
      </c>
      <c r="BN4" t="e">
        <f>ECS!#REF!+"$61^!0&gt;"</f>
        <v>#REF!</v>
      </c>
      <c r="BO4" t="e">
        <f>ECS!#REF!+"$61^!0?"</f>
        <v>#REF!</v>
      </c>
      <c r="BP4" t="e">
        <f>ECS!#REF!+"$61^!0@"</f>
        <v>#REF!</v>
      </c>
      <c r="BQ4" t="e">
        <f>ECS!I46+"$61^!0A"</f>
        <v>#VALUE!</v>
      </c>
      <c r="BR4" t="e">
        <f>ECS!#REF!+"$61^!0B"</f>
        <v>#REF!</v>
      </c>
      <c r="BS4" t="e">
        <f>ECS!B47+"$61^!0C"</f>
        <v>#VALUE!</v>
      </c>
      <c r="BT4" t="e">
        <f>ECS!#REF!+"$61^!0D"</f>
        <v>#REF!</v>
      </c>
      <c r="BU4" t="e">
        <f>ECS!C47+"$61^!0E"</f>
        <v>#VALUE!</v>
      </c>
      <c r="BV4" t="e">
        <f>ECS!D47+"$61^!0F"</f>
        <v>#VALUE!</v>
      </c>
      <c r="BW4" t="e">
        <f>ECS!E47+"$61^!0G"</f>
        <v>#VALUE!</v>
      </c>
      <c r="BX4" t="e">
        <f>ECS!G47+"$61^!0H"</f>
        <v>#VALUE!</v>
      </c>
      <c r="BY4" t="e">
        <f>ECS!#REF!+"$61^!0I"</f>
        <v>#REF!</v>
      </c>
      <c r="BZ4" t="e">
        <f>ECS!#REF!+"$61^!0J"</f>
        <v>#REF!</v>
      </c>
      <c r="CA4" t="e">
        <f>ECS!#REF!+"$61^!0K"</f>
        <v>#REF!</v>
      </c>
      <c r="CB4" t="e">
        <f>ECS!I47+"$61^!0L"</f>
        <v>#VALUE!</v>
      </c>
      <c r="CC4" t="e">
        <f>ECS!#REF!+"$61^!0M"</f>
        <v>#REF!</v>
      </c>
      <c r="CD4" t="e">
        <f>ECS!B48+"$61^!0N"</f>
        <v>#VALUE!</v>
      </c>
      <c r="CE4" t="e">
        <f>ECS!#REF!+"$61^!0O"</f>
        <v>#REF!</v>
      </c>
      <c r="CF4" t="e">
        <f>ECS!C48+"$61^!0P"</f>
        <v>#VALUE!</v>
      </c>
      <c r="CG4" t="e">
        <f>ECS!D48+"$61^!0Q"</f>
        <v>#VALUE!</v>
      </c>
      <c r="CH4" t="e">
        <f>ECS!E48+"$61^!0R"</f>
        <v>#VALUE!</v>
      </c>
      <c r="CI4" t="e">
        <f>ECS!G48+"$61^!0S"</f>
        <v>#VALUE!</v>
      </c>
      <c r="CJ4" t="e">
        <f>ECS!#REF!+"$61^!0T"</f>
        <v>#REF!</v>
      </c>
      <c r="CK4" t="e">
        <f>ECS!#REF!+"$61^!0U"</f>
        <v>#REF!</v>
      </c>
      <c r="CL4" t="e">
        <f>ECS!#REF!+"$61^!0V"</f>
        <v>#REF!</v>
      </c>
      <c r="CM4" t="e">
        <f>ECS!I48+"$61^!0W"</f>
        <v>#VALUE!</v>
      </c>
      <c r="CN4" t="e">
        <f>ECS!#REF!+"$61^!0X"</f>
        <v>#REF!</v>
      </c>
      <c r="CO4" t="e">
        <f>ECS!B49+"$61^!0Y"</f>
        <v>#VALUE!</v>
      </c>
      <c r="CP4" t="e">
        <f>ECS!#REF!+"$61^!0Z"</f>
        <v>#REF!</v>
      </c>
      <c r="CQ4" t="e">
        <f>ECS!C49+"$61^!0["</f>
        <v>#VALUE!</v>
      </c>
      <c r="CR4" t="e">
        <f>ECS!D49+"$61^!0\"</f>
        <v>#VALUE!</v>
      </c>
      <c r="CS4" t="e">
        <f>ECS!E49+"$61^!0]"</f>
        <v>#VALUE!</v>
      </c>
      <c r="CT4" t="e">
        <f>ECS!G49+"$61^!0^"</f>
        <v>#VALUE!</v>
      </c>
      <c r="CU4" t="e">
        <f>ECS!#REF!+"$61^!0_"</f>
        <v>#REF!</v>
      </c>
      <c r="CV4" t="e">
        <f>ECS!#REF!+"$61^!0`"</f>
        <v>#REF!</v>
      </c>
      <c r="CW4" t="e">
        <f>ECS!#REF!+"$61^!0a"</f>
        <v>#REF!</v>
      </c>
      <c r="CX4" t="e">
        <f>ECS!I49+"$61^!0b"</f>
        <v>#VALUE!</v>
      </c>
      <c r="CY4" t="e">
        <f>ECS!#REF!+"$61^!0c"</f>
        <v>#REF!</v>
      </c>
      <c r="CZ4" t="e">
        <f>ECS!B50+"$61^!0d"</f>
        <v>#VALUE!</v>
      </c>
      <c r="DA4" t="e">
        <f>ECS!#REF!+"$61^!0e"</f>
        <v>#REF!</v>
      </c>
      <c r="DB4" t="e">
        <f>ECS!C50+"$61^!0f"</f>
        <v>#VALUE!</v>
      </c>
      <c r="DC4" t="e">
        <f>ECS!D50+"$61^!0g"</f>
        <v>#VALUE!</v>
      </c>
      <c r="DD4" t="e">
        <f>ECS!E50+"$61^!0h"</f>
        <v>#VALUE!</v>
      </c>
      <c r="DE4" t="e">
        <f>ECS!G50+"$61^!0i"</f>
        <v>#VALUE!</v>
      </c>
      <c r="DF4" t="e">
        <f>ECS!#REF!+"$61^!0j"</f>
        <v>#REF!</v>
      </c>
      <c r="DG4" t="e">
        <f>ECS!#REF!+"$61^!0k"</f>
        <v>#REF!</v>
      </c>
      <c r="DH4" t="e">
        <f>ECS!#REF!+"$61^!0l"</f>
        <v>#REF!</v>
      </c>
      <c r="DI4" t="e">
        <f>ECS!I50+"$61^!0m"</f>
        <v>#VALUE!</v>
      </c>
      <c r="DJ4" t="e">
        <f>ECS!#REF!+"$61^!0n"</f>
        <v>#REF!</v>
      </c>
      <c r="DK4" t="e">
        <f>ECS!B51+"$61^!0o"</f>
        <v>#VALUE!</v>
      </c>
      <c r="DL4" t="e">
        <f>ECS!#REF!+"$61^!0p"</f>
        <v>#REF!</v>
      </c>
      <c r="DM4" t="e">
        <f>ECS!C51+"$61^!0q"</f>
        <v>#VALUE!</v>
      </c>
      <c r="DN4" t="e">
        <f>ECS!D51+"$61^!0r"</f>
        <v>#VALUE!</v>
      </c>
      <c r="DO4" t="e">
        <f>ECS!E51+"$61^!0s"</f>
        <v>#VALUE!</v>
      </c>
      <c r="DP4" t="e">
        <f>ECS!G51+"$61^!0t"</f>
        <v>#VALUE!</v>
      </c>
      <c r="DQ4" t="e">
        <f>ECS!#REF!+"$61^!0u"</f>
        <v>#REF!</v>
      </c>
      <c r="DR4" t="e">
        <f>ECS!#REF!+"$61^!0v"</f>
        <v>#REF!</v>
      </c>
      <c r="DS4" t="e">
        <f>ECS!#REF!+"$61^!0w"</f>
        <v>#REF!</v>
      </c>
      <c r="DT4" t="e">
        <f>ECS!I51+"$61^!0x"</f>
        <v>#VALUE!</v>
      </c>
      <c r="DU4" t="e">
        <f>ECS!#REF!+"$61^!0y"</f>
        <v>#REF!</v>
      </c>
      <c r="DV4" t="e">
        <f>ECS!B52+"$61^!0z"</f>
        <v>#VALUE!</v>
      </c>
      <c r="DW4" t="e">
        <f>ECS!#REF!+"$61^!0{"</f>
        <v>#REF!</v>
      </c>
      <c r="DX4" t="e">
        <f>ECS!C52+"$61^!0|"</f>
        <v>#VALUE!</v>
      </c>
      <c r="DY4" t="e">
        <f>ECS!#REF!+"$61^!0}"</f>
        <v>#REF!</v>
      </c>
      <c r="DZ4" t="e">
        <f>ECS!#REF!+"$61^!0~"</f>
        <v>#REF!</v>
      </c>
      <c r="EA4" t="e">
        <f>ECS!D52+"$61^!1#"</f>
        <v>#VALUE!</v>
      </c>
      <c r="EB4" t="e">
        <f>ECS!E52+"$61^!1$"</f>
        <v>#VALUE!</v>
      </c>
      <c r="EC4" t="e">
        <f>ECS!#REF!+"$61^!1%"</f>
        <v>#REF!</v>
      </c>
      <c r="ED4" t="e">
        <f>ECS!#REF!+"$61^!1&amp;"</f>
        <v>#REF!</v>
      </c>
      <c r="EE4" t="e">
        <f>ECS!I52+"$61^!1'"</f>
        <v>#VALUE!</v>
      </c>
      <c r="EF4" t="e">
        <f>ECS!#REF!+"$61^!1("</f>
        <v>#REF!</v>
      </c>
      <c r="EG4" t="e">
        <f>ECS!B53+"$61^!1)"</f>
        <v>#VALUE!</v>
      </c>
      <c r="EH4" t="e">
        <f>ECS!#REF!+"$61^!1."</f>
        <v>#REF!</v>
      </c>
      <c r="EI4" t="e">
        <f>ECS!C53+"$61^!1/"</f>
        <v>#VALUE!</v>
      </c>
      <c r="EJ4" t="e">
        <f>ECS!#REF!+"$61^!10"</f>
        <v>#REF!</v>
      </c>
      <c r="EK4" t="e">
        <f>ECS!#REF!+"$61^!11"</f>
        <v>#REF!</v>
      </c>
      <c r="EL4" t="e">
        <f>ECS!D53+"$61^!12"</f>
        <v>#VALUE!</v>
      </c>
      <c r="EM4" t="e">
        <f>ECS!E53+"$61^!13"</f>
        <v>#VALUE!</v>
      </c>
      <c r="EN4" t="e">
        <f>ECS!#REF!+"$61^!14"</f>
        <v>#REF!</v>
      </c>
      <c r="EO4" t="e">
        <f>ECS!#REF!+"$61^!15"</f>
        <v>#REF!</v>
      </c>
      <c r="EP4" t="e">
        <f>ECS!I53+"$61^!16"</f>
        <v>#VALUE!</v>
      </c>
      <c r="EQ4" t="e">
        <f>ECS!#REF!+"$61^!17"</f>
        <v>#REF!</v>
      </c>
      <c r="ER4" t="e">
        <f>ECS!B54+"$61^!18"</f>
        <v>#VALUE!</v>
      </c>
      <c r="ES4" t="e">
        <f>ECS!#REF!+"$61^!19"</f>
        <v>#REF!</v>
      </c>
      <c r="ET4" t="e">
        <f>ECS!C54+"$61^!1:"</f>
        <v>#VALUE!</v>
      </c>
      <c r="EU4" t="e">
        <f>ECS!D54+"$61^!1;"</f>
        <v>#VALUE!</v>
      </c>
      <c r="EV4" t="e">
        <f>ECS!E54+"$61^!1&lt;"</f>
        <v>#VALUE!</v>
      </c>
      <c r="EW4" t="e">
        <f>ECS!G54+"$61^!1="</f>
        <v>#VALUE!</v>
      </c>
      <c r="EX4" t="e">
        <f>ECS!#REF!+"$61^!1&gt;"</f>
        <v>#REF!</v>
      </c>
      <c r="EY4" t="e">
        <f>ECS!#REF!+"$61^!1?"</f>
        <v>#REF!</v>
      </c>
      <c r="EZ4" t="e">
        <f>ECS!#REF!+"$61^!1@"</f>
        <v>#REF!</v>
      </c>
      <c r="FA4" t="e">
        <f>ECS!I54+"$61^!1A"</f>
        <v>#VALUE!</v>
      </c>
      <c r="FB4" t="e">
        <f>ECS!#REF!+"$61^!1B"</f>
        <v>#REF!</v>
      </c>
      <c r="FC4" t="e">
        <f>ECS!B55+"$61^!1C"</f>
        <v>#VALUE!</v>
      </c>
      <c r="FD4" t="e">
        <f>ECS!#REF!+"$61^!1D"</f>
        <v>#REF!</v>
      </c>
      <c r="FE4" t="e">
        <f>ECS!C55+"$61^!1E"</f>
        <v>#VALUE!</v>
      </c>
      <c r="FF4" t="e">
        <f>ECS!D55+"$61^!1F"</f>
        <v>#VALUE!</v>
      </c>
      <c r="FG4" t="e">
        <f>ECS!E55+"$61^!1G"</f>
        <v>#VALUE!</v>
      </c>
      <c r="FH4" t="e">
        <f>ECS!G55+"$61^!1H"</f>
        <v>#VALUE!</v>
      </c>
      <c r="FI4" t="e">
        <f>ECS!#REF!+"$61^!1I"</f>
        <v>#REF!</v>
      </c>
      <c r="FJ4" t="e">
        <f>ECS!#REF!+"$61^!1J"</f>
        <v>#REF!</v>
      </c>
      <c r="FK4" t="e">
        <f>ECS!#REF!+"$61^!1K"</f>
        <v>#REF!</v>
      </c>
      <c r="FL4" t="e">
        <f>ECS!I55+"$61^!1L"</f>
        <v>#VALUE!</v>
      </c>
      <c r="FM4" t="e">
        <f>ECS!#REF!+"$61^!1M"</f>
        <v>#REF!</v>
      </c>
      <c r="FN4" t="e">
        <f>ECS!B56+"$61^!1N"</f>
        <v>#VALUE!</v>
      </c>
      <c r="FO4" t="e">
        <f>ECS!#REF!+"$61^!1O"</f>
        <v>#REF!</v>
      </c>
      <c r="FP4" t="e">
        <f>ECS!C56+"$61^!1P"</f>
        <v>#VALUE!</v>
      </c>
      <c r="FQ4" t="e">
        <f>ECS!D56+"$61^!1Q"</f>
        <v>#VALUE!</v>
      </c>
      <c r="FR4" t="e">
        <f>ECS!E56+"$61^!1R"</f>
        <v>#VALUE!</v>
      </c>
      <c r="FS4" t="e">
        <f>ECS!G56+"$61^!1S"</f>
        <v>#VALUE!</v>
      </c>
      <c r="FT4" t="e">
        <f>ECS!#REF!+"$61^!1T"</f>
        <v>#REF!</v>
      </c>
      <c r="FU4" t="e">
        <f>ECS!#REF!+"$61^!1U"</f>
        <v>#REF!</v>
      </c>
      <c r="FV4" t="e">
        <f>ECS!#REF!+"$61^!1V"</f>
        <v>#REF!</v>
      </c>
      <c r="FW4" t="e">
        <f>ECS!I56+"$61^!1W"</f>
        <v>#VALUE!</v>
      </c>
      <c r="FX4" t="e">
        <f>ECS!#REF!+"$61^!1X"</f>
        <v>#REF!</v>
      </c>
      <c r="FY4" t="e">
        <f>ECS!B57+"$61^!1Y"</f>
        <v>#VALUE!</v>
      </c>
      <c r="FZ4" t="e">
        <f>ECS!#REF!+"$61^!1Z"</f>
        <v>#REF!</v>
      </c>
      <c r="GA4" t="e">
        <f>ECS!C57+"$61^!1["</f>
        <v>#VALUE!</v>
      </c>
      <c r="GB4" t="e">
        <f>ECS!D57+"$61^!1\"</f>
        <v>#VALUE!</v>
      </c>
      <c r="GC4" t="e">
        <f>ECS!E57+"$61^!1]"</f>
        <v>#VALUE!</v>
      </c>
      <c r="GD4" t="e">
        <f>ECS!G57+"$61^!1^"</f>
        <v>#VALUE!</v>
      </c>
      <c r="GE4" t="e">
        <f>ECS!#REF!+"$61^!1_"</f>
        <v>#REF!</v>
      </c>
      <c r="GF4" t="e">
        <f>ECS!#REF!+"$61^!1`"</f>
        <v>#REF!</v>
      </c>
      <c r="GG4" t="e">
        <f>ECS!#REF!+"$61^!1a"</f>
        <v>#REF!</v>
      </c>
      <c r="GH4" t="e">
        <f>ECS!I57+"$61^!1b"</f>
        <v>#VALUE!</v>
      </c>
      <c r="GI4" t="e">
        <f>ECS!#REF!+"$61^!1c"</f>
        <v>#REF!</v>
      </c>
      <c r="GJ4" t="e">
        <f>ECS!B58+"$61^!1d"</f>
        <v>#VALUE!</v>
      </c>
      <c r="GK4" t="e">
        <f>ECS!#REF!+"$61^!1e"</f>
        <v>#REF!</v>
      </c>
      <c r="GL4" t="e">
        <f>ECS!C58+"$61^!1f"</f>
        <v>#VALUE!</v>
      </c>
      <c r="GM4" t="e">
        <f>ECS!D58+"$61^!1g"</f>
        <v>#VALUE!</v>
      </c>
      <c r="GN4" t="e">
        <f>ECS!E58+"$61^!1h"</f>
        <v>#VALUE!</v>
      </c>
      <c r="GO4" t="e">
        <f>ECS!G58+"$61^!1i"</f>
        <v>#VALUE!</v>
      </c>
      <c r="GP4" t="e">
        <f>ECS!#REF!+"$61^!1j"</f>
        <v>#REF!</v>
      </c>
      <c r="GQ4" t="e">
        <f>ECS!#REF!+"$61^!1k"</f>
        <v>#REF!</v>
      </c>
      <c r="GR4" t="e">
        <f>ECS!#REF!+"$61^!1l"</f>
        <v>#REF!</v>
      </c>
      <c r="GS4" t="e">
        <f>ECS!I58+"$61^!1m"</f>
        <v>#VALUE!</v>
      </c>
      <c r="GT4" t="e">
        <f>ECS!#REF!+"$61^!1n"</f>
        <v>#REF!</v>
      </c>
      <c r="GU4" t="e">
        <f>ECS!B59+"$61^!1o"</f>
        <v>#VALUE!</v>
      </c>
      <c r="GV4" t="e">
        <f>ECS!#REF!+"$61^!1p"</f>
        <v>#REF!</v>
      </c>
      <c r="GW4" t="e">
        <f>ECS!C59+"$61^!1q"</f>
        <v>#VALUE!</v>
      </c>
      <c r="GX4" t="e">
        <f>ECS!D59+"$61^!1r"</f>
        <v>#VALUE!</v>
      </c>
      <c r="GY4" t="e">
        <f>ECS!E59+"$61^!1s"</f>
        <v>#VALUE!</v>
      </c>
      <c r="GZ4" t="e">
        <f>ECS!G59+"$61^!1t"</f>
        <v>#VALUE!</v>
      </c>
      <c r="HA4" t="e">
        <f>ECS!#REF!+"$61^!1u"</f>
        <v>#REF!</v>
      </c>
      <c r="HB4" t="e">
        <f>ECS!#REF!+"$61^!1v"</f>
        <v>#REF!</v>
      </c>
      <c r="HC4" t="e">
        <f>ECS!#REF!+"$61^!1w"</f>
        <v>#REF!</v>
      </c>
      <c r="HD4" t="e">
        <f>ECS!I59+"$61^!1x"</f>
        <v>#VALUE!</v>
      </c>
      <c r="HE4" t="e">
        <f>ECS!#REF!+"$61^!1y"</f>
        <v>#REF!</v>
      </c>
      <c r="HF4" t="e">
        <f>ECS!B60+"$61^!1z"</f>
        <v>#VALUE!</v>
      </c>
      <c r="HG4" t="e">
        <f>ECS!#REF!+"$61^!1{"</f>
        <v>#REF!</v>
      </c>
      <c r="HH4" t="e">
        <f>ECS!C60+"$61^!1|"</f>
        <v>#VALUE!</v>
      </c>
      <c r="HI4" t="e">
        <f>ECS!D60+"$61^!1}"</f>
        <v>#VALUE!</v>
      </c>
      <c r="HJ4" t="e">
        <f>ECS!E60+"$61^!1~"</f>
        <v>#VALUE!</v>
      </c>
      <c r="HK4" t="e">
        <f>ECS!G60+"$61^!2#"</f>
        <v>#VALUE!</v>
      </c>
      <c r="HL4" t="e">
        <f>ECS!#REF!+"$61^!2$"</f>
        <v>#REF!</v>
      </c>
      <c r="HM4" t="e">
        <f>ECS!#REF!+"$61^!2%"</f>
        <v>#REF!</v>
      </c>
      <c r="HN4" t="e">
        <f>ECS!#REF!+"$61^!2&amp;"</f>
        <v>#REF!</v>
      </c>
      <c r="HO4" t="e">
        <f>ECS!I60+"$61^!2'"</f>
        <v>#VALUE!</v>
      </c>
      <c r="HP4" t="e">
        <f>ECS!#REF!+"$61^!2("</f>
        <v>#REF!</v>
      </c>
      <c r="HQ4" t="e">
        <f>ECS!B61+"$61^!2)"</f>
        <v>#VALUE!</v>
      </c>
      <c r="HR4" t="e">
        <f>ECS!#REF!+"$61^!2."</f>
        <v>#REF!</v>
      </c>
      <c r="HS4" t="e">
        <f>ECS!C61+"$61^!2/"</f>
        <v>#VALUE!</v>
      </c>
      <c r="HT4" t="e">
        <f>ECS!D61+"$61^!20"</f>
        <v>#VALUE!</v>
      </c>
      <c r="HU4" t="e">
        <f>ECS!E61+"$61^!21"</f>
        <v>#VALUE!</v>
      </c>
      <c r="HV4" t="e">
        <f>ECS!G61+"$61^!22"</f>
        <v>#VALUE!</v>
      </c>
      <c r="HW4" t="e">
        <f>ECS!#REF!+"$61^!23"</f>
        <v>#REF!</v>
      </c>
      <c r="HX4" t="e">
        <f>ECS!#REF!+"$61^!24"</f>
        <v>#REF!</v>
      </c>
      <c r="HY4" t="e">
        <f>ECS!#REF!+"$61^!25"</f>
        <v>#REF!</v>
      </c>
      <c r="HZ4" t="e">
        <f>ECS!I61+"$61^!26"</f>
        <v>#VALUE!</v>
      </c>
      <c r="IA4" t="e">
        <f>ECS!#REF!+"$61^!27"</f>
        <v>#REF!</v>
      </c>
      <c r="IB4" t="e">
        <f>ECS!B62+"$61^!28"</f>
        <v>#VALUE!</v>
      </c>
      <c r="IC4" t="e">
        <f>ECS!#REF!+"$61^!29"</f>
        <v>#REF!</v>
      </c>
      <c r="ID4" t="e">
        <f>ECS!C62+"$61^!2:"</f>
        <v>#VALUE!</v>
      </c>
      <c r="IE4" t="e">
        <f>ECS!D62+"$61^!2;"</f>
        <v>#VALUE!</v>
      </c>
      <c r="IF4" t="e">
        <f>ECS!E62+"$61^!2&lt;"</f>
        <v>#VALUE!</v>
      </c>
      <c r="IG4" t="e">
        <f>ECS!G62+"$61^!2="</f>
        <v>#VALUE!</v>
      </c>
      <c r="IH4" t="e">
        <f>ECS!#REF!+"$61^!2&gt;"</f>
        <v>#REF!</v>
      </c>
      <c r="II4" t="e">
        <f>ECS!#REF!+"$61^!2?"</f>
        <v>#REF!</v>
      </c>
      <c r="IJ4" t="e">
        <f>ECS!#REF!+"$61^!2@"</f>
        <v>#REF!</v>
      </c>
      <c r="IK4" t="e">
        <f>ECS!I62+"$61^!2A"</f>
        <v>#VALUE!</v>
      </c>
      <c r="IL4" t="e">
        <f>ECS!#REF!+"$61^!2B"</f>
        <v>#REF!</v>
      </c>
      <c r="IM4" t="e">
        <f>ECS!B63+"$61^!2C"</f>
        <v>#VALUE!</v>
      </c>
      <c r="IN4" t="e">
        <f>ECS!#REF!+"$61^!2D"</f>
        <v>#REF!</v>
      </c>
      <c r="IO4" t="e">
        <f>ECS!C63+"$61^!2E"</f>
        <v>#VALUE!</v>
      </c>
      <c r="IP4" t="e">
        <f>ECS!D63+"$61^!2F"</f>
        <v>#VALUE!</v>
      </c>
      <c r="IQ4" t="e">
        <f>ECS!E63+"$61^!2G"</f>
        <v>#VALUE!</v>
      </c>
      <c r="IR4" t="e">
        <f>ECS!G63+"$61^!2H"</f>
        <v>#VALUE!</v>
      </c>
      <c r="IS4" t="e">
        <f>ECS!#REF!+"$61^!2I"</f>
        <v>#REF!</v>
      </c>
      <c r="IT4" t="e">
        <f>ECS!#REF!+"$61^!2J"</f>
        <v>#REF!</v>
      </c>
      <c r="IU4" t="e">
        <f>ECS!#REF!+"$61^!2K"</f>
        <v>#REF!</v>
      </c>
      <c r="IV4" t="e">
        <f>ECS!I63+"$61^!2L"</f>
        <v>#VALUE!</v>
      </c>
    </row>
    <row r="5" spans="1:256" x14ac:dyDescent="0.2">
      <c r="A5" t="s">
        <v>97</v>
      </c>
      <c r="F5" t="e">
        <f>ECS!#REF!+"$61^!2M"</f>
        <v>#REF!</v>
      </c>
      <c r="G5" t="e">
        <f>ECS!B64+"$61^!2N"</f>
        <v>#VALUE!</v>
      </c>
      <c r="H5" t="e">
        <f>ECS!#REF!+"$61^!2O"</f>
        <v>#REF!</v>
      </c>
      <c r="I5" t="e">
        <f>ECS!C64+"$61^!2P"</f>
        <v>#VALUE!</v>
      </c>
      <c r="J5" t="e">
        <f>ECS!D64+"$61^!2Q"</f>
        <v>#VALUE!</v>
      </c>
      <c r="K5" t="e">
        <f>ECS!E64+"$61^!2R"</f>
        <v>#VALUE!</v>
      </c>
      <c r="L5" t="e">
        <f>ECS!G64+"$61^!2S"</f>
        <v>#VALUE!</v>
      </c>
      <c r="M5" t="e">
        <f>ECS!#REF!+"$61^!2T"</f>
        <v>#REF!</v>
      </c>
      <c r="N5" t="e">
        <f>ECS!#REF!+"$61^!2U"</f>
        <v>#REF!</v>
      </c>
      <c r="O5" t="e">
        <f>ECS!#REF!+"$61^!2V"</f>
        <v>#REF!</v>
      </c>
      <c r="P5" t="e">
        <f>ECS!I64+"$61^!2W"</f>
        <v>#VALUE!</v>
      </c>
      <c r="Q5" t="e">
        <f>ECS!#REF!+"$61^!2X"</f>
        <v>#REF!</v>
      </c>
      <c r="R5" t="e">
        <f>ECS!B65+"$61^!2Y"</f>
        <v>#VALUE!</v>
      </c>
      <c r="S5" t="e">
        <f>ECS!#REF!+"$61^!2Z"</f>
        <v>#REF!</v>
      </c>
      <c r="T5" t="e">
        <f>ECS!C65+"$61^!2["</f>
        <v>#VALUE!</v>
      </c>
      <c r="U5" t="e">
        <f>ECS!D65+"$61^!2\"</f>
        <v>#VALUE!</v>
      </c>
      <c r="V5" t="e">
        <f>ECS!E65+"$61^!2]"</f>
        <v>#VALUE!</v>
      </c>
      <c r="W5" t="e">
        <f>ECS!#REF!+"$61^!2^"</f>
        <v>#REF!</v>
      </c>
      <c r="X5" t="e">
        <f>ECS!#REF!+"$61^!2_"</f>
        <v>#REF!</v>
      </c>
      <c r="Y5" t="e">
        <f>ECS!#REF!+"$61^!2`"</f>
        <v>#REF!</v>
      </c>
      <c r="Z5" t="e">
        <f>ECS!#REF!+"$61^!2a"</f>
        <v>#REF!</v>
      </c>
      <c r="AA5" t="e">
        <f>ECS!I65+"$61^!2b"</f>
        <v>#VALUE!</v>
      </c>
      <c r="AB5" t="e">
        <f>ECS!#REF!+"$61^!2c"</f>
        <v>#REF!</v>
      </c>
      <c r="AC5" t="e">
        <f>ECS!B66+"$61^!2d"</f>
        <v>#VALUE!</v>
      </c>
      <c r="AD5" t="e">
        <f>ECS!#REF!+"$61^!2e"</f>
        <v>#REF!</v>
      </c>
      <c r="AE5" t="e">
        <f>ECS!C66+"$61^!2f"</f>
        <v>#VALUE!</v>
      </c>
      <c r="AF5" t="e">
        <f>ECS!D66+"$61^!2g"</f>
        <v>#VALUE!</v>
      </c>
      <c r="AG5" t="e">
        <f>ECS!E66+"$61^!2h"</f>
        <v>#VALUE!</v>
      </c>
      <c r="AH5" t="e">
        <f>ECS!#REF!+"$61^!2i"</f>
        <v>#REF!</v>
      </c>
      <c r="AI5" t="e">
        <f>ECS!#REF!+"$61^!2j"</f>
        <v>#REF!</v>
      </c>
      <c r="AJ5" t="e">
        <f>ECS!#REF!+"$61^!2k"</f>
        <v>#REF!</v>
      </c>
      <c r="AK5" t="e">
        <f>ECS!#REF!+"$61^!2l"</f>
        <v>#REF!</v>
      </c>
      <c r="AL5" t="e">
        <f>ECS!I66+"$61^!2m"</f>
        <v>#VALUE!</v>
      </c>
      <c r="AM5" t="e">
        <f>ECS!#REF!+"$61^!2n"</f>
        <v>#REF!</v>
      </c>
      <c r="AN5" t="e">
        <f>ECS!B67+"$61^!2o"</f>
        <v>#VALUE!</v>
      </c>
      <c r="AO5" t="e">
        <f>ECS!#REF!+"$61^!2p"</f>
        <v>#REF!</v>
      </c>
      <c r="AP5" t="e">
        <f>ECS!C67+"$61^!2q"</f>
        <v>#VALUE!</v>
      </c>
      <c r="AQ5" t="e">
        <f>ECS!D67+"$61^!2r"</f>
        <v>#VALUE!</v>
      </c>
      <c r="AR5" t="e">
        <f>ECS!E67+"$61^!2s"</f>
        <v>#VALUE!</v>
      </c>
      <c r="AS5" t="e">
        <f>ECS!G65+"$61^!2t"</f>
        <v>#VALUE!</v>
      </c>
      <c r="AT5" t="e">
        <f>ECS!#REF!+"$61^!2u"</f>
        <v>#REF!</v>
      </c>
      <c r="AU5" t="e">
        <f>ECS!#REF!+"$61^!2v"</f>
        <v>#REF!</v>
      </c>
      <c r="AV5" t="e">
        <f>ECS!#REF!+"$61^!2w"</f>
        <v>#REF!</v>
      </c>
      <c r="AW5" t="e">
        <f>ECS!I67+"$61^!2x"</f>
        <v>#VALUE!</v>
      </c>
      <c r="AX5" t="e">
        <f>ECS!#REF!+"$61^!2y"</f>
        <v>#REF!</v>
      </c>
      <c r="AY5" t="e">
        <f>ECS!B68+"$61^!2z"</f>
        <v>#VALUE!</v>
      </c>
      <c r="AZ5" t="e">
        <f>ECS!#REF!+"$61^!2{"</f>
        <v>#REF!</v>
      </c>
      <c r="BA5" t="e">
        <f>ECS!C68+"$61^!2|"</f>
        <v>#VALUE!</v>
      </c>
      <c r="BB5" t="e">
        <f>ECS!D68+"$61^!2}"</f>
        <v>#VALUE!</v>
      </c>
      <c r="BC5" t="e">
        <f>ECS!E68+"$61^!2~"</f>
        <v>#VALUE!</v>
      </c>
      <c r="BD5" t="e">
        <f>ECS!G66+"$61^!3#"</f>
        <v>#VALUE!</v>
      </c>
      <c r="BE5" t="e">
        <f>ECS!#REF!+"$61^!3$"</f>
        <v>#REF!</v>
      </c>
      <c r="BF5" t="e">
        <f>ECS!#REF!+"$61^!3%"</f>
        <v>#REF!</v>
      </c>
      <c r="BG5" t="e">
        <f>ECS!#REF!+"$61^!3&amp;"</f>
        <v>#REF!</v>
      </c>
      <c r="BH5" t="e">
        <f>ECS!I68+"$61^!3'"</f>
        <v>#VALUE!</v>
      </c>
      <c r="BI5" t="e">
        <f>ECS!#REF!+"$61^!3("</f>
        <v>#REF!</v>
      </c>
      <c r="BJ5" t="e">
        <f>ECS!B69+"$61^!3)"</f>
        <v>#VALUE!</v>
      </c>
      <c r="BK5" t="e">
        <f>ECS!#REF!+"$61^!3."</f>
        <v>#REF!</v>
      </c>
      <c r="BL5" t="e">
        <f>ECS!C69+"$61^!3/"</f>
        <v>#VALUE!</v>
      </c>
      <c r="BM5" t="e">
        <f>ECS!#REF!+"$61^!30"</f>
        <v>#REF!</v>
      </c>
      <c r="BN5" t="e">
        <f>ECS!D69+"$61^!31"</f>
        <v>#VALUE!</v>
      </c>
      <c r="BO5" t="e">
        <f>ECS!E69+"$61^!32"</f>
        <v>#VALUE!</v>
      </c>
      <c r="BP5" t="e">
        <f>ECS!#REF!+"$61^!33"</f>
        <v>#REF!</v>
      </c>
      <c r="BQ5" t="e">
        <f>ECS!#REF!+"$61^!34"</f>
        <v>#REF!</v>
      </c>
      <c r="BR5" t="e">
        <f>ECS!#REF!+"$61^!35"</f>
        <v>#REF!</v>
      </c>
      <c r="BS5" t="e">
        <f>ECS!I69+"$61^!36"</f>
        <v>#VALUE!</v>
      </c>
      <c r="BT5" t="e">
        <f>ECS!#REF!+"$61^!37"</f>
        <v>#REF!</v>
      </c>
      <c r="BU5" t="e">
        <f>ECS!D70+"$61^!38"</f>
        <v>#VALUE!</v>
      </c>
      <c r="BV5" t="e">
        <f>ECS!E70+"$61^!39"</f>
        <v>#VALUE!</v>
      </c>
      <c r="BW5" t="e">
        <f>ECS!D71+"$61^!3:"</f>
        <v>#VALUE!</v>
      </c>
      <c r="BX5" t="e">
        <f>ECS!E71+"$61^!3;"</f>
        <v>#VALUE!</v>
      </c>
      <c r="BY5" t="e">
        <f>ECS!D72+"$61^!3&lt;"</f>
        <v>#VALUE!</v>
      </c>
      <c r="BZ5" t="e">
        <f>ECS!E72+"$61^!3="</f>
        <v>#VALUE!</v>
      </c>
      <c r="CA5" t="e">
        <f>ECS!D73+"$61^!3&gt;"</f>
        <v>#VALUE!</v>
      </c>
      <c r="CB5" t="e">
        <f>ECS!E73+"$61^!3?"</f>
        <v>#VALUE!</v>
      </c>
      <c r="CC5" t="e">
        <f>ECS!D74+"$61^!3@"</f>
        <v>#VALUE!</v>
      </c>
      <c r="CD5" t="e">
        <f>ECS!E74+"$61^!3A"</f>
        <v>#VALUE!</v>
      </c>
      <c r="CE5" t="e">
        <f>ECS!D75+"$61^!3B"</f>
        <v>#VALUE!</v>
      </c>
      <c r="CF5" t="e">
        <f>ECS!E75+"$61^!3C"</f>
        <v>#VALUE!</v>
      </c>
      <c r="CG5" t="e">
        <f>ECS!D76+"$61^!3D"</f>
        <v>#VALUE!</v>
      </c>
      <c r="CH5" t="e">
        <f>ECS!E76+"$61^!3E"</f>
        <v>#VALUE!</v>
      </c>
      <c r="CI5" t="e">
        <f>ECS!D77+"$61^!3F"</f>
        <v>#VALUE!</v>
      </c>
      <c r="CJ5" t="e">
        <f>ECS!E77+"$61^!3G"</f>
        <v>#VALUE!</v>
      </c>
      <c r="CK5" t="e">
        <f>ECS!D78+"$61^!3H"</f>
        <v>#VALUE!</v>
      </c>
      <c r="CL5" t="e">
        <f>ECS!E78+"$61^!3I"</f>
        <v>#VALUE!</v>
      </c>
      <c r="CM5" t="e">
        <f>ECS!D79+"$61^!3J"</f>
        <v>#VALUE!</v>
      </c>
      <c r="CN5" t="e">
        <f>ECS!E79+"$61^!3K"</f>
        <v>#VALUE!</v>
      </c>
      <c r="CO5" t="e">
        <f>Network!A:A*"$61^!3L"</f>
        <v>#VALUE!</v>
      </c>
      <c r="CP5" t="e">
        <f>Network!B:B*"$61^!3M"</f>
        <v>#VALUE!</v>
      </c>
      <c r="CQ5" t="e">
        <f>Network!C:C*"$61^!3N"</f>
        <v>#VALUE!</v>
      </c>
      <c r="CR5" t="e">
        <f>Network!D:D*"$61^!3O"</f>
        <v>#VALUE!</v>
      </c>
      <c r="CS5" t="e">
        <f>Network!E:E*"$61^!3P"</f>
        <v>#VALUE!</v>
      </c>
      <c r="CT5" t="e">
        <f>Network!F:F*"$61^!3Q"</f>
        <v>#VALUE!</v>
      </c>
      <c r="CU5" t="e">
        <f>Network!G:G*"$61^!3R"</f>
        <v>#VALUE!</v>
      </c>
      <c r="CV5" t="e">
        <f>Network!H:H*"$61^!3S"</f>
        <v>#VALUE!</v>
      </c>
      <c r="CW5" t="e">
        <f>Network!I:I*"$61^!3T"</f>
        <v>#VALUE!</v>
      </c>
      <c r="CX5" t="e">
        <f>Network!J:J*"$61^!3U"</f>
        <v>#VALUE!</v>
      </c>
      <c r="CY5" t="e">
        <f>Network!K:K*"$61^!3V"</f>
        <v>#VALUE!</v>
      </c>
      <c r="CZ5" t="e">
        <f>Network!L:L*"$61^!3W"</f>
        <v>#VALUE!</v>
      </c>
      <c r="DA5" t="e">
        <f>Network!M:M*"$61^!3X"</f>
        <v>#VALUE!</v>
      </c>
      <c r="DB5" t="e">
        <f>Network!N:N*"$61^!3Y"</f>
        <v>#VALUE!</v>
      </c>
      <c r="DC5" t="e">
        <f>Network!O:O*"$61^!3Z"</f>
        <v>#VALUE!</v>
      </c>
      <c r="DD5" t="e">
        <f>Network!P:P*"$61^!3["</f>
        <v>#VALUE!</v>
      </c>
      <c r="DE5" t="e">
        <f>Network!Q:Q*"$61^!3\"</f>
        <v>#VALUE!</v>
      </c>
      <c r="DF5" t="e">
        <f>Network!R:R*"$61^!3]"</f>
        <v>#VALUE!</v>
      </c>
      <c r="DG5" t="e">
        <f>Network!S:S*"$61^!3^"</f>
        <v>#VALUE!</v>
      </c>
      <c r="DH5" t="e">
        <f>Network!T:T*"$61^!3_"</f>
        <v>#VALUE!</v>
      </c>
      <c r="DI5" t="e">
        <f>Network!U:U*"$61^!3`"</f>
        <v>#VALUE!</v>
      </c>
      <c r="DJ5" t="e">
        <f>Network!V:V*"$61^!3a"</f>
        <v>#VALUE!</v>
      </c>
      <c r="DK5" t="e">
        <f>Network!W:W*"$61^!3b"</f>
        <v>#VALUE!</v>
      </c>
      <c r="DL5" t="e">
        <f>Network!X:X*"$61^!3c"</f>
        <v>#VALUE!</v>
      </c>
      <c r="DM5" t="e">
        <f>Network!Y:Y*"$61^!3d"</f>
        <v>#VALUE!</v>
      </c>
      <c r="DN5" t="e">
        <f>Network!Z:Z*"$61^!3e"</f>
        <v>#VALUE!</v>
      </c>
      <c r="DO5" t="e">
        <f>Network!AA:AA*"$61^!3f"</f>
        <v>#VALUE!</v>
      </c>
      <c r="DP5" t="e">
        <f>Network!AB:AB*"$61^!3g"</f>
        <v>#VALUE!</v>
      </c>
      <c r="DQ5" t="e">
        <f>Network!AC:AC*"$61^!3h"</f>
        <v>#VALUE!</v>
      </c>
      <c r="DR5" t="e">
        <f>Network!AD:AD*"$61^!3i"</f>
        <v>#VALUE!</v>
      </c>
      <c r="DS5" t="e">
        <f>Network!AE:AE*"$61^!3j"</f>
        <v>#VALUE!</v>
      </c>
      <c r="DT5" t="e">
        <f>Network!AF:AF*"$61^!3k"</f>
        <v>#VALUE!</v>
      </c>
      <c r="DU5" t="e">
        <f>Network!AG:AG*"$61^!3l"</f>
        <v>#VALUE!</v>
      </c>
      <c r="DV5" t="e">
        <f>Network!AH:AH*"$61^!3m"</f>
        <v>#VALUE!</v>
      </c>
      <c r="DW5" t="e">
        <f>Network!AI:AI*"$61^!3n"</f>
        <v>#VALUE!</v>
      </c>
      <c r="DX5" t="e">
        <f>Network!AJ:AJ*"$61^!3o"</f>
        <v>#VALUE!</v>
      </c>
      <c r="DY5" t="e">
        <f>Network!AK:AK*"$61^!3p"</f>
        <v>#VALUE!</v>
      </c>
      <c r="DZ5" t="e">
        <f>Network!AL:AL*"$61^!3q"</f>
        <v>#VALUE!</v>
      </c>
      <c r="EA5" t="e">
        <f>Network!AM:AM*"$61^!3r"</f>
        <v>#VALUE!</v>
      </c>
      <c r="EB5" t="e">
        <f>Network!AN:AN*"$61^!3s"</f>
        <v>#VALUE!</v>
      </c>
      <c r="EC5" t="e">
        <f>Network!AO:AO*"$61^!3t"</f>
        <v>#VALUE!</v>
      </c>
      <c r="ED5" t="e">
        <f>Network!AP:AP*"$61^!3u"</f>
        <v>#VALUE!</v>
      </c>
      <c r="EE5" t="e">
        <f>Network!AQ:AQ*"$61^!3v"</f>
        <v>#VALUE!</v>
      </c>
      <c r="EF5" t="e">
        <f>Network!AR:AR*"$61^!3w"</f>
        <v>#VALUE!</v>
      </c>
      <c r="EG5" t="e">
        <f>Network!AS:AS*"$61^!3x"</f>
        <v>#VALUE!</v>
      </c>
      <c r="EH5" t="e">
        <f>Network!AT:AT*"$61^!3y"</f>
        <v>#VALUE!</v>
      </c>
      <c r="EI5" t="e">
        <f>Network!AU:AU*"$61^!3z"</f>
        <v>#VALUE!</v>
      </c>
      <c r="EJ5" t="e">
        <f>Network!AV:AV*"$61^!3{"</f>
        <v>#VALUE!</v>
      </c>
      <c r="EK5" t="e">
        <f>Network!AW:AW*"$61^!3|"</f>
        <v>#VALUE!</v>
      </c>
      <c r="EL5" t="e">
        <f>Network!AX:AX*"$61^!3}"</f>
        <v>#VALUE!</v>
      </c>
      <c r="EM5" t="e">
        <f>Network!AY:AY*"$61^!3~"</f>
        <v>#VALUE!</v>
      </c>
      <c r="EN5" t="e">
        <f>Network!AZ:AZ*"$61^!4#"</f>
        <v>#VALUE!</v>
      </c>
      <c r="EO5" t="e">
        <f>Network!BA:BA*"$61^!4$"</f>
        <v>#VALUE!</v>
      </c>
      <c r="EP5" t="e">
        <f>Network!BB:BB*"$61^!4%"</f>
        <v>#VALUE!</v>
      </c>
      <c r="EQ5" t="e">
        <f>Network!BC:BC*"$61^!4&amp;"</f>
        <v>#VALUE!</v>
      </c>
      <c r="ER5" t="e">
        <f>Network!BD:BD*"$61^!4'"</f>
        <v>#VALUE!</v>
      </c>
      <c r="ES5" t="e">
        <f>Network!BE:BE*"$61^!4("</f>
        <v>#VALUE!</v>
      </c>
      <c r="ET5" t="e">
        <f>Network!BF:BF*"$61^!4)"</f>
        <v>#VALUE!</v>
      </c>
      <c r="EU5" t="e">
        <f>Network!BG:BG*"$61^!4."</f>
        <v>#VALUE!</v>
      </c>
      <c r="EV5" t="e">
        <f>Network!1:1-"$61^!4/"</f>
        <v>#VALUE!</v>
      </c>
      <c r="EW5" t="e">
        <f>Network!2:2-"$61^!40"</f>
        <v>#VALUE!</v>
      </c>
      <c r="EX5" t="e">
        <f>Network!3:3-"$61^!41"</f>
        <v>#VALUE!</v>
      </c>
      <c r="EY5" t="e">
        <f>Network!4:4-"$61^!42"</f>
        <v>#VALUE!</v>
      </c>
      <c r="EZ5" t="e">
        <f>Network!5:5-"$61^!43"</f>
        <v>#VALUE!</v>
      </c>
      <c r="FA5" t="e">
        <f>Network!6:6-"$61^!44"</f>
        <v>#VALUE!</v>
      </c>
      <c r="FB5" t="e">
        <f>Network!#REF!-"$61^!45"</f>
        <v>#REF!</v>
      </c>
      <c r="FC5" t="e">
        <f>Network!#REF!-"$61^!46"</f>
        <v>#REF!</v>
      </c>
      <c r="FD5" t="e">
        <f>Network!#REF!-"$61^!47"</f>
        <v>#REF!</v>
      </c>
      <c r="FE5" t="e">
        <f>Network!#REF!-"$61^!48"</f>
        <v>#REF!</v>
      </c>
      <c r="FF5" t="e">
        <f>Network!#REF!-"$61^!49"</f>
        <v>#REF!</v>
      </c>
      <c r="FG5" t="e">
        <f>Network!#REF!-"$61^!4:"</f>
        <v>#REF!</v>
      </c>
      <c r="FH5" t="e">
        <f>Network!#REF!-"$61^!4;"</f>
        <v>#REF!</v>
      </c>
      <c r="FI5" t="e">
        <f>Network!#REF!-"$61^!4&lt;"</f>
        <v>#REF!</v>
      </c>
      <c r="FJ5" t="e">
        <f>Network!#REF!-"$61^!4="</f>
        <v>#REF!</v>
      </c>
      <c r="FK5" t="e">
        <f>Network!#REF!-"$61^!4&gt;"</f>
        <v>#REF!</v>
      </c>
      <c r="FL5" t="e">
        <f>Network!#REF!-"$61^!4?"</f>
        <v>#REF!</v>
      </c>
      <c r="FM5" t="e">
        <f>Network!#REF!-"$61^!4@"</f>
        <v>#REF!</v>
      </c>
      <c r="FN5" t="e">
        <f>Network!#REF!-"$61^!4A"</f>
        <v>#REF!</v>
      </c>
      <c r="FO5" t="e">
        <f>Network!#REF!-"$61^!4B"</f>
        <v>#REF!</v>
      </c>
      <c r="FP5" t="e">
        <f>Network!#REF!-"$61^!4C"</f>
        <v>#REF!</v>
      </c>
      <c r="FQ5" t="e">
        <f>Network!#REF!-"$61^!4D"</f>
        <v>#REF!</v>
      </c>
      <c r="FR5" t="e">
        <f>Network!#REF!-"$61^!4E"</f>
        <v>#REF!</v>
      </c>
      <c r="FS5" t="e">
        <f>Network!#REF!-"$61^!4F"</f>
        <v>#REF!</v>
      </c>
      <c r="FT5" t="e">
        <f>Network!#REF!-"$61^!4G"</f>
        <v>#REF!</v>
      </c>
      <c r="FU5" t="e">
        <f>Network!7:7-"$61^!4H"</f>
        <v>#VALUE!</v>
      </c>
      <c r="FV5" t="e">
        <f>Network!8:8-"$61^!4I"</f>
        <v>#VALUE!</v>
      </c>
      <c r="FW5" t="e">
        <f>Network!9:9-"$61^!4J"</f>
        <v>#VALUE!</v>
      </c>
      <c r="FX5" t="e">
        <f>Network!10:10-"$61^!4K"</f>
        <v>#VALUE!</v>
      </c>
      <c r="FY5" t="e">
        <f>Network!11:11-"$61^!4L"</f>
        <v>#VALUE!</v>
      </c>
      <c r="FZ5" t="e">
        <f>Network!12:12-"$61^!4M"</f>
        <v>#VALUE!</v>
      </c>
      <c r="GA5" t="e">
        <f>Network!13:13-"$61^!4N"</f>
        <v>#VALUE!</v>
      </c>
      <c r="GB5" t="e">
        <f>Network!14:14-"$61^!4O"</f>
        <v>#VALUE!</v>
      </c>
      <c r="GC5" t="e">
        <f>Network!15:15-"$61^!4P"</f>
        <v>#VALUE!</v>
      </c>
      <c r="GD5" t="e">
        <f>Network!16:16-"$61^!4Q"</f>
        <v>#VALUE!</v>
      </c>
      <c r="GE5" t="e">
        <f>Network!17:17-"$61^!4R"</f>
        <v>#VALUE!</v>
      </c>
      <c r="GF5" t="e">
        <f>Network!18:18-"$61^!4S"</f>
        <v>#VALUE!</v>
      </c>
      <c r="GG5" t="e">
        <f>Network!19:19-"$61^!4T"</f>
        <v>#VALUE!</v>
      </c>
      <c r="GH5" t="e">
        <f>Network!20:20-"$61^!4U"</f>
        <v>#VALUE!</v>
      </c>
      <c r="GI5" t="e">
        <f>Network!21:21-"$61^!4V"</f>
        <v>#VALUE!</v>
      </c>
      <c r="GJ5" t="e">
        <f>Network!22:22-"$61^!4W"</f>
        <v>#VALUE!</v>
      </c>
      <c r="GK5" t="e">
        <f>Network!23:23-"$61^!4X"</f>
        <v>#VALUE!</v>
      </c>
      <c r="GL5" t="e">
        <f>Network!24:24-"$61^!4Y"</f>
        <v>#VALUE!</v>
      </c>
      <c r="GM5" t="e">
        <f>Network!25:25-"$61^!4Z"</f>
        <v>#VALUE!</v>
      </c>
      <c r="GN5" t="e">
        <f>Network!26:26-"$61^!4["</f>
        <v>#VALUE!</v>
      </c>
      <c r="GO5" t="e">
        <f>Network!27:27-"$61^!4\"</f>
        <v>#VALUE!</v>
      </c>
      <c r="GP5" t="e">
        <f>Network!28:28-"$61^!4]"</f>
        <v>#VALUE!</v>
      </c>
      <c r="GQ5" t="e">
        <f>Network!29:29-"$61^!4^"</f>
        <v>#VALUE!</v>
      </c>
      <c r="GR5" t="e">
        <f>Network!30:30-"$61^!4_"</f>
        <v>#VALUE!</v>
      </c>
      <c r="GS5" t="e">
        <f>Network!31:31-"$61^!4`"</f>
        <v>#VALUE!</v>
      </c>
      <c r="GT5" t="e">
        <f>Network!32:32-"$61^!4a"</f>
        <v>#VALUE!</v>
      </c>
      <c r="GU5" t="e">
        <f>Network!33:33-"$61^!4b"</f>
        <v>#VALUE!</v>
      </c>
      <c r="GV5" t="e">
        <f>Network!34:34-"$61^!4c"</f>
        <v>#VALUE!</v>
      </c>
      <c r="GW5" t="e">
        <f>Network!35:35-"$61^!4d"</f>
        <v>#VALUE!</v>
      </c>
      <c r="GX5" t="e">
        <f>Network!36:36-"$61^!4e"</f>
        <v>#VALUE!</v>
      </c>
      <c r="GY5" t="e">
        <f>Network!37:37-"$61^!4f"</f>
        <v>#VALUE!</v>
      </c>
      <c r="GZ5" t="e">
        <f>Network!38:38-"$61^!4g"</f>
        <v>#VALUE!</v>
      </c>
      <c r="HA5" t="e">
        <f>Network!39:39-"$61^!4h"</f>
        <v>#VALUE!</v>
      </c>
      <c r="HB5" t="e">
        <f>Network!40:40-"$61^!4i"</f>
        <v>#VALUE!</v>
      </c>
      <c r="HC5" t="e">
        <f>Network!41:41-"$61^!4j"</f>
        <v>#VALUE!</v>
      </c>
      <c r="HD5" t="e">
        <f>Network!42:42-"$61^!4k"</f>
        <v>#VALUE!</v>
      </c>
      <c r="HE5" t="e">
        <f>Network!43:43-"$61^!4l"</f>
        <v>#VALUE!</v>
      </c>
      <c r="HF5" t="e">
        <f>Network!44:44-"$61^!4m"</f>
        <v>#VALUE!</v>
      </c>
      <c r="HG5" t="e">
        <f>Network!45:45-"$61^!4n"</f>
        <v>#VALUE!</v>
      </c>
      <c r="HH5" t="e">
        <f>Network!46:46-"$61^!4o"</f>
        <v>#VALUE!</v>
      </c>
      <c r="HI5" t="e">
        <f>Network!47:47-"$61^!4p"</f>
        <v>#VALUE!</v>
      </c>
      <c r="HJ5" t="e">
        <f>Network!48:48-"$61^!4q"</f>
        <v>#VALUE!</v>
      </c>
      <c r="HK5" t="e">
        <f>Network!49:49-"$61^!4r"</f>
        <v>#VALUE!</v>
      </c>
      <c r="HL5" t="e">
        <f>Network!50:50-"$61^!4s"</f>
        <v>#VALUE!</v>
      </c>
      <c r="HM5" t="e">
        <f>Network!51:51-"$61^!4t"</f>
        <v>#VALUE!</v>
      </c>
      <c r="HN5" t="e">
        <f>Network!52:52-"$61^!4u"</f>
        <v>#VALUE!</v>
      </c>
      <c r="HO5" t="e">
        <f>Network!53:53-"$61^!4v"</f>
        <v>#VALUE!</v>
      </c>
      <c r="HP5" t="e">
        <f>Network!54:54-"$61^!4w"</f>
        <v>#VALUE!</v>
      </c>
      <c r="HQ5" t="e">
        <f>Network!55:55-"$61^!4x"</f>
        <v>#VALUE!</v>
      </c>
      <c r="HR5" t="e">
        <f>Network!56:56-"$61^!4y"</f>
        <v>#VALUE!</v>
      </c>
      <c r="HS5" t="e">
        <f>Network!57:57-"$61^!4z"</f>
        <v>#VALUE!</v>
      </c>
      <c r="HT5" t="e">
        <f>Network!58:58-"$61^!4{"</f>
        <v>#VALUE!</v>
      </c>
      <c r="HU5" t="e">
        <f>Network!59:59-"$61^!4|"</f>
        <v>#VALUE!</v>
      </c>
      <c r="HV5" t="e">
        <f>Network!60:60-"$61^!4}"</f>
        <v>#VALUE!</v>
      </c>
      <c r="HW5" t="e">
        <f>Network!61:61-"$61^!4~"</f>
        <v>#VALUE!</v>
      </c>
      <c r="HX5" t="e">
        <f>Network!62:62-"$61^!5#"</f>
        <v>#VALUE!</v>
      </c>
      <c r="HY5" t="e">
        <f>Network!63:63-"$61^!5$"</f>
        <v>#VALUE!</v>
      </c>
      <c r="HZ5" t="e">
        <f>Network!64:64-"$61^!5%"</f>
        <v>#VALUE!</v>
      </c>
      <c r="IA5" t="e">
        <f>Network!65:65-"$61^!5&amp;"</f>
        <v>#VALUE!</v>
      </c>
      <c r="IB5" t="e">
        <f>Network!66:66-"$61^!5'"</f>
        <v>#VALUE!</v>
      </c>
      <c r="IC5" t="e">
        <f>Network!67:67-"$61^!5("</f>
        <v>#VALUE!</v>
      </c>
      <c r="ID5" t="e">
        <f>Network!68:68-"$61^!5)"</f>
        <v>#VALUE!</v>
      </c>
      <c r="IE5" t="e">
        <f>Network!69:69-"$61^!5."</f>
        <v>#VALUE!</v>
      </c>
      <c r="IF5" t="e">
        <f>Network!70:70-"$61^!5/"</f>
        <v>#VALUE!</v>
      </c>
      <c r="IG5" t="e">
        <f>Network!71:71-"$61^!50"</f>
        <v>#VALUE!</v>
      </c>
      <c r="IH5" t="e">
        <f>Network!72:72-"$61^!51"</f>
        <v>#VALUE!</v>
      </c>
      <c r="II5" t="e">
        <f>Network!73:73-"$61^!52"</f>
        <v>#VALUE!</v>
      </c>
      <c r="IJ5" t="e">
        <f>Network!74:74-"$61^!53"</f>
        <v>#VALUE!</v>
      </c>
      <c r="IK5" t="e">
        <f>Network!75:75-"$61^!54"</f>
        <v>#VALUE!</v>
      </c>
      <c r="IL5" t="e">
        <f>Network!76:76-"$61^!55"</f>
        <v>#VALUE!</v>
      </c>
      <c r="IM5" t="e">
        <f>Network!77:77-"$61^!56"</f>
        <v>#VALUE!</v>
      </c>
      <c r="IN5" t="e">
        <f>Network!78:78-"$61^!57"</f>
        <v>#VALUE!</v>
      </c>
      <c r="IO5" t="e">
        <f>Network!79:79-"$61^!58"</f>
        <v>#VALUE!</v>
      </c>
      <c r="IP5" t="e">
        <f>Network!80:80-"$61^!59"</f>
        <v>#VALUE!</v>
      </c>
      <c r="IQ5" t="e">
        <f>Network!81:81-"$61^!5:"</f>
        <v>#VALUE!</v>
      </c>
      <c r="IR5" t="e">
        <f>Network!82:82-"$61^!5;"</f>
        <v>#VALUE!</v>
      </c>
      <c r="IS5" t="e">
        <f>Network!83:83-"$61^!5&lt;"</f>
        <v>#VALUE!</v>
      </c>
      <c r="IT5" t="e">
        <f>Network!84:84-"$61^!5="</f>
        <v>#VALUE!</v>
      </c>
      <c r="IU5" t="e">
        <f>Network!85:85-"$61^!5&gt;"</f>
        <v>#VALUE!</v>
      </c>
      <c r="IV5" t="e">
        <f>Network!86:86-"$61^!5?"</f>
        <v>#VALUE!</v>
      </c>
    </row>
    <row r="6" spans="1:256" x14ac:dyDescent="0.2">
      <c r="A6" t="s">
        <v>73</v>
      </c>
      <c r="F6" t="e">
        <f>Network!87:87-"$61^!5@"</f>
        <v>#VALUE!</v>
      </c>
      <c r="G6" t="e">
        <f>Network!88:88-"$61^!5A"</f>
        <v>#VALUE!</v>
      </c>
      <c r="H6" t="e">
        <f>Network!89:89-"$61^!5B"</f>
        <v>#VALUE!</v>
      </c>
      <c r="I6" t="e">
        <f>Network!90:90-"$61^!5C"</f>
        <v>#VALUE!</v>
      </c>
      <c r="J6" t="e">
        <f>Network!91:91-"$61^!5D"</f>
        <v>#VALUE!</v>
      </c>
      <c r="K6" t="e">
        <f>Network!92:92-"$61^!5E"</f>
        <v>#VALUE!</v>
      </c>
      <c r="L6" t="e">
        <f>Network!93:93-"$61^!5F"</f>
        <v>#VALUE!</v>
      </c>
      <c r="M6" t="e">
        <f>Network!94:94-"$61^!5G"</f>
        <v>#VALUE!</v>
      </c>
      <c r="N6" t="e">
        <f>Network!95:95-"$61^!5H"</f>
        <v>#VALUE!</v>
      </c>
      <c r="O6" t="e">
        <f>Network!96:96-"$61^!5I"</f>
        <v>#VALUE!</v>
      </c>
      <c r="P6" t="e">
        <f>Network!97:97-"$61^!5J"</f>
        <v>#VALUE!</v>
      </c>
      <c r="Q6" t="e">
        <f>Network!98:98-"$61^!5K"</f>
        <v>#VALUE!</v>
      </c>
      <c r="R6" t="e">
        <f>Network!99:99-"$61^!5L"</f>
        <v>#VALUE!</v>
      </c>
      <c r="S6" t="e">
        <f>Network!100:100-"$61^!5M"</f>
        <v>#VALUE!</v>
      </c>
      <c r="T6" t="e">
        <f>Network!101:101-"$61^!5N"</f>
        <v>#VALUE!</v>
      </c>
      <c r="U6" t="e">
        <f>Network!102:102-"$61^!5O"</f>
        <v>#VALUE!</v>
      </c>
      <c r="V6" t="e">
        <f>Network!103:103-"$61^!5P"</f>
        <v>#VALUE!</v>
      </c>
      <c r="W6" t="e">
        <f>Network!104:104-"$61^!5Q"</f>
        <v>#VALUE!</v>
      </c>
      <c r="X6" t="e">
        <f>Network!105:105-"$61^!5R"</f>
        <v>#VALUE!</v>
      </c>
      <c r="Y6" t="e">
        <f>Network!106:106-"$61^!5S"</f>
        <v>#VALUE!</v>
      </c>
      <c r="Z6" t="e">
        <f>Network!107:107-"$61^!5T"</f>
        <v>#VALUE!</v>
      </c>
      <c r="AA6" t="e">
        <f>Network!108:108-"$61^!5U"</f>
        <v>#VALUE!</v>
      </c>
      <c r="AB6" t="e">
        <f>Network!109:109-"$61^!5V"</f>
        <v>#VALUE!</v>
      </c>
      <c r="AC6" t="e">
        <f>Network!110:110-"$61^!5W"</f>
        <v>#VALUE!</v>
      </c>
      <c r="AD6" t="e">
        <f>Network!111:111-"$61^!5X"</f>
        <v>#VALUE!</v>
      </c>
      <c r="AE6" t="e">
        <f>Network!112:112-"$61^!5Y"</f>
        <v>#VALUE!</v>
      </c>
      <c r="AF6" t="e">
        <f>Network!113:113-"$61^!5Z"</f>
        <v>#VALUE!</v>
      </c>
      <c r="AG6" t="e">
        <f>Network!114:114-"$61^!5["</f>
        <v>#VALUE!</v>
      </c>
      <c r="AH6" t="e">
        <f>Network!115:115-"$61^!5\"</f>
        <v>#VALUE!</v>
      </c>
      <c r="AI6" t="e">
        <f>Network!116:116-"$61^!5]"</f>
        <v>#VALUE!</v>
      </c>
      <c r="AJ6" t="e">
        <f>Network!117:117-"$61^!5^"</f>
        <v>#VALUE!</v>
      </c>
      <c r="AK6" t="e">
        <f>Network!118:118-"$61^!5_"</f>
        <v>#VALUE!</v>
      </c>
      <c r="AL6" t="e">
        <f>Network!119:119-"$61^!5`"</f>
        <v>#VALUE!</v>
      </c>
      <c r="AM6" t="e">
        <f>Network!120:120-"$61^!5a"</f>
        <v>#VALUE!</v>
      </c>
      <c r="AN6" t="e">
        <f>Network!121:121-"$61^!5b"</f>
        <v>#VALUE!</v>
      </c>
      <c r="AO6" t="e">
        <f>Network!122:122-"$61^!5c"</f>
        <v>#VALUE!</v>
      </c>
      <c r="AP6" t="e">
        <f>Network!123:123-"$61^!5d"</f>
        <v>#VALUE!</v>
      </c>
      <c r="AQ6" t="e">
        <f>Network!124:124-"$61^!5e"</f>
        <v>#VALUE!</v>
      </c>
      <c r="AR6" t="e">
        <f>Network!125:125-"$61^!5f"</f>
        <v>#VALUE!</v>
      </c>
      <c r="AS6" t="e">
        <f>Network!126:126-"$61^!5g"</f>
        <v>#VALUE!</v>
      </c>
      <c r="AT6" t="e">
        <f>Network!127:127-"$61^!5h"</f>
        <v>#VALUE!</v>
      </c>
      <c r="AU6" t="e">
        <f>Network!128:128-"$61^!5i"</f>
        <v>#VALUE!</v>
      </c>
      <c r="AV6" t="e">
        <f>Network!129:129-"$61^!5j"</f>
        <v>#VALUE!</v>
      </c>
      <c r="AW6" t="e">
        <f>Network!130:130-"$61^!5k"</f>
        <v>#VALUE!</v>
      </c>
      <c r="AX6" t="e">
        <f>Network!131:131-"$61^!5l"</f>
        <v>#VALUE!</v>
      </c>
      <c r="AY6" t="e">
        <f>Network!132:132-"$61^!5m"</f>
        <v>#VALUE!</v>
      </c>
      <c r="AZ6" t="e">
        <f>Network!133:133-"$61^!5n"</f>
        <v>#VALUE!</v>
      </c>
      <c r="BA6" t="e">
        <f>Network!134:134-"$61^!5o"</f>
        <v>#VALUE!</v>
      </c>
      <c r="BB6" t="e">
        <f>Network!135:135-"$61^!5p"</f>
        <v>#VALUE!</v>
      </c>
      <c r="BC6" t="e">
        <f>Network!136:136-"$61^!5q"</f>
        <v>#VALUE!</v>
      </c>
      <c r="BD6" t="e">
        <f>Network!137:137-"$61^!5r"</f>
        <v>#VALUE!</v>
      </c>
      <c r="BE6" t="e">
        <f>Network!138:138-"$61^!5s"</f>
        <v>#VALUE!</v>
      </c>
      <c r="BF6" t="e">
        <f>Network!139:139-"$61^!5t"</f>
        <v>#VALUE!</v>
      </c>
      <c r="BG6" t="e">
        <f>Network!140:140-"$61^!5u"</f>
        <v>#VALUE!</v>
      </c>
      <c r="BH6" t="e">
        <f>Network!141:141-"$61^!5v"</f>
        <v>#VALUE!</v>
      </c>
      <c r="BI6" t="e">
        <f>Network!142:142-"$61^!5w"</f>
        <v>#VALUE!</v>
      </c>
      <c r="BJ6" t="e">
        <f>Network!143:143-"$61^!5x"</f>
        <v>#VALUE!</v>
      </c>
      <c r="BK6" t="e">
        <f>Network!144:144-"$61^!5y"</f>
        <v>#VALUE!</v>
      </c>
      <c r="BL6" t="e">
        <f>Network!145:145-"$61^!5z"</f>
        <v>#VALUE!</v>
      </c>
      <c r="BM6" t="e">
        <f>Network!146:146-"$61^!5{"</f>
        <v>#VALUE!</v>
      </c>
      <c r="BN6" t="e">
        <f>Network!147:147-"$61^!5|"</f>
        <v>#VALUE!</v>
      </c>
      <c r="BO6" t="e">
        <f>Network!148:148-"$61^!5}"</f>
        <v>#VALUE!</v>
      </c>
      <c r="BP6" t="e">
        <f>Network!149:149-"$61^!5~"</f>
        <v>#VALUE!</v>
      </c>
      <c r="BQ6" t="e">
        <f>Network!150:150-"$61^!6#"</f>
        <v>#VALUE!</v>
      </c>
      <c r="BR6" t="e">
        <f>Network!151:151-"$61^!6$"</f>
        <v>#VALUE!</v>
      </c>
      <c r="BS6" t="e">
        <f>Network!152:152-"$61^!6%"</f>
        <v>#VALUE!</v>
      </c>
      <c r="BT6" t="e">
        <f>Network!153:153-"$61^!6&amp;"</f>
        <v>#VALUE!</v>
      </c>
      <c r="BU6" t="e">
        <f>Network!154:154-"$61^!6'"</f>
        <v>#VALUE!</v>
      </c>
      <c r="BV6" t="e">
        <f>Network!155:155-"$61^!6("</f>
        <v>#VALUE!</v>
      </c>
      <c r="BW6" t="e">
        <f>Network!156:156-"$61^!6)"</f>
        <v>#VALUE!</v>
      </c>
      <c r="BX6" t="e">
        <f>Network!157:157-"$61^!6."</f>
        <v>#VALUE!</v>
      </c>
      <c r="BY6" t="e">
        <f>Network!158:158-"$61^!6/"</f>
        <v>#VALUE!</v>
      </c>
      <c r="BZ6" t="e">
        <f>Network!159:159-"$61^!60"</f>
        <v>#VALUE!</v>
      </c>
      <c r="CA6" t="e">
        <f>Network!160:160-"$61^!61"</f>
        <v>#VALUE!</v>
      </c>
      <c r="CB6" t="e">
        <f>Network!161:161-"$61^!62"</f>
        <v>#VALUE!</v>
      </c>
      <c r="CC6" t="e">
        <f>Network!162:162-"$61^!63"</f>
        <v>#VALUE!</v>
      </c>
      <c r="CD6" t="e">
        <f>Network!163:163-"$61^!64"</f>
        <v>#VALUE!</v>
      </c>
      <c r="CE6" t="e">
        <f>Network!164:164-"$61^!65"</f>
        <v>#VALUE!</v>
      </c>
      <c r="CF6" t="e">
        <f>Network!165:165-"$61^!66"</f>
        <v>#VALUE!</v>
      </c>
      <c r="CG6" t="e">
        <f>Network!166:166-"$61^!67"</f>
        <v>#VALUE!</v>
      </c>
      <c r="CH6" t="e">
        <f>Network!167:167-"$61^!68"</f>
        <v>#VALUE!</v>
      </c>
      <c r="CI6" t="e">
        <f>Network!168:168-"$61^!69"</f>
        <v>#VALUE!</v>
      </c>
      <c r="CJ6" t="e">
        <f>Network!169:169-"$61^!6:"</f>
        <v>#VALUE!</v>
      </c>
      <c r="CK6" t="e">
        <f>Network!170:170-"$61^!6;"</f>
        <v>#VALUE!</v>
      </c>
      <c r="CL6" t="e">
        <f>Network!171:171-"$61^!6&lt;"</f>
        <v>#VALUE!</v>
      </c>
      <c r="CM6" t="e">
        <f>Network!172:172-"$61^!6="</f>
        <v>#VALUE!</v>
      </c>
      <c r="CN6" t="e">
        <f>Network!173:173-"$61^!6&gt;"</f>
        <v>#VALUE!</v>
      </c>
      <c r="CO6" t="e">
        <f>Network!174:174-"$61^!6?"</f>
        <v>#VALUE!</v>
      </c>
      <c r="CP6" t="e">
        <f>Network!175:175-"$61^!6@"</f>
        <v>#VALUE!</v>
      </c>
      <c r="CQ6" t="e">
        <f>Network!176:176-"$61^!6A"</f>
        <v>#VALUE!</v>
      </c>
      <c r="CR6" t="e">
        <f>Network!177:177-"$61^!6B"</f>
        <v>#VALUE!</v>
      </c>
      <c r="CS6" t="e">
        <f>Network!178:178-"$61^!6C"</f>
        <v>#VALUE!</v>
      </c>
      <c r="CT6" t="e">
        <f>Network!179:179-"$61^!6D"</f>
        <v>#VALUE!</v>
      </c>
      <c r="CU6" t="e">
        <f>Network!180:180-"$61^!6E"</f>
        <v>#VALUE!</v>
      </c>
      <c r="CV6" t="e">
        <f>Network!181:181-"$61^!6F"</f>
        <v>#VALUE!</v>
      </c>
      <c r="CW6" t="e">
        <f>Network!182:182-"$61^!6G"</f>
        <v>#VALUE!</v>
      </c>
      <c r="CX6" t="e">
        <f>Network!183:183-"$61^!6H"</f>
        <v>#VALUE!</v>
      </c>
      <c r="CY6" t="e">
        <f>Network!184:184-"$61^!6I"</f>
        <v>#VALUE!</v>
      </c>
      <c r="CZ6" t="e">
        <f>Network!185:185-"$61^!6J"</f>
        <v>#VALUE!</v>
      </c>
      <c r="DA6" t="e">
        <f>Network!186:186-"$61^!6K"</f>
        <v>#VALUE!</v>
      </c>
      <c r="DB6" t="e">
        <f>Network!187:187-"$61^!6L"</f>
        <v>#VALUE!</v>
      </c>
      <c r="DC6" t="e">
        <f>Network!188:188-"$61^!6M"</f>
        <v>#VALUE!</v>
      </c>
      <c r="DD6" t="e">
        <f>Network!189:189-"$61^!6N"</f>
        <v>#VALUE!</v>
      </c>
      <c r="DE6" t="e">
        <f>Network!190:190-"$61^!6O"</f>
        <v>#VALUE!</v>
      </c>
      <c r="DF6" t="e">
        <f>Network!191:191-"$61^!6P"</f>
        <v>#VALUE!</v>
      </c>
      <c r="DG6" t="e">
        <f>Network!192:192-"$61^!6Q"</f>
        <v>#VALUE!</v>
      </c>
      <c r="DH6" t="e">
        <f>Network!193:193-"$61^!6R"</f>
        <v>#VALUE!</v>
      </c>
      <c r="DI6" t="e">
        <f>Network!194:194-"$61^!6S"</f>
        <v>#VALUE!</v>
      </c>
      <c r="DJ6" t="e">
        <f>Network!195:195-"$61^!6T"</f>
        <v>#VALUE!</v>
      </c>
      <c r="DK6" t="e">
        <f>Network!196:196-"$61^!6U"</f>
        <v>#VALUE!</v>
      </c>
      <c r="DL6" t="e">
        <f>Network!197:197-"$61^!6V"</f>
        <v>#VALUE!</v>
      </c>
      <c r="DM6" t="e">
        <f>Network!198:198-"$61^!6W"</f>
        <v>#VALUE!</v>
      </c>
      <c r="DN6" t="e">
        <f>Network!199:199-"$61^!6X"</f>
        <v>#VALUE!</v>
      </c>
      <c r="DO6" t="e">
        <f>Network!200:200-"$61^!6Y"</f>
        <v>#VALUE!</v>
      </c>
      <c r="DP6" t="e">
        <f>Network!201:201-"$61^!6Z"</f>
        <v>#VALUE!</v>
      </c>
      <c r="DQ6" t="e">
        <f>Network!202:202-"$61^!6["</f>
        <v>#VALUE!</v>
      </c>
      <c r="DR6" t="e">
        <f>Network!203:203-"$61^!6\"</f>
        <v>#VALUE!</v>
      </c>
      <c r="DS6" t="e">
        <f>Network!204:204-"$61^!6]"</f>
        <v>#VALUE!</v>
      </c>
      <c r="DT6" t="e">
        <f>Network!205:205-"$61^!6^"</f>
        <v>#VALUE!</v>
      </c>
      <c r="DU6" t="e">
        <f>Network!206:206-"$61^!6_"</f>
        <v>#VALUE!</v>
      </c>
      <c r="DV6" t="e">
        <f>Network!207:207-"$61^!6`"</f>
        <v>#VALUE!</v>
      </c>
      <c r="DW6" t="e">
        <f>Network!208:208-"$61^!6a"</f>
        <v>#VALUE!</v>
      </c>
      <c r="DX6" t="e">
        <f>Network!209:209-"$61^!6b"</f>
        <v>#VALUE!</v>
      </c>
      <c r="DY6" t="e">
        <f>Network!210:210-"$61^!6c"</f>
        <v>#VALUE!</v>
      </c>
      <c r="DZ6" t="e">
        <f>Network!211:211-"$61^!6d"</f>
        <v>#VALUE!</v>
      </c>
      <c r="EA6" t="e">
        <f>Network!212:212-"$61^!6e"</f>
        <v>#VALUE!</v>
      </c>
      <c r="EB6" t="e">
        <f>Network!213:213-"$61^!6f"</f>
        <v>#VALUE!</v>
      </c>
      <c r="EC6" t="e">
        <f>Network!214:214-"$61^!6g"</f>
        <v>#VALUE!</v>
      </c>
      <c r="ED6" t="e">
        <f>Network!215:215-"$61^!6h"</f>
        <v>#VALUE!</v>
      </c>
      <c r="EE6" t="e">
        <f>Network!216:216-"$61^!6i"</f>
        <v>#VALUE!</v>
      </c>
      <c r="EF6" t="e">
        <f>Network!217:217-"$61^!6j"</f>
        <v>#VALUE!</v>
      </c>
      <c r="EG6" t="e">
        <f>Network!218:218-"$61^!6k"</f>
        <v>#VALUE!</v>
      </c>
      <c r="EH6" t="e">
        <f>Network!219:219-"$61^!6l"</f>
        <v>#VALUE!</v>
      </c>
      <c r="EI6" t="e">
        <f>Network!220:220-"$61^!6m"</f>
        <v>#VALUE!</v>
      </c>
      <c r="EJ6" t="e">
        <f>Network!221:221-"$61^!6n"</f>
        <v>#VALUE!</v>
      </c>
      <c r="EK6" t="e">
        <f>Network!222:222-"$61^!6o"</f>
        <v>#VALUE!</v>
      </c>
      <c r="EL6" t="e">
        <f>Network!223:223-"$61^!6p"</f>
        <v>#VALUE!</v>
      </c>
      <c r="EM6" t="e">
        <f>Network!224:224-"$61^!6q"</f>
        <v>#VALUE!</v>
      </c>
      <c r="EN6" t="e">
        <f>Network!225:225-"$61^!6r"</f>
        <v>#VALUE!</v>
      </c>
      <c r="EO6" t="e">
        <f>Network!226:226-"$61^!6s"</f>
        <v>#VALUE!</v>
      </c>
      <c r="EP6" t="e">
        <f>Network!227:227-"$61^!6t"</f>
        <v>#VALUE!</v>
      </c>
      <c r="EQ6" t="e">
        <f>Network!228:228-"$61^!6u"</f>
        <v>#VALUE!</v>
      </c>
      <c r="ER6" t="e">
        <f>Network!229:229-"$61^!6v"</f>
        <v>#VALUE!</v>
      </c>
      <c r="ES6" t="e">
        <f>Network!230:230-"$61^!6w"</f>
        <v>#VALUE!</v>
      </c>
      <c r="ET6" t="e">
        <f>Network!231:231-"$61^!6x"</f>
        <v>#VALUE!</v>
      </c>
      <c r="EU6" t="e">
        <f>Network!232:232-"$61^!6y"</f>
        <v>#VALUE!</v>
      </c>
      <c r="EV6" t="e">
        <f>Network!233:233-"$61^!6z"</f>
        <v>#VALUE!</v>
      </c>
      <c r="EW6" t="e">
        <f>Network!234:234-"$61^!6{"</f>
        <v>#VALUE!</v>
      </c>
      <c r="EX6" t="e">
        <f>Network!235:235-"$61^!6|"</f>
        <v>#VALUE!</v>
      </c>
      <c r="EY6" t="e">
        <f>Network!236:236-"$61^!6}"</f>
        <v>#VALUE!</v>
      </c>
      <c r="EZ6" t="e">
        <f>Network!237:237-"$61^!6~"</f>
        <v>#VALUE!</v>
      </c>
      <c r="FA6" t="e">
        <f>Network!238:238-"$61^!7#"</f>
        <v>#VALUE!</v>
      </c>
      <c r="FB6" t="e">
        <f>Network!239:239-"$61^!7$"</f>
        <v>#VALUE!</v>
      </c>
      <c r="FC6" t="e">
        <f>Network!240:240-"$61^!7%"</f>
        <v>#VALUE!</v>
      </c>
      <c r="FD6" t="e">
        <f>Network!241:241-"$61^!7&amp;"</f>
        <v>#VALUE!</v>
      </c>
      <c r="FE6" t="e">
        <f>Network!242:242-"$61^!7'"</f>
        <v>#VALUE!</v>
      </c>
      <c r="FF6" t="e">
        <f>Network!243:243-"$61^!7("</f>
        <v>#VALUE!</v>
      </c>
      <c r="FG6" t="e">
        <f>Network!244:244-"$61^!7)"</f>
        <v>#VALUE!</v>
      </c>
      <c r="FH6" t="e">
        <f>Network!245:245-"$61^!7."</f>
        <v>#VALUE!</v>
      </c>
      <c r="FI6" t="e">
        <f>Network!246:246-"$61^!7/"</f>
        <v>#VALUE!</v>
      </c>
      <c r="FJ6" t="e">
        <f>Network!247:247-"$61^!70"</f>
        <v>#VALUE!</v>
      </c>
      <c r="FK6" t="e">
        <f>Network!248:248-"$61^!71"</f>
        <v>#VALUE!</v>
      </c>
      <c r="FL6" t="e">
        <f>Network!249:249-"$61^!72"</f>
        <v>#VALUE!</v>
      </c>
      <c r="FM6" t="e">
        <f>Network!250:250-"$61^!73"</f>
        <v>#VALUE!</v>
      </c>
      <c r="FN6" t="e">
        <f>Network!D3+"$61^!74"</f>
        <v>#VALUE!</v>
      </c>
      <c r="FO6" t="e">
        <f>Network!E3+"$61^!75"</f>
        <v>#VALUE!</v>
      </c>
      <c r="FP6" t="e">
        <f>Network!F3+"$61^!76"</f>
        <v>#VALUE!</v>
      </c>
      <c r="FQ6" t="e">
        <f>Network!G3+"$61^!77"</f>
        <v>#VALUE!</v>
      </c>
      <c r="FR6" t="e">
        <f>Network!H3+"$61^!78"</f>
        <v>#VALUE!</v>
      </c>
      <c r="FS6" t="e">
        <f>Network!I3+"$61^!79"</f>
        <v>#VALUE!</v>
      </c>
      <c r="FT6" t="e">
        <f>Network!D4+"$61^!7:"</f>
        <v>#VALUE!</v>
      </c>
      <c r="FU6" t="e">
        <f>Network!E4+"$61^!7;"</f>
        <v>#VALUE!</v>
      </c>
      <c r="FV6" t="e">
        <f>Network!F4+"$61^!7&lt;"</f>
        <v>#VALUE!</v>
      </c>
      <c r="FW6" t="e">
        <f>Network!G4+"$61^!7="</f>
        <v>#VALUE!</v>
      </c>
      <c r="FX6" t="e">
        <f>Network!H4+"$61^!7&gt;"</f>
        <v>#VALUE!</v>
      </c>
      <c r="FY6" t="e">
        <f>Network!I4+"$61^!7?"</f>
        <v>#VALUE!</v>
      </c>
      <c r="FZ6" t="e">
        <f>Network!D5+"$61^!7@"</f>
        <v>#VALUE!</v>
      </c>
      <c r="GA6" t="e">
        <f>Network!E5+"$61^!7A"</f>
        <v>#VALUE!</v>
      </c>
      <c r="GB6" t="e">
        <f>Network!F5+"$61^!7B"</f>
        <v>#VALUE!</v>
      </c>
      <c r="GC6" t="e">
        <f>Network!G5+"$61^!7C"</f>
        <v>#VALUE!</v>
      </c>
      <c r="GD6" t="e">
        <f>Network!H5+"$61^!7D"</f>
        <v>#VALUE!</v>
      </c>
      <c r="GE6" t="e">
        <f>Network!I5+"$61^!7E"</f>
        <v>#VALUE!</v>
      </c>
      <c r="GF6" t="e">
        <f>Network!D21+"$61^!7F"</f>
        <v>#VALUE!</v>
      </c>
      <c r="GG6" t="e">
        <f>Network!E21+"$61^!7G"</f>
        <v>#VALUE!</v>
      </c>
      <c r="GH6" t="e">
        <f>Network!F21+"$61^!7H"</f>
        <v>#VALUE!</v>
      </c>
      <c r="GI6" t="e">
        <f>Network!G21+"$61^!7I"</f>
        <v>#VALUE!</v>
      </c>
      <c r="GJ6" t="e">
        <f>Network!H21+"$61^!7J"</f>
        <v>#VALUE!</v>
      </c>
      <c r="GK6" t="e">
        <f>Network!I21+"$61^!7K"</f>
        <v>#VALUE!</v>
      </c>
      <c r="GL6" t="e">
        <f>Network!D22+"$61^!7L"</f>
        <v>#VALUE!</v>
      </c>
      <c r="GM6" t="e">
        <f>Network!E22+"$61^!7M"</f>
        <v>#VALUE!</v>
      </c>
      <c r="GN6" t="e">
        <f>Network!F22+"$61^!7N"</f>
        <v>#VALUE!</v>
      </c>
      <c r="GO6" t="e">
        <f>Network!G22+"$61^!7O"</f>
        <v>#VALUE!</v>
      </c>
      <c r="GP6" t="e">
        <f>Network!H22+"$61^!7P"</f>
        <v>#VALUE!</v>
      </c>
      <c r="GQ6" t="e">
        <f>Network!I22+"$61^!7Q"</f>
        <v>#VALUE!</v>
      </c>
      <c r="GR6" t="e">
        <f>Network!D23+"$61^!7R"</f>
        <v>#VALUE!</v>
      </c>
      <c r="GS6" t="e">
        <f>Network!E23+"$61^!7S"</f>
        <v>#VALUE!</v>
      </c>
      <c r="GT6" t="e">
        <f>Network!F23+"$61^!7T"</f>
        <v>#VALUE!</v>
      </c>
      <c r="GU6" t="e">
        <f>Network!G23+"$61^!7U"</f>
        <v>#VALUE!</v>
      </c>
      <c r="GV6" t="e">
        <f>Network!H23+"$61^!7V"</f>
        <v>#VALUE!</v>
      </c>
      <c r="GW6" t="e">
        <f>Network!I23+"$61^!7W"</f>
        <v>#VALUE!</v>
      </c>
      <c r="GX6" t="e">
        <f>ECS!G1+"wcv!%"</f>
        <v>#VALUE!</v>
      </c>
      <c r="GY6" t="e">
        <f>ECS!I1+"wcv!&amp;"</f>
        <v>#VALUE!</v>
      </c>
      <c r="GZ6" t="e">
        <f>ECS!#REF!+"wcv!'"</f>
        <v>#REF!</v>
      </c>
      <c r="HA6" t="e">
        <f>ECS!#REF!+"wcv!("</f>
        <v>#REF!</v>
      </c>
      <c r="HB6" t="e">
        <f>ECS!#REF!+"wcv!)"</f>
        <v>#REF!</v>
      </c>
      <c r="HC6" t="e">
        <f>ECS!G2+"wcv!."</f>
        <v>#VALUE!</v>
      </c>
      <c r="HD6" t="e">
        <f>ECS!I2+"wcv!/"</f>
        <v>#VALUE!</v>
      </c>
      <c r="HE6" t="e">
        <f>ECS!#REF!+"wcv!0"</f>
        <v>#REF!</v>
      </c>
      <c r="HF6" t="e">
        <f>ECS!#REF!+"wcv!1"</f>
        <v>#REF!</v>
      </c>
      <c r="HG6" t="e">
        <f>ECS!#REF!+"wcv!2"</f>
        <v>#REF!</v>
      </c>
      <c r="HH6" t="e">
        <f>ECS!G3+"wcv!3"</f>
        <v>#VALUE!</v>
      </c>
      <c r="HI6" t="e">
        <f>ECS!I3+"wcv!4"</f>
        <v>#VALUE!</v>
      </c>
      <c r="HJ6" t="e">
        <f>ECS!#REF!+"wcv!5"</f>
        <v>#REF!</v>
      </c>
      <c r="HK6" t="e">
        <f>ECS!#REF!+"wcv!6"</f>
        <v>#REF!</v>
      </c>
      <c r="HL6" t="e">
        <f>ECS!#REF!+"wcv!7"</f>
        <v>#REF!</v>
      </c>
      <c r="HM6" t="e">
        <f>ECS!G7+"wcv!8"</f>
        <v>#VALUE!</v>
      </c>
      <c r="HN6" t="e">
        <f>ECS!G70+"wcv!9"</f>
        <v>#VALUE!</v>
      </c>
      <c r="HO6" t="e">
        <f>ECS!I70+"wcv!:"</f>
        <v>#VALUE!</v>
      </c>
      <c r="HP6" t="e">
        <f>ECS!#REF!+"wcv!;"</f>
        <v>#REF!</v>
      </c>
      <c r="HQ6" t="e">
        <f>ECS!#REF!+"wcv!&lt;"</f>
        <v>#REF!</v>
      </c>
      <c r="HR6" t="e">
        <f>ECS!#REF!+"wcv!="</f>
        <v>#REF!</v>
      </c>
      <c r="HS6" t="e">
        <f>ECS!G71+"wcv!&gt;"</f>
        <v>#VALUE!</v>
      </c>
      <c r="HT6" t="e">
        <f>ECS!I71+"wcv!?"</f>
        <v>#VALUE!</v>
      </c>
      <c r="HU6" t="e">
        <f>ECS!#REF!+"wcv!@"</f>
        <v>#REF!</v>
      </c>
      <c r="HV6" t="e">
        <f>ECS!#REF!+"wcv!A"</f>
        <v>#REF!</v>
      </c>
      <c r="HW6" t="e">
        <f>ECS!#REF!+"wcv!B"</f>
        <v>#REF!</v>
      </c>
      <c r="HX6" t="e">
        <f>ECS!G72+"wcv!C"</f>
        <v>#VALUE!</v>
      </c>
      <c r="HY6" t="e">
        <f>ECS!I72+"wcv!D"</f>
        <v>#VALUE!</v>
      </c>
      <c r="HZ6" t="e">
        <f>ECS!#REF!+"wcv!E"</f>
        <v>#REF!</v>
      </c>
      <c r="IA6" t="e">
        <f>ECS!#REF!+"wcv!F"</f>
        <v>#REF!</v>
      </c>
      <c r="IB6" t="e">
        <f>ECS!#REF!+"wcv!G"</f>
        <v>#REF!</v>
      </c>
      <c r="IC6" t="e">
        <f>ECS!G73+"wcv!H"</f>
        <v>#VALUE!</v>
      </c>
      <c r="ID6" t="e">
        <f>ECS!I73+"wcv!I"</f>
        <v>#VALUE!</v>
      </c>
      <c r="IE6" t="e">
        <f>ECS!#REF!+"wcv!J"</f>
        <v>#REF!</v>
      </c>
      <c r="IF6" t="e">
        <f>ECS!#REF!+"wcv!K"</f>
        <v>#REF!</v>
      </c>
      <c r="IG6" t="e">
        <f>ECS!#REF!+"wcv!L"</f>
        <v>#REF!</v>
      </c>
      <c r="IH6" t="e">
        <f>ECS!G74+"wcv!M"</f>
        <v>#VALUE!</v>
      </c>
      <c r="II6" t="e">
        <f>ECS!I74+"wcv!N"</f>
        <v>#VALUE!</v>
      </c>
      <c r="IJ6" t="e">
        <f>ECS!#REF!+"wcv!O"</f>
        <v>#REF!</v>
      </c>
      <c r="IK6" t="e">
        <f>ECS!#REF!+"wcv!P"</f>
        <v>#REF!</v>
      </c>
      <c r="IL6" t="e">
        <f>ECS!#REF!+"wcv!Q"</f>
        <v>#REF!</v>
      </c>
      <c r="IM6" t="e">
        <f>ECS!G75+"wcv!R"</f>
        <v>#VALUE!</v>
      </c>
      <c r="IN6" t="e">
        <f>ECS!I75+"wcv!S"</f>
        <v>#VALUE!</v>
      </c>
      <c r="IO6" t="e">
        <f>ECS!#REF!+"wcv!T"</f>
        <v>#REF!</v>
      </c>
      <c r="IP6" t="e">
        <f>ECS!#REF!+"wcv!U"</f>
        <v>#REF!</v>
      </c>
      <c r="IQ6" t="e">
        <f>ECS!#REF!+"wcv!V"</f>
        <v>#REF!</v>
      </c>
      <c r="IR6" t="e">
        <f>ECS!G76+"wcv!W"</f>
        <v>#VALUE!</v>
      </c>
      <c r="IS6" t="e">
        <f>ECS!I76+"wcv!X"</f>
        <v>#VALUE!</v>
      </c>
      <c r="IT6" t="e">
        <f>ECS!#REF!+"wcv!Y"</f>
        <v>#REF!</v>
      </c>
      <c r="IU6" t="e">
        <f>ECS!#REF!+"wcv!Z"</f>
        <v>#REF!</v>
      </c>
      <c r="IV6" t="e">
        <f>ECS!#REF!+"wcv!["</f>
        <v>#REF!</v>
      </c>
    </row>
    <row r="7" spans="1:256" x14ac:dyDescent="0.2">
      <c r="A7" t="s">
        <v>74</v>
      </c>
      <c r="F7" t="e">
        <f>ECS!G77+"wcv!\"</f>
        <v>#VALUE!</v>
      </c>
      <c r="G7" t="e">
        <f>ECS!I77+"wcv!]"</f>
        <v>#VALUE!</v>
      </c>
      <c r="H7" t="e">
        <f>ECS!#REF!+"wcv!^"</f>
        <v>#REF!</v>
      </c>
      <c r="I7" t="e">
        <f>ECS!#REF!+"wcv!_"</f>
        <v>#REF!</v>
      </c>
      <c r="J7" t="e">
        <f>ECS!#REF!+"wcv!`"</f>
        <v>#REF!</v>
      </c>
      <c r="K7" t="e">
        <f>ECS!G78+"wcv!a"</f>
        <v>#VALUE!</v>
      </c>
      <c r="L7" t="e">
        <f>ECS!I78+"wcv!b"</f>
        <v>#VALUE!</v>
      </c>
      <c r="M7" t="e">
        <f>ECS!#REF!+"wcv!c"</f>
        <v>#REF!</v>
      </c>
      <c r="N7" t="e">
        <f>ECS!#REF!+"wcv!d"</f>
        <v>#REF!</v>
      </c>
      <c r="O7" t="e">
        <f>ECS!#REF!+"wcv!e"</f>
        <v>#REF!</v>
      </c>
      <c r="P7" t="e">
        <f>ECS!G79+"wcv!f"</f>
        <v>#VALUE!</v>
      </c>
      <c r="Q7" t="e">
        <f>ECS!I79+"wcv!g"</f>
        <v>#VALUE!</v>
      </c>
      <c r="R7" t="e">
        <f>ECS!#REF!+"wcv!h"</f>
        <v>#REF!</v>
      </c>
      <c r="S7" t="e">
        <f>ECS!#REF!+"wcv!i"</f>
        <v>#REF!</v>
      </c>
      <c r="T7" t="e">
        <f>ECS!#REF!+"wcv!j"</f>
        <v>#REF!</v>
      </c>
      <c r="U7" t="e">
        <f>ECS!G67+"Byy!%"</f>
        <v>#VALUE!</v>
      </c>
      <c r="V7" t="e">
        <f>ECS!G68+"Byy!&amp;"</f>
        <v>#VALUE!</v>
      </c>
      <c r="W7" t="e">
        <f>ECS!G69+"Byy!'"</f>
        <v>#VALUE!</v>
      </c>
      <c r="X7" t="e">
        <f>ECS!G28+"$61^!7X"</f>
        <v>#VALUE!</v>
      </c>
      <c r="Y7" t="e">
        <f>ECS!G52+"$8Ul!%"</f>
        <v>#VALUE!</v>
      </c>
      <c r="Z7" t="e">
        <f>ECS!#REF!+"$8Ul!&amp;"</f>
        <v>#REF!</v>
      </c>
      <c r="AA7" t="e">
        <f>ECS!G53+"$8Ul!'"</f>
        <v>#VALUE!</v>
      </c>
      <c r="AB7" t="e">
        <f>ECS!#REF!+"$8Ul!("</f>
        <v>#REF!</v>
      </c>
      <c r="AC7" t="e">
        <f>Network!E25+"&gt;V}!%"</f>
        <v>#VALUE!</v>
      </c>
      <c r="AD7" t="e">
        <f>Network!F25+"&gt;V}!&amp;"</f>
        <v>#VALUE!</v>
      </c>
      <c r="AE7" t="e">
        <f>Network!G25+"&gt;V}!'"</f>
        <v>#VALUE!</v>
      </c>
      <c r="AF7" t="e">
        <f>Network!E26+"&gt;V}!("</f>
        <v>#VALUE!</v>
      </c>
      <c r="AG7" t="e">
        <f>Network!F26+"&gt;V}!)"</f>
        <v>#VALUE!</v>
      </c>
      <c r="AH7" s="9" t="e">
        <f>Network!G26+"&gt;V}!."</f>
        <v>#VALUE!</v>
      </c>
      <c r="AI7" t="e">
        <f>Network!E27+"&gt;V}!/"</f>
        <v>#VALUE!</v>
      </c>
      <c r="AJ7" t="e">
        <f>Network!F27+"&gt;V}!0"</f>
        <v>#VALUE!</v>
      </c>
      <c r="AK7" t="e">
        <f>Network!G27+"&gt;V}!1"</f>
        <v>#VALUE!</v>
      </c>
      <c r="AL7" t="e">
        <f>Network!E28+"&gt;V}!2"</f>
        <v>#VALUE!</v>
      </c>
      <c r="AM7" t="e">
        <f>Network!F28+"&gt;V}!3"</f>
        <v>#VALUE!</v>
      </c>
      <c r="AN7" t="e">
        <f>Network!G28+"&gt;V}!4"</f>
        <v>#VALUE!</v>
      </c>
      <c r="AO7" t="e">
        <f>Network!E29+"&gt;V}!5"</f>
        <v>#VALUE!</v>
      </c>
      <c r="AP7" t="e">
        <f>Network!F29+"&gt;V}!6"</f>
        <v>#VALUE!</v>
      </c>
      <c r="AQ7" t="e">
        <f>Network!G29+"&gt;V}!7"</f>
        <v>#VALUE!</v>
      </c>
      <c r="AR7" t="e">
        <f>Network!E30+"&gt;V}!8"</f>
        <v>#VALUE!</v>
      </c>
      <c r="AS7" t="e">
        <f>Network!F30+"&gt;V}!9"</f>
        <v>#VALUE!</v>
      </c>
      <c r="AT7" t="e">
        <f>Network!G30+"&gt;V}!:"</f>
        <v>#VALUE!</v>
      </c>
      <c r="AU7" t="e">
        <f>Network!E31+"&gt;V}!;"</f>
        <v>#VALUE!</v>
      </c>
      <c r="AV7" t="e">
        <f>Network!F31+"&gt;V}!&lt;"</f>
        <v>#VALUE!</v>
      </c>
      <c r="AW7" t="e">
        <f>Network!G31+"&gt;V}!="</f>
        <v>#VALUE!</v>
      </c>
      <c r="AX7" t="e">
        <f>Network!E32+"&gt;V}!&gt;"</f>
        <v>#VALUE!</v>
      </c>
      <c r="AY7" t="e">
        <f>Network!F32+"&gt;V}!?"</f>
        <v>#VALUE!</v>
      </c>
      <c r="AZ7" t="e">
        <f>Network!G32+"&gt;V}!@"</f>
        <v>#VALUE!</v>
      </c>
      <c r="BA7" t="e">
        <f>Network!E33+"&gt;V}!A"</f>
        <v>#VALUE!</v>
      </c>
      <c r="BB7" t="e">
        <f>Network!F33+"&gt;V}!B"</f>
        <v>#VALUE!</v>
      </c>
      <c r="BC7" t="e">
        <f>Network!G33+"&gt;V}!C"</f>
        <v>#VALUE!</v>
      </c>
      <c r="BD7" t="e">
        <f>Network!E34+"&gt;V}!D"</f>
        <v>#VALUE!</v>
      </c>
      <c r="BE7" t="e">
        <f>Network!F34+"&gt;V}!E"</f>
        <v>#VALUE!</v>
      </c>
      <c r="BF7" t="e">
        <f>Network!G34+"&gt;V}!F"</f>
        <v>#VALUE!</v>
      </c>
      <c r="BG7" t="e">
        <f>Network!E35+"&gt;V}!G"</f>
        <v>#VALUE!</v>
      </c>
      <c r="BH7" t="e">
        <f>Network!F35+"&gt;V}!H"</f>
        <v>#VALUE!</v>
      </c>
      <c r="BI7" t="e">
        <f>Network!G35+"&gt;V}!I"</f>
        <v>#VALUE!</v>
      </c>
      <c r="BJ7" t="e">
        <f>Network!E36+"&gt;V}!J"</f>
        <v>#VALUE!</v>
      </c>
      <c r="BK7" t="e">
        <f>Network!F36+"&gt;V}!K"</f>
        <v>#VALUE!</v>
      </c>
      <c r="BL7" t="e">
        <f>Network!G36+"&gt;V}!L"</f>
        <v>#VALUE!</v>
      </c>
      <c r="BM7" t="e">
        <f>Network!E37+"&gt;V}!M"</f>
        <v>#VALUE!</v>
      </c>
      <c r="BN7" t="e">
        <f>Network!F37+"&gt;V}!N"</f>
        <v>#VALUE!</v>
      </c>
      <c r="BO7" t="e">
        <f>Network!G37+"&gt;V}!O"</f>
        <v>#VALUE!</v>
      </c>
      <c r="BP7" t="e">
        <f>Network!E38+"&gt;V}!P"</f>
        <v>#VALUE!</v>
      </c>
      <c r="BQ7" t="e">
        <f>Network!F38+"&gt;V}!Q"</f>
        <v>#VALUE!</v>
      </c>
      <c r="BR7" t="e">
        <f>Network!G39+"&gt;V}!R"</f>
        <v>#VALUE!</v>
      </c>
      <c r="BS7" t="e">
        <f>Network!E39+"&gt;V}!S"</f>
        <v>#VALUE!</v>
      </c>
      <c r="BT7" t="e">
        <f>Network!F39+"&gt;V}!T"</f>
        <v>#VALUE!</v>
      </c>
      <c r="BU7" t="e">
        <f>Network!#REF!+"&gt;V}!U"</f>
        <v>#REF!</v>
      </c>
      <c r="BV7" t="e">
        <f>ECS!I13+"wcv!k"</f>
        <v>#VALUE!</v>
      </c>
      <c r="BW7" t="e">
        <f>ECS!J1+"58d!%"</f>
        <v>#VALUE!</v>
      </c>
      <c r="BX7" t="e">
        <f>ECS!J2+"58d!&amp;"</f>
        <v>#VALUE!</v>
      </c>
      <c r="BY7" t="e">
        <f>ECS!J3+"58d!'"</f>
        <v>#VALUE!</v>
      </c>
      <c r="BZ7" t="e">
        <f>ECS!J70+"58d!("</f>
        <v>#VALUE!</v>
      </c>
      <c r="CA7" t="e">
        <f>ECS!J71+"58d!)"</f>
        <v>#VALUE!</v>
      </c>
      <c r="CB7" t="e">
        <f>ECS!J72+"58d!."</f>
        <v>#VALUE!</v>
      </c>
      <c r="CC7" t="e">
        <f>ECS!J73+"58d!/"</f>
        <v>#VALUE!</v>
      </c>
      <c r="CD7" t="e">
        <f>ECS!J74+"58d!0"</f>
        <v>#VALUE!</v>
      </c>
      <c r="CE7" t="e">
        <f>ECS!J75+"58d!1"</f>
        <v>#VALUE!</v>
      </c>
      <c r="CF7" t="e">
        <f>ECS!J76+"58d!2"</f>
        <v>#VALUE!</v>
      </c>
      <c r="CG7" t="e">
        <f>ECS!J77+"58d!3"</f>
        <v>#VALUE!</v>
      </c>
      <c r="CH7" t="e">
        <f>ECS!J78+"58d!4"</f>
        <v>#VALUE!</v>
      </c>
      <c r="CI7" t="e">
        <f>ECS!J79+"58d!5"</f>
        <v>#VALUE!</v>
      </c>
      <c r="CJ7" t="e">
        <f>ECS!G44+"LG|!%"</f>
        <v>#VALUE!</v>
      </c>
      <c r="CK7" t="e">
        <f>Network!E1+"&gt;V}!V"</f>
        <v>#VALUE!</v>
      </c>
      <c r="CL7" t="e">
        <f>Network!F1+"&gt;V}!W"</f>
        <v>#VALUE!</v>
      </c>
      <c r="CM7" t="e">
        <f>Network!G1+"&gt;V}!X"</f>
        <v>#VALUE!</v>
      </c>
      <c r="CN7" t="e">
        <f>Network!E2+"&gt;V}!Y"</f>
        <v>#VALUE!</v>
      </c>
      <c r="CO7" t="e">
        <f>Network!F2+"&gt;V}!Z"</f>
        <v>#VALUE!</v>
      </c>
      <c r="CP7" t="e">
        <f>Network!G2+"&gt;V}!["</f>
        <v>#VALUE!</v>
      </c>
      <c r="CQ7" t="e">
        <f>Network!E6+"&gt;V}!\"</f>
        <v>#VALUE!</v>
      </c>
      <c r="CR7" t="e">
        <f>Network!F6+"&gt;V}!]"</f>
        <v>#VALUE!</v>
      </c>
      <c r="CS7" t="e">
        <f>Network!G6+"&gt;V}!^"</f>
        <v>#VALUE!</v>
      </c>
      <c r="CT7" t="e">
        <f>Network!#REF!+"&gt;V}!_"</f>
        <v>#REF!</v>
      </c>
      <c r="CU7" t="e">
        <f>Network!#REF!+"&gt;V}!`"</f>
        <v>#REF!</v>
      </c>
      <c r="CV7" t="e">
        <f>Network!#REF!+"&gt;V}!a"</f>
        <v>#REF!</v>
      </c>
      <c r="CW7" t="e">
        <f>Network!#REF!+"&gt;V}!b"</f>
        <v>#REF!</v>
      </c>
      <c r="CX7" t="e">
        <f>Network!#REF!+"&gt;V}!c"</f>
        <v>#REF!</v>
      </c>
      <c r="CY7" t="e">
        <f>Network!#REF!+"&gt;V}!d"</f>
        <v>#REF!</v>
      </c>
      <c r="CZ7" t="e">
        <f>Network!#REF!+"&gt;V}!e"</f>
        <v>#REF!</v>
      </c>
      <c r="DA7" t="e">
        <f>Network!#REF!+"&gt;V}!f"</f>
        <v>#REF!</v>
      </c>
      <c r="DB7" t="e">
        <f>Network!#REF!+"&gt;V}!g"</f>
        <v>#REF!</v>
      </c>
      <c r="DC7" t="e">
        <f>Network!#REF!+"&gt;V}!h"</f>
        <v>#REF!</v>
      </c>
      <c r="DD7" t="e">
        <f>Network!#REF!+"&gt;V}!i"</f>
        <v>#REF!</v>
      </c>
      <c r="DE7" t="e">
        <f>Network!#REF!+"&gt;V}!j"</f>
        <v>#REF!</v>
      </c>
      <c r="DF7" t="e">
        <f>Network!#REF!+"&gt;V}!k"</f>
        <v>#REF!</v>
      </c>
      <c r="DG7" t="e">
        <f>Network!#REF!+"&gt;V}!l"</f>
        <v>#REF!</v>
      </c>
      <c r="DH7" t="e">
        <f>Network!#REF!+"&gt;V}!m"</f>
        <v>#REF!</v>
      </c>
      <c r="DI7" t="e">
        <f>Network!#REF!+"&gt;V}!n"</f>
        <v>#REF!</v>
      </c>
      <c r="DJ7" t="e">
        <f>Network!#REF!+"&gt;V}!o"</f>
        <v>#REF!</v>
      </c>
      <c r="DK7" t="e">
        <f>Network!#REF!+"&gt;V}!p"</f>
        <v>#REF!</v>
      </c>
      <c r="DL7" t="e">
        <f>Network!#REF!+"&gt;V}!q"</f>
        <v>#REF!</v>
      </c>
      <c r="DM7" t="e">
        <f>Network!#REF!+"&gt;V}!r"</f>
        <v>#REF!</v>
      </c>
      <c r="DN7" t="e">
        <f>Network!#REF!+"&gt;V}!s"</f>
        <v>#REF!</v>
      </c>
      <c r="DO7" t="e">
        <f>Network!#REF!+"&gt;V}!t"</f>
        <v>#REF!</v>
      </c>
      <c r="DP7" t="e">
        <f>Network!#REF!+"&gt;V}!u"</f>
        <v>#REF!</v>
      </c>
      <c r="DQ7" t="e">
        <f>Network!#REF!+"&gt;V}!v"</f>
        <v>#REF!</v>
      </c>
      <c r="DR7" t="e">
        <f>Network!#REF!+"&gt;V}!w"</f>
        <v>#REF!</v>
      </c>
      <c r="DS7" t="e">
        <f>Network!#REF!+"&gt;V}!x"</f>
        <v>#REF!</v>
      </c>
      <c r="DT7" t="e">
        <f>Network!#REF!+"&gt;V}!y"</f>
        <v>#REF!</v>
      </c>
      <c r="DU7" t="e">
        <f>Network!#REF!+"&gt;V}!z"</f>
        <v>#REF!</v>
      </c>
      <c r="DV7" t="e">
        <f>Network!#REF!+"&gt;V}!{"</f>
        <v>#REF!</v>
      </c>
      <c r="DW7" t="e">
        <f>Network!#REF!+"&gt;V}!|"</f>
        <v>#REF!</v>
      </c>
      <c r="DX7" t="e">
        <f>Network!#REF!+"&gt;V}!}"</f>
        <v>#REF!</v>
      </c>
      <c r="DY7" t="e">
        <f>Network!#REF!+"&gt;V}!~"</f>
        <v>#REF!</v>
      </c>
      <c r="DZ7" t="e">
        <f>Network!#REF!+"&gt;V}!$#"</f>
        <v>#REF!</v>
      </c>
      <c r="EA7" t="e">
        <f>Network!#REF!+"&gt;V}!$$"</f>
        <v>#REF!</v>
      </c>
      <c r="EB7" t="e">
        <f>Network!#REF!+"&gt;V}!$%"</f>
        <v>#REF!</v>
      </c>
      <c r="EC7" t="e">
        <f>Network!#REF!+"&gt;V}!$&amp;"</f>
        <v>#REF!</v>
      </c>
      <c r="ED7" t="e">
        <f>Network!#REF!+"&gt;V}!$'"</f>
        <v>#REF!</v>
      </c>
      <c r="EE7" t="e">
        <f>Network!#REF!+"&gt;V}!$("</f>
        <v>#REF!</v>
      </c>
      <c r="EF7" t="e">
        <f>Network!#REF!+"&gt;V}!$)"</f>
        <v>#REF!</v>
      </c>
      <c r="EG7" t="e">
        <f>Network!#REF!+"&gt;V}!$."</f>
        <v>#REF!</v>
      </c>
      <c r="EH7" t="e">
        <f>Network!#REF!+"&gt;V}!$/"</f>
        <v>#REF!</v>
      </c>
      <c r="EI7" t="e">
        <f>Network!#REF!+"&gt;V}!$0"</f>
        <v>#REF!</v>
      </c>
      <c r="EJ7" t="e">
        <f>Network!#REF!+"&gt;V}!$1"</f>
        <v>#REF!</v>
      </c>
      <c r="EK7" t="e">
        <f>Network!#REF!+"&gt;V}!$2"</f>
        <v>#REF!</v>
      </c>
      <c r="EL7" t="e">
        <f>Network!#REF!+"&gt;V}!$3"</f>
        <v>#REF!</v>
      </c>
      <c r="EM7" t="e">
        <f>Network!#REF!+"&gt;V}!$4"</f>
        <v>#REF!</v>
      </c>
      <c r="EN7" t="e">
        <f>Network!#REF!+"&gt;V}!$5"</f>
        <v>#REF!</v>
      </c>
      <c r="EO7" t="e">
        <f>Network!#REF!+"&gt;V}!$6"</f>
        <v>#REF!</v>
      </c>
      <c r="EP7" t="e">
        <f>Network!#REF!+"&gt;V}!$7"</f>
        <v>#REF!</v>
      </c>
      <c r="EQ7" t="e">
        <f>Network!#REF!+"&gt;V}!$8"</f>
        <v>#REF!</v>
      </c>
      <c r="ER7" t="e">
        <f>Network!#REF!+"&gt;V}!$9"</f>
        <v>#REF!</v>
      </c>
      <c r="ES7" t="e">
        <f>Network!#REF!+"&gt;V}!$:"</f>
        <v>#REF!</v>
      </c>
      <c r="ET7" t="e">
        <f>Network!#REF!+"&gt;V}!$;"</f>
        <v>#REF!</v>
      </c>
      <c r="EU7" t="e">
        <f>Network!#REF!+"&gt;V}!$&lt;"</f>
        <v>#REF!</v>
      </c>
      <c r="EV7" t="e">
        <f>Network!#REF!+"&gt;V}!$="</f>
        <v>#REF!</v>
      </c>
      <c r="EW7" t="e">
        <f>Network!#REF!+"&gt;V}!$&gt;"</f>
        <v>#REF!</v>
      </c>
      <c r="EX7" t="e">
        <f>Network!#REF!+"&gt;V}!$?"</f>
        <v>#REF!</v>
      </c>
      <c r="EY7" t="e">
        <f>Network!E7+"&gt;V}!$@"</f>
        <v>#VALUE!</v>
      </c>
      <c r="EZ7" t="e">
        <f>Network!F7+"&gt;V}!$A"</f>
        <v>#VALUE!</v>
      </c>
      <c r="FA7" t="e">
        <f>Network!G7+"&gt;V}!$B"</f>
        <v>#VALUE!</v>
      </c>
      <c r="FB7" t="e">
        <f>Network!E8+"&gt;V}!$C"</f>
        <v>#VALUE!</v>
      </c>
      <c r="FC7" t="e">
        <f>Network!F8+"&gt;V}!$D"</f>
        <v>#VALUE!</v>
      </c>
      <c r="FD7" t="e">
        <f>Network!G8+"&gt;V}!$E"</f>
        <v>#VALUE!</v>
      </c>
      <c r="FE7" t="e">
        <f>Network!E9+"&gt;V}!$F"</f>
        <v>#VALUE!</v>
      </c>
      <c r="FF7" t="e">
        <f>Network!F9+"&gt;V}!$G"</f>
        <v>#VALUE!</v>
      </c>
      <c r="FG7" t="e">
        <f>Network!G9+"&gt;V}!$H"</f>
        <v>#VALUE!</v>
      </c>
      <c r="FH7" t="e">
        <f>Network!E10+"&gt;V}!$I"</f>
        <v>#VALUE!</v>
      </c>
      <c r="FI7" t="e">
        <f>Network!F10+"&gt;V}!$J"</f>
        <v>#VALUE!</v>
      </c>
      <c r="FJ7" t="e">
        <f>Network!G10+"&gt;V}!$K"</f>
        <v>#VALUE!</v>
      </c>
      <c r="FK7" t="e">
        <f>Network!E11+"&gt;V}!$L"</f>
        <v>#VALUE!</v>
      </c>
      <c r="FL7" t="e">
        <f>Network!F11+"&gt;V}!$M"</f>
        <v>#VALUE!</v>
      </c>
      <c r="FM7" t="e">
        <f>Network!G11+"&gt;V}!$N"</f>
        <v>#VALUE!</v>
      </c>
      <c r="FN7" t="e">
        <f>Network!E12+"&gt;V}!$O"</f>
        <v>#VALUE!</v>
      </c>
      <c r="FO7" t="e">
        <f>Network!F12+"&gt;V}!$P"</f>
        <v>#VALUE!</v>
      </c>
      <c r="FP7" t="e">
        <f>Network!G12+"&gt;V}!$Q"</f>
        <v>#VALUE!</v>
      </c>
      <c r="FQ7" t="e">
        <f>Network!E13+"&gt;V}!$R"</f>
        <v>#VALUE!</v>
      </c>
      <c r="FR7" t="e">
        <f>Network!F13+"&gt;V}!$S"</f>
        <v>#VALUE!</v>
      </c>
      <c r="FS7" t="e">
        <f>Network!G13+"&gt;V}!$T"</f>
        <v>#VALUE!</v>
      </c>
      <c r="FT7" t="e">
        <f>Network!E14+"&gt;V}!$U"</f>
        <v>#VALUE!</v>
      </c>
      <c r="FU7" t="e">
        <f>Network!F14+"&gt;V}!$V"</f>
        <v>#VALUE!</v>
      </c>
      <c r="FV7" t="e">
        <f>Network!G14+"&gt;V}!$W"</f>
        <v>#VALUE!</v>
      </c>
      <c r="FW7" t="e">
        <f>Network!E15+"&gt;V}!$X"</f>
        <v>#VALUE!</v>
      </c>
      <c r="FX7" t="e">
        <f>Network!F15+"&gt;V}!$Y"</f>
        <v>#VALUE!</v>
      </c>
      <c r="FY7" t="e">
        <f>Network!G15+"&gt;V}!$Z"</f>
        <v>#VALUE!</v>
      </c>
      <c r="FZ7" t="e">
        <f>Network!E16+"&gt;V}!$["</f>
        <v>#VALUE!</v>
      </c>
      <c r="GA7" t="e">
        <f>Network!F16+"&gt;V}!$\"</f>
        <v>#VALUE!</v>
      </c>
      <c r="GB7" t="e">
        <f>Network!G16+"&gt;V}!$]"</f>
        <v>#VALUE!</v>
      </c>
      <c r="GC7" t="e">
        <f>Network!E17+"&gt;V}!$^"</f>
        <v>#VALUE!</v>
      </c>
      <c r="GD7" t="e">
        <f>Network!F17+"&gt;V}!$_"</f>
        <v>#VALUE!</v>
      </c>
      <c r="GE7" t="e">
        <f>Network!G17+"&gt;V}!$`"</f>
        <v>#VALUE!</v>
      </c>
      <c r="GF7" t="e">
        <f>Network!E18+"&gt;V}!$a"</f>
        <v>#VALUE!</v>
      </c>
      <c r="GG7" t="e">
        <f>Network!F18+"&gt;V}!$b"</f>
        <v>#VALUE!</v>
      </c>
      <c r="GH7" t="e">
        <f>Network!G18+"&gt;V}!$c"</f>
        <v>#VALUE!</v>
      </c>
      <c r="GI7" t="e">
        <f>Network!E19+"&gt;V}!$d"</f>
        <v>#VALUE!</v>
      </c>
      <c r="GJ7" t="e">
        <f>Network!F19+"&gt;V}!$e"</f>
        <v>#VALUE!</v>
      </c>
      <c r="GK7" t="e">
        <f>Network!G19+"&gt;V}!$f"</f>
        <v>#VALUE!</v>
      </c>
      <c r="GL7" t="e">
        <f>Network!E20+"&gt;V}!$g"</f>
        <v>#VALUE!</v>
      </c>
      <c r="GM7" t="e">
        <f>Network!F20+"&gt;V}!$h"</f>
        <v>#VALUE!</v>
      </c>
      <c r="GN7" t="e">
        <f>Network!G20+"&gt;V}!$i"</f>
        <v>#VALUE!</v>
      </c>
      <c r="GO7" t="e">
        <f>Network!E24+"&gt;V}!$j"</f>
        <v>#VALUE!</v>
      </c>
      <c r="GP7" t="e">
        <f>Network!F24+"&gt;V}!$k"</f>
        <v>#VALUE!</v>
      </c>
      <c r="GQ7" t="e">
        <f>Network!G24+"&gt;V}!$l"</f>
        <v>#VALUE!</v>
      </c>
      <c r="GR7" t="e">
        <f>Network!G38+"&gt;V}!$m"</f>
        <v>#VALUE!</v>
      </c>
      <c r="GS7" t="e">
        <f>Network!E40+"&gt;V}!$n"</f>
        <v>#VALUE!</v>
      </c>
      <c r="GT7" t="e">
        <f>Network!F40+"&gt;V}!$o"</f>
        <v>#VALUE!</v>
      </c>
      <c r="GU7" t="e">
        <f>Network!G40+"&gt;V}!$p"</f>
        <v>#VALUE!</v>
      </c>
      <c r="GV7" t="e">
        <f>Network!E41+"&gt;V}!$q"</f>
        <v>#VALUE!</v>
      </c>
      <c r="GW7" t="e">
        <f>Network!F41+"&gt;V}!$r"</f>
        <v>#VALUE!</v>
      </c>
      <c r="GX7" t="e">
        <f>Network!G41+"&gt;V}!$s"</f>
        <v>#VALUE!</v>
      </c>
      <c r="GY7" t="e">
        <f>Network!E42+"&gt;V}!$t"</f>
        <v>#VALUE!</v>
      </c>
      <c r="GZ7" t="e">
        <f>Network!F42+"&gt;V}!$u"</f>
        <v>#VALUE!</v>
      </c>
      <c r="HA7" t="e">
        <f>Network!G42+"&gt;V}!$v"</f>
        <v>#VALUE!</v>
      </c>
      <c r="HB7" t="e">
        <f>Network!E43+"&gt;V}!$w"</f>
        <v>#VALUE!</v>
      </c>
      <c r="HC7" t="e">
        <f>Network!F43+"&gt;V}!$x"</f>
        <v>#VALUE!</v>
      </c>
      <c r="HD7" t="e">
        <f>Network!G43+"&gt;V}!$y"</f>
        <v>#VALUE!</v>
      </c>
      <c r="HE7" t="e">
        <f>Network!E44+"&gt;V}!$z"</f>
        <v>#VALUE!</v>
      </c>
      <c r="HF7" t="e">
        <f>Network!F44+"&gt;V}!${"</f>
        <v>#VALUE!</v>
      </c>
      <c r="HG7" t="e">
        <f>Network!G44+"&gt;V}!$|"</f>
        <v>#VALUE!</v>
      </c>
      <c r="HH7" t="e">
        <f>Network!E45+"&gt;V}!$}"</f>
        <v>#VALUE!</v>
      </c>
      <c r="HI7" t="e">
        <f>Network!F45+"&gt;V}!$~"</f>
        <v>#VALUE!</v>
      </c>
      <c r="HJ7" t="e">
        <f>Network!G45+"&gt;V}!%#"</f>
        <v>#VALUE!</v>
      </c>
      <c r="HK7" t="e">
        <f>Network!E46+"&gt;V}!%$"</f>
        <v>#VALUE!</v>
      </c>
      <c r="HL7" t="e">
        <f>Network!F46+"&gt;V}!%%"</f>
        <v>#VALUE!</v>
      </c>
      <c r="HM7" t="e">
        <f>Network!G46+"&gt;V}!%&amp;"</f>
        <v>#VALUE!</v>
      </c>
      <c r="HN7" t="e">
        <f>Network!E47+"&gt;V}!%'"</f>
        <v>#VALUE!</v>
      </c>
      <c r="HO7" t="e">
        <f>Network!F47+"&gt;V}!%("</f>
        <v>#VALUE!</v>
      </c>
      <c r="HP7" t="e">
        <f>Network!G47+"&gt;V}!%)"</f>
        <v>#VALUE!</v>
      </c>
      <c r="HQ7" t="e">
        <f>Network!E48+"&gt;V}!%."</f>
        <v>#VALUE!</v>
      </c>
      <c r="HR7" t="e">
        <f>Network!F48+"&gt;V}!%/"</f>
        <v>#VALUE!</v>
      </c>
      <c r="HS7" t="e">
        <f>Network!G48+"&gt;V}!%0"</f>
        <v>#VALUE!</v>
      </c>
      <c r="HT7" t="e">
        <f>Network!E49+"&gt;V}!%1"</f>
        <v>#VALUE!</v>
      </c>
      <c r="HU7" t="e">
        <f>Network!F49+"&gt;V}!%2"</f>
        <v>#VALUE!</v>
      </c>
      <c r="HV7" t="e">
        <f>Network!G49+"&gt;V}!%3"</f>
        <v>#VALUE!</v>
      </c>
      <c r="HW7" t="e">
        <f>Network!E50+"&gt;V}!%4"</f>
        <v>#VALUE!</v>
      </c>
      <c r="HX7" t="e">
        <f>Network!F50+"&gt;V}!%5"</f>
        <v>#VALUE!</v>
      </c>
      <c r="HY7" t="e">
        <f>Network!G50+"&gt;V}!%6"</f>
        <v>#VALUE!</v>
      </c>
      <c r="HZ7" t="e">
        <f>ECS!A:A*"$61^!7Y"</f>
        <v>#VALUE!</v>
      </c>
      <c r="IA7" t="e">
        <f>ECS!BI:BI*"$61^!7Z"</f>
        <v>#VALUE!</v>
      </c>
      <c r="IB7" t="e">
        <f>ECS!BJ:BJ*"$61^!7["</f>
        <v>#VALUE!</v>
      </c>
      <c r="IC7" t="e">
        <f>ECS!BK:BK*"$61^!7\"</f>
        <v>#VALUE!</v>
      </c>
      <c r="ID7" t="e">
        <f>ECS!BL:BL*"$61^!7]"</f>
        <v>#VALUE!</v>
      </c>
      <c r="IE7" t="e">
        <f>ECS!BM:BM*"$61^!7^"</f>
        <v>#VALUE!</v>
      </c>
      <c r="IF7" t="e">
        <f>ECS!BN:BN*"$61^!7_"</f>
        <v>#VALUE!</v>
      </c>
      <c r="IG7" t="e">
        <f>ECS!BO:BO*"$61^!7`"</f>
        <v>#VALUE!</v>
      </c>
      <c r="IH7" t="e">
        <f>ECS!BP:BP*"$61^!7a"</f>
        <v>#VALUE!</v>
      </c>
      <c r="II7" t="e">
        <f>ECS!BQ:BQ*"$61^!7b"</f>
        <v>#VALUE!</v>
      </c>
      <c r="IJ7" t="e">
        <f>ECS!BR:BR*"$61^!7c"</f>
        <v>#VALUE!</v>
      </c>
      <c r="IK7" t="e">
        <f>ECS!BS:BS*"$61^!7d"</f>
        <v>#VALUE!</v>
      </c>
      <c r="IL7" t="e">
        <f>ECS!BT:BT*"$61^!7e"</f>
        <v>#VALUE!</v>
      </c>
      <c r="IM7" t="e">
        <f>ECS!BU:BU*"$61^!7f"</f>
        <v>#VALUE!</v>
      </c>
      <c r="IN7" t="e">
        <f>ECS!BV:BV*"$61^!7g"</f>
        <v>#VALUE!</v>
      </c>
      <c r="IO7" t="e">
        <f>ECS!BW:BW*"$61^!7h"</f>
        <v>#VALUE!</v>
      </c>
      <c r="IP7" t="e">
        <f>ECS!BX:BX*"$61^!7i"</f>
        <v>#VALUE!</v>
      </c>
      <c r="IQ7" t="e">
        <f>ECS!B4+"$61^!7j"</f>
        <v>#VALUE!</v>
      </c>
      <c r="IR7" t="e">
        <f>ECS!K4+"$61^!7k"</f>
        <v>#VALUE!</v>
      </c>
      <c r="IS7" t="e">
        <f>ECS!L4+"$61^!7l"</f>
        <v>#VALUE!</v>
      </c>
      <c r="IT7" t="e">
        <f>ECS!M4+"$61^!7m"</f>
        <v>#VALUE!</v>
      </c>
      <c r="IU7" t="e">
        <f>ECS!N4+"$61^!7n"</f>
        <v>#VALUE!</v>
      </c>
      <c r="IV7" t="e">
        <f>ECS!O4+"$61^!7o"</f>
        <v>#VALUE!</v>
      </c>
    </row>
    <row r="8" spans="1:256" x14ac:dyDescent="0.2">
      <c r="A8" t="s">
        <v>75</v>
      </c>
      <c r="F8" t="e">
        <f>ECS!P4+"$61^!7p"</f>
        <v>#VALUE!</v>
      </c>
      <c r="G8" t="e">
        <f>ECS!Q4+"$61^!7q"</f>
        <v>#VALUE!</v>
      </c>
      <c r="H8" t="e">
        <f>ECS!R4+"$61^!7r"</f>
        <v>#VALUE!</v>
      </c>
      <c r="I8" t="e">
        <f>ECS!S4+"$61^!7s"</f>
        <v>#VALUE!</v>
      </c>
      <c r="J8" t="e">
        <f>ECS!T4+"$61^!7t"</f>
        <v>#VALUE!</v>
      </c>
      <c r="K8" t="e">
        <f>ECS!U4+"$61^!7u"</f>
        <v>#VALUE!</v>
      </c>
      <c r="L8" t="e">
        <f>ECS!V4+"$61^!7v"</f>
        <v>#VALUE!</v>
      </c>
      <c r="M8" t="e">
        <f>ECS!W4+"$61^!7w"</f>
        <v>#VALUE!</v>
      </c>
      <c r="N8" t="e">
        <f>ECS!X4+"$61^!7x"</f>
        <v>#VALUE!</v>
      </c>
      <c r="O8" t="e">
        <f>ECS!Y4+"$61^!7y"</f>
        <v>#VALUE!</v>
      </c>
      <c r="P8" t="e">
        <f>ECS!Z4+"$61^!7z"</f>
        <v>#VALUE!</v>
      </c>
      <c r="Q8" t="e">
        <f>ECS!A5+"$61^!7{"</f>
        <v>#VALUE!</v>
      </c>
      <c r="R8" t="e">
        <f>ECS!A6+"$61^!7|"</f>
        <v>#VALUE!</v>
      </c>
      <c r="S8" t="e">
        <f>ECS!A7+"$61^!7}"</f>
        <v>#VALUE!</v>
      </c>
      <c r="T8" t="e">
        <f>ECS!A8+"$61^!7~"</f>
        <v>#VALUE!</v>
      </c>
      <c r="U8" t="e">
        <f>ECS!A9+"$61^!8#"</f>
        <v>#VALUE!</v>
      </c>
      <c r="V8" t="e">
        <f>ECS!A10+"$61^!8$"</f>
        <v>#VALUE!</v>
      </c>
      <c r="W8" t="e">
        <f>ECS!A11+"$61^!8%"</f>
        <v>#VALUE!</v>
      </c>
      <c r="X8" t="e">
        <f>ECS!A12+"$61^!8&amp;"</f>
        <v>#VALUE!</v>
      </c>
      <c r="Y8" t="e">
        <f>ECS!A13+"$61^!8'"</f>
        <v>#VALUE!</v>
      </c>
      <c r="Z8" t="e">
        <f>ECS!A14+"$61^!8("</f>
        <v>#VALUE!</v>
      </c>
      <c r="AA8" t="e">
        <f>ECS!A15+"$61^!8)"</f>
        <v>#VALUE!</v>
      </c>
      <c r="AB8" t="e">
        <f>ECS!A16+"$61^!8."</f>
        <v>#VALUE!</v>
      </c>
      <c r="AC8" t="e">
        <f>ECS!A17+"$61^!8/"</f>
        <v>#VALUE!</v>
      </c>
      <c r="AD8" t="e">
        <f>ECS!A18+"$61^!80"</f>
        <v>#VALUE!</v>
      </c>
      <c r="AE8" t="e">
        <f>ECS!A19+"$61^!81"</f>
        <v>#VALUE!</v>
      </c>
      <c r="AF8" t="e">
        <f>ECS!A20+"$61^!82"</f>
        <v>#VALUE!</v>
      </c>
      <c r="AG8" t="e">
        <f>ECS!A21+"$61^!83"</f>
        <v>#VALUE!</v>
      </c>
      <c r="AH8" t="e">
        <f>ECS!A22+"$61^!84"</f>
        <v>#VALUE!</v>
      </c>
      <c r="AI8" t="e">
        <f>ECS!A23+"$61^!85"</f>
        <v>#VALUE!</v>
      </c>
      <c r="AJ8" t="e">
        <f>ECS!A24+"$61^!86"</f>
        <v>#VALUE!</v>
      </c>
      <c r="AK8" t="e">
        <f>ECS!A25+"$61^!87"</f>
        <v>#VALUE!</v>
      </c>
      <c r="AL8" t="e">
        <f>ECS!A26+"$61^!88"</f>
        <v>#VALUE!</v>
      </c>
      <c r="AM8" t="e">
        <f>ECS!A27+"$61^!89"</f>
        <v>#VALUE!</v>
      </c>
      <c r="AN8" t="e">
        <f>ECS!A28+"$61^!8:"</f>
        <v>#VALUE!</v>
      </c>
      <c r="AO8" t="e">
        <f>ECS!A29+"$61^!8;"</f>
        <v>#VALUE!</v>
      </c>
      <c r="AP8" t="e">
        <f>ECS!A30+"$61^!8&lt;"</f>
        <v>#VALUE!</v>
      </c>
      <c r="AQ8" t="e">
        <f>ECS!A31+"$61^!8="</f>
        <v>#VALUE!</v>
      </c>
      <c r="AR8" t="e">
        <f>ECS!A32+"$61^!8&gt;"</f>
        <v>#VALUE!</v>
      </c>
      <c r="AS8" t="e">
        <f>ECS!A33+"$61^!8?"</f>
        <v>#VALUE!</v>
      </c>
      <c r="AT8" t="e">
        <f>ECS!A34+"$61^!8@"</f>
        <v>#VALUE!</v>
      </c>
      <c r="AU8" t="e">
        <f>ECS!A35+"$61^!8A"</f>
        <v>#VALUE!</v>
      </c>
      <c r="AV8" t="e">
        <f>ECS!A36+"$61^!8B"</f>
        <v>#VALUE!</v>
      </c>
      <c r="AW8" t="e">
        <f>ECS!A37+"$61^!8C"</f>
        <v>#VALUE!</v>
      </c>
      <c r="AX8" t="e">
        <f>ECS!A38+"$61^!8D"</f>
        <v>#VALUE!</v>
      </c>
      <c r="AY8" t="e">
        <f>ECS!A39+"$61^!8E"</f>
        <v>#VALUE!</v>
      </c>
      <c r="AZ8" t="e">
        <f>ECS!A40+"$61^!8F"</f>
        <v>#VALUE!</v>
      </c>
      <c r="BA8" t="e">
        <f>ECS!A41+"$61^!8G"</f>
        <v>#VALUE!</v>
      </c>
      <c r="BB8" t="e">
        <f>ECS!A42+"$61^!8H"</f>
        <v>#VALUE!</v>
      </c>
      <c r="BC8" t="e">
        <f>ECS!A43+"$61^!8I"</f>
        <v>#VALUE!</v>
      </c>
      <c r="BD8" t="e">
        <f>ECS!A44+"$61^!8J"</f>
        <v>#VALUE!</v>
      </c>
      <c r="BE8" t="e">
        <f>ECS!A45+"$61^!8K"</f>
        <v>#VALUE!</v>
      </c>
      <c r="BF8" t="e">
        <f>ECS!A46+"$61^!8L"</f>
        <v>#VALUE!</v>
      </c>
      <c r="BG8" t="e">
        <f>ECS!A47+"$61^!8M"</f>
        <v>#VALUE!</v>
      </c>
      <c r="BH8" t="e">
        <f>ECS!A48+"$61^!8N"</f>
        <v>#VALUE!</v>
      </c>
      <c r="BI8" t="e">
        <f>ECS!A49+"$61^!8O"</f>
        <v>#VALUE!</v>
      </c>
      <c r="BJ8" t="e">
        <f>ECS!A50+"$61^!8P"</f>
        <v>#VALUE!</v>
      </c>
      <c r="BK8" t="e">
        <f>ECS!A51+"$61^!8Q"</f>
        <v>#VALUE!</v>
      </c>
      <c r="BL8" t="e">
        <f>ECS!A52+"$61^!8R"</f>
        <v>#VALUE!</v>
      </c>
      <c r="BM8" t="e">
        <f>ECS!A53+"$61^!8S"</f>
        <v>#VALUE!</v>
      </c>
      <c r="BN8" t="e">
        <f>ECS!A54+"$61^!8T"</f>
        <v>#VALUE!</v>
      </c>
      <c r="BO8" t="e">
        <f>ECS!A55+"$61^!8U"</f>
        <v>#VALUE!</v>
      </c>
      <c r="BP8" t="e">
        <f>ECS!A56+"$61^!8V"</f>
        <v>#VALUE!</v>
      </c>
      <c r="BQ8" t="e">
        <f>ECS!A57+"$61^!8W"</f>
        <v>#VALUE!</v>
      </c>
      <c r="BR8" t="e">
        <f>ECS!A58+"$61^!8X"</f>
        <v>#VALUE!</v>
      </c>
      <c r="BS8" t="e">
        <f>ECS!A59+"$61^!8Y"</f>
        <v>#VALUE!</v>
      </c>
      <c r="BT8" t="e">
        <f>ECS!A60+"$61^!8Z"</f>
        <v>#VALUE!</v>
      </c>
      <c r="BU8" t="e">
        <f>ECS!A61+"$61^!8["</f>
        <v>#VALUE!</v>
      </c>
      <c r="BV8" t="e">
        <f>ECS!A62+"$61^!8\"</f>
        <v>#VALUE!</v>
      </c>
      <c r="BW8" t="e">
        <f>ECS!A63+"$61^!8]"</f>
        <v>#VALUE!</v>
      </c>
      <c r="BX8" t="e">
        <f>ECS!A64+"$61^!8^"</f>
        <v>#VALUE!</v>
      </c>
      <c r="BY8" t="e">
        <f>ECS!A65+"$61^!8_"</f>
        <v>#VALUE!</v>
      </c>
      <c r="BZ8" t="e">
        <f>ECS!A66+"$61^!8`"</f>
        <v>#VALUE!</v>
      </c>
      <c r="CA8" t="e">
        <f>ECS!A67+"$61^!8a"</f>
        <v>#VALUE!</v>
      </c>
      <c r="CB8" t="e">
        <f>ECS!A68+"$61^!8b"</f>
        <v>#VALUE!</v>
      </c>
      <c r="CC8" t="e">
        <f>ECS!A69+"$61^!8c"</f>
        <v>#VALUE!</v>
      </c>
      <c r="CD8" t="e">
        <f>ECS!F:F*"$61^!8d"</f>
        <v>#VALUE!</v>
      </c>
      <c r="CE8" t="e">
        <f>ECS!H:H*"$61^!8e"</f>
        <v>#VALUE!</v>
      </c>
      <c r="CF8" t="e">
        <f>ECS!F1+"$61^!8f"</f>
        <v>#VALUE!</v>
      </c>
      <c r="CG8" t="e">
        <f>ECS!H1+"$61^!8g"</f>
        <v>#VALUE!</v>
      </c>
      <c r="CH8" t="e">
        <f>ECS!F2+"$61^!8h"</f>
        <v>#VALUE!</v>
      </c>
      <c r="CI8" t="e">
        <f>ECS!H2+"$61^!8i"</f>
        <v>#VALUE!</v>
      </c>
      <c r="CJ8" t="e">
        <f>ECS!F3+"$61^!8j"</f>
        <v>#VALUE!</v>
      </c>
      <c r="CK8" t="e">
        <f>ECS!H3+"$61^!8k"</f>
        <v>#VALUE!</v>
      </c>
      <c r="CL8" t="e">
        <f>ECS!F4+"$61^!8l"</f>
        <v>#VALUE!</v>
      </c>
      <c r="CM8" t="e">
        <f>ECS!H4+"$61^!8m"</f>
        <v>#VALUE!</v>
      </c>
      <c r="CN8" t="e">
        <f>ECS!G5+"$61^!8n"</f>
        <v>#VALUE!</v>
      </c>
      <c r="CO8" t="e">
        <f>ECS!I5+"$61^!8o"</f>
        <v>#VALUE!</v>
      </c>
      <c r="CP8" t="e">
        <f>ECS!F6+"$61^!8p"</f>
        <v>#VALUE!</v>
      </c>
      <c r="CQ8" t="e">
        <f>ECS!H6+"$61^!8q"</f>
        <v>#VALUE!</v>
      </c>
      <c r="CR8" t="e">
        <f>ECS!F7+"$61^!8r"</f>
        <v>#VALUE!</v>
      </c>
      <c r="CS8" t="e">
        <f>ECS!H7+"$61^!8s"</f>
        <v>#VALUE!</v>
      </c>
      <c r="CT8" t="e">
        <f>ECS!F8+"$61^!8t"</f>
        <v>#VALUE!</v>
      </c>
      <c r="CU8" t="e">
        <f>ECS!H8+"$61^!8u"</f>
        <v>#VALUE!</v>
      </c>
      <c r="CV8" t="e">
        <f>ECS!F9+"$61^!8v"</f>
        <v>#VALUE!</v>
      </c>
      <c r="CW8" t="e">
        <f>ECS!H9+"$61^!8w"</f>
        <v>#VALUE!</v>
      </c>
      <c r="CX8" t="e">
        <f>ECS!F10+"$61^!8x"</f>
        <v>#VALUE!</v>
      </c>
      <c r="CY8" t="e">
        <f>ECS!H10+"$61^!8y"</f>
        <v>#VALUE!</v>
      </c>
      <c r="CZ8" t="e">
        <f>ECS!F11+"$61^!8z"</f>
        <v>#VALUE!</v>
      </c>
      <c r="DA8" t="e">
        <f>ECS!H11+"$61^!8{"</f>
        <v>#VALUE!</v>
      </c>
      <c r="DB8" t="e">
        <f>ECS!F12+"$61^!8|"</f>
        <v>#VALUE!</v>
      </c>
      <c r="DC8" t="e">
        <f>ECS!H12+"$61^!8}"</f>
        <v>#VALUE!</v>
      </c>
      <c r="DD8" t="e">
        <f>ECS!F13+"$61^!8~"</f>
        <v>#VALUE!</v>
      </c>
      <c r="DE8" t="e">
        <f>ECS!H13+"$61^!9#"</f>
        <v>#VALUE!</v>
      </c>
      <c r="DF8" t="e">
        <f>ECS!F14+"$61^!9$"</f>
        <v>#VALUE!</v>
      </c>
      <c r="DG8" t="e">
        <f>ECS!H14+"$61^!9%"</f>
        <v>#VALUE!</v>
      </c>
      <c r="DH8" t="e">
        <f>ECS!F15+"$61^!9&amp;"</f>
        <v>#VALUE!</v>
      </c>
      <c r="DI8" t="e">
        <f>ECS!H15+"$61^!9'"</f>
        <v>#VALUE!</v>
      </c>
      <c r="DJ8" t="e">
        <f>ECS!F16+"$61^!9("</f>
        <v>#VALUE!</v>
      </c>
      <c r="DK8" t="e">
        <f>ECS!H16+"$61^!9)"</f>
        <v>#VALUE!</v>
      </c>
      <c r="DL8" t="e">
        <f>ECS!F17+"$61^!9."</f>
        <v>#VALUE!</v>
      </c>
      <c r="DM8" t="e">
        <f>ECS!H17+"$61^!9/"</f>
        <v>#VALUE!</v>
      </c>
      <c r="DN8" t="e">
        <f>ECS!F18+"$61^!90"</f>
        <v>#VALUE!</v>
      </c>
      <c r="DO8" t="e">
        <f>ECS!H18+"$61^!91"</f>
        <v>#VALUE!</v>
      </c>
      <c r="DP8" t="e">
        <f>ECS!F19+"$61^!92"</f>
        <v>#VALUE!</v>
      </c>
      <c r="DQ8" t="e">
        <f>ECS!H19+"$61^!93"</f>
        <v>#VALUE!</v>
      </c>
      <c r="DR8" t="e">
        <f>ECS!F20+"$61^!94"</f>
        <v>#VALUE!</v>
      </c>
      <c r="DS8" t="e">
        <f>ECS!H20+"$61^!95"</f>
        <v>#VALUE!</v>
      </c>
      <c r="DT8" t="e">
        <f>ECS!F21+"$61^!96"</f>
        <v>#VALUE!</v>
      </c>
      <c r="DU8" t="e">
        <f>ECS!H21+"$61^!97"</f>
        <v>#VALUE!</v>
      </c>
      <c r="DV8" t="e">
        <f>ECS!F22+"$61^!98"</f>
        <v>#VALUE!</v>
      </c>
      <c r="DW8" t="e">
        <f>ECS!H22+"$61^!99"</f>
        <v>#VALUE!</v>
      </c>
      <c r="DX8" t="e">
        <f>ECS!F23+"$61^!9:"</f>
        <v>#VALUE!</v>
      </c>
      <c r="DY8" t="e">
        <f>ECS!H23+"$61^!9;"</f>
        <v>#VALUE!</v>
      </c>
      <c r="DZ8" t="e">
        <f>ECS!F24+"$61^!9&lt;"</f>
        <v>#VALUE!</v>
      </c>
      <c r="EA8" t="e">
        <f>ECS!H24+"$61^!9="</f>
        <v>#VALUE!</v>
      </c>
      <c r="EB8" t="e">
        <f>ECS!F25+"$61^!9&gt;"</f>
        <v>#VALUE!</v>
      </c>
      <c r="EC8" t="e">
        <f>ECS!H25+"$61^!9?"</f>
        <v>#VALUE!</v>
      </c>
      <c r="ED8" t="e">
        <f>ECS!F26+"$61^!9@"</f>
        <v>#VALUE!</v>
      </c>
      <c r="EE8" t="e">
        <f>ECS!H26+"$61^!9A"</f>
        <v>#VALUE!</v>
      </c>
      <c r="EF8" t="e">
        <f>ECS!F27+"$61^!9B"</f>
        <v>#VALUE!</v>
      </c>
      <c r="EG8" t="e">
        <f>ECS!H27+"$61^!9C"</f>
        <v>#VALUE!</v>
      </c>
      <c r="EH8" t="e">
        <f>ECS!F28+"$61^!9D"</f>
        <v>#VALUE!</v>
      </c>
      <c r="EI8" t="e">
        <f>ECS!H28+"$61^!9E"</f>
        <v>#VALUE!</v>
      </c>
      <c r="EJ8" t="e">
        <f>ECS!F29+"$61^!9F"</f>
        <v>#VALUE!</v>
      </c>
      <c r="EK8" t="e">
        <f>ECS!H29+"$61^!9G"</f>
        <v>#VALUE!</v>
      </c>
      <c r="EL8" t="e">
        <f>ECS!F30+"$61^!9H"</f>
        <v>#VALUE!</v>
      </c>
      <c r="EM8" t="e">
        <f>ECS!H30+"$61^!9I"</f>
        <v>#VALUE!</v>
      </c>
      <c r="EN8" t="e">
        <f>ECS!F31+"$61^!9J"</f>
        <v>#VALUE!</v>
      </c>
      <c r="EO8" t="e">
        <f>ECS!H31+"$61^!9K"</f>
        <v>#VALUE!</v>
      </c>
      <c r="EP8" t="e">
        <f>ECS!F32+"$61^!9L"</f>
        <v>#VALUE!</v>
      </c>
      <c r="EQ8" t="e">
        <f>ECS!H32+"$61^!9M"</f>
        <v>#VALUE!</v>
      </c>
      <c r="ER8" t="e">
        <f>ECS!F33+"$61^!9N"</f>
        <v>#VALUE!</v>
      </c>
      <c r="ES8" t="e">
        <f>ECS!H33+"$61^!9O"</f>
        <v>#VALUE!</v>
      </c>
      <c r="ET8" t="e">
        <f>ECS!F34+"$61^!9P"</f>
        <v>#VALUE!</v>
      </c>
      <c r="EU8" t="e">
        <f>ECS!H34+"$61^!9Q"</f>
        <v>#VALUE!</v>
      </c>
      <c r="EV8" t="e">
        <f>ECS!F35+"$61^!9R"</f>
        <v>#VALUE!</v>
      </c>
      <c r="EW8" t="e">
        <f>ECS!H35+"$61^!9S"</f>
        <v>#VALUE!</v>
      </c>
      <c r="EX8" t="e">
        <f>ECS!F36+"$61^!9T"</f>
        <v>#VALUE!</v>
      </c>
      <c r="EY8" t="e">
        <f>ECS!H36+"$61^!9U"</f>
        <v>#VALUE!</v>
      </c>
      <c r="EZ8" t="e">
        <f>ECS!F37+"$61^!9V"</f>
        <v>#VALUE!</v>
      </c>
      <c r="FA8" t="e">
        <f>ECS!H37+"$61^!9W"</f>
        <v>#VALUE!</v>
      </c>
      <c r="FB8" t="e">
        <f>ECS!F38+"$61^!9X"</f>
        <v>#VALUE!</v>
      </c>
      <c r="FC8" t="e">
        <f>ECS!H38+"$61^!9Y"</f>
        <v>#VALUE!</v>
      </c>
      <c r="FD8" t="e">
        <f>ECS!F39+"$61^!9Z"</f>
        <v>#VALUE!</v>
      </c>
      <c r="FE8" t="e">
        <f>ECS!H39+"$61^!9["</f>
        <v>#VALUE!</v>
      </c>
      <c r="FF8" t="e">
        <f>ECS!F40+"$61^!9\"</f>
        <v>#VALUE!</v>
      </c>
      <c r="FG8" t="e">
        <f>ECS!H40+"$61^!9]"</f>
        <v>#VALUE!</v>
      </c>
      <c r="FH8" t="e">
        <f>ECS!F41+"$61^!9^"</f>
        <v>#VALUE!</v>
      </c>
      <c r="FI8" t="e">
        <f>ECS!H41+"$61^!9_"</f>
        <v>#VALUE!</v>
      </c>
      <c r="FJ8" t="e">
        <f>ECS!F42+"$61^!9`"</f>
        <v>#VALUE!</v>
      </c>
      <c r="FK8" t="e">
        <f>ECS!H42+"$61^!9a"</f>
        <v>#VALUE!</v>
      </c>
      <c r="FL8" t="e">
        <f>ECS!F43+"$61^!9b"</f>
        <v>#VALUE!</v>
      </c>
      <c r="FM8" t="e">
        <f>ECS!H43+"$61^!9c"</f>
        <v>#VALUE!</v>
      </c>
      <c r="FN8" t="e">
        <f>ECS!F44+"$61^!9d"</f>
        <v>#VALUE!</v>
      </c>
      <c r="FO8" t="e">
        <f>ECS!H44+"$61^!9e"</f>
        <v>#VALUE!</v>
      </c>
      <c r="FP8" t="e">
        <f>ECS!F45+"$61^!9f"</f>
        <v>#VALUE!</v>
      </c>
      <c r="FQ8" t="e">
        <f>ECS!H45+"$61^!9g"</f>
        <v>#VALUE!</v>
      </c>
      <c r="FR8" t="e">
        <f>ECS!F46+"$61^!9h"</f>
        <v>#VALUE!</v>
      </c>
      <c r="FS8" t="e">
        <f>ECS!H46+"$61^!9i"</f>
        <v>#VALUE!</v>
      </c>
      <c r="FT8" t="e">
        <f>ECS!F47+"$61^!9j"</f>
        <v>#VALUE!</v>
      </c>
      <c r="FU8" t="e">
        <f>ECS!H47+"$61^!9k"</f>
        <v>#VALUE!</v>
      </c>
      <c r="FV8" t="e">
        <f>ECS!F48+"$61^!9l"</f>
        <v>#VALUE!</v>
      </c>
      <c r="FW8" t="e">
        <f>ECS!H48+"$61^!9m"</f>
        <v>#VALUE!</v>
      </c>
      <c r="FX8" t="e">
        <f>ECS!F49+"$61^!9n"</f>
        <v>#VALUE!</v>
      </c>
      <c r="FY8" t="e">
        <f>ECS!H49+"$61^!9o"</f>
        <v>#VALUE!</v>
      </c>
      <c r="FZ8" t="e">
        <f>ECS!F50+"$61^!9p"</f>
        <v>#VALUE!</v>
      </c>
      <c r="GA8" t="e">
        <f>ECS!H50+"$61^!9q"</f>
        <v>#VALUE!</v>
      </c>
      <c r="GB8" t="e">
        <f>ECS!F51+"$61^!9r"</f>
        <v>#VALUE!</v>
      </c>
      <c r="GC8" t="e">
        <f>ECS!H51+"$61^!9s"</f>
        <v>#VALUE!</v>
      </c>
      <c r="GD8" t="e">
        <f>ECS!F52+"$61^!9t"</f>
        <v>#VALUE!</v>
      </c>
      <c r="GE8" t="e">
        <f>ECS!H52+"$61^!9u"</f>
        <v>#VALUE!</v>
      </c>
      <c r="GF8" t="e">
        <f>ECS!F53+"$61^!9v"</f>
        <v>#VALUE!</v>
      </c>
      <c r="GG8" t="e">
        <f>ECS!H53+"$61^!9w"</f>
        <v>#VALUE!</v>
      </c>
      <c r="GH8" t="e">
        <f>ECS!F54+"$61^!9x"</f>
        <v>#VALUE!</v>
      </c>
      <c r="GI8" t="e">
        <f>ECS!H54+"$61^!9y"</f>
        <v>#VALUE!</v>
      </c>
      <c r="GJ8" t="e">
        <f>ECS!F55+"$61^!9z"</f>
        <v>#VALUE!</v>
      </c>
      <c r="GK8" t="e">
        <f>ECS!H55+"$61^!9{"</f>
        <v>#VALUE!</v>
      </c>
      <c r="GL8" t="e">
        <f>ECS!F56+"$61^!9|"</f>
        <v>#VALUE!</v>
      </c>
      <c r="GM8" t="e">
        <f>ECS!H56+"$61^!9}"</f>
        <v>#VALUE!</v>
      </c>
      <c r="GN8" t="e">
        <f>ECS!F57+"$61^!9~"</f>
        <v>#VALUE!</v>
      </c>
      <c r="GO8" t="e">
        <f>ECS!H57+"$61^!:#"</f>
        <v>#VALUE!</v>
      </c>
      <c r="GP8" t="e">
        <f>ECS!F58+"$61^!:$"</f>
        <v>#VALUE!</v>
      </c>
      <c r="GQ8" t="e">
        <f>ECS!H58+"$61^!:%"</f>
        <v>#VALUE!</v>
      </c>
      <c r="GR8" t="e">
        <f>ECS!F59+"$61^!:&amp;"</f>
        <v>#VALUE!</v>
      </c>
      <c r="GS8" t="e">
        <f>ECS!H59+"$61^!:'"</f>
        <v>#VALUE!</v>
      </c>
      <c r="GT8" t="e">
        <f>ECS!F60+"$61^!:("</f>
        <v>#VALUE!</v>
      </c>
      <c r="GU8" t="e">
        <f>ECS!H60+"$61^!:)"</f>
        <v>#VALUE!</v>
      </c>
      <c r="GV8" t="e">
        <f>ECS!F61+"$61^!:."</f>
        <v>#VALUE!</v>
      </c>
      <c r="GW8" t="e">
        <f>ECS!H61+"$61^!:/"</f>
        <v>#VALUE!</v>
      </c>
      <c r="GX8" t="e">
        <f>ECS!F62+"$61^!:0"</f>
        <v>#VALUE!</v>
      </c>
      <c r="GY8" t="e">
        <f>ECS!H62+"$61^!:1"</f>
        <v>#VALUE!</v>
      </c>
      <c r="GZ8" t="e">
        <f>ECS!F63+"$61^!:2"</f>
        <v>#VALUE!</v>
      </c>
      <c r="HA8" t="e">
        <f>ECS!H63+"$61^!:3"</f>
        <v>#VALUE!</v>
      </c>
      <c r="HB8" t="e">
        <f>ECS!F64+"$61^!:4"</f>
        <v>#VALUE!</v>
      </c>
      <c r="HC8" t="e">
        <f>ECS!H64+"$61^!:5"</f>
        <v>#VALUE!</v>
      </c>
      <c r="HD8" t="e">
        <f>ECS!F65+"$61^!:6"</f>
        <v>#VALUE!</v>
      </c>
      <c r="HE8" t="e">
        <f>ECS!H65+"$61^!:7"</f>
        <v>#VALUE!</v>
      </c>
      <c r="HF8" t="e">
        <f>ECS!F66+"$61^!:8"</f>
        <v>#VALUE!</v>
      </c>
      <c r="HG8" t="e">
        <f>ECS!H66+"$61^!:9"</f>
        <v>#VALUE!</v>
      </c>
      <c r="HH8" t="e">
        <f>ECS!F67+"$61^!::"</f>
        <v>#VALUE!</v>
      </c>
      <c r="HI8" t="e">
        <f>ECS!H67+"$61^!:;"</f>
        <v>#VALUE!</v>
      </c>
      <c r="HJ8" t="e">
        <f>ECS!F68+"$61^!:&lt;"</f>
        <v>#VALUE!</v>
      </c>
      <c r="HK8" t="e">
        <f>ECS!H68+"$61^!:="</f>
        <v>#VALUE!</v>
      </c>
      <c r="HL8" t="e">
        <f>ECS!F69+"$61^!:&gt;"</f>
        <v>#VALUE!</v>
      </c>
      <c r="HM8" t="e">
        <f>ECS!H69+"$61^!:?"</f>
        <v>#VALUE!</v>
      </c>
      <c r="HN8" t="e">
        <f>ECS!F70+"$61^!:@"</f>
        <v>#VALUE!</v>
      </c>
      <c r="HO8" t="e">
        <f>ECS!H70+"$61^!:A"</f>
        <v>#VALUE!</v>
      </c>
      <c r="HP8" t="e">
        <f>ECS!F71+"$61^!:B"</f>
        <v>#VALUE!</v>
      </c>
      <c r="HQ8" t="e">
        <f>ECS!H71+"$61^!:C"</f>
        <v>#VALUE!</v>
      </c>
      <c r="HR8" t="e">
        <f>ECS!F72+"$61^!:D"</f>
        <v>#VALUE!</v>
      </c>
      <c r="HS8" t="e">
        <f>ECS!H72+"$61^!:E"</f>
        <v>#VALUE!</v>
      </c>
      <c r="HT8" t="e">
        <f>ECS!F73+"$61^!:F"</f>
        <v>#VALUE!</v>
      </c>
      <c r="HU8" t="e">
        <f>ECS!H73+"$61^!:G"</f>
        <v>#VALUE!</v>
      </c>
      <c r="HV8" t="e">
        <f>ECS!F74+"$61^!:H"</f>
        <v>#VALUE!</v>
      </c>
      <c r="HW8" t="e">
        <f>ECS!H74+"$61^!:I"</f>
        <v>#VALUE!</v>
      </c>
      <c r="HX8" t="e">
        <f>ECS!F75+"$61^!:J"</f>
        <v>#VALUE!</v>
      </c>
      <c r="HY8" t="e">
        <f>ECS!H75+"$61^!:K"</f>
        <v>#VALUE!</v>
      </c>
      <c r="HZ8" t="e">
        <f>ECS!F76+"$61^!:L"</f>
        <v>#VALUE!</v>
      </c>
      <c r="IA8" t="e">
        <f>ECS!H76+"$61^!:M"</f>
        <v>#VALUE!</v>
      </c>
      <c r="IB8" t="e">
        <f>ECS!F77+"$61^!:N"</f>
        <v>#VALUE!</v>
      </c>
      <c r="IC8" t="e">
        <f>ECS!H77+"$61^!:O"</f>
        <v>#VALUE!</v>
      </c>
      <c r="ID8" t="e">
        <f>ECS!F78+"$61^!:P"</f>
        <v>#VALUE!</v>
      </c>
      <c r="IE8" t="e">
        <f>ECS!H78+"$61^!:Q"</f>
        <v>#VALUE!</v>
      </c>
      <c r="IF8" t="e">
        <f>ECS!F79+"$61^!:R"</f>
        <v>#VALUE!</v>
      </c>
      <c r="IG8" t="e">
        <f>ECS!H79+"$61^!:S"</f>
        <v>#VALUE!</v>
      </c>
    </row>
    <row r="9" spans="1:256" x14ac:dyDescent="0.2">
      <c r="A9" t="s">
        <v>100</v>
      </c>
    </row>
    <row r="10" spans="1:256" x14ac:dyDescent="0.2">
      <c r="A10" t="s">
        <v>76</v>
      </c>
    </row>
    <row r="11" spans="1:256" x14ac:dyDescent="0.2">
      <c r="A11" t="s">
        <v>101</v>
      </c>
    </row>
    <row r="12" spans="1:256" x14ac:dyDescent="0.2">
      <c r="A12" t="s">
        <v>77</v>
      </c>
    </row>
    <row r="13" spans="1:256" x14ac:dyDescent="0.2">
      <c r="A13" t="s">
        <v>104</v>
      </c>
    </row>
    <row r="14" spans="1:256" x14ac:dyDescent="0.2">
      <c r="A14" t="s">
        <v>78</v>
      </c>
    </row>
    <row r="15" spans="1:256" x14ac:dyDescent="0.2">
      <c r="A15" t="s">
        <v>79</v>
      </c>
    </row>
    <row r="16" spans="1:256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229</v>
      </c>
    </row>
    <row r="19" spans="1:1" x14ac:dyDescent="0.2">
      <c r="A19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ECS</vt:lpstr>
      <vt:lpstr>Network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NARUKA Manvendra Ext OBS/OCB</cp:lastModifiedBy>
  <dcterms:created xsi:type="dcterms:W3CDTF">2010-03-23T10:34:53Z</dcterms:created>
  <dcterms:modified xsi:type="dcterms:W3CDTF">2018-07-25T12:37:04Z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ServerID">
    <vt:lpwstr>1abe28f6-4eb5-42e6-bbff-1356c852cf7b</vt:lpwstr>
  </property>
  <property fmtid="{D5CDD505-2E9C-101B-9397-08002B2CF9AE}" pid="3" name="Offisync_ProviderInitializationData">
    <vt:lpwstr>https://plazza.orange.com/</vt:lpwstr>
  </property>
  <property fmtid="{D5CDD505-2E9C-101B-9397-08002B2CF9AE}" pid="4" name="Offisync_UniqueId">
    <vt:lpwstr>848237</vt:lpwstr>
  </property>
  <property fmtid="{D5CDD505-2E9C-101B-9397-08002B2CF9AE}" pid="5" name="Jive_LatestUserAccountName">
    <vt:lpwstr>manvendra.naruka@orange.com</vt:lpwstr>
  </property>
  <property fmtid="{D5CDD505-2E9C-101B-9397-08002B2CF9AE}" pid="6" name="Jive_VersionGuid">
    <vt:lpwstr>1c343a8ee03446feabce63295fa489bf</vt:lpwstr>
  </property>
  <property fmtid="{D5CDD505-2E9C-101B-9397-08002B2CF9AE}" pid="7" name="Offisync_UpdateToken">
    <vt:lpwstr>6</vt:lpwstr>
  </property>
  <property fmtid="{D5CDD505-2E9C-101B-9397-08002B2CF9AE}" pid="8" name="Jive_ModifiedButNotPublished">
    <vt:lpwstr>True</vt:lpwstr>
  </property>
  <property fmtid="{D5CDD505-2E9C-101B-9397-08002B2CF9AE}" pid="9" name="Jive_PrevVersionNumber">
    <vt:lpwstr>5</vt:lpwstr>
  </property>
  <property fmtid="{D5CDD505-2E9C-101B-9397-08002B2CF9AE}" pid="10" name="Jive_VersionGuid_v2.5">
    <vt:lpwstr>d294ef97702c4a25a52a80297ebc7f08</vt:lpwstr>
  </property>
  <property fmtid="{D5CDD505-2E9C-101B-9397-08002B2CF9AE}" pid="11" name="Jive_LatestFileFullName">
    <vt:lpwstr>3c75e34f20786953594920d5094eb9c8</vt:lpwstr>
  </property>
</Properties>
</file>