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-my.sharepoint.com/personal/tomasz_siatkowski_ing_com/Documents/CRC/Project_Relacje/"/>
    </mc:Choice>
  </mc:AlternateContent>
  <xr:revisionPtr revIDLastSave="1" documentId="8_{904FA56D-92FD-4D39-A0A6-F5D3226A273A}" xr6:coauthVersionLast="47" xr6:coauthVersionMax="47" xr10:uidLastSave="{0F49F296-CAD0-41AD-9674-67CB4946E17A}"/>
  <bookViews>
    <workbookView xWindow="0" yWindow="-16320" windowWidth="29040" windowHeight="15720" xr2:uid="{AB3A3341-B10D-4684-9FC7-F71B26F6FF96}"/>
  </bookViews>
  <sheets>
    <sheet name="Altman Z Score for WIG20" sheetId="1" r:id="rId1"/>
    <sheet name="wig20 obliczenia" sheetId="2" r:id="rId2"/>
  </sheets>
  <definedNames>
    <definedName name="wig20wszystkietickery">Tabela1[Nazwa]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AE23" i="2"/>
  <c r="AK23" i="2"/>
  <c r="AO30" i="2"/>
  <c r="Q21" i="2"/>
  <c r="Q30" i="2"/>
  <c r="AM24" i="2"/>
  <c r="AG30" i="2"/>
  <c r="AA23" i="2"/>
  <c r="U23" i="2"/>
  <c r="U17" i="2"/>
  <c r="AG23" i="2" l="1"/>
  <c r="AG17" i="2"/>
  <c r="AE17" i="2"/>
  <c r="AM17" i="2"/>
  <c r="S21" i="2"/>
  <c r="U21" i="2" s="1"/>
  <c r="S23" i="2"/>
  <c r="S30" i="2"/>
  <c r="U30" i="2" s="1"/>
  <c r="Y21" i="2"/>
  <c r="Y23" i="2"/>
  <c r="Y30" i="2"/>
  <c r="AA30" i="2" s="1"/>
  <c r="AK21" i="2"/>
  <c r="AK30" i="2"/>
  <c r="AM30" i="2" s="1"/>
  <c r="AK17" i="2"/>
  <c r="S17" i="2"/>
  <c r="Y17" i="2"/>
  <c r="AA17" i="2" s="1"/>
  <c r="O17" i="2"/>
  <c r="AO17" i="2" s="1"/>
  <c r="O23" i="2"/>
  <c r="O30" i="2"/>
  <c r="B13" i="2" a="1"/>
  <c r="B13" i="2" l="1"/>
  <c r="C13" i="2" s="1"/>
  <c r="D13" i="2" s="1"/>
  <c r="E13" i="2" s="1" a="1"/>
  <c r="E13" i="2" s="1"/>
  <c r="C25" i="2"/>
  <c r="D25" i="2" s="1"/>
  <c r="C17" i="2"/>
  <c r="D17" i="2" s="1"/>
  <c r="C32" i="2"/>
  <c r="D32" i="2" s="1"/>
  <c r="C24" i="2"/>
  <c r="D24" i="2" s="1"/>
  <c r="C16" i="2"/>
  <c r="D16" i="2" s="1"/>
  <c r="C31" i="2"/>
  <c r="D31" i="2" s="1"/>
  <c r="C30" i="2"/>
  <c r="D30" i="2" s="1"/>
  <c r="C22" i="2"/>
  <c r="D22" i="2" s="1"/>
  <c r="C14" i="2"/>
  <c r="D14" i="2" s="1"/>
  <c r="C23" i="2"/>
  <c r="D23" i="2" s="1"/>
  <c r="C15" i="2"/>
  <c r="D15" i="2" s="1"/>
  <c r="C29" i="2"/>
  <c r="D29" i="2" s="1"/>
  <c r="C21" i="2"/>
  <c r="D21" i="2" s="1"/>
  <c r="C28" i="2"/>
  <c r="D28" i="2" s="1"/>
  <c r="C20" i="2"/>
  <c r="D20" i="2" s="1"/>
  <c r="C27" i="2"/>
  <c r="D27" i="2" s="1"/>
  <c r="C19" i="2"/>
  <c r="D19" i="2" s="1"/>
  <c r="C26" i="2"/>
  <c r="D26" i="2" s="1"/>
  <c r="C18" i="2"/>
  <c r="D18" i="2" s="1"/>
  <c r="G13" i="2" l="1" a="1"/>
  <c r="G13" i="2" s="1"/>
  <c r="H7" i="1" s="1"/>
  <c r="E21" i="2" a="1"/>
  <c r="E21" i="2" s="1"/>
  <c r="AE21" i="2" a="1"/>
  <c r="AE21" i="2" s="1"/>
  <c r="K21" i="2" a="1"/>
  <c r="K21" i="2" s="1"/>
  <c r="AI21" i="2" a="1"/>
  <c r="AI21" i="2" s="1"/>
  <c r="AM21" i="2" s="1"/>
  <c r="I21" i="2" a="1"/>
  <c r="I21" i="2" s="1"/>
  <c r="W21" i="2" a="1"/>
  <c r="W21" i="2" s="1"/>
  <c r="AA21" i="2" s="1"/>
  <c r="G21" i="2" a="1"/>
  <c r="G21" i="2" s="1"/>
  <c r="H15" i="1" s="1"/>
  <c r="AC21" i="2" a="1"/>
  <c r="AC21" i="2" s="1"/>
  <c r="AG21" i="2" s="1"/>
  <c r="E18" i="2" a="1"/>
  <c r="E18" i="2" s="1"/>
  <c r="G18" i="2" a="1"/>
  <c r="G18" i="2" s="1"/>
  <c r="H12" i="1" s="1"/>
  <c r="E26" i="2" a="1"/>
  <c r="E26" i="2" s="1"/>
  <c r="G26" i="2" a="1"/>
  <c r="G26" i="2" s="1"/>
  <c r="H20" i="1" s="1"/>
  <c r="E23" i="2" a="1"/>
  <c r="E23" i="2" s="1"/>
  <c r="G23" i="2" a="1"/>
  <c r="G23" i="2" s="1"/>
  <c r="H17" i="1" s="1"/>
  <c r="AI23" i="2" a="1"/>
  <c r="AI23" i="2" s="1"/>
  <c r="AM23" i="2" s="1"/>
  <c r="AO23" i="2" s="1"/>
  <c r="E17" i="2" a="1"/>
  <c r="E17" i="2" s="1"/>
  <c r="G17" i="2" a="1"/>
  <c r="G17" i="2" s="1"/>
  <c r="H11" i="1" s="1"/>
  <c r="E16" i="2" a="1"/>
  <c r="E16" i="2" s="1"/>
  <c r="G16" i="2" a="1"/>
  <c r="G16" i="2" s="1"/>
  <c r="H10" i="1" s="1"/>
  <c r="E25" i="2" a="1"/>
  <c r="E25" i="2" s="1"/>
  <c r="AC25" i="2" a="1"/>
  <c r="AC25" i="2" s="1"/>
  <c r="AI25" i="2" a="1"/>
  <c r="AI25" i="2" s="1"/>
  <c r="I25" i="2" a="1"/>
  <c r="I25" i="2" s="1"/>
  <c r="G25" i="2" a="1"/>
  <c r="G25" i="2" s="1"/>
  <c r="H19" i="1" s="1"/>
  <c r="W25" i="2" a="1"/>
  <c r="W25" i="2" s="1"/>
  <c r="Q25" i="2" a="1"/>
  <c r="Q25" i="2" s="1"/>
  <c r="K25" i="2" a="1"/>
  <c r="K25" i="2" s="1"/>
  <c r="AE25" i="2" a="1"/>
  <c r="AE25" i="2" s="1"/>
  <c r="M25" i="2" a="1"/>
  <c r="M25" i="2" s="1"/>
  <c r="E24" i="2" a="1"/>
  <c r="E24" i="2" s="1"/>
  <c r="G24" i="2" a="1"/>
  <c r="G24" i="2" s="1"/>
  <c r="H18" i="1" s="1"/>
  <c r="E19" i="2" a="1"/>
  <c r="E19" i="2" s="1"/>
  <c r="K19" i="2" a="1"/>
  <c r="K19" i="2" s="1"/>
  <c r="I19" i="2" a="1"/>
  <c r="I19" i="2" s="1"/>
  <c r="Q19" i="2" a="1"/>
  <c r="Q19" i="2" s="1"/>
  <c r="AI19" i="2" a="1"/>
  <c r="AI19" i="2" s="1"/>
  <c r="AE19" i="2" a="1"/>
  <c r="AE19" i="2" s="1"/>
  <c r="G19" i="2" a="1"/>
  <c r="G19" i="2" s="1"/>
  <c r="H13" i="1" s="1"/>
  <c r="AC19" i="2" a="1"/>
  <c r="AC19" i="2" s="1"/>
  <c r="AG19" i="2" s="1"/>
  <c r="M19" i="2" a="1"/>
  <c r="M19" i="2" s="1"/>
  <c r="W19" i="2" a="1"/>
  <c r="W19" i="2" s="1"/>
  <c r="E22" i="2" a="1"/>
  <c r="E22" i="2" s="1"/>
  <c r="G22" i="2" a="1"/>
  <c r="G22" i="2" s="1"/>
  <c r="H16" i="1" s="1"/>
  <c r="E29" i="2" a="1"/>
  <c r="E29" i="2" s="1"/>
  <c r="AI29" i="2" a="1"/>
  <c r="AI29" i="2" s="1"/>
  <c r="W29" i="2" a="1"/>
  <c r="W29" i="2" s="1"/>
  <c r="I29" i="2" a="1"/>
  <c r="I29" i="2" s="1"/>
  <c r="O29" i="2" s="1"/>
  <c r="Q29" i="2" a="1"/>
  <c r="Q29" i="2" s="1"/>
  <c r="AE29" i="2" a="1"/>
  <c r="AE29" i="2" s="1"/>
  <c r="M29" i="2" a="1"/>
  <c r="M29" i="2" s="1"/>
  <c r="AC29" i="2" a="1"/>
  <c r="AC29" i="2" s="1"/>
  <c r="K29" i="2" a="1"/>
  <c r="K29" i="2" s="1"/>
  <c r="G29" i="2" a="1"/>
  <c r="G29" i="2" s="1"/>
  <c r="H23" i="1" s="1"/>
  <c r="E15" i="2" a="1"/>
  <c r="E15" i="2" s="1"/>
  <c r="G15" i="2" a="1"/>
  <c r="G15" i="2" s="1"/>
  <c r="H9" i="1" s="1"/>
  <c r="E14" i="2" a="1"/>
  <c r="E14" i="2" s="1"/>
  <c r="G14" i="2" a="1"/>
  <c r="G14" i="2" s="1"/>
  <c r="H8" i="1" s="1"/>
  <c r="E27" i="2" a="1"/>
  <c r="E27" i="2" s="1"/>
  <c r="G27" i="2" a="1"/>
  <c r="G27" i="2" s="1"/>
  <c r="H21" i="1" s="1"/>
  <c r="E20" i="2" a="1"/>
  <c r="E20" i="2" s="1"/>
  <c r="G20" i="2" a="1"/>
  <c r="G20" i="2" s="1"/>
  <c r="H14" i="1" s="1"/>
  <c r="E30" i="2" a="1"/>
  <c r="E30" i="2" s="1"/>
  <c r="G30" i="2" a="1"/>
  <c r="G30" i="2" s="1"/>
  <c r="H24" i="1" s="1"/>
  <c r="E32" i="2" a="1"/>
  <c r="E32" i="2" s="1"/>
  <c r="K32" i="2" a="1"/>
  <c r="K32" i="2" s="1"/>
  <c r="W32" i="2" a="1"/>
  <c r="W32" i="2" s="1"/>
  <c r="M32" i="2" a="1"/>
  <c r="M32" i="2" s="1"/>
  <c r="G32" i="2" a="1"/>
  <c r="G32" i="2" s="1"/>
  <c r="H26" i="1" s="1"/>
  <c r="I32" i="2" a="1"/>
  <c r="I32" i="2" s="1"/>
  <c r="AE32" i="2" a="1"/>
  <c r="AE32" i="2" s="1"/>
  <c r="AI32" i="2" a="1"/>
  <c r="AI32" i="2" s="1"/>
  <c r="AC32" i="2" a="1"/>
  <c r="AC32" i="2" s="1"/>
  <c r="Q32" i="2" a="1"/>
  <c r="Q32" i="2" s="1"/>
  <c r="E28" i="2" a="1"/>
  <c r="E28" i="2" s="1"/>
  <c r="G28" i="2" a="1"/>
  <c r="G28" i="2" s="1"/>
  <c r="H22" i="1" s="1"/>
  <c r="E31" i="2" a="1"/>
  <c r="E31" i="2" s="1"/>
  <c r="G31" i="2" a="1"/>
  <c r="G31" i="2" s="1"/>
  <c r="H25" i="1" s="1"/>
  <c r="N16" i="1" l="1"/>
  <c r="AG29" i="2"/>
  <c r="O25" i="2"/>
  <c r="AG32" i="2"/>
  <c r="O32" i="2"/>
  <c r="AG25" i="2"/>
  <c r="O21" i="2"/>
  <c r="AO21" i="2" s="1"/>
  <c r="O19" i="2"/>
  <c r="Y19" i="2"/>
  <c r="AA19" i="2" s="1"/>
  <c r="AK19" i="2"/>
  <c r="AM19" i="2" s="1"/>
  <c r="S19" i="2"/>
  <c r="U19" i="2" s="1"/>
  <c r="S25" i="2"/>
  <c r="U25" i="2" s="1"/>
  <c r="AK25" i="2"/>
  <c r="AM25" i="2" s="1"/>
  <c r="Y25" i="2"/>
  <c r="AA25" i="2" s="1"/>
  <c r="S32" i="2"/>
  <c r="Y32" i="2"/>
  <c r="AA32" i="2" s="1"/>
  <c r="AK32" i="2"/>
  <c r="AM32" i="2" s="1"/>
  <c r="AK29" i="2"/>
  <c r="AM29" i="2" s="1"/>
  <c r="S29" i="2"/>
  <c r="U29" i="2" s="1"/>
  <c r="Y29" i="2"/>
  <c r="AA29" i="2" s="1"/>
  <c r="AO19" i="2" l="1"/>
  <c r="AO29" i="2"/>
  <c r="AO25" i="2"/>
  <c r="AO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kochi</author>
  </authors>
  <commentList>
    <comment ref="AE12" authorId="0" shapeId="0" xr:uid="{ED63A226-2487-43EA-8A02-9E6476077134}">
      <text>
        <r>
          <rPr>
            <b/>
            <sz val="9"/>
            <color indexed="81"/>
            <rFont val="Tahoma"/>
            <family val="2"/>
            <charset val="238"/>
          </rPr>
          <t>kochi:</t>
        </r>
        <r>
          <rPr>
            <sz val="9"/>
            <color indexed="81"/>
            <rFont val="Tahoma"/>
            <family val="2"/>
            <charset val="238"/>
          </rPr>
          <t xml:space="preserve">
zobowiazania dl i kr ter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<sst xmlns="http://schemas.openxmlformats.org/spreadsheetml/2006/main" count="94" uniqueCount="74">
  <si>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WIG 20 Dystrybucja</t>
  </si>
  <si>
    <t>ALIOR</t>
  </si>
  <si>
    <t>ALR</t>
  </si>
  <si>
    <t>ALLEGRO</t>
  </si>
  <si>
    <t>ALE</t>
  </si>
  <si>
    <t>BUDIMEX</t>
  </si>
  <si>
    <t>BDX</t>
  </si>
  <si>
    <t>CCC</t>
  </si>
  <si>
    <t>CDPROJEKT</t>
  </si>
  <si>
    <t>CDR</t>
  </si>
  <si>
    <t>DINOPL</t>
  </si>
  <si>
    <t>DNP</t>
  </si>
  <si>
    <t>KETY</t>
  </si>
  <si>
    <t>KTY</t>
  </si>
  <si>
    <t>KGHM</t>
  </si>
  <si>
    <t>KGH</t>
  </si>
  <si>
    <t>KRUK</t>
  </si>
  <si>
    <t>KRU</t>
  </si>
  <si>
    <t>LPP</t>
  </si>
  <si>
    <t>MBANK</t>
  </si>
  <si>
    <t>MBK</t>
  </si>
  <si>
    <t>ORANGEPL</t>
  </si>
  <si>
    <t>OPL</t>
  </si>
  <si>
    <t>PEKAO</t>
  </si>
  <si>
    <t>PEO</t>
  </si>
  <si>
    <t>PEPCO</t>
  </si>
  <si>
    <t>PCO</t>
  </si>
  <si>
    <t>PGE</t>
  </si>
  <si>
    <t>PKNORLEN</t>
  </si>
  <si>
    <t>PKN</t>
  </si>
  <si>
    <t>PKOBP</t>
  </si>
  <si>
    <t>PKO</t>
  </si>
  <si>
    <t>PZU</t>
  </si>
  <si>
    <t>SANPL</t>
  </si>
  <si>
    <t>SPL</t>
  </si>
  <si>
    <t>ZABKA</t>
  </si>
  <si>
    <t>ZAB</t>
  </si>
  <si>
    <t>zrodło https://www.bankier.pl/inwestowanie/profile/quote.html?symbol=WIG20</t>
  </si>
  <si>
    <t>na 2025-05-19 17:15:00</t>
  </si>
  <si>
    <t>Nazwa</t>
  </si>
  <si>
    <t>Ticker</t>
  </si>
  <si>
    <t>Kurs</t>
  </si>
  <si>
    <t>udzial w indeksie</t>
  </si>
  <si>
    <t>A</t>
  </si>
  <si>
    <t>Altman Z Score</t>
  </si>
  <si>
    <t>ticker</t>
  </si>
  <si>
    <t>nazwa</t>
  </si>
  <si>
    <t xml:space="preserve">aktywa obrotowe </t>
  </si>
  <si>
    <t>-</t>
  </si>
  <si>
    <t>zobowiązania krótkoterminowe</t>
  </si>
  <si>
    <t>/</t>
  </si>
  <si>
    <t>wszystkie aktywa</t>
  </si>
  <si>
    <t>Altman Z Score z GuruFocus</t>
  </si>
  <si>
    <t>WAR:Ticker</t>
  </si>
  <si>
    <t>=</t>
  </si>
  <si>
    <t>zysk zatrzymany</t>
  </si>
  <si>
    <t>aktywa</t>
  </si>
  <si>
    <t>B</t>
  </si>
  <si>
    <t>EBIT</t>
  </si>
  <si>
    <t>Aktywa</t>
  </si>
  <si>
    <t>C</t>
  </si>
  <si>
    <t>(Wartość rynkowa przedsiębiorstwa</t>
  </si>
  <si>
    <t xml:space="preserve"> / </t>
  </si>
  <si>
    <t>Księgowa wartość zadłużenia</t>
  </si>
  <si>
    <t>D</t>
  </si>
  <si>
    <t>(Przychody ze sprzedaży</t>
  </si>
  <si>
    <t>E</t>
  </si>
  <si>
    <t>waga</t>
  </si>
  <si>
    <t>dane z https://www.biznesradar.pl</t>
  </si>
  <si>
    <t>Altman Z score</t>
  </si>
  <si>
    <t>dane w tyś. PLN</t>
  </si>
  <si>
    <t>Kolumna1</t>
  </si>
  <si>
    <t>Altman Z Score
for WIG20</t>
  </si>
  <si>
    <t>&lt;-- :((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</si>
</sst>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1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2" fontId="0" fillId="5" borderId="0" xfId="0" applyNumberFormat="1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9" borderId="0" xfId="0" applyFill="1" applyAlignment="1">
      <alignment horizontal="center" vertical="center" wrapText="1"/>
    </xf>
    <xf numFmtId="0" fontId="0" fillId="9" borderId="0" xfId="0" applyFill="1"/>
    <xf numFmtId="0" fontId="0" fillId="10" borderId="0" xfId="0" applyFill="1" applyAlignment="1">
      <alignment horizontal="center" vertical="center" wrapText="1"/>
    </xf>
    <xf numFmtId="0" fontId="0" fillId="10" borderId="0" xfId="0" applyFill="1"/>
    <xf numFmtId="0" fontId="0" fillId="14" borderId="0" xfId="0" applyFill="1" applyAlignment="1">
      <alignment horizontal="center" vertical="center" wrapText="1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10" fontId="0" fillId="6" borderId="0" xfId="0" applyNumberFormat="1" applyFill="1" applyAlignment="1">
      <alignment vertical="center"/>
    </xf>
    <xf numFmtId="10" fontId="0" fillId="0" borderId="0" xfId="0" applyNumberFormat="1"/>
    <xf numFmtId="2" fontId="0" fillId="16" borderId="0" xfId="0" applyNumberFormat="1" applyFill="1"/>
    <xf numFmtId="0" fontId="0" fillId="17" borderId="0" xfId="0" applyFill="1"/>
    <xf numFmtId="0" fontId="0" fillId="17" borderId="0" xfId="0" applyFill="1" applyAlignment="1">
      <alignment horizontal="center"/>
    </xf>
    <xf numFmtId="164" fontId="5" fillId="17" borderId="0" xfId="0" applyNumberFormat="1" applyFont="1" applyFill="1"/>
    <xf numFmtId="0" fontId="0" fillId="4" borderId="0" xfId="0" applyFill="1" applyAlignment="1">
      <alignment horizontal="center" vertical="center"/>
    </xf>
    <xf numFmtId="0" fontId="0" fillId="12" borderId="0" xfId="0" applyFill="1"/>
    <xf numFmtId="0" fontId="0" fillId="3" borderId="1" xfId="0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top"/>
    </xf>
    <xf numFmtId="2" fontId="0" fillId="3" borderId="3" xfId="0" applyNumberFormat="1" applyFill="1" applyBorder="1" applyAlignment="1">
      <alignment horizontal="center" vertical="top"/>
    </xf>
    <xf numFmtId="0" fontId="5" fillId="17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wrapText="1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15" borderId="0" xfId="0" applyFill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13">
    <dxf>
      <fill>
        <patternFill>
          <bgColor rgb="FFFFCCCC"/>
        </patternFill>
      </fill>
    </dxf>
    <dxf>
      <fill>
        <patternFill>
          <bgColor theme="8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  <fill>
        <patternFill patternType="solid">
          <fgColor indexed="64"/>
          <bgColor theme="9" tint="0.59999389629810485"/>
        </patternFill>
      </fill>
      <alignment horizontal="general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  <color rgb="FFFF9999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20</xdr:row>
      <xdr:rowOff>0</xdr:rowOff>
    </xdr:from>
    <xdr:to>
      <xdr:col>16</xdr:col>
      <xdr:colOff>88822</xdr:colOff>
      <xdr:row>31</xdr:row>
      <xdr:rowOff>52378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A769B61-0BE9-3D32-E0B9-C1C8CE209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3810000"/>
          <a:ext cx="3822622" cy="21478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8163F-2113-46EC-A7AA-D5404447CA4A}" name="Tabela1" displayName="Tabela1" ref="D6:I27" totalsRowCount="1" headerRowDxfId="12" dataDxfId="11">
  <autoFilter ref="D6:I26" xr:uid="{3338163F-2113-46EC-A7AA-D5404447CA4A}"/>
  <sortState xmlns:xlrd2="http://schemas.microsoft.com/office/spreadsheetml/2017/richdata2" ref="D7:H25">
    <sortCondition ref="G6:G25"/>
  </sortState>
  <tableColumns count="6">
    <tableColumn id="1" xr3:uid="{EB749EE8-67C6-4F68-9586-4EF26B33B0A6}" name="Nazwa" dataDxfId="10"/>
    <tableColumn id="2" xr3:uid="{D7503352-F64A-4AFE-8F2C-FBAE9549B68C}" name="Ticker" dataDxfId="9"/>
    <tableColumn id="3" xr3:uid="{1527302F-D51C-47AE-84FF-44EB17ABFA9E}" name="Kurs" dataDxfId="8"/>
    <tableColumn id="4" xr3:uid="{3D61635D-F721-400C-8521-460AD5FA1FED}" name="udzial w indeksie" dataDxfId="7"/>
    <tableColumn id="5" xr3:uid="{4EC9252B-2717-45BD-AFF6-9675E5626BAC}" name="Altman Z Score" dataDxfId="6">
      <calculatedColumnFormula>VLOOKUP(Tabela1[[#This Row],[Nazwa]],'wig20 obliczenia'!B13:G32,6,FALSE)</calculatedColumnFormula>
    </tableColumn>
    <tableColumn id="6" xr3:uid="{70D051FD-D696-4A73-B356-99EB8731E3A0}" name="K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4EDFF7-F6B4-482B-95C9-BF547E098A8D}">
  <we:reference id="wa200003991" version="1.0.6.0" store="en-US" storeType="OMEX"/>
  <we:alternateReferences>
    <we:reference id="wa200003991" version="1.0.6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_xldudf_GURUF</we:customFunctionIds>
        <we:customFunctionIds>_xldudf_GURUS</we:customFunctionIds>
        <we:customFunctionIds>_xldudf_GURUG</we:customFunctionIds>
        <we:customFunctionIds>_xldudf_GURUE</we:customFunctionIds>
        <we:customFunctionIds>_xldudf_GURUI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kier.pl/inwestowanie/profile/quote.html?symbol=KGHM" TargetMode="External"/><Relationship Id="rId13" Type="http://schemas.openxmlformats.org/officeDocument/2006/relationships/hyperlink" Target="https://www.bankier.pl/inwestowanie/profile/quote.html?symbol=PEKAO" TargetMode="External"/><Relationship Id="rId18" Type="http://schemas.openxmlformats.org/officeDocument/2006/relationships/hyperlink" Target="https://www.bankier.pl/inwestowanie/profile/quote.html?symbol=PZU" TargetMode="External"/><Relationship Id="rId3" Type="http://schemas.openxmlformats.org/officeDocument/2006/relationships/hyperlink" Target="https://www.bankier.pl/inwestowanie/profile/quote.html?symbol=BUDIME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bankier.pl/inwestowanie/profile/quote.html?symbol=KETY" TargetMode="External"/><Relationship Id="rId12" Type="http://schemas.openxmlformats.org/officeDocument/2006/relationships/hyperlink" Target="https://www.bankier.pl/inwestowanie/profile/quote.html?symbol=ORANGEPL" TargetMode="External"/><Relationship Id="rId17" Type="http://schemas.openxmlformats.org/officeDocument/2006/relationships/hyperlink" Target="https://www.bankier.pl/inwestowanie/profile/quote.html?symbol=PKOBP" TargetMode="External"/><Relationship Id="rId2" Type="http://schemas.openxmlformats.org/officeDocument/2006/relationships/hyperlink" Target="https://www.bankier.pl/inwestowanie/profile/quote.html?symbol=ALLEGRO" TargetMode="External"/><Relationship Id="rId16" Type="http://schemas.openxmlformats.org/officeDocument/2006/relationships/hyperlink" Target="https://www.bankier.pl/inwestowanie/profile/quote.html?symbol=PKNORLEN" TargetMode="External"/><Relationship Id="rId20" Type="http://schemas.openxmlformats.org/officeDocument/2006/relationships/hyperlink" Target="https://www.bankier.pl/inwestowanie/profile/quote.html?symbol=ZABKA" TargetMode="External"/><Relationship Id="rId1" Type="http://schemas.openxmlformats.org/officeDocument/2006/relationships/hyperlink" Target="https://www.bankier.pl/inwestowanie/profile/quote.html?symbol=ALIOR" TargetMode="External"/><Relationship Id="rId6" Type="http://schemas.openxmlformats.org/officeDocument/2006/relationships/hyperlink" Target="https://www.bankier.pl/inwestowanie/profile/quote.html?symbol=DINOPL" TargetMode="External"/><Relationship Id="rId11" Type="http://schemas.openxmlformats.org/officeDocument/2006/relationships/hyperlink" Target="https://www.bankier.pl/inwestowanie/profile/quote.html?symbol=MBANK" TargetMode="External"/><Relationship Id="rId5" Type="http://schemas.openxmlformats.org/officeDocument/2006/relationships/hyperlink" Target="https://www.bankier.pl/inwestowanie/profile/quote.html?symbol=CDPROJEKT" TargetMode="External"/><Relationship Id="rId15" Type="http://schemas.openxmlformats.org/officeDocument/2006/relationships/hyperlink" Target="https://www.bankier.pl/inwestowanie/profile/quote.html?symbol=PG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bankier.pl/inwestowanie/profile/quote.html?symbol=LPP" TargetMode="External"/><Relationship Id="rId19" Type="http://schemas.openxmlformats.org/officeDocument/2006/relationships/hyperlink" Target="https://www.bankier.pl/inwestowanie/profile/quote.html?symbol=SANPL" TargetMode="External"/><Relationship Id="rId4" Type="http://schemas.openxmlformats.org/officeDocument/2006/relationships/hyperlink" Target="https://www.bankier.pl/inwestowanie/profile/quote.html?symbol=CCC" TargetMode="External"/><Relationship Id="rId9" Type="http://schemas.openxmlformats.org/officeDocument/2006/relationships/hyperlink" Target="https://www.bankier.pl/inwestowanie/profile/quote.html?symbol=KRUK" TargetMode="External"/><Relationship Id="rId14" Type="http://schemas.openxmlformats.org/officeDocument/2006/relationships/hyperlink" Target="https://www.bankier.pl/inwestowanie/profile/quote.html?symbol=PEPCO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DA3E-C79E-4E65-8356-5043B22B2621}">
  <dimension ref="D3:P30"/>
  <sheetViews>
    <sheetView tabSelected="1" workbookViewId="0">
      <selection activeCell="O10" sqref="O10"/>
    </sheetView>
  </sheetViews>
  <sheetFormatPr defaultRowHeight="14.5" x14ac:dyDescent="0.35"/>
  <cols>
    <col min="4" max="4" width="20.453125" customWidth="1"/>
    <col min="5" max="5" width="19.26953125" customWidth="1"/>
    <col min="6" max="6" width="14" customWidth="1"/>
    <col min="7" max="7" width="21.81640625" customWidth="1"/>
    <col min="8" max="9" width="18.26953125" customWidth="1"/>
    <col min="16" max="16" width="7.26953125" customWidth="1"/>
  </cols>
  <sheetData>
    <row r="3" spans="4:16" x14ac:dyDescent="0.35">
      <c r="G3" t="s">
        <v>38</v>
      </c>
    </row>
    <row r="4" spans="4:16" x14ac:dyDescent="0.35">
      <c r="E4" t="s">
        <v>0</v>
      </c>
      <c r="G4" t="s">
        <v>37</v>
      </c>
    </row>
    <row r="6" spans="4:16" x14ac:dyDescent="0.35">
      <c r="D6" t="s">
        <v>39</v>
      </c>
      <c r="E6" t="s">
        <v>40</v>
      </c>
      <c r="F6" t="s">
        <v>41</v>
      </c>
      <c r="G6" s="12" t="s">
        <v>42</v>
      </c>
      <c r="H6" s="5" t="s">
        <v>44</v>
      </c>
      <c r="I6" t="s">
        <v>71</v>
      </c>
    </row>
    <row r="7" spans="4:16" x14ac:dyDescent="0.35">
      <c r="D7" s="1" t="s">
        <v>25</v>
      </c>
      <c r="E7" s="2" t="s">
        <v>26</v>
      </c>
      <c r="F7" s="2">
        <v>18.3</v>
      </c>
      <c r="G7" s="23">
        <v>8.0000000000000002E-3</v>
      </c>
      <c r="H7" s="25">
        <f>VLOOKUP(Tabela1[[#This Row],[Nazwa]],'wig20 obliczenia'!B13:G32,6,FALSE)</f>
        <v>1.81</v>
      </c>
    </row>
    <row r="8" spans="4:16" x14ac:dyDescent="0.35">
      <c r="D8" s="1" t="s">
        <v>21</v>
      </c>
      <c r="E8" s="2" t="s">
        <v>22</v>
      </c>
      <c r="F8" s="2">
        <v>9.6920000000000002</v>
      </c>
      <c r="G8" s="23">
        <v>1.7100000000000001E-2</v>
      </c>
      <c r="H8" s="25">
        <f>VLOOKUP(Tabela1[[#This Row],[Nazwa]],'wig20 obliczenia'!B14:G33,6,FALSE)</f>
        <v>1.51</v>
      </c>
    </row>
    <row r="9" spans="4:16" x14ac:dyDescent="0.35">
      <c r="D9" s="1" t="s">
        <v>16</v>
      </c>
      <c r="E9" s="2" t="s">
        <v>17</v>
      </c>
      <c r="F9" s="2">
        <v>404.1</v>
      </c>
      <c r="G9" s="23">
        <v>1.95E-2</v>
      </c>
      <c r="H9" s="25">
        <f>VLOOKUP(Tabela1[[#This Row],[Nazwa]],'wig20 obliczenia'!B15:G34,6,FALSE)</f>
        <v>1.95</v>
      </c>
    </row>
    <row r="10" spans="4:16" x14ac:dyDescent="0.35">
      <c r="D10" s="1" t="s">
        <v>5</v>
      </c>
      <c r="E10" s="2" t="s">
        <v>6</v>
      </c>
      <c r="F10" s="2">
        <v>624.20000000000005</v>
      </c>
      <c r="G10" s="23">
        <v>2.1700000000000001E-2</v>
      </c>
      <c r="H10" s="25">
        <f>VLOOKUP(Tabela1[[#This Row],[Nazwa]],'wig20 obliczenia'!B16:G35,6,FALSE)</f>
        <v>2.82</v>
      </c>
    </row>
    <row r="11" spans="4:16" x14ac:dyDescent="0.35">
      <c r="D11" s="1" t="s">
        <v>27</v>
      </c>
      <c r="E11" s="2" t="s">
        <v>27</v>
      </c>
      <c r="F11" s="2">
        <v>9.4760000000000009</v>
      </c>
      <c r="G11" s="23">
        <v>2.2200000000000001E-2</v>
      </c>
      <c r="H11" s="25">
        <f>VLOOKUP(Tabela1[[#This Row],[Nazwa]],'wig20 obliczenia'!B17:G36,6,FALSE)</f>
        <v>0.81903553522689476</v>
      </c>
    </row>
    <row r="12" spans="4:16" x14ac:dyDescent="0.35">
      <c r="D12" s="1" t="s">
        <v>12</v>
      </c>
      <c r="E12" s="2" t="s">
        <v>13</v>
      </c>
      <c r="F12" s="2">
        <v>863</v>
      </c>
      <c r="G12" s="23">
        <v>2.29E-2</v>
      </c>
      <c r="H12" s="25">
        <f>VLOOKUP(Tabela1[[#This Row],[Nazwa]],'wig20 obliczenia'!B18:G37,6,FALSE)</f>
        <v>4.28</v>
      </c>
    </row>
    <row r="13" spans="4:16" x14ac:dyDescent="0.35">
      <c r="D13" s="1" t="s">
        <v>1</v>
      </c>
      <c r="E13" s="2" t="s">
        <v>2</v>
      </c>
      <c r="F13" s="2">
        <v>105.5</v>
      </c>
      <c r="G13" s="23">
        <v>2.5600000000000001E-2</v>
      </c>
      <c r="H13" s="25">
        <f>VLOOKUP(Tabela1[[#This Row],[Nazwa]],'wig20 obliczenia'!B19:G38,6,FALSE)</f>
        <v>3.1089347888383254</v>
      </c>
    </row>
    <row r="14" spans="4:16" x14ac:dyDescent="0.35">
      <c r="D14" s="1" t="s">
        <v>35</v>
      </c>
      <c r="E14" s="2" t="s">
        <v>36</v>
      </c>
      <c r="F14" s="2">
        <v>22.2</v>
      </c>
      <c r="G14" s="23">
        <v>2.5600000000000001E-2</v>
      </c>
      <c r="H14" s="25">
        <f>VLOOKUP(Tabela1[[#This Row],[Nazwa]],'wig20 obliczenia'!B20:G39,6,FALSE)</f>
        <v>1.63</v>
      </c>
      <c r="K14" s="26"/>
      <c r="L14" s="26"/>
      <c r="M14" s="26"/>
      <c r="N14" s="26"/>
      <c r="O14" s="26"/>
      <c r="P14" s="26"/>
    </row>
    <row r="15" spans="4:16" x14ac:dyDescent="0.35">
      <c r="D15" s="1" t="s">
        <v>19</v>
      </c>
      <c r="E15" s="2" t="s">
        <v>20</v>
      </c>
      <c r="F15" s="2">
        <v>806.6</v>
      </c>
      <c r="G15" s="23">
        <v>2.8899999999999999E-2</v>
      </c>
      <c r="H15" s="25">
        <f>VLOOKUP(Tabela1[[#This Row],[Nazwa]],'wig20 obliczenia'!B21:G40,6,FALSE)</f>
        <v>0.94160576682068486</v>
      </c>
      <c r="K15" s="34" t="s">
        <v>72</v>
      </c>
      <c r="L15" s="34"/>
      <c r="M15" s="26"/>
      <c r="N15" s="26"/>
      <c r="O15" s="26"/>
      <c r="P15" s="26"/>
    </row>
    <row r="16" spans="4:16" x14ac:dyDescent="0.35">
      <c r="D16" s="1" t="s">
        <v>7</v>
      </c>
      <c r="E16" s="2" t="s">
        <v>7</v>
      </c>
      <c r="F16" s="2">
        <v>229.8</v>
      </c>
      <c r="G16" s="23">
        <v>3.2199999999999999E-2</v>
      </c>
      <c r="H16" s="25">
        <f>VLOOKUP(Tabela1[[#This Row],[Nazwa]],'wig20 obliczenia'!B22:G41,6,FALSE)</f>
        <v>1.5</v>
      </c>
      <c r="K16" s="34"/>
      <c r="L16" s="34"/>
      <c r="M16" s="27" t="s">
        <v>54</v>
      </c>
      <c r="N16" s="28">
        <f>SUMPRODUCT(Tabela1[udzial w indeksie],Tabela1[Altman Z Score])/SUM(Tabela1[udzial w indeksie])</f>
        <v>4.7117576547082267</v>
      </c>
      <c r="O16" s="26"/>
      <c r="P16" s="26"/>
    </row>
    <row r="17" spans="4:16" x14ac:dyDescent="0.35">
      <c r="D17" s="1" t="s">
        <v>8</v>
      </c>
      <c r="E17" s="2" t="s">
        <v>9</v>
      </c>
      <c r="F17" s="2">
        <v>232.2</v>
      </c>
      <c r="G17" s="23">
        <v>4.4600000000000001E-2</v>
      </c>
      <c r="H17" s="25">
        <f>VLOOKUP(Tabela1[[#This Row],[Nazwa]],'wig20 obliczenia'!B23:G42,6,FALSE)</f>
        <v>58.066326116208238</v>
      </c>
      <c r="K17" s="34"/>
      <c r="L17" s="34"/>
      <c r="M17" s="26"/>
      <c r="N17" s="26"/>
      <c r="O17" s="26"/>
      <c r="P17" s="26"/>
    </row>
    <row r="18" spans="4:16" x14ac:dyDescent="0.35">
      <c r="D18" s="1" t="s">
        <v>14</v>
      </c>
      <c r="E18" s="2" t="s">
        <v>15</v>
      </c>
      <c r="F18" s="2">
        <v>124.15</v>
      </c>
      <c r="G18" s="23">
        <v>4.6199999999999998E-2</v>
      </c>
      <c r="H18" s="25">
        <f>VLOOKUP(Tabela1[[#This Row],[Nazwa]],'wig20 obliczenia'!B24:G43,6,FALSE)</f>
        <v>2.2799999999999998</v>
      </c>
      <c r="K18" s="26"/>
      <c r="L18" s="26"/>
      <c r="M18" s="26"/>
      <c r="N18" s="26"/>
      <c r="O18" s="26"/>
      <c r="P18" s="26"/>
    </row>
    <row r="19" spans="4:16" x14ac:dyDescent="0.35">
      <c r="D19" s="1" t="s">
        <v>33</v>
      </c>
      <c r="E19" s="2" t="s">
        <v>34</v>
      </c>
      <c r="F19" s="2">
        <v>512</v>
      </c>
      <c r="G19" s="23">
        <v>5.3900000000000003E-2</v>
      </c>
      <c r="H19" s="25">
        <f>VLOOKUP(Tabela1[[#This Row],[Nazwa]],'wig20 obliczenia'!B25:G44,6,FALSE)</f>
        <v>1.6440585061985484</v>
      </c>
    </row>
    <row r="20" spans="4:16" x14ac:dyDescent="0.35">
      <c r="D20" s="1" t="s">
        <v>18</v>
      </c>
      <c r="E20" s="2" t="s">
        <v>18</v>
      </c>
      <c r="F20" s="2">
        <v>15980</v>
      </c>
      <c r="G20" s="23">
        <v>5.5599999999999997E-2</v>
      </c>
      <c r="H20" s="25">
        <f>VLOOKUP(Tabela1[[#This Row],[Nazwa]],'wig20 obliczenia'!B26:G45,6,FALSE)</f>
        <v>3.92</v>
      </c>
    </row>
    <row r="21" spans="4:16" x14ac:dyDescent="0.35">
      <c r="D21" s="1" t="s">
        <v>3</v>
      </c>
      <c r="E21" s="2" t="s">
        <v>4</v>
      </c>
      <c r="F21" s="2">
        <v>33.33</v>
      </c>
      <c r="G21" s="23">
        <v>0.06</v>
      </c>
      <c r="H21" s="25">
        <f>VLOOKUP(Tabela1[[#This Row],[Nazwa]],'wig20 obliczenia'!B27:G46,6,FALSE)</f>
        <v>2.99</v>
      </c>
    </row>
    <row r="22" spans="4:16" x14ac:dyDescent="0.35">
      <c r="D22" s="1" t="s">
        <v>10</v>
      </c>
      <c r="E22" s="2" t="s">
        <v>11</v>
      </c>
      <c r="F22" s="2">
        <v>532.4</v>
      </c>
      <c r="G22" s="23">
        <v>6.9500000000000006E-2</v>
      </c>
      <c r="H22" s="25">
        <f>VLOOKUP(Tabela1[[#This Row],[Nazwa]],'wig20 obliczenia'!B28:G47,6,FALSE)</f>
        <v>6.6</v>
      </c>
    </row>
    <row r="23" spans="4:16" x14ac:dyDescent="0.35">
      <c r="D23" s="1" t="s">
        <v>23</v>
      </c>
      <c r="E23" s="2" t="s">
        <v>24</v>
      </c>
      <c r="F23" s="2">
        <v>178.75</v>
      </c>
      <c r="G23" s="23">
        <v>8.5999999999999993E-2</v>
      </c>
      <c r="H23" s="25">
        <f>VLOOKUP(Tabela1[[#This Row],[Nazwa]],'wig20 obliczenia'!B29:G48,6,FALSE)</f>
        <v>1.0136107229718854</v>
      </c>
    </row>
    <row r="24" spans="4:16" x14ac:dyDescent="0.35">
      <c r="D24" s="1" t="s">
        <v>32</v>
      </c>
      <c r="E24" s="2" t="s">
        <v>32</v>
      </c>
      <c r="F24" s="2">
        <v>62.56</v>
      </c>
      <c r="G24" s="23">
        <v>9.69E-2</v>
      </c>
      <c r="H24" s="25">
        <f>VLOOKUP(Tabela1[[#This Row],[Nazwa]],'wig20 obliczenia'!B30:G49,6,FALSE)</f>
        <v>0.42588758302167573</v>
      </c>
    </row>
    <row r="25" spans="4:16" x14ac:dyDescent="0.35">
      <c r="D25" s="1" t="s">
        <v>28</v>
      </c>
      <c r="E25" s="2" t="s">
        <v>29</v>
      </c>
      <c r="F25" s="2">
        <v>72.23</v>
      </c>
      <c r="G25" s="23">
        <v>0.1145</v>
      </c>
      <c r="H25" s="25">
        <f>VLOOKUP(Tabela1[[#This Row],[Nazwa]],'wig20 obliczenia'!B31:G50,6,FALSE)</f>
        <v>2.2200000000000002</v>
      </c>
    </row>
    <row r="26" spans="4:16" x14ac:dyDescent="0.35">
      <c r="D26" s="1" t="s">
        <v>30</v>
      </c>
      <c r="E26" s="2" t="s">
        <v>31</v>
      </c>
      <c r="F26" s="2">
        <v>75.599999999999994</v>
      </c>
      <c r="G26" s="23">
        <v>0.1492</v>
      </c>
      <c r="H26" s="25">
        <f>VLOOKUP(Tabela1[[#This Row],[Nazwa]],'wig20 obliczenia'!B32:G51,6,FALSE)</f>
        <v>1.5904502486522119</v>
      </c>
    </row>
    <row r="30" spans="4:16" x14ac:dyDescent="0.35">
      <c r="G30" s="24">
        <f>SUM(Tabela1[udzial w indeksie])</f>
        <v>1.0001000000000002</v>
      </c>
      <c r="H30" t="s">
        <v>73</v>
      </c>
    </row>
  </sheetData>
  <mergeCells count="1">
    <mergeCell ref="K15:L17"/>
  </mergeCells>
  <hyperlinks>
    <hyperlink ref="D13" r:id="rId1" tooltip="Alior Bank SA" display="https://www.bankier.pl/inwestowanie/profile/quote.html?symbol=ALIOR" xr:uid="{ADFE35EC-3CFE-4D13-A70C-66779CD79F29}"/>
    <hyperlink ref="D21" r:id="rId2" tooltip="Allegro.eu SA" display="https://www.bankier.pl/inwestowanie/profile/quote.html?symbol=ALLEGRO" xr:uid="{EA366749-4CA1-44B9-B08E-13C24EB10597}"/>
    <hyperlink ref="D10" r:id="rId3" tooltip="Budimex SA" display="https://www.bankier.pl/inwestowanie/profile/quote.html?symbol=BUDIMEX" xr:uid="{79E94D5D-747A-4D5E-8AC1-7F02D2CDD40E}"/>
    <hyperlink ref="D16" r:id="rId4" tooltip="CCC S.A." display="https://www.bankier.pl/inwestowanie/profile/quote.html?symbol=CCC" xr:uid="{743081A8-25DA-4313-ADC5-B6FE4823402C}"/>
    <hyperlink ref="D17" r:id="rId5" tooltip="CD Projekt SA" display="https://www.bankier.pl/inwestowanie/profile/quote.html?symbol=CDPROJEKT" xr:uid="{ABCBCA64-4576-45D5-B7E9-8B606CF698F4}"/>
    <hyperlink ref="D22" r:id="rId6" tooltip="Dino Polska SA" display="https://www.bankier.pl/inwestowanie/profile/quote.html?symbol=DINOPL" xr:uid="{7707D968-ABB6-4E23-928A-6BA1FB00B973}"/>
    <hyperlink ref="D12" r:id="rId7" tooltip="Grupa Kęty SA" display="https://www.bankier.pl/inwestowanie/profile/quote.html?symbol=KETY" xr:uid="{27DFD687-FFF0-4F94-A44E-9ED6F47B0490}"/>
    <hyperlink ref="D18" r:id="rId8" tooltip="KGHM Polska Miedź SA" display="https://www.bankier.pl/inwestowanie/profile/quote.html?symbol=KGHM" xr:uid="{8A1A7BDA-15A6-46C3-8DFC-6849319AC5C7}"/>
    <hyperlink ref="D9" r:id="rId9" tooltip="Kruk SA" display="https://www.bankier.pl/inwestowanie/profile/quote.html?symbol=KRUK" xr:uid="{81068499-602E-4701-B44F-B2EA823F8BA3}"/>
    <hyperlink ref="D20" r:id="rId10" tooltip="LPP SA" display="https://www.bankier.pl/inwestowanie/profile/quote.html?symbol=LPP" xr:uid="{266D64C0-FBF2-45C4-9D92-E3C6971006E9}"/>
    <hyperlink ref="D15" r:id="rId11" tooltip="mBank S.A." display="https://www.bankier.pl/inwestowanie/profile/quote.html?symbol=MBANK" xr:uid="{661A3FA7-466E-4EE5-867E-DAD42E8F973D}"/>
    <hyperlink ref="D8" r:id="rId12" tooltip="Orange Polska S.A." display="https://www.bankier.pl/inwestowanie/profile/quote.html?symbol=ORANGEPL" xr:uid="{1E317753-DCB2-451B-B127-522D72BC5814}"/>
    <hyperlink ref="D23" r:id="rId13" tooltip="Bank Polska Kasa Opieki SA" display="https://www.bankier.pl/inwestowanie/profile/quote.html?symbol=PEKAO" xr:uid="{1D67B169-3E93-45F6-A337-3F9F50FC01D5}"/>
    <hyperlink ref="D7" r:id="rId14" tooltip="Pepco Group NV" display="https://www.bankier.pl/inwestowanie/profile/quote.html?symbol=PEPCO" xr:uid="{390DCB0A-7815-40D7-9DA8-9453EA8A24DC}"/>
    <hyperlink ref="D11" r:id="rId15" tooltip="Polska Grupa Energetyczna SA" display="https://www.bankier.pl/inwestowanie/profile/quote.html?symbol=PGE" xr:uid="{73B9DDC3-1EB0-4E7C-A73A-313A6050104F}"/>
    <hyperlink ref="D25" r:id="rId16" tooltip="ORLEN SA" display="https://www.bankier.pl/inwestowanie/profile/quote.html?symbol=PKNORLEN" xr:uid="{C62C9138-5DB3-4650-B2C4-9E6EB6AC4610}"/>
    <hyperlink ref="D26" r:id="rId17" tooltip="Powszechna Kasa Oszczędności Bank Polski SA" display="https://www.bankier.pl/inwestowanie/profile/quote.html?symbol=PKOBP" xr:uid="{A7A4DEAE-14CD-4A24-BB74-512B0C9D42D1}"/>
    <hyperlink ref="D24" r:id="rId18" tooltip="Powszechny Zakład Ubezpieczeń SA" display="https://www.bankier.pl/inwestowanie/profile/quote.html?symbol=PZU" xr:uid="{31E62A4D-E046-437B-ABF0-7FBD4BE77E14}"/>
    <hyperlink ref="D19" r:id="rId19" tooltip="Santander Bank Polska SA" display="https://www.bankier.pl/inwestowanie/profile/quote.html?symbol=SANPL" xr:uid="{D7E183C7-CCA9-4724-BE9C-FE0944437AEE}"/>
    <hyperlink ref="D14" r:id="rId20" tooltip="Grupa Żabka SA" display="https://www.bankier.pl/inwestowanie/profile/quote.html?symbol=ZABKA" xr:uid="{0F0F78C9-19D7-4262-89B2-324FD26D5E90}"/>
  </hyperlinks>
  <pageMargins left="0.7" right="0.7" top="0.75" bottom="0.75" header="0.3" footer="0.3"/>
  <pageSetup paperSize="9" orientation="portrait" r:id="rId21"/>
  <drawing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8DBE-E106-4566-91D4-FBADAED3C4F9}">
  <dimension ref="B9:AQ34"/>
  <sheetViews>
    <sheetView topLeftCell="A7" workbookViewId="0">
      <selection activeCell="I12" sqref="I12"/>
    </sheetView>
  </sheetViews>
  <sheetFormatPr defaultRowHeight="14.5" x14ac:dyDescent="0.35"/>
  <cols>
    <col min="3" max="3" width="19.54296875" customWidth="1"/>
    <col min="4" max="4" width="13.453125" customWidth="1"/>
    <col min="5" max="5" width="14.1796875" customWidth="1"/>
    <col min="6" max="6" width="4.7265625" customWidth="1"/>
    <col min="7" max="7" width="17.7265625" customWidth="1"/>
    <col min="8" max="8" width="4.7265625" style="3" customWidth="1"/>
    <col min="9" max="9" width="27.1796875" customWidth="1"/>
    <col min="10" max="10" width="4.7265625" style="3" customWidth="1"/>
    <col min="11" max="11" width="27.1796875" customWidth="1"/>
    <col min="12" max="12" width="4.7265625" customWidth="1"/>
    <col min="13" max="13" width="27.1796875" customWidth="1"/>
    <col min="14" max="14" width="4.7265625" customWidth="1"/>
    <col min="15" max="15" width="10.1796875" customWidth="1"/>
    <col min="16" max="16" width="4.7265625" customWidth="1"/>
    <col min="17" max="17" width="10" bestFit="1" customWidth="1"/>
    <col min="19" max="19" width="12.54296875" bestFit="1" customWidth="1"/>
    <col min="23" max="23" width="10.54296875" bestFit="1" customWidth="1"/>
    <col min="25" max="25" width="12.54296875" bestFit="1" customWidth="1"/>
    <col min="29" max="29" width="13.453125" bestFit="1" customWidth="1"/>
    <col min="31" max="31" width="10.81640625" bestFit="1" customWidth="1"/>
    <col min="33" max="33" width="16.81640625" customWidth="1"/>
    <col min="35" max="35" width="16.26953125" customWidth="1"/>
    <col min="37" max="37" width="12.54296875" bestFit="1" customWidth="1"/>
    <col min="39" max="39" width="15.453125" customWidth="1"/>
    <col min="40" max="40" width="5.453125" customWidth="1"/>
    <col min="41" max="41" width="18.26953125" customWidth="1"/>
  </cols>
  <sheetData>
    <row r="9" spans="2:43" x14ac:dyDescent="0.35">
      <c r="I9" t="s">
        <v>70</v>
      </c>
    </row>
    <row r="11" spans="2:43" x14ac:dyDescent="0.35">
      <c r="I11" s="35" t="s">
        <v>43</v>
      </c>
      <c r="J11" s="35"/>
      <c r="K11" s="35"/>
      <c r="L11" s="35"/>
      <c r="M11" s="35"/>
      <c r="N11" s="35"/>
      <c r="O11" s="35"/>
      <c r="Q11" s="36" t="s">
        <v>57</v>
      </c>
      <c r="R11" s="36"/>
      <c r="S11" s="36"/>
      <c r="T11" s="36"/>
      <c r="U11" s="36"/>
      <c r="W11" s="37" t="s">
        <v>60</v>
      </c>
      <c r="X11" s="37"/>
      <c r="Y11" s="37"/>
      <c r="Z11" s="37"/>
      <c r="AA11" s="37"/>
      <c r="AC11" s="38" t="s">
        <v>64</v>
      </c>
      <c r="AD11" s="38"/>
      <c r="AE11" s="38"/>
      <c r="AF11" s="38"/>
      <c r="AG11" s="38"/>
      <c r="AI11" s="40" t="s">
        <v>66</v>
      </c>
      <c r="AJ11" s="40"/>
      <c r="AK11" s="40"/>
      <c r="AL11" s="40"/>
      <c r="AM11" s="40"/>
    </row>
    <row r="12" spans="2:43" ht="58" x14ac:dyDescent="0.35">
      <c r="B12" s="8" t="s">
        <v>46</v>
      </c>
      <c r="C12" s="8" t="s">
        <v>45</v>
      </c>
      <c r="D12" s="8" t="s">
        <v>53</v>
      </c>
      <c r="E12" s="8" t="s">
        <v>52</v>
      </c>
      <c r="F12" s="7"/>
      <c r="G12" s="31" t="s">
        <v>44</v>
      </c>
      <c r="H12" s="7"/>
      <c r="I12" s="11" t="s">
        <v>47</v>
      </c>
      <c r="J12" s="11" t="s">
        <v>48</v>
      </c>
      <c r="K12" s="11" t="s">
        <v>49</v>
      </c>
      <c r="L12" s="11" t="s">
        <v>50</v>
      </c>
      <c r="M12" s="11" t="s">
        <v>51</v>
      </c>
      <c r="N12" s="11" t="s">
        <v>54</v>
      </c>
      <c r="O12" s="11" t="s">
        <v>43</v>
      </c>
      <c r="Q12" s="14" t="s">
        <v>55</v>
      </c>
      <c r="R12" s="14" t="s">
        <v>50</v>
      </c>
      <c r="S12" s="14" t="s">
        <v>56</v>
      </c>
      <c r="T12" s="14" t="s">
        <v>54</v>
      </c>
      <c r="U12" s="14" t="s">
        <v>57</v>
      </c>
      <c r="W12" s="16" t="s">
        <v>58</v>
      </c>
      <c r="X12" s="16" t="s">
        <v>50</v>
      </c>
      <c r="Y12" s="16" t="s">
        <v>59</v>
      </c>
      <c r="Z12" s="16" t="s">
        <v>54</v>
      </c>
      <c r="AA12" s="16" t="s">
        <v>60</v>
      </c>
      <c r="AC12" s="18" t="s">
        <v>61</v>
      </c>
      <c r="AD12" s="18" t="s">
        <v>62</v>
      </c>
      <c r="AE12" s="18" t="s">
        <v>63</v>
      </c>
      <c r="AF12" s="18" t="s">
        <v>54</v>
      </c>
      <c r="AG12" s="18" t="s">
        <v>64</v>
      </c>
      <c r="AI12" s="20" t="s">
        <v>65</v>
      </c>
      <c r="AJ12" s="20" t="s">
        <v>50</v>
      </c>
      <c r="AK12" s="22" t="s">
        <v>59</v>
      </c>
      <c r="AL12" s="20" t="s">
        <v>54</v>
      </c>
      <c r="AM12" s="20" t="s">
        <v>66</v>
      </c>
      <c r="AO12" s="8" t="s">
        <v>69</v>
      </c>
      <c r="AP12" s="39" t="s">
        <v>68</v>
      </c>
      <c r="AQ12" s="39"/>
    </row>
    <row r="13" spans="2:43" x14ac:dyDescent="0.35">
      <c r="B13" s="6" t="str" cm="1">
        <f t="array" ref="B13:B32">wig20wszystkietickery</f>
        <v>PEPCO</v>
      </c>
      <c r="C13" s="6" t="str">
        <f>VLOOKUP(B13,Tabela1[[Nazwa]:[Ticker]],2,)</f>
        <v>PCO</v>
      </c>
      <c r="D13" s="6" t="str">
        <f>"WAR:"&amp;C13</f>
        <v>WAR:PCO</v>
      </c>
      <c r="E13" s="4" cm="1">
        <f t="array" ref="E13">_xldudf_GURUF('wig20 obliczenia'!D13,"Altman Z-Score","2024")</f>
        <v>1.81</v>
      </c>
      <c r="G13" s="32" cm="1">
        <f t="array" ref="G13">IF(_xldudf_GURUF('wig20 obliczenia'!D13,"Altman Z-Score","2024")&lt;&gt;0,_xldudf_GURUF('wig20 obliczenia'!D13,"Altman Z-Score","2024"),AO13)</f>
        <v>1.81</v>
      </c>
      <c r="I13" s="10"/>
      <c r="J13" s="10"/>
      <c r="K13" s="10"/>
      <c r="L13" s="10"/>
      <c r="M13" s="10"/>
      <c r="O13" s="12"/>
      <c r="U13" s="15"/>
      <c r="AA13" s="17"/>
      <c r="AG13" s="19"/>
      <c r="AM13" s="21"/>
      <c r="AO13" s="29"/>
    </row>
    <row r="14" spans="2:43" x14ac:dyDescent="0.35">
      <c r="B14" s="6" t="str">
        <v>ORANGEPL</v>
      </c>
      <c r="C14" s="6" t="str">
        <f>VLOOKUP(B14,Tabela1[[Nazwa]:[Ticker]],2,)</f>
        <v>OPL</v>
      </c>
      <c r="D14" s="6" t="str">
        <f t="shared" ref="D14:D32" si="0">"WAR:"&amp;C14</f>
        <v>WAR:OPL</v>
      </c>
      <c r="E14" s="4" cm="1">
        <f t="array" ref="E14">_xldudf_GURUF('wig20 obliczenia'!D14,"Altman Z-Score","2024")</f>
        <v>1.51</v>
      </c>
      <c r="G14" s="32" cm="1">
        <f t="array" ref="G14">IF(_xldudf_GURUF('wig20 obliczenia'!D14,"Altman Z-Score","2024")&lt;&gt;0,_xldudf_GURUF('wig20 obliczenia'!D14,"Altman Z-Score","2024"),AO14)</f>
        <v>1.51</v>
      </c>
      <c r="I14" s="10"/>
      <c r="J14" s="10"/>
      <c r="K14" s="10"/>
      <c r="L14" s="10"/>
      <c r="M14" s="10"/>
      <c r="O14" s="12"/>
      <c r="U14" s="15"/>
      <c r="AA14" s="17"/>
      <c r="AG14" s="19"/>
      <c r="AM14" s="21"/>
      <c r="AO14" s="29"/>
    </row>
    <row r="15" spans="2:43" x14ac:dyDescent="0.35">
      <c r="B15" s="6" t="str">
        <v>KRUK</v>
      </c>
      <c r="C15" s="6" t="str">
        <f>VLOOKUP(B15,Tabela1[[Nazwa]:[Ticker]],2,)</f>
        <v>KRU</v>
      </c>
      <c r="D15" s="6" t="str">
        <f t="shared" si="0"/>
        <v>WAR:KRU</v>
      </c>
      <c r="E15" s="4" cm="1">
        <f t="array" ref="E15">_xldudf_GURUF('wig20 obliczenia'!D15,"Altman Z-Score","2024")</f>
        <v>1.95</v>
      </c>
      <c r="G15" s="32" cm="1">
        <f t="array" ref="G15">IF(_xldudf_GURUF('wig20 obliczenia'!D15,"Altman Z-Score","2024")&lt;&gt;0,_xldudf_GURUF('wig20 obliczenia'!D15,"Altman Z-Score","2024"),AO15)</f>
        <v>1.95</v>
      </c>
      <c r="I15" s="10"/>
      <c r="J15" s="10"/>
      <c r="K15" s="10"/>
      <c r="L15" s="10"/>
      <c r="M15" s="10"/>
      <c r="O15" s="12"/>
      <c r="U15" s="15"/>
      <c r="AA15" s="17"/>
      <c r="AG15" s="19"/>
      <c r="AM15" s="21"/>
      <c r="AO15" s="29"/>
    </row>
    <row r="16" spans="2:43" x14ac:dyDescent="0.35">
      <c r="B16" s="6" t="str">
        <v>BUDIMEX</v>
      </c>
      <c r="C16" s="6" t="str">
        <f>VLOOKUP(B16,Tabela1[[Nazwa]:[Ticker]],2,)</f>
        <v>BDX</v>
      </c>
      <c r="D16" s="6" t="str">
        <f t="shared" si="0"/>
        <v>WAR:BDX</v>
      </c>
      <c r="E16" s="4" cm="1">
        <f t="array" ref="E16">_xldudf_GURUF('wig20 obliczenia'!D16,"Altman Z-Score","2024")</f>
        <v>2.82</v>
      </c>
      <c r="G16" s="32" cm="1">
        <f t="array" ref="G16">IF(_xldudf_GURUF('wig20 obliczenia'!D16,"Altman Z-Score","2024")&lt;&gt;0,_xldudf_GURUF('wig20 obliczenia'!D16,"Altman Z-Score","2024"),AO16)</f>
        <v>2.82</v>
      </c>
      <c r="I16" s="10"/>
      <c r="J16" s="10"/>
      <c r="K16" s="10"/>
      <c r="L16" s="10"/>
      <c r="M16" s="10"/>
      <c r="O16" s="12"/>
      <c r="U16" s="15"/>
      <c r="AA16" s="17"/>
      <c r="AG16" s="19"/>
      <c r="AM16" s="21"/>
      <c r="AO16" s="29"/>
    </row>
    <row r="17" spans="2:41" x14ac:dyDescent="0.35">
      <c r="B17" s="6" t="str">
        <v>PGE</v>
      </c>
      <c r="C17" s="6" t="str">
        <f>VLOOKUP(B17,Tabela1[[Nazwa]:[Ticker]],2,)</f>
        <v>PGE</v>
      </c>
      <c r="D17" s="6" t="str">
        <f t="shared" si="0"/>
        <v>WAR:PGE</v>
      </c>
      <c r="E17" s="4" cm="1">
        <f t="array" ref="E17">_xldudf_GURUF('wig20 obliczenia'!D17,"Altman Z-Score","2024")</f>
        <v>0</v>
      </c>
      <c r="G17" s="32" cm="1">
        <f t="array" ref="G17">IF(_xldudf_GURUF('wig20 obliczenia'!D17,"Altman Z-Score","2024")&lt;&gt;0,_xldudf_GURUF('wig20 obliczenia'!D17,"Altman Z-Score","2024"),AO17)</f>
        <v>0.81903553522689476</v>
      </c>
      <c r="I17" s="10">
        <v>27692000</v>
      </c>
      <c r="J17" s="10"/>
      <c r="K17" s="10">
        <v>34716000</v>
      </c>
      <c r="L17" s="10"/>
      <c r="M17" s="10">
        <v>103994000</v>
      </c>
      <c r="O17" s="13">
        <f t="shared" ref="O17:O32" si="1">(I17-K17)/M17</f>
        <v>-6.754235821297383E-2</v>
      </c>
      <c r="Q17" s="9">
        <v>4797000</v>
      </c>
      <c r="S17" s="10">
        <f>M17</f>
        <v>103994000</v>
      </c>
      <c r="U17" s="15">
        <f>Q17/S17</f>
        <v>4.6127661211223726E-2</v>
      </c>
      <c r="W17" s="9">
        <v>-65000</v>
      </c>
      <c r="Y17" s="10">
        <f>M17</f>
        <v>103994000</v>
      </c>
      <c r="AA17" s="17">
        <f>W17/Y17</f>
        <v>-6.2503605977267914E-4</v>
      </c>
      <c r="AC17" s="9">
        <v>21194112</v>
      </c>
      <c r="AE17">
        <f>23749000+34716000</f>
        <v>58465000</v>
      </c>
      <c r="AG17" s="19">
        <f>AC17/AE17</f>
        <v>0.36250939878559824</v>
      </c>
      <c r="AI17" s="9">
        <v>64483000</v>
      </c>
      <c r="AK17" s="10">
        <f>M17</f>
        <v>103994000</v>
      </c>
      <c r="AM17" s="21">
        <f>AI17/AK17</f>
        <v>0.6200646191126411</v>
      </c>
      <c r="AO17" s="29">
        <f>O17*$O$34+U17*$U$34+AA17*$AA$34+AG17*$AG$34+AM17*$AM$34</f>
        <v>0.81903553522689476</v>
      </c>
    </row>
    <row r="18" spans="2:41" x14ac:dyDescent="0.35">
      <c r="B18" s="6" t="str">
        <v>KETY</v>
      </c>
      <c r="C18" s="6" t="str">
        <f>VLOOKUP(B18,Tabela1[[Nazwa]:[Ticker]],2,)</f>
        <v>KTY</v>
      </c>
      <c r="D18" s="6" t="str">
        <f t="shared" si="0"/>
        <v>WAR:KTY</v>
      </c>
      <c r="E18" s="4" cm="1">
        <f t="array" ref="E18">_xldudf_GURUF('wig20 obliczenia'!D18,"Altman Z-Score","2024")</f>
        <v>4.28</v>
      </c>
      <c r="G18" s="32" cm="1">
        <f t="array" ref="G18">IF(_xldudf_GURUF('wig20 obliczenia'!D18,"Altman Z-Score","2024")&lt;&gt;0,_xldudf_GURUF('wig20 obliczenia'!D18,"Altman Z-Score","2024"),AO18)</f>
        <v>4.28</v>
      </c>
      <c r="I18" s="10"/>
      <c r="J18" s="10"/>
      <c r="K18" s="10"/>
      <c r="L18" s="10"/>
      <c r="M18" s="10"/>
      <c r="O18" s="13"/>
      <c r="S18" s="10"/>
      <c r="U18" s="15"/>
      <c r="Y18" s="10"/>
      <c r="AA18" s="17"/>
      <c r="AG18" s="19"/>
      <c r="AK18" s="10"/>
      <c r="AM18" s="21"/>
      <c r="AO18" s="29"/>
    </row>
    <row r="19" spans="2:41" x14ac:dyDescent="0.35">
      <c r="B19" s="6" t="str">
        <v>ALIOR</v>
      </c>
      <c r="C19" s="6" t="str">
        <f>VLOOKUP(B19,Tabela1[[Nazwa]:[Ticker]],2,)</f>
        <v>ALR</v>
      </c>
      <c r="D19" s="6" t="str">
        <f t="shared" si="0"/>
        <v>WAR:ALR</v>
      </c>
      <c r="E19" s="4" cm="1">
        <f t="array" ref="E19">_xldudf_GURUF('wig20 obliczenia'!D19,"Altman Z-Score","2024")</f>
        <v>0</v>
      </c>
      <c r="G19" s="32" cm="1">
        <f t="array" ref="G19">IF(_xldudf_GURUF('wig20 obliczenia'!D19,"Altman Z-Score","2024")&lt;&gt;0,_xldudf_GURUF('wig20 obliczenia'!D19,"Altman Z-Score","2024"),AO19)</f>
        <v>3.1089347888383254</v>
      </c>
      <c r="I19" s="10" cm="1">
        <f t="array" ref="I19">_xldudf_GURUF('wig20 obliczenia'!D19,"Net-Net Working Capital","2024")</f>
        <v>-609.26</v>
      </c>
      <c r="J19" s="10"/>
      <c r="K19" s="10" cm="1">
        <f t="array" ref="K19">_xldudf_GURUF('wig20 obliczenia'!D19,"Short-Term Debt","2024")</f>
        <v>0</v>
      </c>
      <c r="L19" s="10"/>
      <c r="M19" s="10" cm="1">
        <f t="array" ref="M19">_xldudf_GURUF('wig20 obliczenia'!D19,"Total Assets","2024")</f>
        <v>93293.486999999994</v>
      </c>
      <c r="O19" s="13">
        <f t="shared" si="1"/>
        <v>-6.5305737794965259E-3</v>
      </c>
      <c r="Q19" cm="1">
        <f t="array" ref="Q19">_xldudf_GURUF('wig20 obliczenia'!D19,"Retained Earnings","2024")</f>
        <v>2498.19</v>
      </c>
      <c r="S19" s="10">
        <f t="shared" ref="S19:S30" si="2">M19</f>
        <v>93293.486999999994</v>
      </c>
      <c r="U19" s="15">
        <f t="shared" ref="U19:U30" si="3">Q19/S19</f>
        <v>2.6777753520993382E-2</v>
      </c>
      <c r="W19" cm="1">
        <f t="array" ref="W19">_xldudf_GURUF('wig20 obliczenia'!D19,"EBIT","2024")</f>
        <v>0</v>
      </c>
      <c r="Y19" s="10">
        <f t="shared" ref="Y19:Y32" si="4">M19</f>
        <v>93293.486999999994</v>
      </c>
      <c r="AA19" s="17">
        <f t="shared" ref="AA19:AA32" si="5">W19/Y19</f>
        <v>0</v>
      </c>
      <c r="AC19" cm="1">
        <f t="array" ref="AC19">_xldudf_GURUF('wig20 obliczenia'!D19,"Market Cap","2024")</f>
        <v>11225.032999999999</v>
      </c>
      <c r="AE19" cm="1">
        <f t="array" ref="AE19">_xldudf_GURUF('wig20 obliczenia'!D19,"Total Debt")</f>
        <v>2235.5859999999998</v>
      </c>
      <c r="AG19" s="19">
        <f t="shared" ref="AG19:AG32" si="6">AC19/AE19</f>
        <v>5.0210696434849744</v>
      </c>
      <c r="AI19" cm="1">
        <f t="array" ref="AI19">_xldudf_GURUF('wig20 obliczenia'!D19,"Revenue","2024")</f>
        <v>6217.1559999999999</v>
      </c>
      <c r="AK19" s="10">
        <f t="shared" ref="AK19:AK32" si="7">M19</f>
        <v>93293.486999999994</v>
      </c>
      <c r="AM19" s="21">
        <f t="shared" ref="AM19:AM32" si="8">AI19/AK19</f>
        <v>6.6640836353345875E-2</v>
      </c>
      <c r="AO19" s="29">
        <f t="shared" ref="AO19:AO32" si="9">O19*$O$34+U19*$U$34+AA19*$AA$34+AG19*$AG$34+AM19*$AM$34</f>
        <v>3.1089347888383254</v>
      </c>
    </row>
    <row r="20" spans="2:41" x14ac:dyDescent="0.35">
      <c r="B20" s="6" t="str">
        <v>ZABKA</v>
      </c>
      <c r="C20" s="6" t="str">
        <f>VLOOKUP(B20,Tabela1[[Nazwa]:[Ticker]],2,)</f>
        <v>ZAB</v>
      </c>
      <c r="D20" s="6" t="str">
        <f t="shared" si="0"/>
        <v>WAR:ZAB</v>
      </c>
      <c r="E20" s="4" cm="1">
        <f t="array" ref="E20">_xldudf_GURUF('wig20 obliczenia'!D20,"Altman Z-Score","2024")</f>
        <v>1.63</v>
      </c>
      <c r="G20" s="32" cm="1">
        <f t="array" ref="G20">IF(_xldudf_GURUF('wig20 obliczenia'!D20,"Altman Z-Score","2024")&lt;&gt;0,_xldudf_GURUF('wig20 obliczenia'!D20,"Altman Z-Score","2024"),AO20)</f>
        <v>1.63</v>
      </c>
      <c r="I20" s="10"/>
      <c r="J20" s="10"/>
      <c r="K20" s="10"/>
      <c r="L20" s="10"/>
      <c r="M20" s="10"/>
      <c r="O20" s="13"/>
      <c r="S20" s="10"/>
      <c r="U20" s="15"/>
      <c r="Y20" s="10"/>
      <c r="AA20" s="17"/>
      <c r="AG20" s="19"/>
      <c r="AK20" s="10"/>
      <c r="AM20" s="21"/>
      <c r="AO20" s="29"/>
    </row>
    <row r="21" spans="2:41" x14ac:dyDescent="0.35">
      <c r="B21" s="6" t="str">
        <v>MBANK</v>
      </c>
      <c r="C21" s="6" t="str">
        <f>VLOOKUP(B21,Tabela1[[Nazwa]:[Ticker]],2,)</f>
        <v>MBK</v>
      </c>
      <c r="D21" s="6" t="str">
        <f t="shared" si="0"/>
        <v>WAR:MBK</v>
      </c>
      <c r="E21" s="4" cm="1">
        <f t="array" ref="E21">_xldudf_GURUF('wig20 obliczenia'!D21,"Altman Z-Score","2024")</f>
        <v>0</v>
      </c>
      <c r="G21" s="32" cm="1">
        <f t="array" ref="G21">IF(_xldudf_GURUF('wig20 obliczenia'!D21,"Altman Z-Score","2024")&lt;&gt;0,_xldudf_GURUF('wig20 obliczenia'!D21,"Altman Z-Score","2024"),AO21)</f>
        <v>0.94160576682068486</v>
      </c>
      <c r="I21" s="10" cm="1">
        <f t="array" ref="I21">_xldudf_GURUF(D21,"Net-Net Working Capital","2024")</f>
        <v>-4340.3999999999996</v>
      </c>
      <c r="J21" s="10"/>
      <c r="K21" s="10" cm="1">
        <f t="array" ref="K21">_xldudf_GURUF('wig20 obliczenia'!D21,"Short-Term Debt","2024")</f>
        <v>0</v>
      </c>
      <c r="L21" s="10"/>
      <c r="M21" s="10">
        <v>242268385</v>
      </c>
      <c r="O21" s="13">
        <f t="shared" si="1"/>
        <v>-1.7915668195831657E-5</v>
      </c>
      <c r="Q21">
        <f>17766994-13737226</f>
        <v>4029768</v>
      </c>
      <c r="S21" s="10">
        <f t="shared" si="2"/>
        <v>242268385</v>
      </c>
      <c r="U21" s="15">
        <f t="shared" si="3"/>
        <v>1.6633486866228956E-2</v>
      </c>
      <c r="W21" cm="1">
        <f t="array" ref="W21">_xldudf_GURUF('wig20 obliczenia'!D21,"EBIT","2024")</f>
        <v>0</v>
      </c>
      <c r="Y21" s="10">
        <f t="shared" si="4"/>
        <v>242268385</v>
      </c>
      <c r="AA21" s="17">
        <f t="shared" si="5"/>
        <v>0</v>
      </c>
      <c r="AC21" cm="1">
        <f t="array" ref="AC21">_xldudf_GURUF('wig20 obliczenia'!D21,"Market Cap","2024")</f>
        <v>23254.358</v>
      </c>
      <c r="AE21" cm="1">
        <f t="array" ref="AE21">_xldudf_GURUF('wig20 obliczenia'!D21,"Total Debt")</f>
        <v>15194.112999999999</v>
      </c>
      <c r="AG21" s="19">
        <f t="shared" si="6"/>
        <v>1.5304847344494543</v>
      </c>
      <c r="AI21" cm="1">
        <f t="array" ref="AI21">_xldudf_GURUF('wig20 obliczenia'!D21,"Revenue","2024")</f>
        <v>12002.785</v>
      </c>
      <c r="AK21" s="10">
        <f t="shared" si="7"/>
        <v>242268385</v>
      </c>
      <c r="AM21" s="21">
        <f t="shared" si="8"/>
        <v>4.9543340126694614E-5</v>
      </c>
      <c r="AO21" s="29">
        <f t="shared" si="9"/>
        <v>0.94160576682068486</v>
      </c>
    </row>
    <row r="22" spans="2:41" x14ac:dyDescent="0.35">
      <c r="B22" s="6" t="str">
        <v>CCC</v>
      </c>
      <c r="C22" s="6" t="str">
        <f>VLOOKUP(B22,Tabela1[[Nazwa]:[Ticker]],2,)</f>
        <v>CCC</v>
      </c>
      <c r="D22" s="6" t="str">
        <f t="shared" si="0"/>
        <v>WAR:CCC</v>
      </c>
      <c r="E22" s="4" cm="1">
        <f t="array" ref="E22">_xldudf_GURUF('wig20 obliczenia'!D22,"Altman Z-Score","2024")</f>
        <v>1.5</v>
      </c>
      <c r="G22" s="32" cm="1">
        <f t="array" ref="G22">IF(_xldudf_GURUF('wig20 obliczenia'!D22,"Altman Z-Score","2024")&lt;&gt;0,_xldudf_GURUF('wig20 obliczenia'!D22,"Altman Z-Score","2024"),AO22)</f>
        <v>1.5</v>
      </c>
      <c r="I22" s="10"/>
      <c r="J22" s="10"/>
      <c r="K22" s="10"/>
      <c r="L22" s="10"/>
      <c r="M22" s="10"/>
      <c r="O22" s="13"/>
      <c r="S22" s="10"/>
      <c r="U22" s="15"/>
      <c r="Y22" s="10"/>
      <c r="AA22" s="17"/>
      <c r="AG22" s="19"/>
      <c r="AK22" s="10"/>
      <c r="AM22" s="21"/>
      <c r="AO22" s="29"/>
    </row>
    <row r="23" spans="2:41" x14ac:dyDescent="0.35">
      <c r="B23" s="6" t="str">
        <v>CDPROJEKT</v>
      </c>
      <c r="C23" s="6" t="str">
        <f>VLOOKUP(B23,Tabela1[[Nazwa]:[Ticker]],2,)</f>
        <v>CDR</v>
      </c>
      <c r="D23" s="6" t="str">
        <f t="shared" si="0"/>
        <v>WAR:CDR</v>
      </c>
      <c r="E23" s="4" cm="1">
        <f t="array" ref="E23">_xldudf_GURUF('wig20 obliczenia'!D23,"Altman Z-Score","2024")</f>
        <v>0</v>
      </c>
      <c r="G23" s="32" cm="1">
        <f t="array" ref="G23">IF(_xldudf_GURUF('wig20 obliczenia'!D23,"Altman Z-Score","2024")&lt;&gt;0,_xldudf_GURUF('wig20 obliczenia'!D23,"Altman Z-Score","2024"),AO23)</f>
        <v>58.066326116208238</v>
      </c>
      <c r="I23" s="10">
        <v>1468260</v>
      </c>
      <c r="J23" s="10"/>
      <c r="K23" s="10">
        <v>219183</v>
      </c>
      <c r="L23" s="10"/>
      <c r="M23" s="10">
        <v>3042424</v>
      </c>
      <c r="O23" s="13">
        <f t="shared" si="1"/>
        <v>0.41055322992456017</v>
      </c>
      <c r="Q23">
        <v>370800</v>
      </c>
      <c r="S23" s="10">
        <f t="shared" si="2"/>
        <v>3042424</v>
      </c>
      <c r="U23" s="15">
        <f t="shared" si="3"/>
        <v>0.12187650373517958</v>
      </c>
      <c r="W23" s="9">
        <v>365496</v>
      </c>
      <c r="Y23" s="10">
        <f t="shared" si="4"/>
        <v>3042424</v>
      </c>
      <c r="AA23" s="17">
        <f t="shared" si="5"/>
        <v>0.12013315698272167</v>
      </c>
      <c r="AC23" s="9">
        <v>22969425</v>
      </c>
      <c r="AE23">
        <f>22574+219183</f>
        <v>241757</v>
      </c>
      <c r="AG23" s="19">
        <f>AC23/AE23</f>
        <v>95.010382326054682</v>
      </c>
      <c r="AI23" cm="1">
        <f t="array" ref="AI23">_xldudf_GURUF('wig20 obliczenia'!D23,"Revenue","2024")</f>
        <v>1114.5050000000001</v>
      </c>
      <c r="AK23" s="10">
        <f t="shared" si="7"/>
        <v>3042424</v>
      </c>
      <c r="AM23" s="21">
        <f>AI23/AK23</f>
        <v>3.6632139373078839E-4</v>
      </c>
      <c r="AO23" s="29">
        <f t="shared" si="9"/>
        <v>58.066326116208238</v>
      </c>
    </row>
    <row r="24" spans="2:41" x14ac:dyDescent="0.35">
      <c r="B24" s="6" t="str">
        <v>KGHM</v>
      </c>
      <c r="C24" s="6" t="str">
        <f>VLOOKUP(B24,Tabela1[[Nazwa]:[Ticker]],2,)</f>
        <v>KGH</v>
      </c>
      <c r="D24" s="6" t="str">
        <f t="shared" si="0"/>
        <v>WAR:KGH</v>
      </c>
      <c r="E24" s="4" cm="1">
        <f t="array" ref="E24">_xldudf_GURUF('wig20 obliczenia'!D24,"Altman Z-Score","2024")</f>
        <v>2.2799999999999998</v>
      </c>
      <c r="G24" s="32" cm="1">
        <f t="array" ref="G24">IF(_xldudf_GURUF('wig20 obliczenia'!D24,"Altman Z-Score","2024")&lt;&gt;0,_xldudf_GURUF('wig20 obliczenia'!D24,"Altman Z-Score","2024"),AO24)</f>
        <v>2.2799999999999998</v>
      </c>
      <c r="I24" s="10"/>
      <c r="J24" s="10"/>
      <c r="K24" s="10"/>
      <c r="L24" s="10"/>
      <c r="M24" s="10"/>
      <c r="O24" s="13"/>
      <c r="S24" s="10"/>
      <c r="U24" s="15"/>
      <c r="Y24" s="10"/>
      <c r="AA24" s="17"/>
      <c r="AG24" s="19"/>
      <c r="AK24" s="10"/>
      <c r="AM24" s="21" t="e">
        <f t="shared" si="8"/>
        <v>#DIV/0!</v>
      </c>
      <c r="AO24" s="29"/>
    </row>
    <row r="25" spans="2:41" x14ac:dyDescent="0.35">
      <c r="B25" s="6" t="str">
        <v>SANPL</v>
      </c>
      <c r="C25" s="6" t="str">
        <f>VLOOKUP(B25,Tabela1[[Nazwa]:[Ticker]],2,)</f>
        <v>SPL</v>
      </c>
      <c r="D25" s="6" t="str">
        <f t="shared" si="0"/>
        <v>WAR:SPL</v>
      </c>
      <c r="E25" s="4" cm="1">
        <f t="array" ref="E25">_xldudf_GURUF('wig20 obliczenia'!D25,"Altman Z-Score","2024")</f>
        <v>0</v>
      </c>
      <c r="G25" s="32" cm="1">
        <f t="array" ref="G25">IF(_xldudf_GURUF('wig20 obliczenia'!D25,"Altman Z-Score","2024")&lt;&gt;0,_xldudf_GURUF('wig20 obliczenia'!D25,"Altman Z-Score","2024"),AO25)</f>
        <v>1.6440585061985484</v>
      </c>
      <c r="I25" s="10" cm="1">
        <f t="array" ref="I25">_xldudf_GURUF(D25,"Net-Net Working Capital","2024")</f>
        <v>-2535.4499999999998</v>
      </c>
      <c r="J25" s="10"/>
      <c r="K25" s="10" cm="1">
        <f t="array" ref="K25">_xldudf_GURUF('wig20 obliczenia'!D25,"Short-Term Debt","2024")</f>
        <v>0</v>
      </c>
      <c r="L25" s="10"/>
      <c r="M25" s="10" cm="1">
        <f t="array" ref="M25">_xldudf_GURUF('wig20 obliczenia'!D25,"Total Assets","2024")</f>
        <v>304373.92</v>
      </c>
      <c r="O25" s="13">
        <f t="shared" si="1"/>
        <v>-8.3300500910196244E-3</v>
      </c>
      <c r="Q25" cm="1">
        <f t="array" ref="Q25">_xldudf_GURUF('wig20 obliczenia'!D25,"Retained Earnings","2024")</f>
        <v>7299.4250000000002</v>
      </c>
      <c r="S25" s="10">
        <f t="shared" si="2"/>
        <v>304373.92</v>
      </c>
      <c r="U25" s="15">
        <f t="shared" si="3"/>
        <v>2.3981768871656286E-2</v>
      </c>
      <c r="W25" cm="1">
        <f t="array" ref="W25">_xldudf_GURUF('wig20 obliczenia'!D25,"EBIT","2024")</f>
        <v>0</v>
      </c>
      <c r="Y25" s="10">
        <f t="shared" si="4"/>
        <v>304373.92</v>
      </c>
      <c r="AA25" s="17">
        <f t="shared" si="5"/>
        <v>0</v>
      </c>
      <c r="AC25" cm="1">
        <f t="array" ref="AC25">_xldudf_GURUF('wig20 obliczenia'!D25,"Market Cap","2024")</f>
        <v>46761.686000000002</v>
      </c>
      <c r="AE25" cm="1">
        <f t="array" ref="AE25">_xldudf_GURUF('wig20 obliczenia'!D25,"Total Debt")</f>
        <v>17934.949000000001</v>
      </c>
      <c r="AG25" s="19">
        <f t="shared" si="6"/>
        <v>2.6072940603288028</v>
      </c>
      <c r="AI25" cm="1">
        <f t="array" ref="AI25">_xldudf_GURUF('wig20 obliczenia'!D25,"Revenue","2024")</f>
        <v>17076.489000000001</v>
      </c>
      <c r="AK25" s="10">
        <f t="shared" si="7"/>
        <v>304373.92</v>
      </c>
      <c r="AM25" s="21">
        <f t="shared" si="8"/>
        <v>5.6103653690171625E-2</v>
      </c>
      <c r="AO25" s="29">
        <f t="shared" si="9"/>
        <v>1.6440585061985484</v>
      </c>
    </row>
    <row r="26" spans="2:41" x14ac:dyDescent="0.35">
      <c r="B26" s="6" t="str">
        <v>LPP</v>
      </c>
      <c r="C26" s="6" t="str">
        <f>VLOOKUP(B26,Tabela1[[Nazwa]:[Ticker]],2,)</f>
        <v>LPP</v>
      </c>
      <c r="D26" s="6" t="str">
        <f t="shared" si="0"/>
        <v>WAR:LPP</v>
      </c>
      <c r="E26" s="4" cm="1">
        <f t="array" ref="E26">_xldudf_GURUF('wig20 obliczenia'!D26,"Altman Z-Score","2024")</f>
        <v>3.92</v>
      </c>
      <c r="G26" s="32" cm="1">
        <f t="array" ref="G26">IF(_xldudf_GURUF('wig20 obliczenia'!D26,"Altman Z-Score","2024")&lt;&gt;0,_xldudf_GURUF('wig20 obliczenia'!D26,"Altman Z-Score","2024"),AO26)</f>
        <v>3.92</v>
      </c>
      <c r="J26" s="10"/>
      <c r="K26" s="10"/>
      <c r="L26" s="10"/>
      <c r="M26" s="10"/>
      <c r="O26" s="13"/>
      <c r="S26" s="10"/>
      <c r="U26" s="15"/>
      <c r="Y26" s="10"/>
      <c r="AA26" s="17"/>
      <c r="AG26" s="19"/>
      <c r="AK26" s="10"/>
      <c r="AM26" s="21"/>
      <c r="AO26" s="29"/>
    </row>
    <row r="27" spans="2:41" x14ac:dyDescent="0.35">
      <c r="B27" s="6" t="str">
        <v>ALLEGRO</v>
      </c>
      <c r="C27" s="6" t="str">
        <f>VLOOKUP(B27,Tabela1[[Nazwa]:[Ticker]],2,)</f>
        <v>ALE</v>
      </c>
      <c r="D27" s="6" t="str">
        <f t="shared" si="0"/>
        <v>WAR:ALE</v>
      </c>
      <c r="E27" s="4" cm="1">
        <f t="array" ref="E27">_xldudf_GURUF('wig20 obliczenia'!D27,"Altman Z-Score","2024")</f>
        <v>2.99</v>
      </c>
      <c r="G27" s="32" cm="1">
        <f t="array" ref="G27">IF(_xldudf_GURUF('wig20 obliczenia'!D27,"Altman Z-Score","2024")&lt;&gt;0,_xldudf_GURUF('wig20 obliczenia'!D27,"Altman Z-Score","2024"),AO27)</f>
        <v>2.99</v>
      </c>
      <c r="I27" s="10"/>
      <c r="J27" s="10"/>
      <c r="K27" s="10"/>
      <c r="L27" s="10"/>
      <c r="M27" s="10"/>
      <c r="O27" s="13"/>
      <c r="S27" s="10"/>
      <c r="U27" s="15"/>
      <c r="Y27" s="10"/>
      <c r="AA27" s="17"/>
      <c r="AG27" s="19"/>
      <c r="AK27" s="10"/>
      <c r="AM27" s="21"/>
      <c r="AO27" s="29"/>
    </row>
    <row r="28" spans="2:41" x14ac:dyDescent="0.35">
      <c r="B28" s="6" t="str">
        <v>DINOPL</v>
      </c>
      <c r="C28" s="6" t="str">
        <f>VLOOKUP(B28,Tabela1[[Nazwa]:[Ticker]],2,)</f>
        <v>DNP</v>
      </c>
      <c r="D28" s="6" t="str">
        <f t="shared" si="0"/>
        <v>WAR:DNP</v>
      </c>
      <c r="E28" s="4" cm="1">
        <f t="array" ref="E28">_xldudf_GURUF('wig20 obliczenia'!D28,"Altman Z-Score","2024")</f>
        <v>6.6</v>
      </c>
      <c r="G28" s="32" cm="1">
        <f t="array" ref="G28">IF(_xldudf_GURUF('wig20 obliczenia'!D28,"Altman Z-Score","2024")&lt;&gt;0,_xldudf_GURUF('wig20 obliczenia'!D28,"Altman Z-Score","2024"),AO28)</f>
        <v>6.6</v>
      </c>
      <c r="I28" s="10"/>
      <c r="J28" s="10"/>
      <c r="K28" s="10"/>
      <c r="L28" s="10"/>
      <c r="M28" s="10"/>
      <c r="O28" s="13"/>
      <c r="S28" s="10"/>
      <c r="U28" s="15"/>
      <c r="Y28" s="10"/>
      <c r="AA28" s="17"/>
      <c r="AG28" s="19"/>
      <c r="AK28" s="10"/>
      <c r="AM28" s="21"/>
      <c r="AO28" s="29"/>
    </row>
    <row r="29" spans="2:41" x14ac:dyDescent="0.35">
      <c r="B29" s="6" t="str">
        <v>PEKAO</v>
      </c>
      <c r="C29" s="6" t="str">
        <f>VLOOKUP(B29,Tabela1[[Nazwa]:[Ticker]],2,)</f>
        <v>PEO</v>
      </c>
      <c r="D29" s="6" t="str">
        <f t="shared" si="0"/>
        <v>WAR:PEO</v>
      </c>
      <c r="E29" s="4" cm="1">
        <f t="array" ref="E29">_xldudf_GURUF('wig20 obliczenia'!D29,"Altman Z-Score","2024")</f>
        <v>0</v>
      </c>
      <c r="G29" s="32" cm="1">
        <f t="array" ref="G29">IF(_xldudf_GURUF('wig20 obliczenia'!D29,"Altman Z-Score","2024")&lt;&gt;0,_xldudf_GURUF('wig20 obliczenia'!D29,"Altman Z-Score","2024"),AO29)</f>
        <v>1.0136107229718854</v>
      </c>
      <c r="I29" s="10" cm="1">
        <f t="array" ref="I29">_xldudf_GURUF('wig20 obliczenia'!D29,"Net-Net Working Capital","2024")</f>
        <v>-1097.52</v>
      </c>
      <c r="J29" s="10"/>
      <c r="K29" s="10" cm="1">
        <f t="array" ref="K29">_xldudf_GURUF('wig20 obliczenia'!D29,"Short-Term Debt","2024")</f>
        <v>0</v>
      </c>
      <c r="L29" s="10"/>
      <c r="M29" s="10" cm="1">
        <f t="array" ref="M29">_xldudf_GURUF('wig20 obliczenia'!D29,"Total Assets","2024")</f>
        <v>334242</v>
      </c>
      <c r="O29" s="13">
        <f t="shared" si="1"/>
        <v>-3.2836088821871579E-3</v>
      </c>
      <c r="Q29" cm="1">
        <f t="array" ref="Q29">_xldudf_GURUF('wig20 obliczenia'!D29,"Retained Earnings","2024")</f>
        <v>7908</v>
      </c>
      <c r="S29" s="10">
        <f t="shared" si="2"/>
        <v>334242</v>
      </c>
      <c r="U29" s="15">
        <f t="shared" si="3"/>
        <v>2.3659504191573769E-2</v>
      </c>
      <c r="W29" cm="1">
        <f t="array" ref="W29">_xldudf_GURUF('wig20 obliczenia'!D29,"EBIT","2024")</f>
        <v>0</v>
      </c>
      <c r="Y29" s="10">
        <f t="shared" si="4"/>
        <v>334242</v>
      </c>
      <c r="AA29" s="17">
        <f t="shared" si="5"/>
        <v>0</v>
      </c>
      <c r="AC29" cm="1">
        <f t="array" ref="AC29">_xldudf_GURUF('wig20 obliczenia'!D29,"Market Cap","2024")</f>
        <v>36194.612999999998</v>
      </c>
      <c r="AE29" cm="1">
        <f t="array" ref="AE29">_xldudf_GURUF('wig20 obliczenia'!D29,"Total Debt")</f>
        <v>23200</v>
      </c>
      <c r="AG29" s="19">
        <f t="shared" si="6"/>
        <v>1.5601126293103447</v>
      </c>
      <c r="AI29" cm="1">
        <f t="array" ref="AI29">_xldudf_GURUF('wig20 obliczenia'!D29,"Revenue","2024")</f>
        <v>16164</v>
      </c>
      <c r="AK29" s="10">
        <f t="shared" si="7"/>
        <v>334242</v>
      </c>
      <c r="AM29" s="21">
        <f t="shared" si="8"/>
        <v>4.8360170176099955E-2</v>
      </c>
      <c r="AO29" s="29">
        <f t="shared" si="9"/>
        <v>1.0136107229718854</v>
      </c>
    </row>
    <row r="30" spans="2:41" x14ac:dyDescent="0.35">
      <c r="B30" s="6" t="str">
        <v>PZU</v>
      </c>
      <c r="C30" s="6" t="str">
        <f>VLOOKUP(B30,Tabela1[[Nazwa]:[Ticker]],2,)</f>
        <v>PZU</v>
      </c>
      <c r="D30" s="6" t="str">
        <f t="shared" si="0"/>
        <v>WAR:PZU</v>
      </c>
      <c r="E30" s="4" cm="1">
        <f t="array" ref="E30">_xldudf_GURUF('wig20 obliczenia'!D30,"Altman Z-Score","2024")</f>
        <v>0</v>
      </c>
      <c r="G30" s="32" cm="1">
        <f t="array" ref="G30">IF(_xldudf_GURUF('wig20 obliczenia'!D30,"Altman Z-Score","2024")&lt;&gt;0,_xldudf_GURUF('wig20 obliczenia'!D30,"Altman Z-Score","2024"),AO30)</f>
        <v>0.42588758302167573</v>
      </c>
      <c r="I30" s="10">
        <v>465987000</v>
      </c>
      <c r="J30" s="10"/>
      <c r="K30" s="10">
        <v>438626000</v>
      </c>
      <c r="L30" s="10"/>
      <c r="M30" s="10">
        <v>507926000</v>
      </c>
      <c r="O30" s="13">
        <f t="shared" si="1"/>
        <v>5.386808314597008E-2</v>
      </c>
      <c r="Q30" s="9">
        <f>17491000-15804000</f>
        <v>1687000</v>
      </c>
      <c r="S30" s="10">
        <f t="shared" si="2"/>
        <v>507926000</v>
      </c>
      <c r="U30" s="15">
        <f t="shared" si="3"/>
        <v>3.3213499604273062E-3</v>
      </c>
      <c r="W30" s="9">
        <v>24587000</v>
      </c>
      <c r="Y30" s="10">
        <f t="shared" si="4"/>
        <v>507926000</v>
      </c>
      <c r="AA30" s="17">
        <f t="shared" si="5"/>
        <v>4.8406657662730397E-2</v>
      </c>
      <c r="AC30" s="9">
        <v>53797482</v>
      </c>
      <c r="AE30" s="9">
        <v>438626000</v>
      </c>
      <c r="AG30" s="19">
        <f t="shared" si="6"/>
        <v>0.12265000706752449</v>
      </c>
      <c r="AI30" s="9">
        <v>62609000</v>
      </c>
      <c r="AK30" s="10">
        <f t="shared" si="7"/>
        <v>507926000</v>
      </c>
      <c r="AM30" s="21">
        <f t="shared" si="8"/>
        <v>0.12326401877438839</v>
      </c>
      <c r="AO30" s="29">
        <f t="shared" si="9"/>
        <v>0.42588758302167573</v>
      </c>
    </row>
    <row r="31" spans="2:41" x14ac:dyDescent="0.35">
      <c r="B31" s="6" t="str">
        <v>PKNORLEN</v>
      </c>
      <c r="C31" s="6" t="str">
        <f>VLOOKUP(B31,Tabela1[[Nazwa]:[Ticker]],2,)</f>
        <v>PKN</v>
      </c>
      <c r="D31" s="6" t="str">
        <f t="shared" si="0"/>
        <v>WAR:PKN</v>
      </c>
      <c r="E31" s="4" cm="1">
        <f t="array" ref="E31">_xldudf_GURUF('wig20 obliczenia'!D31,"Altman Z-Score","2024")</f>
        <v>2.2200000000000002</v>
      </c>
      <c r="G31" s="32" cm="1">
        <f t="array" ref="G31">IF(_xldudf_GURUF('wig20 obliczenia'!D31,"Altman Z-Score","2024")&lt;&gt;0,_xldudf_GURUF('wig20 obliczenia'!D31,"Altman Z-Score","2024"),AO31)</f>
        <v>2.2200000000000002</v>
      </c>
      <c r="I31" s="10"/>
      <c r="J31" s="10"/>
      <c r="K31" s="10"/>
      <c r="L31" s="10"/>
      <c r="M31" s="10"/>
      <c r="O31" s="13"/>
      <c r="S31" s="10"/>
      <c r="U31" s="15"/>
      <c r="Y31" s="10"/>
      <c r="AA31" s="17"/>
      <c r="AG31" s="19"/>
      <c r="AK31" s="10"/>
      <c r="AM31" s="21"/>
      <c r="AO31" s="29"/>
    </row>
    <row r="32" spans="2:41" x14ac:dyDescent="0.35">
      <c r="B32" s="6" t="str">
        <v>PKOBP</v>
      </c>
      <c r="C32" s="6" t="str">
        <f>VLOOKUP(B32,Tabela1[[Nazwa]:[Ticker]],2,)</f>
        <v>PKO</v>
      </c>
      <c r="D32" s="6" t="str">
        <f t="shared" si="0"/>
        <v>WAR:PKO</v>
      </c>
      <c r="E32" s="4" cm="1">
        <f t="array" ref="E32">_xldudf_GURUF('wig20 obliczenia'!D32,"Altman Z-Score","2024")</f>
        <v>0</v>
      </c>
      <c r="G32" s="33" cm="1">
        <f t="array" ref="G32">IF(_xldudf_GURUF('wig20 obliczenia'!D32,"Altman Z-Score","2024")&lt;&gt;0,_xldudf_GURUF('wig20 obliczenia'!D32,"Altman Z-Score","2024"),AO32)</f>
        <v>1.5904502486522119</v>
      </c>
      <c r="I32" s="10" cm="1">
        <f t="array" ref="I32">_xldudf_GURUF(D32,"Net-Net Working Capital","2024")</f>
        <v>-356.37</v>
      </c>
      <c r="J32" s="10"/>
      <c r="K32" s="10" cm="1">
        <f t="array" ref="K32">_xldudf_GURUF('wig20 obliczenia'!D32,"Short-Term Debt","2024")</f>
        <v>0</v>
      </c>
      <c r="L32" s="10"/>
      <c r="M32" s="10" cm="1">
        <f t="array" ref="M32">_xldudf_GURUF('wig20 obliczenia'!D32,"Total Assets","2024")</f>
        <v>525225</v>
      </c>
      <c r="O32" s="13">
        <f t="shared" si="1"/>
        <v>-6.7850921033842636E-4</v>
      </c>
      <c r="Q32" cm="1">
        <f t="array" ref="Q32">_xldudf_GURUF('wig20 obliczenia'!D32,"Retained Earnings","2024")</f>
        <v>20628</v>
      </c>
      <c r="S32" s="10">
        <f>M32</f>
        <v>525225</v>
      </c>
      <c r="U32" s="15"/>
      <c r="W32" cm="1">
        <f t="array" ref="W32">_xldudf_GURUF('wig20 obliczenia'!D32,"EBIT","2024")</f>
        <v>0</v>
      </c>
      <c r="Y32" s="10">
        <f t="shared" si="4"/>
        <v>525225</v>
      </c>
      <c r="AA32" s="17">
        <f t="shared" si="5"/>
        <v>0</v>
      </c>
      <c r="AC32" cm="1">
        <f t="array" ref="AC32">_xldudf_GURUF('wig20 obliczenia'!D32,"Market Cap","2024")</f>
        <v>74700</v>
      </c>
      <c r="AE32" cm="1">
        <f t="array" ref="AE32">_xldudf_GURUF('wig20 obliczenia'!D32,"Total Debt")</f>
        <v>29174</v>
      </c>
      <c r="AG32" s="19">
        <f t="shared" si="6"/>
        <v>2.5604990745184066</v>
      </c>
      <c r="AI32" cm="1">
        <f t="array" ref="AI32">_xldudf_GURUF('wig20 obliczenia'!D32,"Revenue","2024")</f>
        <v>28869</v>
      </c>
      <c r="AK32" s="10">
        <f t="shared" si="7"/>
        <v>525225</v>
      </c>
      <c r="AM32" s="21">
        <f t="shared" si="8"/>
        <v>5.4965014993574181E-2</v>
      </c>
      <c r="AO32" s="29">
        <f t="shared" si="9"/>
        <v>1.5904502486522119</v>
      </c>
    </row>
    <row r="33" spans="13:39" x14ac:dyDescent="0.35">
      <c r="AK33" s="10"/>
    </row>
    <row r="34" spans="13:39" x14ac:dyDescent="0.35">
      <c r="M34" s="30" t="s">
        <v>67</v>
      </c>
      <c r="N34" s="30" t="s">
        <v>54</v>
      </c>
      <c r="O34" s="30">
        <v>1.2</v>
      </c>
      <c r="P34" s="30"/>
      <c r="Q34" s="30"/>
      <c r="R34" s="30"/>
      <c r="S34" s="30"/>
      <c r="T34" s="30"/>
      <c r="U34" s="30">
        <v>1.4</v>
      </c>
      <c r="V34" s="30"/>
      <c r="W34" s="30"/>
      <c r="X34" s="30"/>
      <c r="Y34" s="30"/>
      <c r="Z34" s="30"/>
      <c r="AA34" s="30">
        <v>3.3</v>
      </c>
      <c r="AB34" s="30"/>
      <c r="AC34" s="30"/>
      <c r="AD34" s="30"/>
      <c r="AE34" s="30"/>
      <c r="AF34" s="30"/>
      <c r="AG34" s="30">
        <v>0.6</v>
      </c>
      <c r="AH34" s="30"/>
      <c r="AI34" s="30"/>
      <c r="AJ34" s="30"/>
      <c r="AK34" s="30"/>
      <c r="AL34" s="30"/>
      <c r="AM34" s="30">
        <v>1</v>
      </c>
    </row>
  </sheetData>
  <mergeCells count="6">
    <mergeCell ref="I11:O11"/>
    <mergeCell ref="Q11:U11"/>
    <mergeCell ref="W11:AA11"/>
    <mergeCell ref="AC11:AG11"/>
    <mergeCell ref="AP12:AQ12"/>
    <mergeCell ref="AI11:AM11"/>
  </mergeCells>
  <conditionalFormatting sqref="E13:E32">
    <cfRule type="cellIs" dxfId="5" priority="6" operator="greaterThan">
      <formula>0</formula>
    </cfRule>
  </conditionalFormatting>
  <conditionalFormatting sqref="I13:N32">
    <cfRule type="notContainsBlanks" dxfId="4" priority="5">
      <formula>LEN(TRIM(I13))&gt;0</formula>
    </cfRule>
  </conditionalFormatting>
  <conditionalFormatting sqref="Q13:T32">
    <cfRule type="notContainsBlanks" dxfId="3" priority="4">
      <formula>LEN(TRIM(Q13))&gt;0</formula>
    </cfRule>
  </conditionalFormatting>
  <conditionalFormatting sqref="W13:Z32">
    <cfRule type="notContainsBlanks" dxfId="2" priority="3">
      <formula>LEN(TRIM(W13))&gt;0</formula>
    </cfRule>
  </conditionalFormatting>
  <conditionalFormatting sqref="AC13:AF32">
    <cfRule type="notContainsBlanks" dxfId="1" priority="2">
      <formula>LEN(TRIM(AC13))&gt;0</formula>
    </cfRule>
  </conditionalFormatting>
  <conditionalFormatting sqref="AI13:AL32">
    <cfRule type="notContainsBlanks" dxfId="0" priority="1">
      <formula>LEN(TRIM(AI13))&gt;0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B20ED6384A86458CD802F2889145C9" ma:contentTypeVersion="10" ma:contentTypeDescription="Utwórz nowy dokument." ma:contentTypeScope="" ma:versionID="fbac4aeb16218430ed2c590f8aa0b9b1">
  <xsd:schema xmlns:xsd="http://www.w3.org/2001/XMLSchema" xmlns:xs="http://www.w3.org/2001/XMLSchema" xmlns:p="http://schemas.microsoft.com/office/2006/metadata/properties" xmlns:ns3="85336662-6f79-4f82-b366-8c3018892162" targetNamespace="http://schemas.microsoft.com/office/2006/metadata/properties" ma:root="true" ma:fieldsID="de2d1e6a5b96e7990b5bd9481c009375" ns3:_="">
    <xsd:import namespace="85336662-6f79-4f82-b366-8c30188921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36662-6f79-4f82-b366-8c3018892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336662-6f79-4f82-b366-8c3018892162" xsi:nil="true"/>
  </documentManagement>
</p:properties>
</file>

<file path=customXml/itemProps1.xml><?xml version="1.0" encoding="utf-8"?>
<ds:datastoreItem xmlns:ds="http://schemas.openxmlformats.org/officeDocument/2006/customXml" ds:itemID="{FB0A2137-D1FC-4056-8BEA-959B476E0C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7C101-C149-4322-93F5-7A833EDB9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36662-6f79-4f82-b366-8c3018892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0F628C-1604-4FB1-92F2-B326BCAA3F51}">
  <ds:schemaRefs>
    <ds:schemaRef ds:uri="http://schemas.microsoft.com/office/2006/metadata/properties"/>
    <ds:schemaRef ds:uri="85336662-6f79-4f82-b366-8c301889216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Altman Z Score for WIG20</vt:lpstr>
      <vt:lpstr>wig20 obliczenia</vt:lpstr>
      <vt:lpstr>wig20wszystkietickery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Nowak 9</dc:creator>
  <cp:lastModifiedBy>Siatkowski, T. (Tomasz)</cp:lastModifiedBy>
  <dcterms:created xsi:type="dcterms:W3CDTF">2025-05-19T16:50:55Z</dcterms:created>
  <dcterms:modified xsi:type="dcterms:W3CDTF">2025-05-21T11:45:06Z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0x01010077B20ED6384A86458CD802F2889145C9</vt:lpwstr>
  </property>
</Properties>
</file>