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0ffffe48e33b94/Ambiente de Trabalho/Labs de física II/Logbooks 0.16/T3 - luz e filtros - bobinas e solenoide/"/>
    </mc:Choice>
  </mc:AlternateContent>
  <xr:revisionPtr revIDLastSave="0" documentId="14_{26E47BEC-DF50-4FA2-AE46-E055830A67F9}" xr6:coauthVersionLast="47" xr6:coauthVersionMax="47" xr10:uidLastSave="{00000000-0000-0000-0000-000000000000}"/>
  <bookViews>
    <workbookView xWindow="-110" yWindow="-110" windowWidth="19420" windowHeight="11500" activeTab="2" xr2:uid="{10C5EF99-E9BE-4326-A736-4B1DAD1E8759}"/>
  </bookViews>
  <sheets>
    <sheet name="Bobinas" sheetId="1" r:id="rId1"/>
    <sheet name="ω" sheetId="2" r:id="rId2"/>
    <sheet name="i0" sheetId="3" r:id="rId3"/>
    <sheet name="n espiras" sheetId="4" r:id="rId4"/>
    <sheet name="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2" l="1"/>
  <c r="G29" i="2"/>
  <c r="B31" i="2"/>
  <c r="I44" i="5"/>
  <c r="H44" i="5"/>
  <c r="O12" i="4"/>
  <c r="F9" i="3"/>
  <c r="E9" i="3"/>
  <c r="B60" i="3"/>
  <c r="H21" i="5"/>
  <c r="C21" i="5"/>
  <c r="N12" i="4"/>
  <c r="G49" i="4"/>
  <c r="B49" i="4"/>
  <c r="G60" i="3"/>
  <c r="I14" i="5"/>
  <c r="S11" i="4"/>
  <c r="J44" i="5"/>
  <c r="P12" i="4"/>
  <c r="G9" i="3"/>
  <c r="D31" i="2"/>
  <c r="O7" i="4"/>
  <c r="F5" i="3"/>
  <c r="K7" i="3" s="1"/>
  <c r="G56" i="3"/>
  <c r="E56" i="3"/>
  <c r="G55" i="3"/>
  <c r="E55" i="3"/>
  <c r="G54" i="3"/>
  <c r="E54" i="3"/>
  <c r="G53" i="3"/>
  <c r="E53" i="3"/>
  <c r="G52" i="3"/>
  <c r="E52" i="3"/>
  <c r="G51" i="3"/>
  <c r="E51" i="3"/>
  <c r="G50" i="3"/>
  <c r="E50" i="3"/>
  <c r="G49" i="3"/>
  <c r="E49" i="3"/>
  <c r="G48" i="3"/>
  <c r="E48" i="3"/>
  <c r="G47" i="3"/>
  <c r="E47" i="3"/>
  <c r="G46" i="3"/>
  <c r="E46" i="3"/>
  <c r="G45" i="3"/>
  <c r="E45" i="3"/>
  <c r="G44" i="3"/>
  <c r="E44" i="3"/>
  <c r="G43" i="3"/>
  <c r="E43" i="3"/>
  <c r="G42" i="3"/>
  <c r="E42" i="3"/>
  <c r="G41" i="3"/>
  <c r="E41" i="3"/>
  <c r="N47" i="3" l="1" a="1"/>
  <c r="N48" i="3" s="1"/>
  <c r="E13" i="2"/>
  <c r="E14" i="2"/>
  <c r="E15" i="2"/>
  <c r="E16" i="2"/>
  <c r="E17" i="2"/>
  <c r="E18" i="2"/>
  <c r="E19" i="2"/>
  <c r="E20" i="2"/>
  <c r="E21" i="2"/>
  <c r="E22" i="2"/>
  <c r="E23" i="2"/>
  <c r="G14" i="2"/>
  <c r="G15" i="2"/>
  <c r="G16" i="2"/>
  <c r="G17" i="2"/>
  <c r="G18" i="2"/>
  <c r="G19" i="2"/>
  <c r="G20" i="2"/>
  <c r="G21" i="2"/>
  <c r="G22" i="2"/>
  <c r="G23" i="2"/>
  <c r="G13" i="2"/>
  <c r="I13" i="2" s="1"/>
  <c r="D4" i="2"/>
  <c r="D9" i="5"/>
  <c r="D8" i="5"/>
  <c r="D7" i="5"/>
  <c r="H9" i="5"/>
  <c r="F9" i="5"/>
  <c r="H8" i="5"/>
  <c r="F8" i="5"/>
  <c r="H7" i="5"/>
  <c r="F7" i="5"/>
  <c r="K44" i="5"/>
  <c r="H10" i="4"/>
  <c r="F10" i="4"/>
  <c r="H9" i="4"/>
  <c r="F9" i="4"/>
  <c r="H8" i="4"/>
  <c r="F8" i="4"/>
  <c r="H7" i="4"/>
  <c r="F7" i="4"/>
  <c r="H6" i="4"/>
  <c r="F6" i="4"/>
  <c r="Q12" i="4"/>
  <c r="F31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13" i="3"/>
  <c r="C14" i="2"/>
  <c r="H14" i="2" s="1"/>
  <c r="C15" i="2"/>
  <c r="H15" i="2" s="1"/>
  <c r="C16" i="2"/>
  <c r="H16" i="2" s="1"/>
  <c r="C17" i="2"/>
  <c r="H17" i="2" s="1"/>
  <c r="C18" i="2"/>
  <c r="H18" i="2" s="1"/>
  <c r="C19" i="2"/>
  <c r="H19" i="2" s="1"/>
  <c r="C20" i="2"/>
  <c r="C21" i="2"/>
  <c r="C22" i="2"/>
  <c r="C23" i="2"/>
  <c r="H20" i="2" s="1"/>
  <c r="C13" i="2"/>
  <c r="H13" i="2" s="1"/>
  <c r="O48" i="3" l="1"/>
  <c r="O49" i="3"/>
  <c r="N47" i="3"/>
  <c r="O47" i="3"/>
  <c r="N49" i="3"/>
  <c r="E13" i="5" a="1"/>
  <c r="E35" i="3" a="1"/>
  <c r="K8" i="4"/>
  <c r="F16" i="4"/>
  <c r="K10" i="4"/>
  <c r="F19" i="4"/>
  <c r="K6" i="4"/>
  <c r="K9" i="4"/>
  <c r="F18" i="4"/>
  <c r="K7" i="4"/>
  <c r="F17" i="4"/>
  <c r="I6" i="2" a="1"/>
  <c r="J6" i="2" s="1"/>
  <c r="I19" i="2"/>
  <c r="I16" i="2"/>
  <c r="I15" i="2"/>
  <c r="I20" i="2"/>
  <c r="I18" i="2"/>
  <c r="I17" i="2"/>
  <c r="I14" i="2"/>
  <c r="J3" i="2"/>
  <c r="H41" i="3" l="1"/>
  <c r="H9" i="3"/>
  <c r="H54" i="3"/>
  <c r="J54" i="3" s="1"/>
  <c r="H43" i="3"/>
  <c r="J43" i="3" s="1"/>
  <c r="H56" i="3"/>
  <c r="J56" i="3" s="1"/>
  <c r="H53" i="3"/>
  <c r="J53" i="3" s="1"/>
  <c r="H42" i="3"/>
  <c r="J42" i="3" s="1"/>
  <c r="H51" i="3"/>
  <c r="J51" i="3" s="1"/>
  <c r="H47" i="3"/>
  <c r="J47" i="3" s="1"/>
  <c r="H55" i="3"/>
  <c r="J55" i="3" s="1"/>
  <c r="H44" i="3"/>
  <c r="J44" i="3" s="1"/>
  <c r="H48" i="3"/>
  <c r="J48" i="3" s="1"/>
  <c r="H50" i="3"/>
  <c r="J50" i="3" s="1"/>
  <c r="H49" i="3"/>
  <c r="J49" i="3" s="1"/>
  <c r="H46" i="3"/>
  <c r="J46" i="3" s="1"/>
  <c r="J41" i="3"/>
  <c r="H52" i="3"/>
  <c r="J52" i="3" s="1"/>
  <c r="H45" i="3"/>
  <c r="J45" i="3" s="1"/>
  <c r="S48" i="3"/>
  <c r="T48" i="3" s="1"/>
  <c r="S47" i="3"/>
  <c r="T47" i="3" s="1"/>
  <c r="E13" i="5"/>
  <c r="F14" i="5"/>
  <c r="F13" i="5"/>
  <c r="E14" i="5"/>
  <c r="F15" i="5"/>
  <c r="E15" i="5"/>
  <c r="E35" i="3"/>
  <c r="F37" i="3"/>
  <c r="F35" i="3"/>
  <c r="E37" i="3"/>
  <c r="F36" i="3"/>
  <c r="E36" i="3"/>
  <c r="G24" i="4" a="1"/>
  <c r="I7" i="2"/>
  <c r="J7" i="2"/>
  <c r="I8" i="2"/>
  <c r="J8" i="2"/>
  <c r="I6" i="2"/>
  <c r="J14" i="2"/>
  <c r="K14" i="2" s="1"/>
  <c r="J15" i="2"/>
  <c r="K15" i="2" s="1"/>
  <c r="J17" i="2"/>
  <c r="K17" i="2" s="1"/>
  <c r="J18" i="2"/>
  <c r="K18" i="2" s="1"/>
  <c r="J19" i="2"/>
  <c r="K19" i="2" s="1"/>
  <c r="J20" i="2"/>
  <c r="K20" i="2" s="1"/>
  <c r="J13" i="2"/>
  <c r="K13" i="2" s="1"/>
  <c r="J16" i="2"/>
  <c r="K16" i="2" s="1"/>
  <c r="K25" i="2" l="1"/>
  <c r="L25" i="2" s="1"/>
  <c r="K24" i="2"/>
  <c r="L24" i="2" s="1"/>
  <c r="E17" i="5"/>
  <c r="F17" i="5" s="1"/>
  <c r="E18" i="5"/>
  <c r="F18" i="5" s="1"/>
  <c r="I8" i="5"/>
  <c r="J8" i="5" s="1"/>
  <c r="I7" i="5"/>
  <c r="J7" i="5" s="1"/>
  <c r="I9" i="5"/>
  <c r="J9" i="5" s="1"/>
  <c r="J36" i="3"/>
  <c r="K36" i="3" s="1"/>
  <c r="J35" i="3"/>
  <c r="K35" i="3" s="1"/>
  <c r="G18" i="3"/>
  <c r="I18" i="3" s="1"/>
  <c r="G22" i="3"/>
  <c r="I22" i="3" s="1"/>
  <c r="G24" i="3"/>
  <c r="I24" i="3" s="1"/>
  <c r="G29" i="3"/>
  <c r="I29" i="3" s="1"/>
  <c r="G15" i="3"/>
  <c r="I15" i="3" s="1"/>
  <c r="G13" i="3"/>
  <c r="I13" i="3" s="1"/>
  <c r="G23" i="3"/>
  <c r="I23" i="3" s="1"/>
  <c r="G25" i="3"/>
  <c r="I25" i="3" s="1"/>
  <c r="G26" i="3"/>
  <c r="I26" i="3" s="1"/>
  <c r="G27" i="3"/>
  <c r="I27" i="3" s="1"/>
  <c r="G30" i="3"/>
  <c r="I30" i="3" s="1"/>
  <c r="G31" i="3"/>
  <c r="I31" i="3" s="1"/>
  <c r="G17" i="3"/>
  <c r="I17" i="3" s="1"/>
  <c r="G20" i="3"/>
  <c r="I20" i="3" s="1"/>
  <c r="G28" i="3"/>
  <c r="I28" i="3" s="1"/>
  <c r="G14" i="3"/>
  <c r="I14" i="3" s="1"/>
  <c r="G16" i="3"/>
  <c r="I16" i="3" s="1"/>
  <c r="G21" i="3"/>
  <c r="I21" i="3" s="1"/>
  <c r="G19" i="3"/>
  <c r="I19" i="3" s="1"/>
  <c r="H24" i="4"/>
  <c r="H25" i="4"/>
  <c r="G24" i="4"/>
  <c r="G25" i="4"/>
  <c r="H26" i="4"/>
  <c r="K16" i="4" s="1"/>
  <c r="G26" i="4"/>
  <c r="K17" i="4" l="1"/>
  <c r="L17" i="4" s="1"/>
  <c r="L16" i="4"/>
  <c r="G17" i="4"/>
  <c r="H17" i="4" s="1"/>
  <c r="G18" i="4"/>
  <c r="H18" i="4" s="1"/>
  <c r="G19" i="4"/>
  <c r="H19" i="4" s="1"/>
  <c r="G16" i="4"/>
  <c r="H16" i="4" s="1"/>
  <c r="E31" i="2" l="1"/>
</calcChain>
</file>

<file path=xl/sharedStrings.xml><?xml version="1.0" encoding="utf-8"?>
<sst xmlns="http://schemas.openxmlformats.org/spreadsheetml/2006/main" count="174" uniqueCount="55">
  <si>
    <t xml:space="preserve"> </t>
  </si>
  <si>
    <t>Bobina</t>
  </si>
  <si>
    <t>Sinusoide</t>
  </si>
  <si>
    <t>u(L)</t>
  </si>
  <si>
    <t>f (Hz)</t>
  </si>
  <si>
    <t xml:space="preserve">ω (Hz) </t>
  </si>
  <si>
    <r>
      <t xml:space="preserve">u(i </t>
    </r>
    <r>
      <rPr>
        <b/>
        <sz val="8"/>
        <color theme="0"/>
        <rFont val="Aptos Narrow"/>
        <family val="2"/>
        <scheme val="minor"/>
      </rPr>
      <t>rms</t>
    </r>
    <r>
      <rPr>
        <b/>
        <sz val="12"/>
        <color theme="0"/>
        <rFont val="Aptos Narrow"/>
        <family val="2"/>
        <scheme val="minor"/>
      </rPr>
      <t>)</t>
    </r>
  </si>
  <si>
    <r>
      <t xml:space="preserve">u(i </t>
    </r>
    <r>
      <rPr>
        <b/>
        <sz val="8"/>
        <color theme="0"/>
        <rFont val="Aptos Narrow"/>
        <family val="2"/>
        <scheme val="minor"/>
      </rPr>
      <t>0</t>
    </r>
    <r>
      <rPr>
        <b/>
        <sz val="12"/>
        <color theme="0"/>
        <rFont val="Aptos Narrow"/>
        <family val="2"/>
        <scheme val="minor"/>
      </rPr>
      <t>)</t>
    </r>
  </si>
  <si>
    <r>
      <t xml:space="preserve">i </t>
    </r>
    <r>
      <rPr>
        <b/>
        <sz val="8"/>
        <color theme="0"/>
        <rFont val="Aptos Narrow"/>
        <family val="2"/>
        <scheme val="minor"/>
      </rPr>
      <t>rms</t>
    </r>
  </si>
  <si>
    <r>
      <t xml:space="preserve">u(V </t>
    </r>
    <r>
      <rPr>
        <b/>
        <sz val="8"/>
        <color theme="0"/>
        <rFont val="Aptos Narrow"/>
        <family val="2"/>
        <scheme val="minor"/>
      </rPr>
      <t>E0</t>
    </r>
    <r>
      <rPr>
        <b/>
        <sz val="12"/>
        <color theme="0"/>
        <rFont val="Aptos Narrow"/>
        <family val="2"/>
        <scheme val="minor"/>
      </rPr>
      <t>)</t>
    </r>
  </si>
  <si>
    <r>
      <t xml:space="preserve">i </t>
    </r>
    <r>
      <rPr>
        <b/>
        <sz val="8"/>
        <color theme="0"/>
        <rFont val="Aptos Narrow"/>
        <family val="2"/>
        <scheme val="minor"/>
      </rPr>
      <t>0</t>
    </r>
  </si>
  <si>
    <r>
      <t xml:space="preserve">V </t>
    </r>
    <r>
      <rPr>
        <b/>
        <sz val="8"/>
        <color theme="0"/>
        <rFont val="Aptos Narrow"/>
        <family val="2"/>
        <scheme val="minor"/>
      </rPr>
      <t>rms</t>
    </r>
  </si>
  <si>
    <r>
      <t xml:space="preserve">V </t>
    </r>
    <r>
      <rPr>
        <b/>
        <sz val="8"/>
        <color theme="0"/>
        <rFont val="Aptos Narrow"/>
        <family val="2"/>
        <scheme val="minor"/>
      </rPr>
      <t>E0</t>
    </r>
  </si>
  <si>
    <t>D (m)</t>
  </si>
  <si>
    <t>n espiras</t>
  </si>
  <si>
    <r>
      <t xml:space="preserve">V </t>
    </r>
    <r>
      <rPr>
        <b/>
        <sz val="8"/>
        <color theme="0"/>
        <rFont val="Aptos Narrow"/>
        <family val="2"/>
        <scheme val="minor"/>
      </rPr>
      <t>E0 ajs.linear</t>
    </r>
  </si>
  <si>
    <t>Resíduos</t>
  </si>
  <si>
    <t>sm</t>
  </si>
  <si>
    <t>r^2</t>
  </si>
  <si>
    <t>Matriz de ajuste (voltímetro)</t>
  </si>
  <si>
    <t>b (ordenada na origem)</t>
  </si>
  <si>
    <t>m (declive)</t>
  </si>
  <si>
    <t>sb</t>
  </si>
  <si>
    <t>sy</t>
  </si>
  <si>
    <t>L (m)</t>
  </si>
  <si>
    <r>
      <t xml:space="preserve">N </t>
    </r>
    <r>
      <rPr>
        <b/>
        <sz val="8"/>
        <color theme="0"/>
        <rFont val="Aptos Narrow"/>
        <family val="2"/>
        <scheme val="minor"/>
      </rPr>
      <t>espiras</t>
    </r>
  </si>
  <si>
    <r>
      <t xml:space="preserve">n </t>
    </r>
    <r>
      <rPr>
        <b/>
        <sz val="8"/>
        <color theme="0"/>
        <rFont val="Aptos Narrow"/>
        <family val="2"/>
        <scheme val="minor"/>
      </rPr>
      <t>espiras</t>
    </r>
  </si>
  <si>
    <t>S (m^2)</t>
  </si>
  <si>
    <t>NOTA: VER AMPERIMETRO - NÃO PODE ESTAR EM MICRO</t>
  </si>
  <si>
    <t>S</t>
  </si>
  <si>
    <t>Bobina 1</t>
  </si>
  <si>
    <t>u(f) Hz</t>
  </si>
  <si>
    <t>u(ω) s^-1</t>
  </si>
  <si>
    <r>
      <t xml:space="preserve">u(V </t>
    </r>
    <r>
      <rPr>
        <b/>
        <sz val="9"/>
        <color theme="0"/>
        <rFont val="Aptos Narrow"/>
        <family val="2"/>
        <scheme val="minor"/>
      </rPr>
      <t>rms</t>
    </r>
    <r>
      <rPr>
        <b/>
        <sz val="12"/>
        <color theme="0"/>
        <rFont val="Aptos Narrow"/>
        <family val="2"/>
        <scheme val="minor"/>
      </rPr>
      <t>) mV</t>
    </r>
  </si>
  <si>
    <r>
      <t xml:space="preserve">u(V </t>
    </r>
    <r>
      <rPr>
        <b/>
        <sz val="8"/>
        <color theme="0"/>
        <rFont val="Aptos Narrow"/>
        <family val="2"/>
        <scheme val="minor"/>
      </rPr>
      <t>E0</t>
    </r>
    <r>
      <rPr>
        <b/>
        <sz val="12"/>
        <color theme="0"/>
        <rFont val="Aptos Narrow"/>
        <family val="2"/>
        <scheme val="minor"/>
      </rPr>
      <t>) V</t>
    </r>
  </si>
  <si>
    <r>
      <t xml:space="preserve">i </t>
    </r>
    <r>
      <rPr>
        <b/>
        <sz val="8"/>
        <color theme="0"/>
        <rFont val="Aptos Narrow"/>
        <family val="2"/>
        <scheme val="minor"/>
      </rPr>
      <t>0</t>
    </r>
    <r>
      <rPr>
        <b/>
        <sz val="12"/>
        <color theme="0"/>
        <rFont val="Aptos Narrow"/>
        <family val="2"/>
        <scheme val="minor"/>
      </rPr>
      <t xml:space="preserve"> médio mA</t>
    </r>
  </si>
  <si>
    <r>
      <t xml:space="preserve">i </t>
    </r>
    <r>
      <rPr>
        <b/>
        <sz val="8"/>
        <color theme="0"/>
        <rFont val="Aptos Narrow"/>
        <family val="2"/>
        <scheme val="minor"/>
      </rPr>
      <t>rms</t>
    </r>
    <r>
      <rPr>
        <b/>
        <sz val="11"/>
        <color theme="0"/>
        <rFont val="Aptos Narrow"/>
        <family val="2"/>
        <scheme val="minor"/>
      </rPr>
      <t xml:space="preserve"> (mA)</t>
    </r>
  </si>
  <si>
    <r>
      <t xml:space="preserve">i </t>
    </r>
    <r>
      <rPr>
        <b/>
        <sz val="8"/>
        <color theme="0"/>
        <rFont val="Aptos Narrow"/>
        <family val="2"/>
        <scheme val="minor"/>
      </rPr>
      <t>0</t>
    </r>
    <r>
      <rPr>
        <b/>
        <sz val="11"/>
        <color theme="0"/>
        <rFont val="Aptos Narrow"/>
        <family val="2"/>
        <scheme val="minor"/>
      </rPr>
      <t xml:space="preserve"> (A)</t>
    </r>
  </si>
  <si>
    <r>
      <t xml:space="preserve">V </t>
    </r>
    <r>
      <rPr>
        <b/>
        <sz val="8"/>
        <color theme="0"/>
        <rFont val="Aptos Narrow"/>
        <family val="2"/>
        <scheme val="minor"/>
      </rPr>
      <t xml:space="preserve">rms  </t>
    </r>
    <r>
      <rPr>
        <b/>
        <sz val="11"/>
        <color theme="0"/>
        <rFont val="Aptos Narrow"/>
        <family val="2"/>
        <scheme val="minor"/>
      </rPr>
      <t xml:space="preserve"> (V)</t>
    </r>
  </si>
  <si>
    <r>
      <t xml:space="preserve">V </t>
    </r>
    <r>
      <rPr>
        <b/>
        <sz val="8"/>
        <color theme="0"/>
        <rFont val="Aptos Narrow"/>
        <family val="2"/>
        <scheme val="minor"/>
      </rPr>
      <t xml:space="preserve">E0 </t>
    </r>
    <r>
      <rPr>
        <b/>
        <sz val="11"/>
        <color theme="0"/>
        <rFont val="Aptos Narrow"/>
        <family val="2"/>
        <scheme val="minor"/>
      </rPr>
      <t xml:space="preserve"> (V)</t>
    </r>
  </si>
  <si>
    <r>
      <t xml:space="preserve">V </t>
    </r>
    <r>
      <rPr>
        <b/>
        <sz val="8"/>
        <color theme="0"/>
        <rFont val="Aptos Narrow"/>
        <family val="2"/>
        <scheme val="minor"/>
      </rPr>
      <t>E0 ajs.linear</t>
    </r>
    <r>
      <rPr>
        <b/>
        <sz val="11"/>
        <color theme="0"/>
        <rFont val="Aptos Narrow"/>
        <family val="2"/>
        <scheme val="minor"/>
      </rPr>
      <t xml:space="preserve">   (V)</t>
    </r>
  </si>
  <si>
    <t>Gama original</t>
  </si>
  <si>
    <t>Gama 1</t>
  </si>
  <si>
    <t>bobina</t>
  </si>
  <si>
    <t>Voltímetro (gama original)</t>
  </si>
  <si>
    <t xml:space="preserve">Matriz de ajuste (gama 1) </t>
  </si>
  <si>
    <t>Voltímetro (gama 1)</t>
  </si>
  <si>
    <t>Matriz de ajuste (gama original)</t>
  </si>
  <si>
    <t>Matriz de ajuste  (gama 1)</t>
  </si>
  <si>
    <t>Bobinas</t>
  </si>
  <si>
    <t>Permissividade no vácuo</t>
  </si>
  <si>
    <t>miu obtido</t>
  </si>
  <si>
    <t>u(miu)</t>
  </si>
  <si>
    <t>miu ref</t>
  </si>
  <si>
    <t>erro de miu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</si>
</sst>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0E+00"/>
    <numFmt numFmtId="166" formatCode="0.0"/>
    <numFmt numFmtId="167" formatCode="0.00000"/>
    <numFmt numFmtId="168" formatCode="0.000000"/>
    <numFmt numFmtId="169" formatCode="0.0000000"/>
    <numFmt numFmtId="170" formatCode="0.000"/>
    <numFmt numFmtId="171" formatCode="0.0000000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3"/>
      <name val="Aptos Narrow"/>
      <family val="2"/>
      <scheme val="minor"/>
    </font>
    <font>
      <b/>
      <sz val="16"/>
      <color theme="3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0" borderId="6" applyNumberFormat="0" applyFill="0" applyAlignment="0" applyProtection="0"/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0" fillId="4" borderId="1" xfId="3" applyBorder="1" applyAlignment="1">
      <alignment horizontal="center" vertical="center"/>
    </xf>
    <xf numFmtId="164" fontId="10" fillId="4" borderId="1" xfId="3" applyNumberForma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0" fillId="4" borderId="1" xfId="3" applyNumberFormat="1" applyBorder="1" applyAlignment="1">
      <alignment horizontal="center" vertical="center"/>
    </xf>
    <xf numFmtId="165" fontId="0" fillId="0" borderId="1" xfId="0" applyNumberFormat="1" applyBorder="1"/>
    <xf numFmtId="164" fontId="0" fillId="0" borderId="1" xfId="0" applyNumberFormat="1" applyBorder="1"/>
    <xf numFmtId="11" fontId="0" fillId="0" borderId="1" xfId="0" applyNumberFormat="1" applyBorder="1"/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4" borderId="1" xfId="3" applyBorder="1"/>
    <xf numFmtId="2" fontId="10" fillId="4" borderId="1" xfId="3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71" fontId="0" fillId="0" borderId="0" xfId="0" applyNumberFormat="1" applyAlignment="1">
      <alignment horizontal="center" vertical="center"/>
    </xf>
    <xf numFmtId="0" fontId="16" fillId="2" borderId="1" xfId="1" applyFont="1" applyBorder="1"/>
    <xf numFmtId="0" fontId="16" fillId="2" borderId="1" xfId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5" xfId="0" applyBorder="1"/>
    <xf numFmtId="170" fontId="0" fillId="0" borderId="1" xfId="0" applyNumberFormat="1" applyBorder="1"/>
    <xf numFmtId="0" fontId="9" fillId="3" borderId="1" xfId="2" applyFont="1" applyBorder="1" applyAlignment="1">
      <alignment horizontal="center" vertical="center"/>
    </xf>
    <xf numFmtId="0" fontId="11" fillId="3" borderId="2" xfId="2" applyFont="1" applyBorder="1" applyAlignment="1">
      <alignment horizontal="center" vertical="center"/>
    </xf>
    <xf numFmtId="0" fontId="11" fillId="3" borderId="3" xfId="2" applyFont="1" applyBorder="1" applyAlignment="1">
      <alignment horizontal="center" vertical="center"/>
    </xf>
    <xf numFmtId="0" fontId="11" fillId="3" borderId="4" xfId="2" applyFont="1" applyBorder="1" applyAlignment="1">
      <alignment horizontal="center" vertical="center"/>
    </xf>
    <xf numFmtId="0" fontId="9" fillId="3" borderId="1" xfId="2" applyFont="1" applyBorder="1" applyAlignment="1">
      <alignment horizontal="center"/>
    </xf>
    <xf numFmtId="0" fontId="11" fillId="3" borderId="1" xfId="2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8" fillId="3" borderId="1" xfId="2" applyFont="1" applyBorder="1" applyAlignment="1">
      <alignment horizontal="center"/>
    </xf>
    <xf numFmtId="0" fontId="9" fillId="3" borderId="2" xfId="2" applyFont="1" applyBorder="1" applyAlignment="1">
      <alignment horizontal="center" vertical="center"/>
    </xf>
    <xf numFmtId="0" fontId="9" fillId="3" borderId="3" xfId="2" applyFont="1" applyBorder="1" applyAlignment="1">
      <alignment horizontal="center" vertical="center"/>
    </xf>
    <xf numFmtId="0" fontId="9" fillId="3" borderId="4" xfId="2" applyFont="1" applyBorder="1" applyAlignment="1">
      <alignment horizontal="center" vertical="center"/>
    </xf>
    <xf numFmtId="0" fontId="9" fillId="3" borderId="0" xfId="2" applyFont="1" applyAlignment="1">
      <alignment horizontal="center"/>
    </xf>
    <xf numFmtId="0" fontId="15" fillId="0" borderId="7" xfId="4" applyFont="1" applyBorder="1" applyAlignment="1">
      <alignment horizontal="center"/>
    </xf>
    <xf numFmtId="0" fontId="15" fillId="0" borderId="6" xfId="4" applyFont="1" applyAlignment="1">
      <alignment horizontal="center"/>
    </xf>
    <xf numFmtId="0" fontId="13" fillId="3" borderId="2" xfId="2" applyFont="1" applyBorder="1" applyAlignment="1">
      <alignment horizontal="center" vertical="center"/>
    </xf>
    <xf numFmtId="0" fontId="13" fillId="3" borderId="3" xfId="2" applyFont="1" applyBorder="1" applyAlignment="1">
      <alignment horizontal="center" vertical="center"/>
    </xf>
    <xf numFmtId="0" fontId="13" fillId="3" borderId="4" xfId="2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14" fillId="0" borderId="6" xfId="4" applyNumberFormat="1" applyFont="1" applyAlignment="1">
      <alignment horizontal="center" vertical="center"/>
    </xf>
    <xf numFmtId="0" fontId="13" fillId="3" borderId="2" xfId="2" applyFont="1" applyBorder="1" applyAlignment="1">
      <alignment horizontal="center"/>
    </xf>
    <xf numFmtId="0" fontId="13" fillId="3" borderId="3" xfId="2" applyFont="1" applyBorder="1" applyAlignment="1">
      <alignment horizontal="center"/>
    </xf>
    <xf numFmtId="0" fontId="13" fillId="3" borderId="4" xfId="2" applyFont="1" applyBorder="1" applyAlignment="1">
      <alignment horizontal="center"/>
    </xf>
    <xf numFmtId="0" fontId="12" fillId="0" borderId="6" xfId="4" applyAlignment="1">
      <alignment horizontal="center" vertical="center"/>
    </xf>
  </cellXfs>
  <cellStyles count="5">
    <cellStyle name="20% - Cor1" xfId="2" builtinId="30"/>
    <cellStyle name="Cabeçalho 2" xfId="4" builtinId="17"/>
    <cellStyle name="Cor1" xfId="1" builtinId="29"/>
    <cellStyle name="Incorreto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/>
              <a:t>Gráfico de</a:t>
            </a:r>
            <a:r>
              <a:rPr lang="pt-PT" sz="1800" baseline="0"/>
              <a:t> V </a:t>
            </a:r>
            <a:r>
              <a:rPr lang="pt-PT" sz="1200" baseline="0"/>
              <a:t>E0</a:t>
            </a:r>
            <a:r>
              <a:rPr lang="pt-PT" sz="1800" baseline="0"/>
              <a:t> em função de </a:t>
            </a:r>
            <a:r>
              <a:rPr lang="el-GR" sz="1800" baseline="0"/>
              <a:t>ω</a:t>
            </a:r>
            <a:r>
              <a:rPr lang="pt-PT" sz="1800" baseline="0"/>
              <a:t> </a:t>
            </a:r>
            <a:r>
              <a:rPr lang="pt-PT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(gama original)</a:t>
            </a:r>
            <a:endParaRPr lang="pt-PT" sz="1800"/>
          </a:p>
        </c:rich>
      </c:tx>
      <c:layout>
        <c:manualLayout>
          <c:xMode val="edge"/>
          <c:yMode val="edge"/>
          <c:x val="0.14612361847779951"/>
          <c:y val="3.71211237030380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879187858182371"/>
          <c:y val="0.14200313340498455"/>
          <c:w val="0.85784425469572501"/>
          <c:h val="0.72204548344619646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ω!$C$13:$C$23</c:f>
              <c:numCache>
                <c:formatCode>0</c:formatCode>
                <c:ptCount val="11"/>
                <c:pt idx="0">
                  <c:v>703.71675440411366</c:v>
                </c:pt>
                <c:pt idx="1">
                  <c:v>1256.6370614359173</c:v>
                </c:pt>
                <c:pt idx="2">
                  <c:v>1815.8405537749004</c:v>
                </c:pt>
                <c:pt idx="3">
                  <c:v>2249.380339970292</c:v>
                </c:pt>
                <c:pt idx="4">
                  <c:v>2814.8670176164546</c:v>
                </c:pt>
                <c:pt idx="5">
                  <c:v>3342.6545834195399</c:v>
                </c:pt>
                <c:pt idx="6">
                  <c:v>4291.4155648036576</c:v>
                </c:pt>
                <c:pt idx="7">
                  <c:v>4611.8580154698166</c:v>
                </c:pt>
                <c:pt idx="8">
                  <c:v>5133.3623959657216</c:v>
                </c:pt>
                <c:pt idx="9">
                  <c:v>5931.3269299775293</c:v>
                </c:pt>
                <c:pt idx="10" formatCode="General">
                  <c:v>6364.8667161729209</c:v>
                </c:pt>
              </c:numCache>
            </c:numRef>
          </c:xVal>
          <c:yVal>
            <c:numRef>
              <c:f>ω!$G$13:$G$23</c:f>
              <c:numCache>
                <c:formatCode>0.0000</c:formatCode>
                <c:ptCount val="11"/>
                <c:pt idx="0">
                  <c:v>3.1112698372208088E-2</c:v>
                </c:pt>
                <c:pt idx="1">
                  <c:v>5.4730064863838773E-2</c:v>
                </c:pt>
                <c:pt idx="2">
                  <c:v>7.9054538136656E-2</c:v>
                </c:pt>
                <c:pt idx="3">
                  <c:v>9.8287842584930105E-2</c:v>
                </c:pt>
                <c:pt idx="4">
                  <c:v>0.12275373721398465</c:v>
                </c:pt>
                <c:pt idx="5">
                  <c:v>0.14729034252115786</c:v>
                </c:pt>
                <c:pt idx="6">
                  <c:v>0.18837324650809625</c:v>
                </c:pt>
                <c:pt idx="7">
                  <c:v>0.19579786771055499</c:v>
                </c:pt>
                <c:pt idx="8">
                  <c:v>0.21913239148971106</c:v>
                </c:pt>
                <c:pt idx="9">
                  <c:v>0.25137646071181763</c:v>
                </c:pt>
                <c:pt idx="10">
                  <c:v>0.28227702704966973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3D-40C8-AFF9-5B8AACD7B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21135"/>
        <c:axId val="125420175"/>
      </c:scatterChart>
      <c:valAx>
        <c:axId val="12542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(Hz)</a:t>
                </a:r>
              </a:p>
            </c:rich>
          </c:tx>
          <c:layout>
            <c:manualLayout>
              <c:xMode val="edge"/>
              <c:yMode val="edge"/>
              <c:x val="0.50171924062210271"/>
              <c:y val="0.919235812499844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0175"/>
        <c:crosses val="autoZero"/>
        <c:crossBetween val="midCat"/>
      </c:valAx>
      <c:valAx>
        <c:axId val="12542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</a:t>
                </a:r>
                <a:r>
                  <a:rPr lang="pt-PT" sz="900"/>
                  <a:t> E0 </a:t>
                </a:r>
                <a:r>
                  <a:rPr lang="pt-PT" sz="1100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29246743234188"/>
          <c:y val="0.73084064977940311"/>
          <c:w val="0.20907172944586364"/>
          <c:h val="8.6375495733267041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do ajuste linear (gama 1)</a:t>
            </a:r>
          </a:p>
        </c:rich>
      </c:tx>
      <c:layout>
        <c:manualLayout>
          <c:xMode val="edge"/>
          <c:yMode val="edge"/>
          <c:x val="0.24412350382218195"/>
          <c:y val="3.82403502209752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7085158632161203E-2"/>
          <c:y val="0.14200313340498455"/>
          <c:w val="0.86887733885522789"/>
          <c:h val="0.72876099180895215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25400">
                <a:solidFill>
                  <a:srgbClr val="C00000"/>
                </a:solidFill>
              </a:ln>
              <a:effectLst/>
            </c:spPr>
          </c:marker>
          <c:xVal>
            <c:numRef>
              <c:f>ω!$H$13:$H$20</c:f>
              <c:numCache>
                <c:formatCode>0</c:formatCode>
                <c:ptCount val="8"/>
                <c:pt idx="0">
                  <c:v>703.71675440411366</c:v>
                </c:pt>
                <c:pt idx="1">
                  <c:v>1256.6370614359173</c:v>
                </c:pt>
                <c:pt idx="2">
                  <c:v>1815.8405537749004</c:v>
                </c:pt>
                <c:pt idx="3">
                  <c:v>2249.380339970292</c:v>
                </c:pt>
                <c:pt idx="4">
                  <c:v>2814.8670176164546</c:v>
                </c:pt>
                <c:pt idx="5">
                  <c:v>3342.6545834195399</c:v>
                </c:pt>
                <c:pt idx="6">
                  <c:v>4291.4155648036576</c:v>
                </c:pt>
                <c:pt idx="7">
                  <c:v>6364.8667161729209</c:v>
                </c:pt>
              </c:numCache>
            </c:numRef>
          </c:xVal>
          <c:yVal>
            <c:numRef>
              <c:f>ω!$J$13:$J$20</c:f>
              <c:numCache>
                <c:formatCode>0.0000</c:formatCode>
                <c:ptCount val="8"/>
                <c:pt idx="0">
                  <c:v>2.9983224002808267E-2</c:v>
                </c:pt>
                <c:pt idx="1">
                  <c:v>5.4529849070376953E-2</c:v>
                </c:pt>
                <c:pt idx="2">
                  <c:v>7.9355413059168017E-2</c:v>
                </c:pt>
                <c:pt idx="3">
                  <c:v>9.8602198623511647E-2</c:v>
                </c:pt>
                <c:pt idx="4">
                  <c:v>0.12370670153352507</c:v>
                </c:pt>
                <c:pt idx="5">
                  <c:v>0.14713757091620427</c:v>
                </c:pt>
                <c:pt idx="6">
                  <c:v>0.18925734802078237</c:v>
                </c:pt>
                <c:pt idx="7">
                  <c:v>0.28130719202416493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11-4462-996F-9C3579781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21135"/>
        <c:axId val="125420175"/>
      </c:scatterChart>
      <c:valAx>
        <c:axId val="12542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/>
                  <a:t>ω</a:t>
                </a:r>
                <a:r>
                  <a:rPr lang="pt-PT" sz="1200"/>
                  <a:t> (Hz)</a:t>
                </a:r>
              </a:p>
            </c:rich>
          </c:tx>
          <c:layout>
            <c:manualLayout>
              <c:xMode val="edge"/>
              <c:yMode val="edge"/>
              <c:x val="0.49229317885577945"/>
              <c:y val="0.91571730883629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0175"/>
        <c:crosses val="autoZero"/>
        <c:crossBetween val="midCat"/>
      </c:valAx>
      <c:valAx>
        <c:axId val="12542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/>
                  <a:t>V E0 ajs.linear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8901055775176"/>
          <c:y val="0.66872786530482964"/>
          <c:w val="0.14947776185704192"/>
          <c:h val="5.9036309351952365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de resíduos (gama 1) </a:t>
            </a:r>
          </a:p>
        </c:rich>
      </c:tx>
      <c:layout>
        <c:manualLayout>
          <c:xMode val="edge"/>
          <c:yMode val="edge"/>
          <c:x val="0.28472296393767599"/>
          <c:y val="4.022082018927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155705097381531"/>
          <c:y val="0.14200313340498455"/>
          <c:w val="0.83829942778718392"/>
          <c:h val="0.7079717351898490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ω!$C$13:$C$23</c:f>
              <c:numCache>
                <c:formatCode>0</c:formatCode>
                <c:ptCount val="11"/>
                <c:pt idx="0">
                  <c:v>703.71675440411366</c:v>
                </c:pt>
                <c:pt idx="1">
                  <c:v>1256.6370614359173</c:v>
                </c:pt>
                <c:pt idx="2">
                  <c:v>1815.8405537749004</c:v>
                </c:pt>
                <c:pt idx="3">
                  <c:v>2249.380339970292</c:v>
                </c:pt>
                <c:pt idx="4">
                  <c:v>2814.8670176164546</c:v>
                </c:pt>
                <c:pt idx="5">
                  <c:v>3342.6545834195399</c:v>
                </c:pt>
                <c:pt idx="6">
                  <c:v>4291.4155648036576</c:v>
                </c:pt>
                <c:pt idx="7">
                  <c:v>4611.8580154698166</c:v>
                </c:pt>
                <c:pt idx="8">
                  <c:v>5133.3623959657216</c:v>
                </c:pt>
                <c:pt idx="9">
                  <c:v>5931.3269299775293</c:v>
                </c:pt>
                <c:pt idx="10" formatCode="General">
                  <c:v>6364.8667161729209</c:v>
                </c:pt>
              </c:numCache>
            </c:numRef>
          </c:xVal>
          <c:yVal>
            <c:numRef>
              <c:f>ω!$K$13:$K$20</c:f>
              <c:numCache>
                <c:formatCode>General</c:formatCode>
                <c:ptCount val="8"/>
                <c:pt idx="0">
                  <c:v>-1.1294743693998216E-3</c:v>
                </c:pt>
                <c:pt idx="1">
                  <c:v>-2.0021579346182067E-4</c:v>
                </c:pt>
                <c:pt idx="2">
                  <c:v>3.0087492251201775E-4</c:v>
                </c:pt>
                <c:pt idx="3">
                  <c:v>3.1435603858154249E-4</c:v>
                </c:pt>
                <c:pt idx="4">
                  <c:v>9.5296431954042249E-4</c:v>
                </c:pt>
                <c:pt idx="5">
                  <c:v>-1.5277160495358322E-4</c:v>
                </c:pt>
                <c:pt idx="6">
                  <c:v>8.8410151268611403E-4</c:v>
                </c:pt>
                <c:pt idx="7">
                  <c:v>-9.6983502550479495E-4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3D-40F0-834E-A2CBC928A269}"/>
            </c:ext>
          </c:extLst>
        </c:ser>
        <c:ser>
          <c:idx val="1"/>
          <c:order val="1"/>
          <c:tx>
            <c:v>+- 2(s_y)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ω!$J$24:$J$25</c:f>
              <c:numCache>
                <c:formatCode>General</c:formatCode>
                <c:ptCount val="2"/>
                <c:pt idx="0">
                  <c:v>-1</c:v>
                </c:pt>
                <c:pt idx="1">
                  <c:v>5100</c:v>
                </c:pt>
              </c:numCache>
            </c:numRef>
          </c:xVal>
          <c:yVal>
            <c:numRef>
              <c:f>ω!$K$24:$K$25</c:f>
              <c:numCache>
                <c:formatCode>General</c:formatCode>
                <c:ptCount val="2"/>
                <c:pt idx="0">
                  <c:v>1.6651005519384933E-3</c:v>
                </c:pt>
                <c:pt idx="1">
                  <c:v>1.6651005519384933E-3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3C-4333-8613-C91169A45B1F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ω!$J$24:$J$25</c:f>
              <c:numCache>
                <c:formatCode>General</c:formatCode>
                <c:ptCount val="2"/>
                <c:pt idx="0">
                  <c:v>-1</c:v>
                </c:pt>
                <c:pt idx="1">
                  <c:v>5100</c:v>
                </c:pt>
              </c:numCache>
            </c:numRef>
          </c:xVal>
          <c:yVal>
            <c:numRef>
              <c:f>ω!$L$24:$L$25</c:f>
              <c:numCache>
                <c:formatCode>General</c:formatCode>
                <c:ptCount val="2"/>
                <c:pt idx="0">
                  <c:v>-1.6651005519384933E-3</c:v>
                </c:pt>
                <c:pt idx="1">
                  <c:v>-1.6651005519384933E-3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3C-4333-8613-C91169A45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21135"/>
        <c:axId val="125420175"/>
      </c:scatterChart>
      <c:valAx>
        <c:axId val="125421135"/>
        <c:scaling>
          <c:orientation val="minMax"/>
          <c:max val="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/>
                  <a:t>ω</a:t>
                </a:r>
                <a:r>
                  <a:rPr lang="pt-PT" sz="1200"/>
                  <a:t> (Hz)</a:t>
                </a:r>
              </a:p>
            </c:rich>
          </c:tx>
          <c:layout>
            <c:manualLayout>
              <c:xMode val="edge"/>
              <c:yMode val="edge"/>
              <c:x val="0.48567905983914939"/>
              <c:y val="0.919357089817761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0175"/>
        <c:crossesAt val="-100"/>
        <c:crossBetween val="midCat"/>
      </c:valAx>
      <c:valAx>
        <c:axId val="12542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46813450935627"/>
          <c:y val="0.48287254128958057"/>
          <c:w val="0.15260111456662193"/>
          <c:h val="8.1011969708634543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/>
              <a:t>Gráfico de</a:t>
            </a:r>
            <a:r>
              <a:rPr lang="pt-PT" sz="1800" baseline="0"/>
              <a:t> V E0 em função de </a:t>
            </a:r>
            <a:r>
              <a:rPr lang="el-GR" sz="1800" baseline="0"/>
              <a:t>ω</a:t>
            </a:r>
            <a:r>
              <a:rPr lang="pt-PT" sz="1800" baseline="0"/>
              <a:t> </a:t>
            </a:r>
            <a:r>
              <a:rPr lang="pt-PT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(gama 1)</a:t>
            </a:r>
            <a:endParaRPr lang="pt-PT" sz="1800"/>
          </a:p>
        </c:rich>
      </c:tx>
      <c:layout>
        <c:manualLayout>
          <c:xMode val="edge"/>
          <c:yMode val="edge"/>
          <c:x val="0.17026500567503935"/>
          <c:y val="4.0662714857654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8539370078740154E-2"/>
          <c:y val="0.14200313340498455"/>
          <c:w val="0.86887729658792656"/>
          <c:h val="0.70797173518984902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ω!$H$13:$H$20</c:f>
              <c:numCache>
                <c:formatCode>0</c:formatCode>
                <c:ptCount val="8"/>
                <c:pt idx="0">
                  <c:v>703.71675440411366</c:v>
                </c:pt>
                <c:pt idx="1">
                  <c:v>1256.6370614359173</c:v>
                </c:pt>
                <c:pt idx="2">
                  <c:v>1815.8405537749004</c:v>
                </c:pt>
                <c:pt idx="3">
                  <c:v>2249.380339970292</c:v>
                </c:pt>
                <c:pt idx="4">
                  <c:v>2814.8670176164546</c:v>
                </c:pt>
                <c:pt idx="5">
                  <c:v>3342.6545834195399</c:v>
                </c:pt>
                <c:pt idx="6">
                  <c:v>4291.4155648036576</c:v>
                </c:pt>
                <c:pt idx="7">
                  <c:v>6364.8667161729209</c:v>
                </c:pt>
              </c:numCache>
            </c:numRef>
          </c:xVal>
          <c:yVal>
            <c:numRef>
              <c:f>ω!$I$13:$I$20</c:f>
              <c:numCache>
                <c:formatCode>0.0000</c:formatCode>
                <c:ptCount val="8"/>
                <c:pt idx="0">
                  <c:v>3.1112698372208088E-2</c:v>
                </c:pt>
                <c:pt idx="1">
                  <c:v>5.4730064863838773E-2</c:v>
                </c:pt>
                <c:pt idx="2">
                  <c:v>7.9054538136656E-2</c:v>
                </c:pt>
                <c:pt idx="3">
                  <c:v>9.8287842584930105E-2</c:v>
                </c:pt>
                <c:pt idx="4">
                  <c:v>0.12275373721398465</c:v>
                </c:pt>
                <c:pt idx="5">
                  <c:v>0.14729034252115786</c:v>
                </c:pt>
                <c:pt idx="6">
                  <c:v>0.18837324650809625</c:v>
                </c:pt>
                <c:pt idx="7">
                  <c:v>0.28227702704966973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71-472D-BADE-71EFD2A28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21135"/>
        <c:axId val="125420175"/>
      </c:scatterChart>
      <c:valAx>
        <c:axId val="12542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/>
                  <a:t>ω</a:t>
                </a:r>
                <a:r>
                  <a:rPr lang="pt-PT"/>
                  <a:t> (Hz)</a:t>
                </a:r>
              </a:p>
            </c:rich>
          </c:tx>
          <c:layout>
            <c:manualLayout>
              <c:xMode val="edge"/>
              <c:yMode val="edge"/>
              <c:x val="0.50833902012248466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0175"/>
        <c:crosses val="autoZero"/>
        <c:crossBetween val="midCat"/>
      </c:valAx>
      <c:valAx>
        <c:axId val="12542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 </a:t>
                </a:r>
                <a:r>
                  <a:rPr lang="pt-PT" sz="800"/>
                  <a:t>E0</a:t>
                </a:r>
                <a:r>
                  <a:rPr lang="pt-PT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71803967554251"/>
          <c:y val="0.72651913768569809"/>
          <c:w val="0.21058002920325011"/>
          <c:h val="8.628482695121846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do ajuste linear (gama original)</a:t>
            </a:r>
          </a:p>
        </c:rich>
      </c:tx>
      <c:layout>
        <c:manualLayout>
          <c:xMode val="edge"/>
          <c:yMode val="edge"/>
          <c:x val="0.21808904803593243"/>
          <c:y val="3.82403681223892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8539370078740154E-2"/>
          <c:y val="0.14200313340498455"/>
          <c:w val="0.86887729658792656"/>
          <c:h val="0.71854431530122809"/>
        </c:manualLayout>
      </c:layout>
      <c:scatterChart>
        <c:scatterStyle val="lineMarker"/>
        <c:varyColors val="0"/>
        <c:ser>
          <c:idx val="1"/>
          <c:order val="0"/>
          <c:tx>
            <c:v>Ajs.linear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>
                  <a:alpha val="99000"/>
                </a:srgbClr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i0!$D$13:$D$31</c:f>
              <c:numCache>
                <c:formatCode>General</c:formatCode>
                <c:ptCount val="19"/>
                <c:pt idx="0">
                  <c:v>0.18527611880649919</c:v>
                </c:pt>
                <c:pt idx="1">
                  <c:v>0.19728279195104678</c:v>
                </c:pt>
                <c:pt idx="2">
                  <c:v>0.20298207260741033</c:v>
                </c:pt>
                <c:pt idx="3">
                  <c:v>0.2182272948097923</c:v>
                </c:pt>
                <c:pt idx="4">
                  <c:v>0.23128048599049597</c:v>
                </c:pt>
                <c:pt idx="5">
                  <c:v>0.24624286548040333</c:v>
                </c:pt>
                <c:pt idx="6">
                  <c:v>0.25652419807885574</c:v>
                </c:pt>
                <c:pt idx="7">
                  <c:v>0.27063804943133923</c:v>
                </c:pt>
                <c:pt idx="8">
                  <c:v>0.29244522256313232</c:v>
                </c:pt>
                <c:pt idx="9">
                  <c:v>0.3099390443296875</c:v>
                </c:pt>
                <c:pt idx="10">
                  <c:v>0.32203057028797749</c:v>
                </c:pt>
                <c:pt idx="11">
                  <c:v>0.34009007747948194</c:v>
                </c:pt>
                <c:pt idx="12">
                  <c:v>0.35056939997666653</c:v>
                </c:pt>
                <c:pt idx="13">
                  <c:v>0.36232151467998697</c:v>
                </c:pt>
                <c:pt idx="14">
                  <c:v>0.37793443240858599</c:v>
                </c:pt>
                <c:pt idx="15">
                  <c:v>0.40264074334324385</c:v>
                </c:pt>
                <c:pt idx="16">
                  <c:v>0.41347361923102183</c:v>
                </c:pt>
                <c:pt idx="17">
                  <c:v>0.4323109438818315</c:v>
                </c:pt>
                <c:pt idx="18">
                  <c:v>0.44782486666106436</c:v>
                </c:pt>
              </c:numCache>
            </c:numRef>
          </c:xVal>
          <c:yVal>
            <c:numRef>
              <c:f>i0!$G$13:$G$31</c:f>
              <c:numCache>
                <c:formatCode>General</c:formatCode>
                <c:ptCount val="19"/>
                <c:pt idx="0">
                  <c:v>6.5258349428795298E-2</c:v>
                </c:pt>
                <c:pt idx="1">
                  <c:v>6.9489163164629469E-2</c:v>
                </c:pt>
                <c:pt idx="2">
                  <c:v>7.1497429284230363E-2</c:v>
                </c:pt>
                <c:pt idx="3">
                  <c:v>7.6869416571897317E-2</c:v>
                </c:pt>
                <c:pt idx="4">
                  <c:v>8.14689938135639E-2</c:v>
                </c:pt>
                <c:pt idx="5">
                  <c:v>8.6741315288843698E-2</c:v>
                </c:pt>
                <c:pt idx="6">
                  <c:v>9.0364167569116305E-2</c:v>
                </c:pt>
                <c:pt idx="7">
                  <c:v>9.5337491607234676E-2</c:v>
                </c:pt>
                <c:pt idx="8">
                  <c:v>0.1030217257422833</c:v>
                </c:pt>
                <c:pt idx="9">
                  <c:v>0.109186056238428</c:v>
                </c:pt>
                <c:pt idx="10">
                  <c:v>0.11344676971797832</c:v>
                </c:pt>
                <c:pt idx="11">
                  <c:v>0.11981043183889734</c:v>
                </c:pt>
                <c:pt idx="12">
                  <c:v>0.12350305018784091</c:v>
                </c:pt>
                <c:pt idx="13">
                  <c:v>0.12764416469252665</c:v>
                </c:pt>
                <c:pt idx="14">
                  <c:v>0.13314571753629689</c:v>
                </c:pt>
                <c:pt idx="15">
                  <c:v>0.14185152624831371</c:v>
                </c:pt>
                <c:pt idx="16">
                  <c:v>0.14566872686274124</c:v>
                </c:pt>
                <c:pt idx="17">
                  <c:v>0.1523064699677249</c:v>
                </c:pt>
                <c:pt idx="18">
                  <c:v>0.15777313977715962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8D-4A30-BBA9-C10974306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21135"/>
        <c:axId val="125420175"/>
      </c:scatterChart>
      <c:valAx>
        <c:axId val="125421135"/>
        <c:scaling>
          <c:orientation val="minMax"/>
          <c:max val="0.46"/>
          <c:min val="0.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i0 (A)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922932482328915"/>
              <c:y val="0.92981395329477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0175"/>
        <c:crosses val="autoZero"/>
        <c:crossBetween val="midCat"/>
      </c:valAx>
      <c:valAx>
        <c:axId val="125420175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 </a:t>
                </a:r>
                <a:r>
                  <a:rPr lang="pt-PT" sz="900"/>
                  <a:t>E0</a:t>
                </a:r>
                <a:r>
                  <a:rPr lang="pt-PT" sz="1100"/>
                  <a:t> </a:t>
                </a:r>
                <a:r>
                  <a:rPr lang="pt-PT" sz="900"/>
                  <a:t>ajs</a:t>
                </a:r>
                <a:r>
                  <a:rPr lang="pt-PT" sz="1100"/>
                  <a:t>.</a:t>
                </a:r>
                <a:r>
                  <a:rPr lang="pt-PT" sz="900"/>
                  <a:t>linear</a:t>
                </a:r>
                <a:r>
                  <a:rPr lang="pt-PT" sz="11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81955150941831"/>
          <c:y val="0.69072818304822803"/>
          <c:w val="0.14548066276680985"/>
          <c:h val="6.6089263709465551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Gráfico de</a:t>
            </a:r>
            <a:r>
              <a:rPr lang="pt-PT" sz="1600" baseline="0"/>
              <a:t> V </a:t>
            </a:r>
            <a:r>
              <a:rPr lang="pt-PT" sz="1100" baseline="0"/>
              <a:t>E0</a:t>
            </a:r>
            <a:r>
              <a:rPr lang="pt-PT" sz="1600" baseline="0"/>
              <a:t> em função de i0 </a:t>
            </a:r>
            <a:r>
              <a:rPr lang="pt-PT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(gama original)</a:t>
            </a:r>
            <a:endParaRPr lang="pt-PT" sz="1600"/>
          </a:p>
        </c:rich>
      </c:tx>
      <c:layout>
        <c:manualLayout>
          <c:xMode val="edge"/>
          <c:yMode val="edge"/>
          <c:x val="0.21283182255532487"/>
          <c:y val="3.76689796513169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795569827429953"/>
          <c:y val="0.14200313340498455"/>
          <c:w val="0.85417658604019508"/>
          <c:h val="0.73754451587896386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i0!$D$13:$D$31</c:f>
              <c:numCache>
                <c:formatCode>General</c:formatCode>
                <c:ptCount val="19"/>
                <c:pt idx="0">
                  <c:v>0.18527611880649919</c:v>
                </c:pt>
                <c:pt idx="1">
                  <c:v>0.19728279195104678</c:v>
                </c:pt>
                <c:pt idx="2">
                  <c:v>0.20298207260741033</c:v>
                </c:pt>
                <c:pt idx="3">
                  <c:v>0.2182272948097923</c:v>
                </c:pt>
                <c:pt idx="4">
                  <c:v>0.23128048599049597</c:v>
                </c:pt>
                <c:pt idx="5">
                  <c:v>0.24624286548040333</c:v>
                </c:pt>
                <c:pt idx="6">
                  <c:v>0.25652419807885574</c:v>
                </c:pt>
                <c:pt idx="7">
                  <c:v>0.27063804943133923</c:v>
                </c:pt>
                <c:pt idx="8">
                  <c:v>0.29244522256313232</c:v>
                </c:pt>
                <c:pt idx="9">
                  <c:v>0.3099390443296875</c:v>
                </c:pt>
                <c:pt idx="10">
                  <c:v>0.32203057028797749</c:v>
                </c:pt>
                <c:pt idx="11">
                  <c:v>0.34009007747948194</c:v>
                </c:pt>
                <c:pt idx="12">
                  <c:v>0.35056939997666653</c:v>
                </c:pt>
                <c:pt idx="13">
                  <c:v>0.36232151467998697</c:v>
                </c:pt>
                <c:pt idx="14">
                  <c:v>0.37793443240858599</c:v>
                </c:pt>
                <c:pt idx="15">
                  <c:v>0.40264074334324385</c:v>
                </c:pt>
                <c:pt idx="16">
                  <c:v>0.41347361923102183</c:v>
                </c:pt>
                <c:pt idx="17">
                  <c:v>0.4323109438818315</c:v>
                </c:pt>
                <c:pt idx="18">
                  <c:v>0.44782486666106436</c:v>
                </c:pt>
              </c:numCache>
            </c:numRef>
          </c:xVal>
          <c:yVal>
            <c:numRef>
              <c:f>i0!$F$13:$F$31</c:f>
              <c:numCache>
                <c:formatCode>General</c:formatCode>
                <c:ptCount val="19"/>
                <c:pt idx="0">
                  <c:v>6.5280098039142073E-2</c:v>
                </c:pt>
                <c:pt idx="1">
                  <c:v>6.9494454455013899E-2</c:v>
                </c:pt>
                <c:pt idx="2">
                  <c:v>7.1502637713583686E-2</c:v>
                </c:pt>
                <c:pt idx="3">
                  <c:v>7.6848364979354003E-2</c:v>
                </c:pt>
                <c:pt idx="4">
                  <c:v>8.1486985463937733E-2</c:v>
                </c:pt>
                <c:pt idx="5">
                  <c:v>8.6733717780341918E-2</c:v>
                </c:pt>
                <c:pt idx="6">
                  <c:v>9.02833938218984E-2</c:v>
                </c:pt>
                <c:pt idx="7">
                  <c:v>9.5332136239570334E-2</c:v>
                </c:pt>
                <c:pt idx="8">
                  <c:v>0.10302545801887998</c:v>
                </c:pt>
                <c:pt idx="9">
                  <c:v>0.10917728701520295</c:v>
                </c:pt>
                <c:pt idx="10">
                  <c:v>0.11344821197356969</c:v>
                </c:pt>
                <c:pt idx="11">
                  <c:v>0.11984045727549608</c:v>
                </c:pt>
                <c:pt idx="12">
                  <c:v>0.12353155467328986</c:v>
                </c:pt>
                <c:pt idx="13">
                  <c:v>0.12768934254666678</c:v>
                </c:pt>
                <c:pt idx="14">
                  <c:v>0.13314820689742693</c:v>
                </c:pt>
                <c:pt idx="15">
                  <c:v>0.14187390457726889</c:v>
                </c:pt>
                <c:pt idx="16">
                  <c:v>0.14567813906005253</c:v>
                </c:pt>
                <c:pt idx="17">
                  <c:v>0.15228251639633489</c:v>
                </c:pt>
                <c:pt idx="18">
                  <c:v>0.15772723861147131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9E-4F65-B4C1-14E0FC450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21135"/>
        <c:axId val="125420175"/>
      </c:scatterChart>
      <c:valAx>
        <c:axId val="125421135"/>
        <c:scaling>
          <c:orientation val="minMax"/>
          <c:min val="0.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i0 (A)</a:t>
                </a:r>
              </a:p>
            </c:rich>
          </c:tx>
          <c:layout>
            <c:manualLayout>
              <c:xMode val="edge"/>
              <c:yMode val="edge"/>
              <c:x val="0.50833903697311211"/>
              <c:y val="0.93350148264902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0175"/>
        <c:crosses val="autoZero"/>
        <c:crossBetween val="midCat"/>
      </c:valAx>
      <c:valAx>
        <c:axId val="125420175"/>
        <c:scaling>
          <c:orientation val="minMax"/>
          <c:max val="0.17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 </a:t>
                </a:r>
                <a:r>
                  <a:rPr lang="pt-PT" sz="900"/>
                  <a:t>E0</a:t>
                </a:r>
                <a:r>
                  <a:rPr lang="pt-PT" sz="11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748349960331531"/>
          <c:y val="0.6618425325921663"/>
          <c:w val="0.16626491787782113"/>
          <c:h val="5.7437228270468932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do resíduos (gama original)</a:t>
            </a:r>
          </a:p>
        </c:rich>
      </c:tx>
      <c:layout>
        <c:manualLayout>
          <c:xMode val="edge"/>
          <c:yMode val="edge"/>
          <c:x val="0.26146723950075229"/>
          <c:y val="4.1905755771687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77249278070574"/>
          <c:y val="0.14200313340498455"/>
          <c:w val="0.83693595923241793"/>
          <c:h val="0.70797173518984902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99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i0!$D$13:$D$31</c:f>
              <c:numCache>
                <c:formatCode>General</c:formatCode>
                <c:ptCount val="19"/>
                <c:pt idx="0">
                  <c:v>0.18527611880649919</c:v>
                </c:pt>
                <c:pt idx="1">
                  <c:v>0.19728279195104678</c:v>
                </c:pt>
                <c:pt idx="2">
                  <c:v>0.20298207260741033</c:v>
                </c:pt>
                <c:pt idx="3">
                  <c:v>0.2182272948097923</c:v>
                </c:pt>
                <c:pt idx="4">
                  <c:v>0.23128048599049597</c:v>
                </c:pt>
                <c:pt idx="5">
                  <c:v>0.24624286548040333</c:v>
                </c:pt>
                <c:pt idx="6">
                  <c:v>0.25652419807885574</c:v>
                </c:pt>
                <c:pt idx="7">
                  <c:v>0.27063804943133923</c:v>
                </c:pt>
                <c:pt idx="8">
                  <c:v>0.29244522256313232</c:v>
                </c:pt>
                <c:pt idx="9">
                  <c:v>0.3099390443296875</c:v>
                </c:pt>
                <c:pt idx="10">
                  <c:v>0.32203057028797749</c:v>
                </c:pt>
                <c:pt idx="11">
                  <c:v>0.34009007747948194</c:v>
                </c:pt>
                <c:pt idx="12">
                  <c:v>0.35056939997666653</c:v>
                </c:pt>
                <c:pt idx="13">
                  <c:v>0.36232151467998697</c:v>
                </c:pt>
                <c:pt idx="14">
                  <c:v>0.37793443240858599</c:v>
                </c:pt>
                <c:pt idx="15">
                  <c:v>0.40264074334324385</c:v>
                </c:pt>
                <c:pt idx="16">
                  <c:v>0.41347361923102183</c:v>
                </c:pt>
                <c:pt idx="17">
                  <c:v>0.4323109438818315</c:v>
                </c:pt>
                <c:pt idx="18">
                  <c:v>0.44782486666106436</c:v>
                </c:pt>
              </c:numCache>
            </c:numRef>
          </c:xVal>
          <c:yVal>
            <c:numRef>
              <c:f>i0!$I$13:$I$31</c:f>
              <c:numCache>
                <c:formatCode>General</c:formatCode>
                <c:ptCount val="19"/>
                <c:pt idx="0">
                  <c:v>-2.174861034677511E-5</c:v>
                </c:pt>
                <c:pt idx="1">
                  <c:v>-5.2912903844293258E-6</c:v>
                </c:pt>
                <c:pt idx="2">
                  <c:v>-5.2084293533233295E-6</c:v>
                </c:pt>
                <c:pt idx="3">
                  <c:v>2.1051592543314124E-5</c:v>
                </c:pt>
                <c:pt idx="4">
                  <c:v>-1.7991650373833101E-5</c:v>
                </c:pt>
                <c:pt idx="5">
                  <c:v>7.5975085017804256E-6</c:v>
                </c:pt>
                <c:pt idx="6">
                  <c:v>8.0773747217904868E-5</c:v>
                </c:pt>
                <c:pt idx="7">
                  <c:v>5.3553676643419701E-6</c:v>
                </c:pt>
                <c:pt idx="8">
                  <c:v>-3.7322765966824045E-6</c:v>
                </c:pt>
                <c:pt idx="9">
                  <c:v>8.7692232250552449E-6</c:v>
                </c:pt>
                <c:pt idx="10">
                  <c:v>-1.4422555913717883E-6</c:v>
                </c:pt>
                <c:pt idx="11">
                  <c:v>-3.0025436598746236E-5</c:v>
                </c:pt>
                <c:pt idx="12">
                  <c:v>-2.8504485448943573E-5</c:v>
                </c:pt>
                <c:pt idx="13">
                  <c:v>-4.5177854140127094E-5</c:v>
                </c:pt>
                <c:pt idx="14">
                  <c:v>-2.4893611300369489E-6</c:v>
                </c:pt>
                <c:pt idx="15">
                  <c:v>-2.2378328955185989E-5</c:v>
                </c:pt>
                <c:pt idx="16">
                  <c:v>-9.4121973112926138E-6</c:v>
                </c:pt>
                <c:pt idx="17">
                  <c:v>2.3953571390011863E-5</c:v>
                </c:pt>
                <c:pt idx="18">
                  <c:v>4.5901165688311263E-5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A-4786-B345-571F9AC926E2}"/>
            </c:ext>
          </c:extLst>
        </c:ser>
        <c:ser>
          <c:idx val="0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i0!$I$35:$I$36</c:f>
              <c:numCache>
                <c:formatCode>General</c:formatCode>
                <c:ptCount val="2"/>
                <c:pt idx="0">
                  <c:v>0.1</c:v>
                </c:pt>
                <c:pt idx="1">
                  <c:v>0.5</c:v>
                </c:pt>
              </c:numCache>
            </c:numRef>
          </c:xVal>
          <c:yVal>
            <c:numRef>
              <c:f>i0!$J$35:$J$36</c:f>
              <c:numCache>
                <c:formatCode>General</c:formatCode>
                <c:ptCount val="2"/>
                <c:pt idx="0">
                  <c:v>5.9468318394457359E-5</c:v>
                </c:pt>
                <c:pt idx="1">
                  <c:v>5.9468318394457359E-5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41-49CD-B1C9-9570EB3206E2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i0!$I$35:$I$36</c:f>
              <c:numCache>
                <c:formatCode>General</c:formatCode>
                <c:ptCount val="2"/>
                <c:pt idx="0">
                  <c:v>0.1</c:v>
                </c:pt>
                <c:pt idx="1">
                  <c:v>0.5</c:v>
                </c:pt>
              </c:numCache>
            </c:numRef>
          </c:xVal>
          <c:yVal>
            <c:numRef>
              <c:f>i0!$K$35:$K$36</c:f>
              <c:numCache>
                <c:formatCode>General</c:formatCode>
                <c:ptCount val="2"/>
                <c:pt idx="0">
                  <c:v>-5.9468318394457359E-5</c:v>
                </c:pt>
                <c:pt idx="1">
                  <c:v>-5.9468318394457359E-5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1-49CD-B1C9-9570EB320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21135"/>
        <c:axId val="125420175"/>
      </c:scatterChart>
      <c:valAx>
        <c:axId val="125421135"/>
        <c:scaling>
          <c:orientation val="minMax"/>
          <c:max val="0.46"/>
          <c:min val="0.16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i0 (A)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229317885577945"/>
              <c:y val="0.91571730883629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0175"/>
        <c:crossesAt val="-10"/>
        <c:crossBetween val="midCat"/>
      </c:valAx>
      <c:valAx>
        <c:axId val="125420175"/>
        <c:scaling>
          <c:orientation val="minMax"/>
          <c:max val="9.0000000000000033E-5"/>
          <c:min val="-7.0000000000000035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8648488223709345"/>
          <c:y val="0.14853504743495136"/>
          <c:w val="0.1683791846800487"/>
          <c:h val="8.6829928823763836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do ajuste linear (gama 1)</a:t>
            </a:r>
          </a:p>
        </c:rich>
      </c:tx>
      <c:layout>
        <c:manualLayout>
          <c:xMode val="edge"/>
          <c:yMode val="edge"/>
          <c:x val="0.23518474520258806"/>
          <c:y val="3.82403107850631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8539370078740154E-2"/>
          <c:y val="0.14200313340498455"/>
          <c:w val="0.86887729658792656"/>
          <c:h val="0.70797173518984902"/>
        </c:manualLayout>
      </c:layout>
      <c:scatterChart>
        <c:scatterStyle val="lineMarker"/>
        <c:varyColors val="0"/>
        <c:ser>
          <c:idx val="1"/>
          <c:order val="0"/>
          <c:tx>
            <c:v>Ajs. 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>
                  <a:alpha val="99000"/>
                </a:srgbClr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i0!$E$41:$E$56</c:f>
              <c:numCache>
                <c:formatCode>General</c:formatCode>
                <c:ptCount val="16"/>
                <c:pt idx="0">
                  <c:v>0.18527611880649919</c:v>
                </c:pt>
                <c:pt idx="1">
                  <c:v>0.19728279195104678</c:v>
                </c:pt>
                <c:pt idx="2">
                  <c:v>0.20298207260741033</c:v>
                </c:pt>
                <c:pt idx="3">
                  <c:v>0.2182272948097923</c:v>
                </c:pt>
                <c:pt idx="4">
                  <c:v>0.23128048599049597</c:v>
                </c:pt>
                <c:pt idx="5">
                  <c:v>0.24624286548040333</c:v>
                </c:pt>
                <c:pt idx="6">
                  <c:v>0.27063804943133923</c:v>
                </c:pt>
                <c:pt idx="7">
                  <c:v>0.29244522256313232</c:v>
                </c:pt>
                <c:pt idx="8">
                  <c:v>0.3099390443296875</c:v>
                </c:pt>
                <c:pt idx="9">
                  <c:v>0.32203057028797749</c:v>
                </c:pt>
                <c:pt idx="10">
                  <c:v>0.34009007747948194</c:v>
                </c:pt>
                <c:pt idx="11">
                  <c:v>0.35056939997666653</c:v>
                </c:pt>
                <c:pt idx="12">
                  <c:v>0.36232151467998697</c:v>
                </c:pt>
                <c:pt idx="13">
                  <c:v>0.37793443240858599</c:v>
                </c:pt>
                <c:pt idx="14">
                  <c:v>0.40264074334324385</c:v>
                </c:pt>
                <c:pt idx="15">
                  <c:v>0.41347361923102183</c:v>
                </c:pt>
              </c:numCache>
            </c:numRef>
          </c:xVal>
          <c:yVal>
            <c:numRef>
              <c:f>i0!$H$41:$H$56</c:f>
              <c:numCache>
                <c:formatCode>General</c:formatCode>
                <c:ptCount val="16"/>
                <c:pt idx="0">
                  <c:v>6.5258615450327767E-2</c:v>
                </c:pt>
                <c:pt idx="1">
                  <c:v>6.9490428325445483E-2</c:v>
                </c:pt>
                <c:pt idx="2">
                  <c:v>7.149916871257439E-2</c:v>
                </c:pt>
                <c:pt idx="3">
                  <c:v>7.6872424636457659E-2</c:v>
                </c:pt>
                <c:pt idx="4">
                  <c:v>8.1473088103752894E-2</c:v>
                </c:pt>
                <c:pt idx="5">
                  <c:v>8.6746654678399024E-2</c:v>
                </c:pt>
                <c:pt idx="6">
                  <c:v>9.5344861050104632E-2</c:v>
                </c:pt>
                <c:pt idx="7">
                  <c:v>0.10303090987629016</c:v>
                </c:pt>
                <c:pt idx="8">
                  <c:v>0.10919669612660891</c:v>
                </c:pt>
                <c:pt idx="9">
                  <c:v>0.11345841580649779</c:v>
                </c:pt>
                <c:pt idx="10">
                  <c:v>0.11982358075529088</c:v>
                </c:pt>
                <c:pt idx="11">
                  <c:v>0.12351707114452788</c:v>
                </c:pt>
                <c:pt idx="12">
                  <c:v>0.12765916360533217</c:v>
                </c:pt>
                <c:pt idx="13">
                  <c:v>0.13316201568322378</c:v>
                </c:pt>
                <c:pt idx="14">
                  <c:v>0.14186988033909023</c:v>
                </c:pt>
                <c:pt idx="15">
                  <c:v>0.14568798241487374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07-46C5-9CE2-84E12B417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21135"/>
        <c:axId val="125420175"/>
      </c:scatterChart>
      <c:valAx>
        <c:axId val="125421135"/>
        <c:scaling>
          <c:orientation val="minMax"/>
          <c:max val="0.42000000000000004"/>
          <c:min val="0.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i0 (A)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9229317885577945"/>
              <c:y val="0.91571730883629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0175"/>
        <c:crosses val="autoZero"/>
        <c:crossBetween val="midCat"/>
      </c:valAx>
      <c:valAx>
        <c:axId val="125420175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 </a:t>
                </a:r>
                <a:r>
                  <a:rPr lang="pt-PT" sz="900"/>
                  <a:t>E0 ajs.linear </a:t>
                </a:r>
                <a:r>
                  <a:rPr lang="pt-PT" sz="1100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81954017865775"/>
          <c:y val="0.6615551640294165"/>
          <c:w val="0.13907304147911079"/>
          <c:h val="5.5149385471138797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do resíduos (gama 1)</a:t>
            </a:r>
          </a:p>
        </c:rich>
      </c:tx>
      <c:layout>
        <c:manualLayout>
          <c:xMode val="edge"/>
          <c:yMode val="edge"/>
          <c:x val="0.26094156230773813"/>
          <c:y val="3.0758018265684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086503154606131"/>
          <c:y val="0.14200313340498455"/>
          <c:w val="0.84184347627838585"/>
          <c:h val="0.70797173518984902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99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i0!$D$13:$D$31</c:f>
              <c:numCache>
                <c:formatCode>General</c:formatCode>
                <c:ptCount val="19"/>
                <c:pt idx="0">
                  <c:v>0.18527611880649919</c:v>
                </c:pt>
                <c:pt idx="1">
                  <c:v>0.19728279195104678</c:v>
                </c:pt>
                <c:pt idx="2">
                  <c:v>0.20298207260741033</c:v>
                </c:pt>
                <c:pt idx="3">
                  <c:v>0.2182272948097923</c:v>
                </c:pt>
                <c:pt idx="4">
                  <c:v>0.23128048599049597</c:v>
                </c:pt>
                <c:pt idx="5">
                  <c:v>0.24624286548040333</c:v>
                </c:pt>
                <c:pt idx="6">
                  <c:v>0.25652419807885574</c:v>
                </c:pt>
                <c:pt idx="7">
                  <c:v>0.27063804943133923</c:v>
                </c:pt>
                <c:pt idx="8">
                  <c:v>0.29244522256313232</c:v>
                </c:pt>
                <c:pt idx="9">
                  <c:v>0.3099390443296875</c:v>
                </c:pt>
                <c:pt idx="10">
                  <c:v>0.32203057028797749</c:v>
                </c:pt>
                <c:pt idx="11">
                  <c:v>0.34009007747948194</c:v>
                </c:pt>
                <c:pt idx="12">
                  <c:v>0.35056939997666653</c:v>
                </c:pt>
                <c:pt idx="13">
                  <c:v>0.36232151467998697</c:v>
                </c:pt>
                <c:pt idx="14">
                  <c:v>0.37793443240858599</c:v>
                </c:pt>
                <c:pt idx="15">
                  <c:v>0.40264074334324385</c:v>
                </c:pt>
                <c:pt idx="16">
                  <c:v>0.41347361923102183</c:v>
                </c:pt>
                <c:pt idx="17">
                  <c:v>0.4323109438818315</c:v>
                </c:pt>
                <c:pt idx="18">
                  <c:v>0.44782486666106436</c:v>
                </c:pt>
              </c:numCache>
            </c:numRef>
          </c:xVal>
          <c:yVal>
            <c:numRef>
              <c:f>i0!$J$41:$J$56</c:f>
              <c:numCache>
                <c:formatCode>General</c:formatCode>
                <c:ptCount val="16"/>
                <c:pt idx="0">
                  <c:v>-2.1482588814306092E-5</c:v>
                </c:pt>
                <c:pt idx="1">
                  <c:v>-4.0261295684157483E-6</c:v>
                </c:pt>
                <c:pt idx="2">
                  <c:v>-3.4690010092958135E-6</c:v>
                </c:pt>
                <c:pt idx="3">
                  <c:v>2.4059657103656096E-5</c:v>
                </c:pt>
                <c:pt idx="4">
                  <c:v>-1.3897360184839114E-5</c:v>
                </c:pt>
                <c:pt idx="5">
                  <c:v>1.2936898057105961E-5</c:v>
                </c:pt>
                <c:pt idx="6">
                  <c:v>1.2724810534298081E-5</c:v>
                </c:pt>
                <c:pt idx="7">
                  <c:v>5.4518574101741768E-6</c:v>
                </c:pt>
                <c:pt idx="8">
                  <c:v>1.9409111405965795E-5</c:v>
                </c:pt>
                <c:pt idx="9">
                  <c:v>1.0203832928101786E-5</c:v>
                </c:pt>
                <c:pt idx="10">
                  <c:v>-1.6876520205197365E-5</c:v>
                </c:pt>
                <c:pt idx="11">
                  <c:v>-1.448352876197434E-5</c:v>
                </c:pt>
                <c:pt idx="12">
                  <c:v>-3.0178941334613185E-5</c:v>
                </c:pt>
                <c:pt idx="13">
                  <c:v>1.38087857968483E-5</c:v>
                </c:pt>
                <c:pt idx="14">
                  <c:v>-4.024238178662598E-6</c:v>
                </c:pt>
                <c:pt idx="15">
                  <c:v>9.8433548212095712E-6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F7-441B-BCD5-4468C4F8B8AC}"/>
            </c:ext>
          </c:extLst>
        </c:ser>
        <c:ser>
          <c:idx val="0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i0!$I$35:$I$36</c:f>
              <c:numCache>
                <c:formatCode>General</c:formatCode>
                <c:ptCount val="2"/>
                <c:pt idx="0">
                  <c:v>0.1</c:v>
                </c:pt>
                <c:pt idx="1">
                  <c:v>0.5</c:v>
                </c:pt>
              </c:numCache>
            </c:numRef>
          </c:xVal>
          <c:yVal>
            <c:numRef>
              <c:f>i0!$S$47:$S$48</c:f>
              <c:numCache>
                <c:formatCode>General</c:formatCode>
                <c:ptCount val="2"/>
                <c:pt idx="0">
                  <c:v>3.2996599206414956E-5</c:v>
                </c:pt>
                <c:pt idx="1">
                  <c:v>3.2996599206414956E-5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7-441B-BCD5-4468C4F8B8AC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i0!$R$47:$R$48</c:f>
              <c:numCache>
                <c:formatCode>General</c:formatCode>
                <c:ptCount val="2"/>
                <c:pt idx="0">
                  <c:v>0.1</c:v>
                </c:pt>
                <c:pt idx="1">
                  <c:v>0.5</c:v>
                </c:pt>
              </c:numCache>
            </c:numRef>
          </c:xVal>
          <c:yVal>
            <c:numRef>
              <c:f>i0!$T$47:$T$48</c:f>
              <c:numCache>
                <c:formatCode>General</c:formatCode>
                <c:ptCount val="2"/>
                <c:pt idx="0">
                  <c:v>-3.2996599206414956E-5</c:v>
                </c:pt>
                <c:pt idx="1">
                  <c:v>-3.2996599206414956E-5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F7-441B-BCD5-4468C4F8B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21135"/>
        <c:axId val="125420175"/>
      </c:scatterChart>
      <c:valAx>
        <c:axId val="125421135"/>
        <c:scaling>
          <c:orientation val="minMax"/>
          <c:max val="0.41000000000000003"/>
          <c:min val="0.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i0 (A)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229317885577945"/>
              <c:y val="0.91571730883629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0175"/>
        <c:crossesAt val="-10"/>
        <c:crossBetween val="midCat"/>
      </c:valAx>
      <c:valAx>
        <c:axId val="125420175"/>
        <c:scaling>
          <c:orientation val="minMax"/>
          <c:max val="5.0000000000000023E-5"/>
          <c:min val="-5.0000000000000023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80360243855416225"/>
          <c:y val="0.14449110076646116"/>
          <c:w val="0.15639929091687485"/>
          <c:h val="8.30887755180197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/>
              <a:t>Gráfico de</a:t>
            </a:r>
            <a:r>
              <a:rPr lang="pt-PT" sz="1800" baseline="0"/>
              <a:t> V </a:t>
            </a:r>
            <a:r>
              <a:rPr lang="pt-PT" sz="1200" baseline="0"/>
              <a:t>E0</a:t>
            </a:r>
            <a:r>
              <a:rPr lang="pt-PT" sz="1800" baseline="0"/>
              <a:t> em função de i0 </a:t>
            </a:r>
            <a:r>
              <a:rPr lang="pt-PT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(gama 1)</a:t>
            </a:r>
            <a:endParaRPr lang="pt-PT" sz="1800"/>
          </a:p>
        </c:rich>
      </c:tx>
      <c:layout>
        <c:manualLayout>
          <c:xMode val="edge"/>
          <c:yMode val="edge"/>
          <c:x val="0.20426909586892494"/>
          <c:y val="3.76689768255912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148457018168225"/>
          <c:y val="0.14200313340498455"/>
          <c:w val="0.86064758033548938"/>
          <c:h val="0.7411012121563888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i0!$E$41:$E$56</c:f>
              <c:numCache>
                <c:formatCode>General</c:formatCode>
                <c:ptCount val="16"/>
                <c:pt idx="0">
                  <c:v>0.18527611880649919</c:v>
                </c:pt>
                <c:pt idx="1">
                  <c:v>0.19728279195104678</c:v>
                </c:pt>
                <c:pt idx="2">
                  <c:v>0.20298207260741033</c:v>
                </c:pt>
                <c:pt idx="3">
                  <c:v>0.2182272948097923</c:v>
                </c:pt>
                <c:pt idx="4">
                  <c:v>0.23128048599049597</c:v>
                </c:pt>
                <c:pt idx="5">
                  <c:v>0.24624286548040333</c:v>
                </c:pt>
                <c:pt idx="6">
                  <c:v>0.27063804943133923</c:v>
                </c:pt>
                <c:pt idx="7">
                  <c:v>0.29244522256313232</c:v>
                </c:pt>
                <c:pt idx="8">
                  <c:v>0.3099390443296875</c:v>
                </c:pt>
                <c:pt idx="9">
                  <c:v>0.32203057028797749</c:v>
                </c:pt>
                <c:pt idx="10">
                  <c:v>0.34009007747948194</c:v>
                </c:pt>
                <c:pt idx="11">
                  <c:v>0.35056939997666653</c:v>
                </c:pt>
                <c:pt idx="12">
                  <c:v>0.36232151467998697</c:v>
                </c:pt>
                <c:pt idx="13">
                  <c:v>0.37793443240858599</c:v>
                </c:pt>
                <c:pt idx="14">
                  <c:v>0.40264074334324385</c:v>
                </c:pt>
                <c:pt idx="15">
                  <c:v>0.41347361923102183</c:v>
                </c:pt>
              </c:numCache>
            </c:numRef>
          </c:xVal>
          <c:yVal>
            <c:numRef>
              <c:f>i0!$G$41:$G$56</c:f>
              <c:numCache>
                <c:formatCode>General</c:formatCode>
                <c:ptCount val="16"/>
                <c:pt idx="0">
                  <c:v>6.5280098039142073E-2</c:v>
                </c:pt>
                <c:pt idx="1">
                  <c:v>6.9494454455013899E-2</c:v>
                </c:pt>
                <c:pt idx="2">
                  <c:v>7.1502637713583686E-2</c:v>
                </c:pt>
                <c:pt idx="3">
                  <c:v>7.6848364979354003E-2</c:v>
                </c:pt>
                <c:pt idx="4">
                  <c:v>8.1486985463937733E-2</c:v>
                </c:pt>
                <c:pt idx="5">
                  <c:v>8.6733717780341918E-2</c:v>
                </c:pt>
                <c:pt idx="6">
                  <c:v>9.5332136239570334E-2</c:v>
                </c:pt>
                <c:pt idx="7">
                  <c:v>0.10302545801887998</c:v>
                </c:pt>
                <c:pt idx="8">
                  <c:v>0.10917728701520295</c:v>
                </c:pt>
                <c:pt idx="9">
                  <c:v>0.11344821197356969</c:v>
                </c:pt>
                <c:pt idx="10">
                  <c:v>0.11984045727549608</c:v>
                </c:pt>
                <c:pt idx="11">
                  <c:v>0.12353155467328986</c:v>
                </c:pt>
                <c:pt idx="12">
                  <c:v>0.12768934254666678</c:v>
                </c:pt>
                <c:pt idx="13">
                  <c:v>0.13314820689742693</c:v>
                </c:pt>
                <c:pt idx="14">
                  <c:v>0.14187390457726889</c:v>
                </c:pt>
                <c:pt idx="15">
                  <c:v>0.14567813906005253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F7-4248-87A4-FA4627484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21135"/>
        <c:axId val="125420175"/>
      </c:scatterChart>
      <c:valAx>
        <c:axId val="125421135"/>
        <c:scaling>
          <c:orientation val="minMax"/>
          <c:max val="0.42000000000000004"/>
          <c:min val="0.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i0 (A)</a:t>
                </a:r>
              </a:p>
            </c:rich>
          </c:tx>
          <c:layout>
            <c:manualLayout>
              <c:xMode val="edge"/>
              <c:yMode val="edge"/>
              <c:x val="0.50833902012248466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0175"/>
        <c:crosses val="autoZero"/>
        <c:crossBetween val="midCat"/>
      </c:valAx>
      <c:valAx>
        <c:axId val="125420175"/>
        <c:scaling>
          <c:orientation val="minMax"/>
          <c:max val="0.15000000000000002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 E0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748349960331531"/>
          <c:y val="0.6618425325921663"/>
          <c:w val="0.16626491787782113"/>
          <c:h val="5.7437228270468932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Gráfico de</a:t>
            </a:r>
            <a:r>
              <a:rPr lang="pt-PT" sz="1400" baseline="0"/>
              <a:t> V </a:t>
            </a:r>
            <a:r>
              <a:rPr lang="pt-PT" sz="1000" baseline="0"/>
              <a:t>E0</a:t>
            </a:r>
            <a:r>
              <a:rPr lang="pt-PT" sz="1400" baseline="0"/>
              <a:t> em função de n </a:t>
            </a:r>
            <a:r>
              <a:rPr lang="pt-PT" sz="1000" baseline="0"/>
              <a:t>espiras</a:t>
            </a:r>
            <a:r>
              <a:rPr lang="pt-PT" sz="1400" baseline="0"/>
              <a:t> (gama original)</a:t>
            </a:r>
            <a:endParaRPr lang="pt-PT" sz="1400"/>
          </a:p>
        </c:rich>
      </c:tx>
      <c:layout>
        <c:manualLayout>
          <c:xMode val="edge"/>
          <c:yMode val="edge"/>
          <c:x val="0.13325206107816598"/>
          <c:y val="2.887330142005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73832576244643"/>
          <c:y val="0.13244849397119174"/>
          <c:w val="0.80965463692038497"/>
          <c:h val="0.71296893386474691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 espiras'!$D$6:$D$10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442</c:v>
                </c:pt>
                <c:pt idx="4">
                  <c:v>542</c:v>
                </c:pt>
              </c:numCache>
            </c:numRef>
          </c:xVal>
          <c:yVal>
            <c:numRef>
              <c:f>'n espiras'!$H$6:$H$10</c:f>
              <c:numCache>
                <c:formatCode>General</c:formatCode>
                <c:ptCount val="5"/>
                <c:pt idx="0">
                  <c:v>8.919444937887111E-2</c:v>
                </c:pt>
                <c:pt idx="1">
                  <c:v>5.6922095885517082E-2</c:v>
                </c:pt>
                <c:pt idx="2">
                  <c:v>2.8623682502431441E-2</c:v>
                </c:pt>
                <c:pt idx="3">
                  <c:v>0.12737821556294468</c:v>
                </c:pt>
                <c:pt idx="4">
                  <c:v>0.15556349186104046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0A-4662-8692-77A432DC4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852175"/>
        <c:axId val="956848335"/>
      </c:scatterChart>
      <c:valAx>
        <c:axId val="95685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6848335"/>
        <c:crosses val="autoZero"/>
        <c:crossBetween val="midCat"/>
      </c:valAx>
      <c:valAx>
        <c:axId val="9568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685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Gráfico de</a:t>
            </a:r>
            <a:r>
              <a:rPr lang="pt-PT" sz="1400" baseline="0"/>
              <a:t> V </a:t>
            </a:r>
            <a:r>
              <a:rPr lang="pt-PT" sz="1000" baseline="0"/>
              <a:t>E0</a:t>
            </a:r>
            <a:r>
              <a:rPr lang="pt-PT" sz="1400" baseline="0"/>
              <a:t> em função de n </a:t>
            </a:r>
            <a:r>
              <a:rPr lang="pt-PT" sz="1000" baseline="0"/>
              <a:t>espiras</a:t>
            </a:r>
            <a:r>
              <a:rPr lang="pt-PT" sz="1400" baseline="0"/>
              <a:t> (gama 1)</a:t>
            </a:r>
            <a:endParaRPr lang="pt-PT" sz="1400"/>
          </a:p>
        </c:rich>
      </c:tx>
      <c:layout>
        <c:manualLayout>
          <c:xMode val="edge"/>
          <c:yMode val="edge"/>
          <c:x val="0.18687148630953712"/>
          <c:y val="4.4844511319042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73832576244643"/>
          <c:y val="0.13244849397119174"/>
          <c:w val="0.80965463692038497"/>
          <c:h val="0.71296893386474691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 espiras'!$E$16:$E$19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442</c:v>
                </c:pt>
                <c:pt idx="3">
                  <c:v>542</c:v>
                </c:pt>
              </c:numCache>
            </c:numRef>
          </c:xVal>
          <c:yVal>
            <c:numRef>
              <c:f>'n espiras'!$F$16:$F$19</c:f>
              <c:numCache>
                <c:formatCode>General</c:formatCode>
                <c:ptCount val="4"/>
                <c:pt idx="0">
                  <c:v>2.8623682502431441E-2</c:v>
                </c:pt>
                <c:pt idx="1">
                  <c:v>5.6922095885517082E-2</c:v>
                </c:pt>
                <c:pt idx="2">
                  <c:v>0.12737821556294468</c:v>
                </c:pt>
                <c:pt idx="3">
                  <c:v>0.15556349186104046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9B-4B6F-8F86-A87C780CE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852175"/>
        <c:axId val="956848335"/>
      </c:scatterChart>
      <c:valAx>
        <c:axId val="956852175"/>
        <c:scaling>
          <c:orientation val="minMax"/>
          <c:max val="57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 </a:t>
                </a:r>
                <a:r>
                  <a:rPr lang="pt-PT" sz="900"/>
                  <a:t>espiras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6848335"/>
        <c:crosses val="autoZero"/>
        <c:crossBetween val="midCat"/>
      </c:valAx>
      <c:valAx>
        <c:axId val="956848335"/>
        <c:scaling>
          <c:orientation val="minMax"/>
          <c:max val="0.17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 </a:t>
                </a:r>
                <a:r>
                  <a:rPr lang="pt-PT" sz="800"/>
                  <a:t>E0</a:t>
                </a:r>
                <a:r>
                  <a:rPr lang="pt-PT" sz="11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685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96608883465946"/>
          <c:y val="0.6643818777104491"/>
          <c:w val="0.2623280109900869"/>
          <c:h val="0.10281487424648179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Gráfico do</a:t>
            </a:r>
            <a:r>
              <a:rPr lang="pt-PT" sz="1600" baseline="0"/>
              <a:t> ajuste linear (gama 1)</a:t>
            </a:r>
            <a:endParaRPr lang="pt-PT" sz="1600"/>
          </a:p>
        </c:rich>
      </c:tx>
      <c:layout>
        <c:manualLayout>
          <c:xMode val="edge"/>
          <c:yMode val="edge"/>
          <c:x val="0.23558513417374796"/>
          <c:y val="4.4844663607112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73832576244643"/>
          <c:y val="0.13244849397119174"/>
          <c:w val="0.80965463692038497"/>
          <c:h val="0.73327451671349186"/>
        </c:manualLayout>
      </c:layout>
      <c:scatterChart>
        <c:scatterStyle val="lineMarker"/>
        <c:varyColors val="0"/>
        <c:ser>
          <c:idx val="0"/>
          <c:order val="0"/>
          <c:tx>
            <c:v>Ajs. linear</c:v>
          </c:tx>
          <c:spPr>
            <a:ln w="19050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'n espiras'!$E$16:$E$19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442</c:v>
                </c:pt>
                <c:pt idx="3">
                  <c:v>542</c:v>
                </c:pt>
              </c:numCache>
            </c:numRef>
          </c:xVal>
          <c:yVal>
            <c:numRef>
              <c:f>'n espiras'!$G$16:$G$19</c:f>
              <c:numCache>
                <c:formatCode>0.000000</c:formatCode>
                <c:ptCount val="4"/>
                <c:pt idx="0">
                  <c:v>2.8450796776871162E-2</c:v>
                </c:pt>
                <c:pt idx="1">
                  <c:v>5.7261237806786207E-2</c:v>
                </c:pt>
                <c:pt idx="2">
                  <c:v>0.12698250509918063</c:v>
                </c:pt>
                <c:pt idx="3">
                  <c:v>0.15579294612909567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B3-43F8-8F1A-3A5F7D416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852175"/>
        <c:axId val="956848335"/>
      </c:scatterChart>
      <c:valAx>
        <c:axId val="956852175"/>
        <c:scaling>
          <c:orientation val="minMax"/>
          <c:max val="57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 </a:t>
                </a:r>
                <a:r>
                  <a:rPr lang="pt-PT" sz="900"/>
                  <a:t>espiras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6848335"/>
        <c:crosses val="autoZero"/>
        <c:crossBetween val="midCat"/>
      </c:valAx>
      <c:valAx>
        <c:axId val="956848335"/>
        <c:scaling>
          <c:orientation val="minMax"/>
          <c:max val="0.17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 </a:t>
                </a:r>
                <a:r>
                  <a:rPr lang="pt-PT" sz="800"/>
                  <a:t>E0</a:t>
                </a:r>
                <a:r>
                  <a:rPr lang="pt-PT" sz="11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685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86611863441809"/>
          <c:y val="0.66844310339424551"/>
          <c:w val="0.16264853049822206"/>
          <c:h val="6.2203851710489193E-2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/>
              <a:t>Gráfico de resíduos </a:t>
            </a:r>
            <a:r>
              <a:rPr lang="pt-PT" sz="1800" baseline="0"/>
              <a:t>(gama 1)</a:t>
            </a:r>
            <a:endParaRPr lang="pt-PT" sz="1800"/>
          </a:p>
        </c:rich>
      </c:tx>
      <c:layout>
        <c:manualLayout>
          <c:xMode val="edge"/>
          <c:yMode val="edge"/>
          <c:x val="0.2457624656843212"/>
          <c:y val="3.68224338028097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73832576244643"/>
          <c:y val="0.13244849397119174"/>
          <c:w val="0.80965463692038497"/>
          <c:h val="0.7372856356882113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8.4000000000000025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 espiras'!$E$16:$E$19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442</c:v>
                </c:pt>
                <c:pt idx="3">
                  <c:v>542</c:v>
                </c:pt>
              </c:numCache>
            </c:numRef>
          </c:xVal>
          <c:yVal>
            <c:numRef>
              <c:f>'n espiras'!$H$16:$H$19</c:f>
              <c:numCache>
                <c:formatCode>General</c:formatCode>
                <c:ptCount val="4"/>
                <c:pt idx="0">
                  <c:v>-1.7288572556027962E-4</c:v>
                </c:pt>
                <c:pt idx="1">
                  <c:v>3.3914192126912462E-4</c:v>
                </c:pt>
                <c:pt idx="2">
                  <c:v>-3.957104637640485E-4</c:v>
                </c:pt>
                <c:pt idx="3">
                  <c:v>2.2945426805520697E-4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F-4471-A23D-907CE216B872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 espiras'!$J$16:$J$17</c:f>
              <c:numCache>
                <c:formatCode>General</c:formatCode>
                <c:ptCount val="2"/>
                <c:pt idx="0">
                  <c:v>0</c:v>
                </c:pt>
                <c:pt idx="1">
                  <c:v>800</c:v>
                </c:pt>
              </c:numCache>
            </c:numRef>
          </c:xVal>
          <c:yVal>
            <c:numRef>
              <c:f>'n espiras'!$K$16:$K$17</c:f>
              <c:numCache>
                <c:formatCode>General</c:formatCode>
                <c:ptCount val="2"/>
                <c:pt idx="0">
                  <c:v>8.4159699277712538E-4</c:v>
                </c:pt>
                <c:pt idx="1">
                  <c:v>8.4159699277712538E-4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5-4393-8035-EC337D133A0E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 espiras'!$J$16:$J$17</c:f>
              <c:numCache>
                <c:formatCode>General</c:formatCode>
                <c:ptCount val="2"/>
                <c:pt idx="0">
                  <c:v>0</c:v>
                </c:pt>
                <c:pt idx="1">
                  <c:v>800</c:v>
                </c:pt>
              </c:numCache>
            </c:numRef>
          </c:xVal>
          <c:yVal>
            <c:numRef>
              <c:f>'n espiras'!$L$16:$L$17</c:f>
              <c:numCache>
                <c:formatCode>General</c:formatCode>
                <c:ptCount val="2"/>
                <c:pt idx="0">
                  <c:v>-8.4159699277712538E-4</c:v>
                </c:pt>
                <c:pt idx="1">
                  <c:v>-8.4159699277712538E-4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95-4393-8035-EC337D133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852175"/>
        <c:axId val="956848335"/>
      </c:scatterChart>
      <c:valAx>
        <c:axId val="956852175"/>
        <c:scaling>
          <c:orientation val="minMax"/>
          <c:max val="57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 </a:t>
                </a:r>
                <a:r>
                  <a:rPr lang="pt-PT" sz="900"/>
                  <a:t>espiras</a:t>
                </a:r>
                <a:endParaRPr lang="pt-PT" sz="1200"/>
              </a:p>
            </c:rich>
          </c:tx>
          <c:layout>
            <c:manualLayout>
              <c:xMode val="edge"/>
              <c:yMode val="edge"/>
              <c:x val="0.4675370623354837"/>
              <c:y val="0.921182090200876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6848335"/>
        <c:crossesAt val="-400"/>
        <c:crossBetween val="midCat"/>
      </c:valAx>
      <c:valAx>
        <c:axId val="9568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 </a:t>
                </a:r>
                <a:r>
                  <a:rPr lang="pt-PT" sz="800"/>
                  <a:t>E0</a:t>
                </a:r>
                <a:r>
                  <a:rPr lang="pt-PT" sz="11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5685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8313379163376118"/>
          <c:y val="0.7586788487411954"/>
          <c:w val="0.15974137542045572"/>
          <c:h val="9.5264324485143478E-2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Gráfico de</a:t>
            </a:r>
            <a:r>
              <a:rPr lang="pt-PT" sz="1600" baseline="0"/>
              <a:t> V </a:t>
            </a:r>
            <a:r>
              <a:rPr lang="pt-PT" sz="1100" baseline="0"/>
              <a:t>E0</a:t>
            </a:r>
            <a:r>
              <a:rPr lang="pt-PT" sz="1600" baseline="0"/>
              <a:t> em função de n </a:t>
            </a:r>
            <a:r>
              <a:rPr lang="pt-PT" sz="1100" baseline="0"/>
              <a:t>espiras</a:t>
            </a:r>
            <a:r>
              <a:rPr lang="pt-PT" sz="1600" baseline="0"/>
              <a:t> </a:t>
            </a:r>
            <a:r>
              <a:rPr lang="pt-PT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(gama original)</a:t>
            </a:r>
            <a:endParaRPr lang="pt-PT" sz="1600"/>
          </a:p>
        </c:rich>
      </c:tx>
      <c:layout>
        <c:manualLayout>
          <c:xMode val="edge"/>
          <c:yMode val="edge"/>
          <c:x val="0.13476800832247629"/>
          <c:y val="3.370108612782159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454618296188171"/>
          <c:y val="0.14200313340498455"/>
          <c:w val="0.84611298913206134"/>
          <c:h val="0.70797173518984902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3810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S!$D$7:$D$9</c:f>
              <c:numCache>
                <c:formatCode>General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S!$H$7:$H$9</c:f>
              <c:numCache>
                <c:formatCode>General</c:formatCode>
                <c:ptCount val="3"/>
                <c:pt idx="0">
                  <c:v>0.14325983386839453</c:v>
                </c:pt>
                <c:pt idx="1">
                  <c:v>9.3309810845376831E-2</c:v>
                </c:pt>
                <c:pt idx="2">
                  <c:v>5.7600918395456162E-2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09-4C51-92B4-7FEAC8E9F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21135"/>
        <c:axId val="125420175"/>
      </c:scatterChart>
      <c:valAx>
        <c:axId val="125421135"/>
        <c:scaling>
          <c:orientation val="minMax"/>
          <c:max val="1.4000000000000004E-3"/>
          <c:min val="5.0000000000000012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 (m^2)</a:t>
                </a:r>
              </a:p>
            </c:rich>
          </c:tx>
          <c:layout>
            <c:manualLayout>
              <c:xMode val="edge"/>
              <c:yMode val="edge"/>
              <c:x val="0.48909360853675121"/>
              <c:y val="0.9236864843631854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0175"/>
        <c:crosses val="autoZero"/>
        <c:crossBetween val="midCat"/>
      </c:valAx>
      <c:valAx>
        <c:axId val="125420175"/>
        <c:scaling>
          <c:orientation val="minMax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 </a:t>
                </a:r>
                <a:r>
                  <a:rPr lang="pt-PT" sz="900"/>
                  <a:t>E0</a:t>
                </a:r>
                <a:r>
                  <a:rPr lang="pt-PT" sz="11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113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471810959636653"/>
          <c:y val="0.65490420206645306"/>
          <c:w val="0.18392668335269033"/>
          <c:h val="5.6796443861823823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Gráfico de resíduos (gama original)</a:t>
            </a:r>
          </a:p>
        </c:rich>
      </c:tx>
      <c:layout>
        <c:manualLayout>
          <c:xMode val="edge"/>
          <c:yMode val="edge"/>
          <c:x val="0.20336100185125469"/>
          <c:y val="2.68859512536541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63394469949223"/>
          <c:y val="0.14054607527799851"/>
          <c:w val="0.86119470151325028"/>
          <c:h val="0.6998067876936885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8.2483000000000035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S!$D$7:$D$9</c:f>
              <c:numCache>
                <c:formatCode>General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S!$J$7:$J$9</c:f>
              <c:numCache>
                <c:formatCode>General</c:formatCode>
                <c:ptCount val="3"/>
                <c:pt idx="0">
                  <c:v>1.376537606169459E-4</c:v>
                </c:pt>
                <c:pt idx="1">
                  <c:v>-3.3496859423744196E-4</c:v>
                </c:pt>
                <c:pt idx="2">
                  <c:v>1.9731483362044056E-4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F1-4A5D-9927-F88E86B1384A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S!$D$17:$D$18</c:f>
              <c:numCache>
                <c:formatCode>0.00</c:formatCode>
                <c:ptCount val="2"/>
                <c:pt idx="0">
                  <c:v>2.9999999999999997E-4</c:v>
                </c:pt>
                <c:pt idx="1">
                  <c:v>2E-3</c:v>
                </c:pt>
              </c:numCache>
            </c:numRef>
          </c:xVal>
          <c:yVal>
            <c:numRef>
              <c:f>S!$E$17:$E$18</c:f>
              <c:numCache>
                <c:formatCode>General</c:formatCode>
                <c:ptCount val="2"/>
                <c:pt idx="0">
                  <c:v>8.248288561975986E-4</c:v>
                </c:pt>
                <c:pt idx="1">
                  <c:v>8.248288561975986E-4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4E-440C-B6B0-56DB187E2826}"/>
            </c:ext>
          </c:extLst>
        </c:ser>
        <c:ser>
          <c:idx val="2"/>
          <c:order val="2"/>
          <c:tx>
            <c:strRef>
              <c:f>S!$D$17</c:f>
              <c:strCache>
                <c:ptCount val="1"/>
                <c:pt idx="0">
                  <c:v>0,00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S!$D$17:$D$18</c:f>
              <c:numCache>
                <c:formatCode>0.00</c:formatCode>
                <c:ptCount val="2"/>
                <c:pt idx="0">
                  <c:v>2.9999999999999997E-4</c:v>
                </c:pt>
                <c:pt idx="1">
                  <c:v>2E-3</c:v>
                </c:pt>
              </c:numCache>
            </c:numRef>
          </c:xVal>
          <c:yVal>
            <c:numRef>
              <c:f>S!$F$17:$F$18</c:f>
              <c:numCache>
                <c:formatCode>0.00000000</c:formatCode>
                <c:ptCount val="2"/>
                <c:pt idx="0">
                  <c:v>-8.248288561975986E-4</c:v>
                </c:pt>
                <c:pt idx="1">
                  <c:v>-8.248288561975986E-4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4E-440C-B6B0-56DB187E2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454719"/>
        <c:axId val="1050455199"/>
      </c:scatterChart>
      <c:valAx>
        <c:axId val="1050454719"/>
        <c:scaling>
          <c:orientation val="minMax"/>
          <c:max val="1.4000000000000004E-3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 (m^2)</a:t>
                </a:r>
              </a:p>
            </c:rich>
          </c:tx>
          <c:layout>
            <c:manualLayout>
              <c:xMode val="edge"/>
              <c:yMode val="edge"/>
              <c:x val="0.47718483534073058"/>
              <c:y val="0.92370881731899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0455199"/>
        <c:crossesAt val="-10"/>
        <c:crossBetween val="midCat"/>
      </c:valAx>
      <c:valAx>
        <c:axId val="105045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Resíduos</a:t>
                </a:r>
              </a:p>
            </c:rich>
          </c:tx>
          <c:layout>
            <c:manualLayout>
              <c:xMode val="edge"/>
              <c:yMode val="edge"/>
              <c:x val="0"/>
              <c:y val="0.35433189310886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0454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80406406529897012"/>
          <c:y val="0.73879839084726617"/>
          <c:w val="0.15258722050410536"/>
          <c:h val="7.6271194015043425E-2"/>
        </c:manualLayout>
      </c:layout>
      <c:overlay val="0"/>
      <c:spPr>
        <a:solidFill>
          <a:schemeClr val="bg1">
            <a:alpha val="99000"/>
          </a:schemeClr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Gráfico de ajuste linear (gama original)</a:t>
            </a:r>
          </a:p>
        </c:rich>
      </c:tx>
      <c:layout>
        <c:manualLayout>
          <c:xMode val="edge"/>
          <c:yMode val="edge"/>
          <c:x val="0.17103851805464004"/>
          <c:y val="3.37012759576126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454618296188171"/>
          <c:y val="0.14200313340498455"/>
          <c:w val="0.84611298913206134"/>
          <c:h val="0.70797173518984902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158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S!$D$7:$D$9</c:f>
              <c:numCache>
                <c:formatCode>General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S!$I$7:$I$9</c:f>
              <c:numCache>
                <c:formatCode>General</c:formatCode>
                <c:ptCount val="3"/>
                <c:pt idx="0">
                  <c:v>0.14339748762901147</c:v>
                </c:pt>
                <c:pt idx="1">
                  <c:v>9.2974842251139389E-2</c:v>
                </c:pt>
                <c:pt idx="2">
                  <c:v>5.7798233229076602E-2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4C-4C35-94EA-1FE801800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21135"/>
        <c:axId val="125420175"/>
      </c:scatterChart>
      <c:valAx>
        <c:axId val="125421135"/>
        <c:scaling>
          <c:orientation val="minMax"/>
          <c:max val="1.4000000000000004E-3"/>
          <c:min val="5.0000000000000012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 (m^2)</a:t>
                </a:r>
              </a:p>
            </c:rich>
          </c:tx>
          <c:layout>
            <c:manualLayout>
              <c:xMode val="edge"/>
              <c:yMode val="edge"/>
              <c:x val="0.48909360853675121"/>
              <c:y val="0.9236864843631854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0175"/>
        <c:crosses val="autoZero"/>
        <c:crossBetween val="midCat"/>
      </c:valAx>
      <c:valAx>
        <c:axId val="125420175"/>
        <c:scaling>
          <c:orientation val="minMax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V </a:t>
                </a:r>
                <a:r>
                  <a:rPr lang="pt-PT" sz="900"/>
                  <a:t>E0</a:t>
                </a:r>
                <a:r>
                  <a:rPr lang="pt-PT" sz="1100"/>
                  <a:t>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2113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810261751448385"/>
          <c:y val="0.53305590725969587"/>
          <c:w val="0.14777291784134811"/>
          <c:h val="5.6796443861823823E-2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152384</xdr:colOff>
      <xdr:row>33</xdr:row>
      <xdr:rowOff>81403</xdr:rowOff>
    </xdr:from>
    <xdr:to>
      <xdr:col>8</xdr:col>
      <xdr:colOff>774916</xdr:colOff>
      <xdr:row>52</xdr:row>
      <xdr:rowOff>171978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73FD95-E158-0FDC-2BE0-1F75D77BD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1109323</xdr:colOff>
      <xdr:row>24</xdr:row>
      <xdr:rowOff>17961</xdr:rowOff>
    </xdr:from>
    <xdr:to>
      <xdr:col>24</xdr:col>
      <xdr:colOff>434286</xdr:colOff>
      <xdr:row>43</xdr:row>
      <xdr:rowOff>84971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F8335D6-E690-4480-935E-1FE6AC16E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290592</xdr:colOff>
      <xdr:row>31</xdr:row>
      <xdr:rowOff>118389</xdr:rowOff>
    </xdr:from>
    <xdr:to>
      <xdr:col>15</xdr:col>
      <xdr:colOff>418523</xdr:colOff>
      <xdr:row>50</xdr:row>
      <xdr:rowOff>43051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5D55EB8-A00D-4B54-BB97-6F03158F0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600794</xdr:colOff>
      <xdr:row>1</xdr:row>
      <xdr:rowOff>153006</xdr:rowOff>
    </xdr:from>
    <xdr:to>
      <xdr:col>19</xdr:col>
      <xdr:colOff>610647</xdr:colOff>
      <xdr:row>19</xdr:row>
      <xdr:rowOff>149374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E81CA51-3BF7-4500-9472-D59FED7DA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341833</xdr:colOff>
      <xdr:row>3</xdr:row>
      <xdr:rowOff>34110</xdr:rowOff>
    </xdr:from>
    <xdr:to>
      <xdr:col>19</xdr:col>
      <xdr:colOff>77438</xdr:colOff>
      <xdr:row>22</xdr:row>
      <xdr:rowOff>30975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3AC2CC-5DCA-4464-903A-8C09B301E0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74382</xdr:colOff>
      <xdr:row>22</xdr:row>
      <xdr:rowOff>40826</xdr:rowOff>
    </xdr:from>
    <xdr:to>
      <xdr:col>18</xdr:col>
      <xdr:colOff>362857</xdr:colOff>
      <xdr:row>40</xdr:row>
      <xdr:rowOff>113392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EBB9D4-955A-4D3C-80CE-388D9A5D7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175787</xdr:colOff>
      <xdr:row>3</xdr:row>
      <xdr:rowOff>32911</xdr:rowOff>
    </xdr:from>
    <xdr:to>
      <xdr:col>29</xdr:col>
      <xdr:colOff>254000</xdr:colOff>
      <xdr:row>21</xdr:row>
      <xdr:rowOff>77439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4F6B0FD-D91D-4620-960D-8FCCD3B17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870070</xdr:colOff>
      <xdr:row>53</xdr:row>
      <xdr:rowOff>0</xdr:rowOff>
    </xdr:from>
    <xdr:to>
      <xdr:col>16</xdr:col>
      <xdr:colOff>388845</xdr:colOff>
      <xdr:row>72</xdr:row>
      <xdr:rowOff>58817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28EE83B-2FFF-46D5-AD6E-546E94F92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55</xdr:row>
      <xdr:rowOff>0</xdr:rowOff>
    </xdr:from>
    <xdr:to>
      <xdr:col>26</xdr:col>
      <xdr:colOff>293687</xdr:colOff>
      <xdr:row>73</xdr:row>
      <xdr:rowOff>106479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DA8945D-04F5-4299-99D9-2EA08B587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852841</xdr:colOff>
      <xdr:row>73</xdr:row>
      <xdr:rowOff>89959</xdr:rowOff>
    </xdr:from>
    <xdr:to>
      <xdr:col>16</xdr:col>
      <xdr:colOff>336981</xdr:colOff>
      <xdr:row>92</xdr:row>
      <xdr:rowOff>83177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B0BFFE6-5B27-4848-AEB5-C9213487D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311507</xdr:colOff>
      <xdr:row>2</xdr:row>
      <xdr:rowOff>34708</xdr:rowOff>
    </xdr:from>
    <xdr:to>
      <xdr:col>29</xdr:col>
      <xdr:colOff>391299</xdr:colOff>
      <xdr:row>18</xdr:row>
      <xdr:rowOff>121480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9F9185-F375-47C0-85F9-D1C194E02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441740</xdr:colOff>
      <xdr:row>21</xdr:row>
      <xdr:rowOff>27609</xdr:rowOff>
    </xdr:from>
    <xdr:to>
      <xdr:col>25</xdr:col>
      <xdr:colOff>521530</xdr:colOff>
      <xdr:row>38</xdr:row>
      <xdr:rowOff>24265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0BB6426-FEC6-4007-883A-0C0C32CB4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170962</xdr:colOff>
      <xdr:row>27</xdr:row>
      <xdr:rowOff>170962</xdr:rowOff>
    </xdr:from>
    <xdr:to>
      <xdr:col>8</xdr:col>
      <xdr:colOff>18733</xdr:colOff>
      <xdr:row>45</xdr:row>
      <xdr:rowOff>17363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5AFFD9-4C30-4805-A85C-F68BAFA84C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622548</xdr:colOff>
      <xdr:row>28</xdr:row>
      <xdr:rowOff>62253</xdr:rowOff>
    </xdr:from>
    <xdr:to>
      <xdr:col>17</xdr:col>
      <xdr:colOff>62255</xdr:colOff>
      <xdr:row>46</xdr:row>
      <xdr:rowOff>112059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DCD5AD2-5E31-477A-BE14-0F63F6AC6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346074</xdr:colOff>
      <xdr:row>5</xdr:row>
      <xdr:rowOff>22225</xdr:rowOff>
    </xdr:from>
    <xdr:to>
      <xdr:col>19</xdr:col>
      <xdr:colOff>158750</xdr:colOff>
      <xdr:row>24</xdr:row>
      <xdr:rowOff>12959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B768E8-3234-AA16-BDE4-E8CDD9D40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562081</xdr:colOff>
      <xdr:row>4</xdr:row>
      <xdr:rowOff>204255</xdr:rowOff>
    </xdr:from>
    <xdr:to>
      <xdr:col>29</xdr:col>
      <xdr:colOff>292521</xdr:colOff>
      <xdr:row>22</xdr:row>
      <xdr:rowOff>178639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DF8D5F0-03DC-4D09-878C-5570F9E67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116632</xdr:colOff>
      <xdr:row>25</xdr:row>
      <xdr:rowOff>153891</xdr:rowOff>
    </xdr:from>
    <xdr:to>
      <xdr:col>21</xdr:col>
      <xdr:colOff>533461</xdr:colOff>
      <xdr:row>42</xdr:row>
      <xdr:rowOff>177939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FF70736-37DD-4EEE-8323-058DA4B7B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C757-59F9-4A3E-8A59-E58C8D78E9E1}">
  <dimension ref="B4:D12"/>
  <sheetViews>
    <sheetView workbookViewId="0">
      <selection activeCell="F7" sqref="F7"/>
    </sheetView>
  </sheetViews>
  <sheetFormatPr defaultRowHeight="14.5" x14ac:dyDescent="0.35"/>
  <cols>
    <col min="2" max="2" width="7.08984375" bestFit="1" customWidth="1"/>
    <col min="3" max="3" width="5.54296875" bestFit="1" customWidth="1"/>
    <col min="4" max="4" width="9" bestFit="1" customWidth="1"/>
  </cols>
  <sheetData>
    <row r="4" spans="2:4" ht="16" x14ac:dyDescent="0.35">
      <c r="B4" s="4" t="s">
        <v>1</v>
      </c>
      <c r="C4" s="4" t="s">
        <v>13</v>
      </c>
      <c r="D4" s="4" t="s">
        <v>14</v>
      </c>
    </row>
    <row r="5" spans="2:4" x14ac:dyDescent="0.35">
      <c r="B5" s="1">
        <v>1</v>
      </c>
      <c r="C5" s="1">
        <v>41</v>
      </c>
      <c r="D5" s="1">
        <v>300</v>
      </c>
    </row>
    <row r="6" spans="2:4" x14ac:dyDescent="0.35">
      <c r="B6" s="1">
        <v>2</v>
      </c>
      <c r="C6" s="1">
        <v>33</v>
      </c>
      <c r="D6" s="1">
        <v>300</v>
      </c>
    </row>
    <row r="7" spans="2:4" x14ac:dyDescent="0.35">
      <c r="B7" s="1">
        <v>3</v>
      </c>
      <c r="C7" s="1">
        <v>26</v>
      </c>
      <c r="D7" s="1">
        <v>300</v>
      </c>
    </row>
    <row r="8" spans="2:4" x14ac:dyDescent="0.35">
      <c r="B8" s="1">
        <v>4</v>
      </c>
      <c r="C8" s="1">
        <v>41</v>
      </c>
      <c r="D8" s="1">
        <v>200</v>
      </c>
    </row>
    <row r="9" spans="2:4" x14ac:dyDescent="0.35">
      <c r="B9" s="1">
        <v>5</v>
      </c>
      <c r="C9" s="1">
        <v>41</v>
      </c>
      <c r="D9" s="1">
        <v>100</v>
      </c>
    </row>
    <row r="10" spans="2:4" x14ac:dyDescent="0.35">
      <c r="B10" s="1">
        <v>6</v>
      </c>
      <c r="C10" s="1">
        <v>26</v>
      </c>
      <c r="D10" s="1">
        <v>100</v>
      </c>
    </row>
    <row r="11" spans="2:4" x14ac:dyDescent="0.35">
      <c r="B11" s="1">
        <v>7</v>
      </c>
      <c r="C11" s="1">
        <v>41</v>
      </c>
      <c r="D11" s="1">
        <v>442</v>
      </c>
    </row>
    <row r="12" spans="2:4" x14ac:dyDescent="0.35">
      <c r="B12" s="1">
        <v>8</v>
      </c>
      <c r="C12" s="1">
        <v>41</v>
      </c>
      <c r="D12" s="1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55F-1082-4D01-899E-B2032007CF9C}">
  <dimension ref="A1:P31"/>
  <sheetViews>
    <sheetView topLeftCell="B8" zoomScale="44" zoomScaleNormal="50" workbookViewId="0">
      <selection activeCell="C31" sqref="C31"/>
    </sheetView>
  </sheetViews>
  <sheetFormatPr defaultRowHeight="14.5" x14ac:dyDescent="0.35"/>
  <cols>
    <col min="2" max="2" width="12.36328125" bestFit="1" customWidth="1"/>
    <col min="3" max="4" width="11.81640625" bestFit="1" customWidth="1"/>
    <col min="5" max="5" width="16.90625" bestFit="1" customWidth="1"/>
    <col min="6" max="6" width="9.26953125" bestFit="1" customWidth="1"/>
    <col min="7" max="8" width="11.81640625" bestFit="1" customWidth="1"/>
    <col min="9" max="9" width="17.7265625" bestFit="1" customWidth="1"/>
    <col min="10" max="10" width="16" bestFit="1" customWidth="1"/>
    <col min="11" max="11" width="20.1796875" bestFit="1" customWidth="1"/>
    <col min="12" max="12" width="12.26953125" bestFit="1" customWidth="1"/>
    <col min="13" max="13" width="10.1796875" bestFit="1" customWidth="1"/>
    <col min="14" max="14" width="26.453125" bestFit="1" customWidth="1"/>
    <col min="15" max="15" width="9.54296875" bestFit="1" customWidth="1"/>
    <col min="16" max="16" width="20.1796875" bestFit="1" customWidth="1"/>
  </cols>
  <sheetData>
    <row r="1" spans="1:12" x14ac:dyDescent="0.35">
      <c r="A1" t="s">
        <v>0</v>
      </c>
    </row>
    <row r="2" spans="1:12" ht="18.5" x14ac:dyDescent="0.35">
      <c r="B2" s="36" t="s">
        <v>30</v>
      </c>
      <c r="C2" s="36"/>
      <c r="D2" s="36"/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6</v>
      </c>
      <c r="L2" s="4" t="s">
        <v>7</v>
      </c>
    </row>
    <row r="3" spans="1:12" x14ac:dyDescent="0.35">
      <c r="B3" s="3" t="s">
        <v>26</v>
      </c>
      <c r="C3" s="3" t="s">
        <v>13</v>
      </c>
      <c r="D3" s="3" t="s">
        <v>27</v>
      </c>
      <c r="F3" s="1">
        <v>1</v>
      </c>
      <c r="G3" s="1">
        <v>1</v>
      </c>
      <c r="H3" s="1">
        <v>1E-4</v>
      </c>
      <c r="I3" s="1">
        <v>0.1</v>
      </c>
      <c r="J3" s="1">
        <f>AVERAGE(E13:E23)</f>
        <v>0.18791105580293888</v>
      </c>
      <c r="K3" s="1">
        <v>1E-4</v>
      </c>
      <c r="L3" s="1">
        <v>0.1</v>
      </c>
    </row>
    <row r="4" spans="1:12" x14ac:dyDescent="0.35">
      <c r="B4" s="2">
        <v>300</v>
      </c>
      <c r="C4" s="2">
        <v>4.1000000000000002E-2</v>
      </c>
      <c r="D4" s="2">
        <f>(PI()*C4^2)/4</f>
        <v>1.3202543126711107E-3</v>
      </c>
    </row>
    <row r="5" spans="1:12" x14ac:dyDescent="0.35">
      <c r="I5" s="42" t="s">
        <v>19</v>
      </c>
      <c r="J5" s="42"/>
    </row>
    <row r="6" spans="1:12" x14ac:dyDescent="0.35">
      <c r="H6" s="3" t="s">
        <v>21</v>
      </c>
      <c r="I6" s="19">
        <f t="array" ref="I6:J8">LINEST(I13:I20,H13:H20,1,1)</f>
        <v>4.4394508133261205E-5</v>
      </c>
      <c r="J6" s="18">
        <v>-1.2579351740973355E-3</v>
      </c>
      <c r="K6" s="3" t="s">
        <v>20</v>
      </c>
    </row>
    <row r="7" spans="1:12" ht="16" x14ac:dyDescent="0.4">
      <c r="B7" s="43" t="s">
        <v>2</v>
      </c>
      <c r="C7" s="43"/>
      <c r="D7" s="43"/>
      <c r="H7" s="3" t="s">
        <v>17</v>
      </c>
      <c r="I7" s="17">
        <v>1.7265812065073687E-7</v>
      </c>
      <c r="J7" s="18">
        <v>5.7412373799823799E-4</v>
      </c>
      <c r="K7" s="3" t="s">
        <v>22</v>
      </c>
    </row>
    <row r="8" spans="1:12" x14ac:dyDescent="0.35">
      <c r="B8" s="3" t="s">
        <v>25</v>
      </c>
      <c r="C8" s="3" t="s">
        <v>24</v>
      </c>
      <c r="D8" s="3" t="s">
        <v>3</v>
      </c>
      <c r="H8" s="3" t="s">
        <v>18</v>
      </c>
      <c r="I8" s="18">
        <v>0.99990925402740172</v>
      </c>
      <c r="J8" s="18">
        <v>8.3255027596924663E-4</v>
      </c>
      <c r="K8" s="3" t="s">
        <v>23</v>
      </c>
    </row>
    <row r="9" spans="1:12" x14ac:dyDescent="0.35">
      <c r="B9" s="2">
        <v>361</v>
      </c>
      <c r="C9" s="2">
        <v>0.75</v>
      </c>
      <c r="D9" s="2">
        <v>0.01</v>
      </c>
    </row>
    <row r="11" spans="1:12" ht="23.5" x14ac:dyDescent="0.35">
      <c r="B11" s="41" t="s">
        <v>41</v>
      </c>
      <c r="C11" s="41"/>
      <c r="D11" s="41"/>
      <c r="E11" s="41"/>
      <c r="F11" s="41"/>
      <c r="G11" s="41"/>
      <c r="H11" s="37" t="s">
        <v>42</v>
      </c>
      <c r="I11" s="38"/>
      <c r="J11" s="38"/>
      <c r="K11" s="39"/>
    </row>
    <row r="12" spans="1:12" x14ac:dyDescent="0.35">
      <c r="B12" s="3" t="s">
        <v>4</v>
      </c>
      <c r="C12" s="3" t="s">
        <v>5</v>
      </c>
      <c r="D12" s="3" t="s">
        <v>36</v>
      </c>
      <c r="E12" s="3" t="s">
        <v>37</v>
      </c>
      <c r="F12" s="3" t="s">
        <v>38</v>
      </c>
      <c r="G12" s="3" t="s">
        <v>39</v>
      </c>
      <c r="H12" s="14" t="s">
        <v>5</v>
      </c>
      <c r="I12" s="14" t="s">
        <v>39</v>
      </c>
      <c r="J12" s="14" t="s">
        <v>40</v>
      </c>
      <c r="K12" s="14" t="s">
        <v>16</v>
      </c>
    </row>
    <row r="13" spans="1:12" x14ac:dyDescent="0.35">
      <c r="B13" s="1">
        <v>112</v>
      </c>
      <c r="C13" s="15">
        <f>2*PI()*B13</f>
        <v>703.71675440411366</v>
      </c>
      <c r="D13" s="1">
        <v>265.89999999999998</v>
      </c>
      <c r="E13" s="1">
        <f>D13/SQRT(2)*0.001</f>
        <v>0.18801969311750297</v>
      </c>
      <c r="F13" s="11">
        <v>4.3999999999999997E-2</v>
      </c>
      <c r="G13" s="11">
        <f>F13/SQRT(2)</f>
        <v>3.1112698372208088E-2</v>
      </c>
      <c r="H13" s="15">
        <f t="shared" ref="H13:H19" si="0">C13</f>
        <v>703.71675440411366</v>
      </c>
      <c r="I13" s="11">
        <f t="shared" ref="I13:I19" si="1">G13</f>
        <v>3.1112698372208088E-2</v>
      </c>
      <c r="J13" s="11">
        <f>H13*$I$6+$J$6</f>
        <v>2.9983224002808267E-2</v>
      </c>
      <c r="K13" s="1">
        <f t="shared" ref="K13:K19" si="2">J13-G13</f>
        <v>-1.1294743693998216E-3</v>
      </c>
    </row>
    <row r="14" spans="1:12" x14ac:dyDescent="0.35">
      <c r="B14" s="1">
        <v>200</v>
      </c>
      <c r="C14" s="15">
        <f t="shared" ref="C14:C23" si="3">2*PI()*B14</f>
        <v>1256.6370614359173</v>
      </c>
      <c r="D14" s="1">
        <v>265.33999999999997</v>
      </c>
      <c r="E14" s="1">
        <f t="shared" ref="E14:E23" si="4">D14/SQRT(2)*0.001</f>
        <v>0.18762371332003849</v>
      </c>
      <c r="F14" s="11">
        <v>7.7399999999999997E-2</v>
      </c>
      <c r="G14" s="11">
        <f t="shared" ref="G14:G23" si="5">F14/SQRT(2)</f>
        <v>5.4730064863838773E-2</v>
      </c>
      <c r="H14" s="15">
        <f t="shared" si="0"/>
        <v>1256.6370614359173</v>
      </c>
      <c r="I14" s="11">
        <f t="shared" si="1"/>
        <v>5.4730064863838773E-2</v>
      </c>
      <c r="J14" s="11">
        <f t="shared" ref="J14:J20" si="6">H14*$I$6+$J$6</f>
        <v>5.4529849070376953E-2</v>
      </c>
      <c r="K14" s="1">
        <f t="shared" si="2"/>
        <v>-2.0021579346182067E-4</v>
      </c>
    </row>
    <row r="15" spans="1:12" x14ac:dyDescent="0.35">
      <c r="B15" s="1">
        <v>289</v>
      </c>
      <c r="C15" s="15">
        <f t="shared" si="3"/>
        <v>1815.8405537749004</v>
      </c>
      <c r="D15" s="1">
        <v>265.37</v>
      </c>
      <c r="E15" s="1">
        <f t="shared" si="4"/>
        <v>0.18764492652347411</v>
      </c>
      <c r="F15" s="11">
        <v>0.1118</v>
      </c>
      <c r="G15" s="11">
        <f t="shared" si="5"/>
        <v>7.9054538136656E-2</v>
      </c>
      <c r="H15" s="15">
        <f t="shared" si="0"/>
        <v>1815.8405537749004</v>
      </c>
      <c r="I15" s="11">
        <f t="shared" si="1"/>
        <v>7.9054538136656E-2</v>
      </c>
      <c r="J15" s="11">
        <f t="shared" si="6"/>
        <v>7.9355413059168017E-2</v>
      </c>
      <c r="K15" s="1">
        <f t="shared" si="2"/>
        <v>3.0087492251201775E-4</v>
      </c>
    </row>
    <row r="16" spans="1:12" x14ac:dyDescent="0.35">
      <c r="B16" s="1">
        <v>358</v>
      </c>
      <c r="C16" s="15">
        <f t="shared" si="3"/>
        <v>2249.380339970292</v>
      </c>
      <c r="D16" s="1">
        <v>266.7</v>
      </c>
      <c r="E16" s="1">
        <f t="shared" si="4"/>
        <v>0.18858537854245219</v>
      </c>
      <c r="F16" s="11">
        <v>0.13900000000000001</v>
      </c>
      <c r="G16" s="11">
        <f t="shared" si="5"/>
        <v>9.8287842584930105E-2</v>
      </c>
      <c r="H16" s="15">
        <f t="shared" si="0"/>
        <v>2249.380339970292</v>
      </c>
      <c r="I16" s="11">
        <f t="shared" si="1"/>
        <v>9.8287842584930105E-2</v>
      </c>
      <c r="J16" s="11">
        <f t="shared" si="6"/>
        <v>9.8602198623511647E-2</v>
      </c>
      <c r="K16" s="1">
        <f t="shared" si="2"/>
        <v>3.1435603858154249E-4</v>
      </c>
    </row>
    <row r="17" spans="2:16" x14ac:dyDescent="0.35">
      <c r="B17" s="1">
        <v>448</v>
      </c>
      <c r="C17" s="15">
        <f t="shared" si="3"/>
        <v>2814.8670176164546</v>
      </c>
      <c r="D17" s="1">
        <v>266.58999999999997</v>
      </c>
      <c r="E17" s="1">
        <f t="shared" si="4"/>
        <v>0.18850759679652168</v>
      </c>
      <c r="F17" s="11">
        <v>0.1736</v>
      </c>
      <c r="G17" s="11">
        <f t="shared" si="5"/>
        <v>0.12275373721398465</v>
      </c>
      <c r="H17" s="15">
        <f t="shared" si="0"/>
        <v>2814.8670176164546</v>
      </c>
      <c r="I17" s="11">
        <f t="shared" si="1"/>
        <v>0.12275373721398465</v>
      </c>
      <c r="J17" s="11">
        <f t="shared" si="6"/>
        <v>0.12370670153352507</v>
      </c>
      <c r="K17" s="1">
        <f t="shared" si="2"/>
        <v>9.5296431954042249E-4</v>
      </c>
    </row>
    <row r="18" spans="2:16" x14ac:dyDescent="0.35">
      <c r="B18" s="1">
        <v>532</v>
      </c>
      <c r="C18" s="15">
        <f t="shared" si="3"/>
        <v>3342.6545834195399</v>
      </c>
      <c r="D18" s="1">
        <v>269.47000000000003</v>
      </c>
      <c r="E18" s="1">
        <f t="shared" si="4"/>
        <v>0.19054406432633897</v>
      </c>
      <c r="F18" s="11">
        <v>0.20830000000000001</v>
      </c>
      <c r="G18" s="11">
        <f t="shared" si="5"/>
        <v>0.14729034252115786</v>
      </c>
      <c r="H18" s="15">
        <f t="shared" si="0"/>
        <v>3342.6545834195399</v>
      </c>
      <c r="I18" s="11">
        <f t="shared" si="1"/>
        <v>0.14729034252115786</v>
      </c>
      <c r="J18" s="11">
        <f t="shared" si="6"/>
        <v>0.14713757091620427</v>
      </c>
      <c r="K18" s="1">
        <f t="shared" si="2"/>
        <v>-1.5277160495358322E-4</v>
      </c>
    </row>
    <row r="19" spans="2:16" x14ac:dyDescent="0.35">
      <c r="B19" s="1">
        <v>683</v>
      </c>
      <c r="C19" s="15">
        <f t="shared" si="3"/>
        <v>4291.4155648036576</v>
      </c>
      <c r="D19" s="1">
        <v>269.17</v>
      </c>
      <c r="E19" s="1">
        <f t="shared" si="4"/>
        <v>0.190331932291983</v>
      </c>
      <c r="F19" s="11">
        <v>0.26640000000000003</v>
      </c>
      <c r="G19" s="11">
        <f t="shared" si="5"/>
        <v>0.18837324650809625</v>
      </c>
      <c r="H19" s="15">
        <f t="shared" si="0"/>
        <v>4291.4155648036576</v>
      </c>
      <c r="I19" s="11">
        <f t="shared" si="1"/>
        <v>0.18837324650809625</v>
      </c>
      <c r="J19" s="11">
        <f t="shared" si="6"/>
        <v>0.18925734802078237</v>
      </c>
      <c r="K19" s="1">
        <f t="shared" si="2"/>
        <v>8.8410151268611403E-4</v>
      </c>
    </row>
    <row r="20" spans="2:16" x14ac:dyDescent="0.35">
      <c r="B20" s="12">
        <v>734</v>
      </c>
      <c r="C20" s="16">
        <f t="shared" si="3"/>
        <v>4611.8580154698166</v>
      </c>
      <c r="D20" s="12">
        <v>260.5</v>
      </c>
      <c r="E20" s="12">
        <f t="shared" si="4"/>
        <v>0.1842013164990956</v>
      </c>
      <c r="F20" s="13">
        <v>0.27689999999999998</v>
      </c>
      <c r="G20" s="13">
        <f t="shared" si="5"/>
        <v>0.19579786771055499</v>
      </c>
      <c r="H20" s="15">
        <f>C23</f>
        <v>6364.8667161729209</v>
      </c>
      <c r="I20" s="11">
        <f>G23</f>
        <v>0.28227702704966973</v>
      </c>
      <c r="J20" s="11">
        <f t="shared" si="6"/>
        <v>0.28130719202416493</v>
      </c>
      <c r="K20" s="1">
        <f>J20-G23</f>
        <v>-9.6983502550479495E-4</v>
      </c>
    </row>
    <row r="21" spans="2:16" x14ac:dyDescent="0.35">
      <c r="B21" s="12">
        <v>817</v>
      </c>
      <c r="C21" s="16">
        <f t="shared" si="3"/>
        <v>5133.3623959657216</v>
      </c>
      <c r="D21" s="12">
        <v>262.27</v>
      </c>
      <c r="E21" s="12">
        <f t="shared" si="4"/>
        <v>0.18545289550179578</v>
      </c>
      <c r="F21" s="13">
        <v>0.30990000000000001</v>
      </c>
      <c r="G21" s="13">
        <f t="shared" si="5"/>
        <v>0.21913239148971106</v>
      </c>
    </row>
    <row r="22" spans="2:16" x14ac:dyDescent="0.35">
      <c r="B22" s="12">
        <v>944</v>
      </c>
      <c r="C22" s="16">
        <f t="shared" si="3"/>
        <v>5931.3269299775293</v>
      </c>
      <c r="D22" s="12">
        <v>264.06</v>
      </c>
      <c r="E22" s="12">
        <f t="shared" si="4"/>
        <v>0.18671861664011974</v>
      </c>
      <c r="F22" s="13">
        <v>0.35549999999999998</v>
      </c>
      <c r="G22" s="13">
        <f t="shared" si="5"/>
        <v>0.25137646071181763</v>
      </c>
    </row>
    <row r="23" spans="2:16" x14ac:dyDescent="0.35">
      <c r="B23" s="1">
        <v>1013</v>
      </c>
      <c r="C23" s="1">
        <f t="shared" si="3"/>
        <v>6364.8667161729209</v>
      </c>
      <c r="D23" s="1">
        <v>267.83999999999997</v>
      </c>
      <c r="E23" s="1">
        <f t="shared" si="4"/>
        <v>0.18939148027300484</v>
      </c>
      <c r="F23" s="11">
        <v>0.3992</v>
      </c>
      <c r="G23" s="11">
        <f t="shared" si="5"/>
        <v>0.28227702704966973</v>
      </c>
    </row>
    <row r="24" spans="2:16" x14ac:dyDescent="0.35">
      <c r="B24" s="5"/>
      <c r="C24" s="5"/>
      <c r="D24" s="5"/>
      <c r="E24" s="5"/>
      <c r="F24" s="5"/>
      <c r="G24" s="5"/>
      <c r="H24" s="5"/>
      <c r="I24" s="5"/>
      <c r="J24" s="5">
        <v>-1</v>
      </c>
      <c r="K24" s="5">
        <f>2*$J$8</f>
        <v>1.6651005519384933E-3</v>
      </c>
      <c r="L24" s="5">
        <f>-K24</f>
        <v>-1.6651005519384933E-3</v>
      </c>
      <c r="M24" s="5"/>
      <c r="N24" s="5"/>
      <c r="O24" s="5"/>
      <c r="P24" s="5"/>
    </row>
    <row r="25" spans="2:16" x14ac:dyDescent="0.35">
      <c r="B25" s="5"/>
      <c r="C25" s="5"/>
      <c r="D25" s="5"/>
      <c r="E25" s="5"/>
      <c r="F25" s="5"/>
      <c r="G25" s="5"/>
      <c r="H25" s="5"/>
      <c r="I25" s="5"/>
      <c r="J25" s="5">
        <v>5100</v>
      </c>
      <c r="K25" s="5">
        <f>2*$J$8</f>
        <v>1.6651005519384933E-3</v>
      </c>
      <c r="L25" s="5">
        <f>-K25</f>
        <v>-1.6651005519384933E-3</v>
      </c>
      <c r="M25" s="5"/>
      <c r="N25" s="5"/>
      <c r="O25" s="5"/>
      <c r="P25" s="5"/>
    </row>
    <row r="26" spans="2:16" x14ac:dyDescent="0.3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2:16" x14ac:dyDescent="0.35">
      <c r="B27" s="5"/>
      <c r="C27" s="5"/>
      <c r="D27" s="5"/>
      <c r="E27" s="5"/>
      <c r="F27" s="10"/>
      <c r="G27" s="10"/>
      <c r="H27" s="10"/>
      <c r="I27" s="5"/>
      <c r="J27" s="5"/>
      <c r="K27" s="5"/>
      <c r="L27" s="5"/>
      <c r="M27" s="5"/>
      <c r="N27" s="5"/>
      <c r="O27" s="5"/>
      <c r="P27" s="5"/>
    </row>
    <row r="28" spans="2:16" x14ac:dyDescent="0.3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2:16" ht="18.5" x14ac:dyDescent="0.45">
      <c r="B29" s="40" t="s">
        <v>50</v>
      </c>
      <c r="C29" s="40"/>
      <c r="D29" s="40"/>
      <c r="E29" s="40"/>
      <c r="F29" s="5"/>
      <c r="G29" s="5">
        <f>C9/(D4*B4*B9)</f>
        <v>5.2453589355991219E-3</v>
      </c>
      <c r="H29" s="5"/>
      <c r="I29" s="5"/>
      <c r="J29" s="5"/>
      <c r="K29" s="5"/>
      <c r="L29" s="5"/>
      <c r="M29" s="5"/>
      <c r="N29" s="5"/>
      <c r="O29" s="5"/>
      <c r="P29" s="5"/>
    </row>
    <row r="30" spans="2:16" ht="18.5" x14ac:dyDescent="0.35">
      <c r="B30" s="32" t="s">
        <v>51</v>
      </c>
      <c r="C30" s="32" t="s">
        <v>52</v>
      </c>
      <c r="D30" s="32" t="s">
        <v>53</v>
      </c>
      <c r="E30" s="32" t="s">
        <v>54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x14ac:dyDescent="0.35">
      <c r="B31" s="33">
        <f>(C9*I6)/(B9*B4*J3*D4)</f>
        <v>1.2392305973339521E-6</v>
      </c>
      <c r="C31" s="33">
        <f>SQRT(POWER((G29*I6*L3)/J3,2) +POWER((G29*J3*I7)/J3,2))</f>
        <v>1.2392636903629916E-7</v>
      </c>
      <c r="D31" s="1">
        <f>4*PI()*0.0000001</f>
        <v>1.2566370614359173E-6</v>
      </c>
      <c r="E31" s="7">
        <f>ABS(D31-B31)/D31*100</f>
        <v>1.3851624017896929</v>
      </c>
      <c r="F31" s="5"/>
      <c r="G31" s="5"/>
      <c r="H31" s="5"/>
      <c r="I31" s="5"/>
      <c r="J31" s="5"/>
      <c r="K31" s="5"/>
      <c r="M31" s="5"/>
      <c r="N31" s="5"/>
      <c r="O31" s="5"/>
      <c r="P31" s="5"/>
    </row>
  </sheetData>
  <mergeCells count="6">
    <mergeCell ref="B2:D2"/>
    <mergeCell ref="H11:K11"/>
    <mergeCell ref="B29:E29"/>
    <mergeCell ref="B11:G11"/>
    <mergeCell ref="I5:J5"/>
    <mergeCell ref="B7:D7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2B1B-72DC-47AD-BB28-FF83FB6BAB22}">
  <dimension ref="A3:T60"/>
  <sheetViews>
    <sheetView tabSelected="1" topLeftCell="A4" zoomScale="72" zoomScaleNormal="91" workbookViewId="0">
      <selection activeCell="AA77" sqref="AA77"/>
    </sheetView>
  </sheetViews>
  <sheetFormatPr defaultRowHeight="14.5" x14ac:dyDescent="0.35"/>
  <cols>
    <col min="1" max="3" width="8.81640625" bestFit="1" customWidth="1"/>
    <col min="4" max="4" width="10.26953125" bestFit="1" customWidth="1"/>
    <col min="5" max="5" width="25.81640625" bestFit="1" customWidth="1"/>
    <col min="6" max="6" width="14.36328125" bestFit="1" customWidth="1"/>
    <col min="7" max="7" width="20.26953125" bestFit="1" customWidth="1"/>
    <col min="8" max="8" width="16.90625" bestFit="1" customWidth="1"/>
    <col min="9" max="9" width="12.81640625" bestFit="1" customWidth="1"/>
    <col min="10" max="10" width="14.26953125" bestFit="1" customWidth="1"/>
    <col min="11" max="11" width="15.26953125" bestFit="1" customWidth="1"/>
    <col min="12" max="12" width="3.81640625" bestFit="1" customWidth="1"/>
    <col min="13" max="13" width="9.90625" bestFit="1" customWidth="1"/>
    <col min="14" max="15" width="21.36328125" bestFit="1" customWidth="1"/>
    <col min="16" max="16" width="20.26953125" bestFit="1" customWidth="1"/>
    <col min="19" max="19" width="11.81640625" bestFit="1" customWidth="1"/>
    <col min="20" max="20" width="12.453125" bestFit="1" customWidth="1"/>
  </cols>
  <sheetData>
    <row r="3" spans="1:11" ht="18.5" x14ac:dyDescent="0.35">
      <c r="D3" s="44" t="s">
        <v>30</v>
      </c>
      <c r="E3" s="45"/>
      <c r="F3" s="46"/>
      <c r="G3" s="44" t="s">
        <v>2</v>
      </c>
      <c r="H3" s="45"/>
      <c r="I3" s="46"/>
    </row>
    <row r="4" spans="1:11" x14ac:dyDescent="0.35">
      <c r="D4" s="3" t="s">
        <v>26</v>
      </c>
      <c r="E4" s="3" t="s">
        <v>13</v>
      </c>
      <c r="F4" s="3" t="s">
        <v>27</v>
      </c>
      <c r="G4" s="3" t="s">
        <v>25</v>
      </c>
      <c r="H4" s="3" t="s">
        <v>24</v>
      </c>
      <c r="I4" s="3" t="s">
        <v>3</v>
      </c>
    </row>
    <row r="5" spans="1:11" x14ac:dyDescent="0.35">
      <c r="D5" s="2">
        <v>300</v>
      </c>
      <c r="E5" s="2">
        <v>4.1000000000000002E-2</v>
      </c>
      <c r="F5" s="2">
        <f>(PI()*E5^2)/4</f>
        <v>1.3202543126711107E-3</v>
      </c>
      <c r="G5" s="2">
        <v>361</v>
      </c>
      <c r="H5" s="2">
        <v>0.75</v>
      </c>
      <c r="I5" s="2">
        <v>0.01</v>
      </c>
    </row>
    <row r="7" spans="1:11" ht="18.5" x14ac:dyDescent="0.45">
      <c r="E7" s="47" t="s">
        <v>50</v>
      </c>
      <c r="F7" s="47"/>
      <c r="G7" s="47"/>
      <c r="H7" s="47"/>
      <c r="K7" s="5">
        <f>H5/(F5*D5*G5)</f>
        <v>5.2453589355991219E-3</v>
      </c>
    </row>
    <row r="8" spans="1:11" ht="18.5" x14ac:dyDescent="0.35">
      <c r="E8" s="32" t="s">
        <v>51</v>
      </c>
      <c r="F8" s="32" t="s">
        <v>52</v>
      </c>
      <c r="G8" s="32" t="s">
        <v>53</v>
      </c>
      <c r="H8" s="32" t="s">
        <v>54</v>
      </c>
    </row>
    <row r="9" spans="1:11" x14ac:dyDescent="0.35">
      <c r="B9" s="9"/>
      <c r="E9" s="33">
        <f>(H5*N47)/(D5*F5*B60*G5)</f>
        <v>1.2108569461770377E-6</v>
      </c>
      <c r="F9" s="1">
        <f>SQRT(POWER((K7*E35*D60)/(B60^2),2) +POWER((K7*E36)/B60,2))</f>
        <v>8.4334402446770726E-10</v>
      </c>
      <c r="G9" s="1">
        <f>4*PI()*0.0000001</f>
        <v>1.2566370614359173E-6</v>
      </c>
      <c r="H9" s="7">
        <f>ABS(G9-E9)/G9*100</f>
        <v>3.6430658193836924</v>
      </c>
    </row>
    <row r="11" spans="1:11" ht="21" x14ac:dyDescent="0.35">
      <c r="C11" s="50" t="s">
        <v>44</v>
      </c>
      <c r="D11" s="51"/>
      <c r="E11" s="51"/>
      <c r="F11" s="51"/>
      <c r="G11" s="51"/>
      <c r="H11" s="51"/>
      <c r="I11" s="52"/>
    </row>
    <row r="12" spans="1:11" ht="16" x14ac:dyDescent="0.35">
      <c r="C12" s="3" t="s">
        <v>8</v>
      </c>
      <c r="D12" s="3" t="s">
        <v>10</v>
      </c>
      <c r="E12" s="3" t="s">
        <v>11</v>
      </c>
      <c r="F12" s="3" t="s">
        <v>12</v>
      </c>
      <c r="G12" s="3" t="s">
        <v>15</v>
      </c>
      <c r="H12" s="3" t="s">
        <v>9</v>
      </c>
      <c r="I12" s="3" t="s">
        <v>16</v>
      </c>
    </row>
    <row r="13" spans="1:11" x14ac:dyDescent="0.35">
      <c r="C13" s="7">
        <v>131.01</v>
      </c>
      <c r="D13" s="1">
        <f t="shared" ref="D13:D31" si="0">C13/1000*SQRT(2)</f>
        <v>0.18527611880649919</v>
      </c>
      <c r="E13" s="7">
        <v>46.16</v>
      </c>
      <c r="F13" s="1">
        <f>E13/1000*SQRT(2)</f>
        <v>6.5280098039142073E-2</v>
      </c>
      <c r="G13" s="1">
        <f>D13*$E$35+$F$35</f>
        <v>6.5258349428795298E-2</v>
      </c>
      <c r="H13" s="1"/>
      <c r="I13" s="1">
        <f>G13-F13</f>
        <v>-2.174861034677511E-5</v>
      </c>
    </row>
    <row r="14" spans="1:11" x14ac:dyDescent="0.35">
      <c r="A14" s="5"/>
      <c r="B14" s="5"/>
      <c r="C14" s="7">
        <v>139.5</v>
      </c>
      <c r="D14" s="1">
        <f t="shared" si="0"/>
        <v>0.19728279195104678</v>
      </c>
      <c r="E14" s="7">
        <v>49.14</v>
      </c>
      <c r="F14" s="1">
        <f t="shared" ref="F14:F31" si="1">E14/1000*SQRT(2)</f>
        <v>6.9494454455013899E-2</v>
      </c>
      <c r="G14" s="1">
        <f t="shared" ref="G14:G31" si="2">D14*$E$35+$F$35</f>
        <v>6.9489163164629469E-2</v>
      </c>
      <c r="H14" s="1"/>
      <c r="I14" s="1">
        <f t="shared" ref="I14:I30" si="3">G14-F14</f>
        <v>-5.2912903844293258E-6</v>
      </c>
    </row>
    <row r="15" spans="1:11" x14ac:dyDescent="0.35">
      <c r="A15" s="5"/>
      <c r="B15" s="5"/>
      <c r="C15" s="7">
        <v>143.53</v>
      </c>
      <c r="D15" s="1">
        <f t="shared" si="0"/>
        <v>0.20298207260741033</v>
      </c>
      <c r="E15" s="7">
        <v>50.56</v>
      </c>
      <c r="F15" s="1">
        <f t="shared" si="1"/>
        <v>7.1502637713583686E-2</v>
      </c>
      <c r="G15" s="1">
        <f t="shared" si="2"/>
        <v>7.1497429284230363E-2</v>
      </c>
      <c r="H15" s="1"/>
      <c r="I15" s="1">
        <f t="shared" si="3"/>
        <v>-5.2084293533233295E-6</v>
      </c>
    </row>
    <row r="16" spans="1:11" x14ac:dyDescent="0.35">
      <c r="A16" s="5"/>
      <c r="B16" s="5"/>
      <c r="C16" s="7">
        <v>154.31</v>
      </c>
      <c r="D16" s="1">
        <f t="shared" si="0"/>
        <v>0.2182272948097923</v>
      </c>
      <c r="E16" s="7">
        <v>54.34</v>
      </c>
      <c r="F16" s="1">
        <f t="shared" si="1"/>
        <v>7.6848364979354003E-2</v>
      </c>
      <c r="G16" s="1">
        <f t="shared" si="2"/>
        <v>7.6869416571897317E-2</v>
      </c>
      <c r="H16" s="1"/>
      <c r="I16" s="1">
        <f t="shared" si="3"/>
        <v>2.1051592543314124E-5</v>
      </c>
    </row>
    <row r="17" spans="1:9" x14ac:dyDescent="0.35">
      <c r="A17" s="5"/>
      <c r="B17" s="5"/>
      <c r="C17" s="7">
        <v>163.54</v>
      </c>
      <c r="D17" s="1">
        <f t="shared" si="0"/>
        <v>0.23128048599049597</v>
      </c>
      <c r="E17" s="7">
        <v>57.62</v>
      </c>
      <c r="F17" s="1">
        <f t="shared" si="1"/>
        <v>8.1486985463937733E-2</v>
      </c>
      <c r="G17" s="1">
        <f t="shared" si="2"/>
        <v>8.14689938135639E-2</v>
      </c>
      <c r="H17" s="1"/>
      <c r="I17" s="1">
        <f t="shared" si="3"/>
        <v>-1.7991650373833101E-5</v>
      </c>
    </row>
    <row r="18" spans="1:9" x14ac:dyDescent="0.35">
      <c r="A18" s="5"/>
      <c r="B18" s="5"/>
      <c r="C18" s="7">
        <v>174.12</v>
      </c>
      <c r="D18" s="1">
        <f t="shared" si="0"/>
        <v>0.24624286548040333</v>
      </c>
      <c r="E18" s="7">
        <v>61.33</v>
      </c>
      <c r="F18" s="1">
        <f t="shared" si="1"/>
        <v>8.6733717780341918E-2</v>
      </c>
      <c r="G18" s="1">
        <f t="shared" si="2"/>
        <v>8.6741315288843698E-2</v>
      </c>
      <c r="H18" s="1"/>
      <c r="I18" s="1">
        <f t="shared" si="3"/>
        <v>7.5975085017804256E-6</v>
      </c>
    </row>
    <row r="19" spans="1:9" x14ac:dyDescent="0.35">
      <c r="A19" s="5"/>
      <c r="B19" s="5"/>
      <c r="C19" s="26">
        <v>181.39</v>
      </c>
      <c r="D19" s="12">
        <f t="shared" si="0"/>
        <v>0.25652419807885574</v>
      </c>
      <c r="E19" s="26">
        <v>63.84</v>
      </c>
      <c r="F19" s="12">
        <f t="shared" si="1"/>
        <v>9.02833938218984E-2</v>
      </c>
      <c r="G19" s="12">
        <f t="shared" si="2"/>
        <v>9.0364167569116305E-2</v>
      </c>
      <c r="H19" s="12"/>
      <c r="I19" s="12">
        <f t="shared" si="3"/>
        <v>8.0773747217904868E-5</v>
      </c>
    </row>
    <row r="20" spans="1:9" x14ac:dyDescent="0.35">
      <c r="A20" s="5"/>
      <c r="B20" s="5"/>
      <c r="C20" s="7">
        <v>191.37</v>
      </c>
      <c r="D20" s="1">
        <f t="shared" si="0"/>
        <v>0.27063804943133923</v>
      </c>
      <c r="E20" s="7">
        <v>67.41</v>
      </c>
      <c r="F20" s="1">
        <f t="shared" si="1"/>
        <v>9.5332136239570334E-2</v>
      </c>
      <c r="G20" s="1">
        <f t="shared" si="2"/>
        <v>9.5337491607234676E-2</v>
      </c>
      <c r="H20" s="1"/>
      <c r="I20" s="1">
        <f t="shared" si="3"/>
        <v>5.3553676643419701E-6</v>
      </c>
    </row>
    <row r="21" spans="1:9" x14ac:dyDescent="0.35">
      <c r="A21" s="5"/>
      <c r="B21" s="5"/>
      <c r="C21" s="7">
        <v>206.79</v>
      </c>
      <c r="D21" s="1">
        <f t="shared" si="0"/>
        <v>0.29244522256313232</v>
      </c>
      <c r="E21" s="7">
        <v>72.849999999999994</v>
      </c>
      <c r="F21" s="1">
        <f t="shared" si="1"/>
        <v>0.10302545801887998</v>
      </c>
      <c r="G21" s="1">
        <f t="shared" si="2"/>
        <v>0.1030217257422833</v>
      </c>
      <c r="H21" s="1"/>
      <c r="I21" s="1">
        <f t="shared" si="3"/>
        <v>-3.7322765966824045E-6</v>
      </c>
    </row>
    <row r="22" spans="1:9" x14ac:dyDescent="0.35">
      <c r="A22" s="5"/>
      <c r="B22" s="5"/>
      <c r="C22" s="7">
        <v>219.16</v>
      </c>
      <c r="D22" s="1">
        <f t="shared" si="0"/>
        <v>0.3099390443296875</v>
      </c>
      <c r="E22" s="7">
        <v>77.2</v>
      </c>
      <c r="F22" s="1">
        <f t="shared" si="1"/>
        <v>0.10917728701520295</v>
      </c>
      <c r="G22" s="1">
        <f t="shared" si="2"/>
        <v>0.109186056238428</v>
      </c>
      <c r="H22" s="1"/>
      <c r="I22" s="1">
        <f t="shared" si="3"/>
        <v>8.7692232250552449E-6</v>
      </c>
    </row>
    <row r="23" spans="1:9" x14ac:dyDescent="0.35">
      <c r="A23" s="5"/>
      <c r="B23" s="5"/>
      <c r="C23" s="7">
        <v>227.71</v>
      </c>
      <c r="D23" s="1">
        <f t="shared" si="0"/>
        <v>0.32203057028797749</v>
      </c>
      <c r="E23" s="7">
        <v>80.22</v>
      </c>
      <c r="F23" s="1">
        <f t="shared" si="1"/>
        <v>0.11344821197356969</v>
      </c>
      <c r="G23" s="1">
        <f t="shared" si="2"/>
        <v>0.11344676971797832</v>
      </c>
      <c r="H23" s="1"/>
      <c r="I23" s="1">
        <f t="shared" si="3"/>
        <v>-1.4422555913717883E-6</v>
      </c>
    </row>
    <row r="24" spans="1:9" x14ac:dyDescent="0.35">
      <c r="C24" s="7">
        <v>240.48</v>
      </c>
      <c r="D24" s="1">
        <f t="shared" si="0"/>
        <v>0.34009007747948194</v>
      </c>
      <c r="E24" s="7">
        <v>84.74</v>
      </c>
      <c r="F24" s="1">
        <f t="shared" si="1"/>
        <v>0.11984045727549608</v>
      </c>
      <c r="G24" s="1">
        <f t="shared" si="2"/>
        <v>0.11981043183889734</v>
      </c>
      <c r="H24" s="1"/>
      <c r="I24" s="1">
        <f t="shared" si="3"/>
        <v>-3.0025436598746236E-5</v>
      </c>
    </row>
    <row r="25" spans="1:9" x14ac:dyDescent="0.35">
      <c r="C25" s="7">
        <v>247.89</v>
      </c>
      <c r="D25" s="1">
        <f t="shared" si="0"/>
        <v>0.35056939997666653</v>
      </c>
      <c r="E25" s="7">
        <v>87.35</v>
      </c>
      <c r="F25" s="1">
        <f t="shared" si="1"/>
        <v>0.12353155467328986</v>
      </c>
      <c r="G25" s="1">
        <f t="shared" si="2"/>
        <v>0.12350305018784091</v>
      </c>
      <c r="H25" s="1"/>
      <c r="I25" s="1">
        <f t="shared" si="3"/>
        <v>-2.8504485448943573E-5</v>
      </c>
    </row>
    <row r="26" spans="1:9" x14ac:dyDescent="0.35">
      <c r="C26" s="7">
        <v>256.2</v>
      </c>
      <c r="D26" s="1">
        <f t="shared" si="0"/>
        <v>0.36232151467998697</v>
      </c>
      <c r="E26" s="7">
        <v>90.29</v>
      </c>
      <c r="F26" s="1">
        <f t="shared" si="1"/>
        <v>0.12768934254666678</v>
      </c>
      <c r="G26" s="1">
        <f t="shared" si="2"/>
        <v>0.12764416469252665</v>
      </c>
      <c r="H26" s="1"/>
      <c r="I26" s="1">
        <f t="shared" si="3"/>
        <v>-4.5177854140127094E-5</v>
      </c>
    </row>
    <row r="27" spans="1:9" x14ac:dyDescent="0.35">
      <c r="C27" s="7">
        <v>267.24</v>
      </c>
      <c r="D27" s="1">
        <f t="shared" si="0"/>
        <v>0.37793443240858599</v>
      </c>
      <c r="E27" s="1">
        <v>94.15</v>
      </c>
      <c r="F27" s="1">
        <f t="shared" si="1"/>
        <v>0.13314820689742693</v>
      </c>
      <c r="G27" s="1">
        <f t="shared" si="2"/>
        <v>0.13314571753629689</v>
      </c>
      <c r="H27" s="1"/>
      <c r="I27" s="1">
        <f t="shared" si="3"/>
        <v>-2.4893611300369489E-6</v>
      </c>
    </row>
    <row r="28" spans="1:9" x14ac:dyDescent="0.35">
      <c r="C28" s="7">
        <v>284.70999999999998</v>
      </c>
      <c r="D28" s="1">
        <f t="shared" si="0"/>
        <v>0.40264074334324385</v>
      </c>
      <c r="E28" s="1">
        <v>100.32</v>
      </c>
      <c r="F28" s="1">
        <f t="shared" si="1"/>
        <v>0.14187390457726889</v>
      </c>
      <c r="G28" s="1">
        <f t="shared" si="2"/>
        <v>0.14185152624831371</v>
      </c>
      <c r="H28" s="1"/>
      <c r="I28" s="1">
        <f t="shared" si="3"/>
        <v>-2.2378328955185989E-5</v>
      </c>
    </row>
    <row r="29" spans="1:9" x14ac:dyDescent="0.35">
      <c r="C29" s="7">
        <v>292.37</v>
      </c>
      <c r="D29" s="1">
        <f t="shared" si="0"/>
        <v>0.41347361923102183</v>
      </c>
      <c r="E29" s="1">
        <v>103.01</v>
      </c>
      <c r="F29" s="1">
        <f t="shared" si="1"/>
        <v>0.14567813906005253</v>
      </c>
      <c r="G29" s="1">
        <f t="shared" si="2"/>
        <v>0.14566872686274124</v>
      </c>
      <c r="H29" s="1"/>
      <c r="I29" s="1">
        <f t="shared" si="3"/>
        <v>-9.4121973112926138E-6</v>
      </c>
    </row>
    <row r="30" spans="1:9" x14ac:dyDescent="0.35">
      <c r="C30" s="26">
        <v>305.69</v>
      </c>
      <c r="D30" s="12">
        <f t="shared" si="0"/>
        <v>0.4323109438818315</v>
      </c>
      <c r="E30" s="12">
        <v>107.68</v>
      </c>
      <c r="F30" s="12">
        <f t="shared" si="1"/>
        <v>0.15228251639633489</v>
      </c>
      <c r="G30" s="12">
        <f t="shared" si="2"/>
        <v>0.1523064699677249</v>
      </c>
      <c r="H30" s="12"/>
      <c r="I30" s="12">
        <f t="shared" si="3"/>
        <v>2.3953571390011863E-5</v>
      </c>
    </row>
    <row r="31" spans="1:9" x14ac:dyDescent="0.35">
      <c r="C31" s="26">
        <v>316.66000000000003</v>
      </c>
      <c r="D31" s="12">
        <f t="shared" si="0"/>
        <v>0.44782486666106436</v>
      </c>
      <c r="E31" s="12">
        <v>111.53</v>
      </c>
      <c r="F31" s="12">
        <f t="shared" si="1"/>
        <v>0.15772723861147131</v>
      </c>
      <c r="G31" s="12">
        <f t="shared" si="2"/>
        <v>0.15777313977715962</v>
      </c>
      <c r="H31" s="12"/>
      <c r="I31" s="12">
        <f>G31-F31</f>
        <v>4.5901165688311263E-5</v>
      </c>
    </row>
    <row r="34" spans="4:20" ht="21" x14ac:dyDescent="0.5">
      <c r="E34" s="48" t="s">
        <v>47</v>
      </c>
      <c r="F34" s="48"/>
    </row>
    <row r="35" spans="4:20" x14ac:dyDescent="0.35">
      <c r="D35" s="3" t="s">
        <v>21</v>
      </c>
      <c r="E35" s="27">
        <f t="array" ref="E35:F37">LINEST(F13:F31,D13:D31,1,1)</f>
        <v>0.35237185895707057</v>
      </c>
      <c r="F35" s="27">
        <v>-2.7740975401882584E-5</v>
      </c>
      <c r="G35" s="3" t="s">
        <v>20</v>
      </c>
      <c r="I35">
        <v>0.1</v>
      </c>
      <c r="J35">
        <f>2*$F$37</f>
        <v>5.9468318394457359E-5</v>
      </c>
      <c r="K35">
        <f>-J35</f>
        <v>-5.9468318394457359E-5</v>
      </c>
    </row>
    <row r="36" spans="4:20" x14ac:dyDescent="0.35">
      <c r="D36" s="3" t="s">
        <v>17</v>
      </c>
      <c r="E36" s="27">
        <v>8.3646641832166034E-5</v>
      </c>
      <c r="F36" s="27">
        <v>2.6685147979251773E-5</v>
      </c>
      <c r="G36" s="3" t="s">
        <v>22</v>
      </c>
      <c r="I36">
        <v>0.5</v>
      </c>
      <c r="J36">
        <f>2*$F$37</f>
        <v>5.9468318394457359E-5</v>
      </c>
      <c r="K36">
        <f>-J36</f>
        <v>-5.9468318394457359E-5</v>
      </c>
    </row>
    <row r="37" spans="4:20" x14ac:dyDescent="0.35">
      <c r="D37" s="3" t="s">
        <v>18</v>
      </c>
      <c r="E37" s="28">
        <v>0.99999904204945222</v>
      </c>
      <c r="F37" s="27">
        <v>2.9734159197228679E-5</v>
      </c>
      <c r="G37" s="3" t="s">
        <v>23</v>
      </c>
    </row>
    <row r="39" spans="4:20" ht="23.5" x14ac:dyDescent="0.35">
      <c r="D39" s="41" t="s">
        <v>46</v>
      </c>
      <c r="E39" s="41"/>
      <c r="F39" s="41"/>
      <c r="G39" s="41"/>
      <c r="H39" s="41"/>
      <c r="I39" s="41"/>
      <c r="J39" s="41"/>
    </row>
    <row r="40" spans="4:20" ht="16" x14ac:dyDescent="0.35">
      <c r="D40" s="3" t="s">
        <v>8</v>
      </c>
      <c r="E40" s="3" t="s">
        <v>10</v>
      </c>
      <c r="F40" s="3" t="s">
        <v>11</v>
      </c>
      <c r="G40" s="3" t="s">
        <v>12</v>
      </c>
      <c r="H40" s="3" t="s">
        <v>15</v>
      </c>
      <c r="I40" s="3" t="s">
        <v>9</v>
      </c>
      <c r="J40" s="3" t="s">
        <v>16</v>
      </c>
    </row>
    <row r="41" spans="4:20" x14ac:dyDescent="0.35">
      <c r="D41" s="7">
        <v>131.01</v>
      </c>
      <c r="E41" s="1">
        <f>D41/1000*SQRT(2)</f>
        <v>0.18527611880649919</v>
      </c>
      <c r="F41" s="7">
        <v>46.16</v>
      </c>
      <c r="G41" s="1">
        <f>F41/1000*SQRT(2)</f>
        <v>6.5280098039142073E-2</v>
      </c>
      <c r="H41" s="1">
        <f>E41*$N$47+$O$47</f>
        <v>6.5258615450327767E-2</v>
      </c>
      <c r="I41" s="1"/>
      <c r="J41" s="1">
        <f>H41-G41</f>
        <v>-2.1482588814306092E-5</v>
      </c>
    </row>
    <row r="42" spans="4:20" x14ac:dyDescent="0.35">
      <c r="D42" s="7">
        <v>139.5</v>
      </c>
      <c r="E42" s="1">
        <f t="shared" ref="E42:E56" si="4">D42/1000*SQRT(2)</f>
        <v>0.19728279195104678</v>
      </c>
      <c r="F42" s="7">
        <v>49.14</v>
      </c>
      <c r="G42" s="1">
        <f t="shared" ref="G42:G56" si="5">F42/1000*SQRT(2)</f>
        <v>6.9494454455013899E-2</v>
      </c>
      <c r="H42" s="1">
        <f t="shared" ref="H42:H56" si="6">E42*$N$47+$O$47</f>
        <v>6.9490428325445483E-2</v>
      </c>
      <c r="I42" s="1"/>
      <c r="J42" s="1">
        <f t="shared" ref="J42:J56" si="7">H42-G42</f>
        <v>-4.0261295684157483E-6</v>
      </c>
    </row>
    <row r="43" spans="4:20" x14ac:dyDescent="0.35">
      <c r="D43" s="7">
        <v>143.53</v>
      </c>
      <c r="E43" s="1">
        <f t="shared" si="4"/>
        <v>0.20298207260741033</v>
      </c>
      <c r="F43" s="7">
        <v>50.56</v>
      </c>
      <c r="G43" s="1">
        <f t="shared" si="5"/>
        <v>7.1502637713583686E-2</v>
      </c>
      <c r="H43" s="1">
        <f t="shared" si="6"/>
        <v>7.149916871257439E-2</v>
      </c>
      <c r="I43" s="1"/>
      <c r="J43" s="1">
        <f t="shared" si="7"/>
        <v>-3.4690010092958135E-6</v>
      </c>
    </row>
    <row r="44" spans="4:20" x14ac:dyDescent="0.35">
      <c r="D44" s="7">
        <v>154.31</v>
      </c>
      <c r="E44" s="1">
        <f t="shared" si="4"/>
        <v>0.2182272948097923</v>
      </c>
      <c r="F44" s="7">
        <v>54.34</v>
      </c>
      <c r="G44" s="1">
        <f t="shared" si="5"/>
        <v>7.6848364979354003E-2</v>
      </c>
      <c r="H44" s="1">
        <f t="shared" si="6"/>
        <v>7.6872424636457659E-2</v>
      </c>
      <c r="I44" s="1"/>
      <c r="J44" s="1">
        <f t="shared" si="7"/>
        <v>2.4059657103656096E-5</v>
      </c>
    </row>
    <row r="45" spans="4:20" x14ac:dyDescent="0.35">
      <c r="D45" s="7">
        <v>163.54</v>
      </c>
      <c r="E45" s="1">
        <f t="shared" si="4"/>
        <v>0.23128048599049597</v>
      </c>
      <c r="F45" s="7">
        <v>57.62</v>
      </c>
      <c r="G45" s="1">
        <f t="shared" si="5"/>
        <v>8.1486985463937733E-2</v>
      </c>
      <c r="H45" s="1">
        <f t="shared" si="6"/>
        <v>8.1473088103752894E-2</v>
      </c>
      <c r="I45" s="1"/>
      <c r="J45" s="1">
        <f t="shared" si="7"/>
        <v>-1.3897360184839114E-5</v>
      </c>
    </row>
    <row r="46" spans="4:20" ht="21.5" thickBot="1" x14ac:dyDescent="0.55000000000000004">
      <c r="D46" s="7">
        <v>174.12</v>
      </c>
      <c r="E46" s="1">
        <f t="shared" si="4"/>
        <v>0.24624286548040333</v>
      </c>
      <c r="F46" s="7">
        <v>61.33</v>
      </c>
      <c r="G46" s="1">
        <f t="shared" si="5"/>
        <v>8.6733717780341918E-2</v>
      </c>
      <c r="H46" s="1">
        <f t="shared" si="6"/>
        <v>8.6746654678399024E-2</v>
      </c>
      <c r="I46" s="1"/>
      <c r="J46" s="1">
        <f t="shared" si="7"/>
        <v>1.2936898057105961E-5</v>
      </c>
      <c r="N46" s="49" t="s">
        <v>48</v>
      </c>
      <c r="O46" s="49"/>
    </row>
    <row r="47" spans="4:20" ht="15" thickTop="1" x14ac:dyDescent="0.35">
      <c r="D47" s="7">
        <v>191.37</v>
      </c>
      <c r="E47" s="1">
        <f t="shared" si="4"/>
        <v>0.27063804943133923</v>
      </c>
      <c r="F47" s="7">
        <v>67.41</v>
      </c>
      <c r="G47" s="1">
        <f t="shared" si="5"/>
        <v>9.5332136239570334E-2</v>
      </c>
      <c r="H47" s="1">
        <f t="shared" si="6"/>
        <v>9.5344861050104632E-2</v>
      </c>
      <c r="I47" s="1"/>
      <c r="J47" s="1">
        <f t="shared" si="7"/>
        <v>1.2724810534298081E-5</v>
      </c>
      <c r="M47" s="3" t="s">
        <v>21</v>
      </c>
      <c r="N47" s="27">
        <f t="array" ref="N47:O49">LINEST(G41:G56,E41:E56,1,1)</f>
        <v>0.35245507428837219</v>
      </c>
      <c r="O47" s="27">
        <v>-4.2892767478180938E-5</v>
      </c>
      <c r="P47" s="3" t="s">
        <v>20</v>
      </c>
      <c r="R47">
        <v>0.1</v>
      </c>
      <c r="S47">
        <f>2*$O$49</f>
        <v>3.2996599206414956E-5</v>
      </c>
      <c r="T47">
        <f>-S47</f>
        <v>-3.2996599206414956E-5</v>
      </c>
    </row>
    <row r="48" spans="4:20" x14ac:dyDescent="0.35">
      <c r="D48" s="7">
        <v>206.79</v>
      </c>
      <c r="E48" s="1">
        <f t="shared" si="4"/>
        <v>0.29244522256313232</v>
      </c>
      <c r="F48" s="7">
        <v>72.849999999999994</v>
      </c>
      <c r="G48" s="1">
        <f t="shared" si="5"/>
        <v>0.10302545801887998</v>
      </c>
      <c r="H48" s="1">
        <f t="shared" si="6"/>
        <v>0.10303090987629016</v>
      </c>
      <c r="I48" s="1"/>
      <c r="J48" s="1">
        <f t="shared" si="7"/>
        <v>5.4518574101741768E-6</v>
      </c>
      <c r="M48" s="3" t="s">
        <v>17</v>
      </c>
      <c r="N48" s="27">
        <v>5.6228072874807288E-5</v>
      </c>
      <c r="O48" s="27">
        <v>1.7103904686764605E-5</v>
      </c>
      <c r="P48" s="3" t="s">
        <v>22</v>
      </c>
      <c r="R48">
        <v>0.5</v>
      </c>
      <c r="S48">
        <f>2*$O$49</f>
        <v>3.2996599206414956E-5</v>
      </c>
      <c r="T48">
        <f>-S48</f>
        <v>-3.2996599206414956E-5</v>
      </c>
    </row>
    <row r="49" spans="1:16" x14ac:dyDescent="0.35">
      <c r="D49" s="7">
        <v>219.16</v>
      </c>
      <c r="E49" s="1">
        <f t="shared" si="4"/>
        <v>0.3099390443296875</v>
      </c>
      <c r="F49" s="7">
        <v>77.2</v>
      </c>
      <c r="G49" s="1">
        <f t="shared" si="5"/>
        <v>0.10917728701520295</v>
      </c>
      <c r="H49" s="1">
        <f t="shared" si="6"/>
        <v>0.10919669612660891</v>
      </c>
      <c r="I49" s="1"/>
      <c r="J49" s="1">
        <f t="shared" si="7"/>
        <v>1.9409111405965795E-5</v>
      </c>
      <c r="M49" s="3" t="s">
        <v>18</v>
      </c>
      <c r="N49" s="29">
        <v>0.99999964369103955</v>
      </c>
      <c r="O49" s="27">
        <v>1.6498299603207478E-5</v>
      </c>
      <c r="P49" s="3" t="s">
        <v>23</v>
      </c>
    </row>
    <row r="50" spans="1:16" x14ac:dyDescent="0.35">
      <c r="D50" s="7">
        <v>227.71</v>
      </c>
      <c r="E50" s="1">
        <f t="shared" si="4"/>
        <v>0.32203057028797749</v>
      </c>
      <c r="F50" s="7">
        <v>80.22</v>
      </c>
      <c r="G50" s="1">
        <f t="shared" si="5"/>
        <v>0.11344821197356969</v>
      </c>
      <c r="H50" s="1">
        <f t="shared" si="6"/>
        <v>0.11345841580649779</v>
      </c>
      <c r="I50" s="1"/>
      <c r="J50" s="1">
        <f t="shared" si="7"/>
        <v>1.0203832928101786E-5</v>
      </c>
    </row>
    <row r="51" spans="1:16" x14ac:dyDescent="0.35">
      <c r="D51" s="7">
        <v>240.48</v>
      </c>
      <c r="E51" s="1">
        <f t="shared" si="4"/>
        <v>0.34009007747948194</v>
      </c>
      <c r="F51" s="7">
        <v>84.74</v>
      </c>
      <c r="G51" s="1">
        <f t="shared" si="5"/>
        <v>0.11984045727549608</v>
      </c>
      <c r="H51" s="1">
        <f t="shared" si="6"/>
        <v>0.11982358075529088</v>
      </c>
      <c r="I51" s="1"/>
      <c r="J51" s="1">
        <f t="shared" si="7"/>
        <v>-1.6876520205197365E-5</v>
      </c>
    </row>
    <row r="52" spans="1:16" x14ac:dyDescent="0.35">
      <c r="D52" s="7">
        <v>247.89</v>
      </c>
      <c r="E52" s="1">
        <f t="shared" si="4"/>
        <v>0.35056939997666653</v>
      </c>
      <c r="F52" s="7">
        <v>87.35</v>
      </c>
      <c r="G52" s="1">
        <f t="shared" si="5"/>
        <v>0.12353155467328986</v>
      </c>
      <c r="H52" s="1">
        <f t="shared" si="6"/>
        <v>0.12351707114452788</v>
      </c>
      <c r="I52" s="1"/>
      <c r="J52" s="1">
        <f t="shared" si="7"/>
        <v>-1.448352876197434E-5</v>
      </c>
    </row>
    <row r="53" spans="1:16" x14ac:dyDescent="0.35">
      <c r="D53" s="7">
        <v>256.2</v>
      </c>
      <c r="E53" s="1">
        <f t="shared" si="4"/>
        <v>0.36232151467998697</v>
      </c>
      <c r="F53" s="7">
        <v>90.29</v>
      </c>
      <c r="G53" s="1">
        <f t="shared" si="5"/>
        <v>0.12768934254666678</v>
      </c>
      <c r="H53" s="1">
        <f t="shared" si="6"/>
        <v>0.12765916360533217</v>
      </c>
      <c r="I53" s="1"/>
      <c r="J53" s="1">
        <f t="shared" si="7"/>
        <v>-3.0178941334613185E-5</v>
      </c>
    </row>
    <row r="54" spans="1:16" x14ac:dyDescent="0.35">
      <c r="D54" s="7">
        <v>267.24</v>
      </c>
      <c r="E54" s="1">
        <f t="shared" si="4"/>
        <v>0.37793443240858599</v>
      </c>
      <c r="F54" s="1">
        <v>94.15</v>
      </c>
      <c r="G54" s="1">
        <f t="shared" si="5"/>
        <v>0.13314820689742693</v>
      </c>
      <c r="H54" s="1">
        <f t="shared" si="6"/>
        <v>0.13316201568322378</v>
      </c>
      <c r="I54" s="1"/>
      <c r="J54" s="1">
        <f t="shared" si="7"/>
        <v>1.38087857968483E-5</v>
      </c>
    </row>
    <row r="55" spans="1:16" x14ac:dyDescent="0.35">
      <c r="D55" s="7">
        <v>284.70999999999998</v>
      </c>
      <c r="E55" s="1">
        <f t="shared" si="4"/>
        <v>0.40264074334324385</v>
      </c>
      <c r="F55" s="1">
        <v>100.32</v>
      </c>
      <c r="G55" s="1">
        <f t="shared" si="5"/>
        <v>0.14187390457726889</v>
      </c>
      <c r="H55" s="1">
        <f t="shared" si="6"/>
        <v>0.14186988033909023</v>
      </c>
      <c r="I55" s="1"/>
      <c r="J55" s="1">
        <f t="shared" si="7"/>
        <v>-4.024238178662598E-6</v>
      </c>
    </row>
    <row r="56" spans="1:16" x14ac:dyDescent="0.35">
      <c r="D56" s="7">
        <v>292.37</v>
      </c>
      <c r="E56" s="1">
        <f t="shared" si="4"/>
        <v>0.41347361923102183</v>
      </c>
      <c r="F56" s="1">
        <v>103.01</v>
      </c>
      <c r="G56" s="1">
        <f t="shared" si="5"/>
        <v>0.14567813906005253</v>
      </c>
      <c r="H56" s="1">
        <f t="shared" si="6"/>
        <v>0.14568798241487374</v>
      </c>
      <c r="I56" s="1"/>
      <c r="J56" s="1">
        <f t="shared" si="7"/>
        <v>9.8433548212095712E-6</v>
      </c>
    </row>
    <row r="59" spans="1:16" ht="16" x14ac:dyDescent="0.35">
      <c r="A59" s="3" t="s">
        <v>4</v>
      </c>
      <c r="B59" s="3" t="s">
        <v>5</v>
      </c>
      <c r="C59" s="4" t="s">
        <v>31</v>
      </c>
      <c r="D59" s="4" t="s">
        <v>32</v>
      </c>
      <c r="E59" s="4" t="s">
        <v>33</v>
      </c>
      <c r="F59" s="4" t="s">
        <v>34</v>
      </c>
      <c r="G59" s="4" t="s">
        <v>35</v>
      </c>
      <c r="H59" s="4" t="s">
        <v>6</v>
      </c>
      <c r="I59" s="4" t="s">
        <v>7</v>
      </c>
    </row>
    <row r="60" spans="1:16" x14ac:dyDescent="0.35">
      <c r="A60" s="1">
        <v>243</v>
      </c>
      <c r="B60" s="1">
        <f>2*PI()*A60</f>
        <v>1526.8140296446395</v>
      </c>
      <c r="C60" s="1">
        <v>1</v>
      </c>
      <c r="D60" s="1">
        <v>1</v>
      </c>
      <c r="E60" s="1">
        <v>1E-4</v>
      </c>
      <c r="F60" s="1">
        <v>0.1</v>
      </c>
      <c r="G60" s="1" t="e">
        <f>AVERAGE(B70:B80)</f>
        <v>#DIV/0!</v>
      </c>
      <c r="H60" s="1">
        <v>1E-4</v>
      </c>
      <c r="I60" s="1">
        <v>0.1</v>
      </c>
    </row>
  </sheetData>
  <mergeCells count="7">
    <mergeCell ref="D3:F3"/>
    <mergeCell ref="G3:I3"/>
    <mergeCell ref="E7:H7"/>
    <mergeCell ref="E34:F34"/>
    <mergeCell ref="N46:O46"/>
    <mergeCell ref="C11:I11"/>
    <mergeCell ref="D39:J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AF28-4333-455D-A70F-CFC75856F80A}">
  <dimension ref="A2:S49"/>
  <sheetViews>
    <sheetView topLeftCell="F4" zoomScale="69" workbookViewId="0">
      <selection activeCell="O13" sqref="O13"/>
    </sheetView>
  </sheetViews>
  <sheetFormatPr defaultRowHeight="14.5" x14ac:dyDescent="0.35"/>
  <cols>
    <col min="4" max="4" width="9.36328125" bestFit="1" customWidth="1"/>
    <col min="5" max="5" width="11.36328125" bestFit="1" customWidth="1"/>
    <col min="6" max="6" width="10.26953125" bestFit="1" customWidth="1"/>
    <col min="7" max="7" width="14.453125" bestFit="1" customWidth="1"/>
    <col min="8" max="8" width="13.81640625" bestFit="1" customWidth="1"/>
    <col min="9" max="9" width="20.36328125" bestFit="1" customWidth="1"/>
    <col min="10" max="12" width="8.81640625" bestFit="1" customWidth="1"/>
    <col min="14" max="14" width="8.81640625" bestFit="1" customWidth="1"/>
    <col min="15" max="15" width="14.6328125" bestFit="1" customWidth="1"/>
    <col min="16" max="16" width="12.90625" bestFit="1" customWidth="1"/>
    <col min="17" max="17" width="17.6328125" bestFit="1" customWidth="1"/>
  </cols>
  <sheetData>
    <row r="2" spans="3:19" x14ac:dyDescent="0.35">
      <c r="D2" s="53" t="s">
        <v>28</v>
      </c>
      <c r="E2" s="53"/>
      <c r="F2" s="53"/>
      <c r="G2" s="53"/>
      <c r="H2" s="53"/>
      <c r="I2" s="53"/>
      <c r="J2" s="53"/>
      <c r="K2" s="53"/>
      <c r="L2" s="53"/>
    </row>
    <row r="4" spans="3:19" ht="18.5" x14ac:dyDescent="0.35">
      <c r="E4" s="5"/>
      <c r="F4" s="5"/>
      <c r="G4" s="44" t="s">
        <v>44</v>
      </c>
      <c r="H4" s="45"/>
      <c r="I4" s="45"/>
      <c r="J4" s="45"/>
      <c r="K4" s="46"/>
    </row>
    <row r="5" spans="3:19" ht="18.5" x14ac:dyDescent="0.35">
      <c r="C5" s="3" t="s">
        <v>43</v>
      </c>
      <c r="D5" s="3" t="s">
        <v>14</v>
      </c>
      <c r="E5" s="3" t="s">
        <v>8</v>
      </c>
      <c r="F5" s="3" t="s">
        <v>10</v>
      </c>
      <c r="G5" s="3" t="s">
        <v>11</v>
      </c>
      <c r="H5" s="3" t="s">
        <v>12</v>
      </c>
      <c r="I5" s="3" t="s">
        <v>15</v>
      </c>
      <c r="J5" s="3" t="s">
        <v>9</v>
      </c>
      <c r="K5" s="3" t="s">
        <v>16</v>
      </c>
      <c r="N5" s="36" t="s">
        <v>49</v>
      </c>
      <c r="O5" s="36"/>
      <c r="P5" s="36" t="s">
        <v>2</v>
      </c>
      <c r="Q5" s="36"/>
      <c r="R5" s="36"/>
    </row>
    <row r="6" spans="3:19" x14ac:dyDescent="0.35">
      <c r="C6" s="25">
        <v>1</v>
      </c>
      <c r="D6" s="25">
        <v>300</v>
      </c>
      <c r="E6" s="26">
        <v>169.93</v>
      </c>
      <c r="F6" s="12">
        <f>E6/1000*SQRT(2)</f>
        <v>0.24031731065406006</v>
      </c>
      <c r="G6" s="26">
        <v>63.07</v>
      </c>
      <c r="H6" s="12">
        <f>G6/1000*SQRT(2)</f>
        <v>8.919444937887111E-2</v>
      </c>
      <c r="I6" s="12"/>
      <c r="J6" s="12"/>
      <c r="K6" s="12">
        <f>I6-H6</f>
        <v>-8.919444937887111E-2</v>
      </c>
      <c r="N6" s="3" t="s">
        <v>13</v>
      </c>
      <c r="O6" s="3" t="s">
        <v>27</v>
      </c>
      <c r="P6" s="3" t="s">
        <v>25</v>
      </c>
      <c r="Q6" s="3" t="s">
        <v>24</v>
      </c>
      <c r="R6" s="3" t="s">
        <v>3</v>
      </c>
    </row>
    <row r="7" spans="3:19" x14ac:dyDescent="0.35">
      <c r="C7" s="2">
        <v>4</v>
      </c>
      <c r="D7" s="2">
        <v>200</v>
      </c>
      <c r="E7" s="7">
        <v>170.62</v>
      </c>
      <c r="F7" s="1">
        <f t="shared" ref="F7:F10" si="0">E7/1000*SQRT(2)</f>
        <v>0.24129311801209749</v>
      </c>
      <c r="G7" s="7">
        <v>40.25</v>
      </c>
      <c r="H7" s="1">
        <f t="shared" ref="H7:H10" si="1">G7/1000*SQRT(2)</f>
        <v>5.6922095885517082E-2</v>
      </c>
      <c r="I7" s="1"/>
      <c r="J7" s="1"/>
      <c r="K7" s="1">
        <f t="shared" ref="K7:K10" si="2">I7-H7</f>
        <v>-5.6922095885517082E-2</v>
      </c>
      <c r="N7" s="2">
        <v>4.1000000000000002E-2</v>
      </c>
      <c r="O7" s="2">
        <f>(PI()*N7^2)/4</f>
        <v>1.3202543126711107E-3</v>
      </c>
      <c r="P7" s="2">
        <v>361</v>
      </c>
      <c r="Q7" s="2">
        <v>0.75</v>
      </c>
      <c r="R7" s="2">
        <v>0.01</v>
      </c>
    </row>
    <row r="8" spans="3:19" x14ac:dyDescent="0.35">
      <c r="C8" s="2">
        <v>5</v>
      </c>
      <c r="D8" s="2">
        <v>100</v>
      </c>
      <c r="E8" s="7">
        <v>170.49</v>
      </c>
      <c r="F8" s="1">
        <f t="shared" si="0"/>
        <v>0.24110927024898898</v>
      </c>
      <c r="G8" s="7">
        <v>20.239999999999998</v>
      </c>
      <c r="H8" s="1">
        <f t="shared" si="1"/>
        <v>2.8623682502431441E-2</v>
      </c>
      <c r="I8" s="1"/>
      <c r="J8" s="1"/>
      <c r="K8" s="1">
        <f t="shared" si="2"/>
        <v>-2.8623682502431441E-2</v>
      </c>
    </row>
    <row r="9" spans="3:19" x14ac:dyDescent="0.35">
      <c r="C9" s="2">
        <v>7</v>
      </c>
      <c r="D9" s="2">
        <v>442</v>
      </c>
      <c r="E9" s="7">
        <v>168.81</v>
      </c>
      <c r="F9" s="1">
        <f t="shared" si="0"/>
        <v>0.23873339146420222</v>
      </c>
      <c r="G9" s="7">
        <v>90.07</v>
      </c>
      <c r="H9" s="1">
        <f t="shared" si="1"/>
        <v>0.12737821556294468</v>
      </c>
      <c r="I9" s="1"/>
      <c r="J9" s="1"/>
      <c r="K9" s="1">
        <f t="shared" si="2"/>
        <v>-0.12737821556294468</v>
      </c>
    </row>
    <row r="10" spans="3:19" ht="18.5" x14ac:dyDescent="0.45">
      <c r="C10" s="2">
        <v>8</v>
      </c>
      <c r="D10" s="2">
        <v>542</v>
      </c>
      <c r="E10" s="7">
        <v>167.85</v>
      </c>
      <c r="F10" s="1">
        <f t="shared" si="0"/>
        <v>0.23737574644432402</v>
      </c>
      <c r="G10" s="7">
        <v>110</v>
      </c>
      <c r="H10" s="6">
        <f t="shared" si="1"/>
        <v>0.15556349186104046</v>
      </c>
      <c r="I10" s="1"/>
      <c r="J10" s="1"/>
      <c r="K10" s="1">
        <f t="shared" si="2"/>
        <v>-0.15556349186104046</v>
      </c>
      <c r="N10" s="47" t="s">
        <v>50</v>
      </c>
      <c r="O10" s="47"/>
      <c r="P10" s="47"/>
      <c r="Q10" s="47"/>
    </row>
    <row r="11" spans="3:19" ht="18.5" x14ac:dyDescent="0.45">
      <c r="E11" s="8"/>
      <c r="F11" s="5"/>
      <c r="G11" s="8"/>
      <c r="H11" s="5"/>
      <c r="N11" s="31" t="s">
        <v>51</v>
      </c>
      <c r="O11" s="31" t="s">
        <v>52</v>
      </c>
      <c r="P11" s="32" t="s">
        <v>53</v>
      </c>
      <c r="Q11" s="32" t="s">
        <v>54</v>
      </c>
      <c r="S11">
        <f>Q7/(P7*O7)</f>
        <v>1.5736076806797366</v>
      </c>
    </row>
    <row r="12" spans="3:19" x14ac:dyDescent="0.35">
      <c r="E12" s="8"/>
      <c r="F12" s="5"/>
      <c r="G12" s="8"/>
      <c r="H12" s="5"/>
      <c r="N12" s="19">
        <f>(Q7*G24)/(P7*O7*B49*G49)</f>
        <v>1.2384345359365915E-6</v>
      </c>
      <c r="O12" s="2">
        <f>SQRT(POWER((S11*G25)/(B49*G49),2) +POWER((S11*G24*D49)/(G49*(B49^2)),2) + POWER((S11*G24*I49)/(B49*(G49^2)),2))</f>
        <v>5.1654407826574575E-7</v>
      </c>
      <c r="P12" s="1">
        <f>4*PI()*0.0000001</f>
        <v>1.2566370614359173E-6</v>
      </c>
      <c r="Q12" s="7">
        <f>ABS(P12-N12)/P12*100</f>
        <v>1.4485109549869821</v>
      </c>
    </row>
    <row r="13" spans="3:19" x14ac:dyDescent="0.35">
      <c r="E13" s="8"/>
      <c r="F13" s="5"/>
      <c r="G13" s="8"/>
      <c r="H13" s="5"/>
    </row>
    <row r="14" spans="3:19" ht="21" x14ac:dyDescent="0.5">
      <c r="C14" s="5"/>
      <c r="D14" s="5"/>
      <c r="E14" s="55" t="s">
        <v>46</v>
      </c>
      <c r="F14" s="56"/>
      <c r="G14" s="56"/>
      <c r="H14" s="57"/>
    </row>
    <row r="15" spans="3:19" x14ac:dyDescent="0.35">
      <c r="C15" s="5"/>
      <c r="D15" s="5"/>
      <c r="E15" s="3" t="s">
        <v>14</v>
      </c>
      <c r="F15" s="3" t="s">
        <v>12</v>
      </c>
      <c r="G15" s="3" t="s">
        <v>15</v>
      </c>
      <c r="H15" s="3" t="s">
        <v>16</v>
      </c>
    </row>
    <row r="16" spans="3:19" x14ac:dyDescent="0.35">
      <c r="C16" s="5"/>
      <c r="D16" s="5"/>
      <c r="E16" s="2">
        <v>100</v>
      </c>
      <c r="F16" s="1">
        <f>H8</f>
        <v>2.8623682502431441E-2</v>
      </c>
      <c r="G16" s="22">
        <f>E16*$G$24+$H$24</f>
        <v>2.8450796776871162E-2</v>
      </c>
      <c r="H16" s="1">
        <f>G16-F16</f>
        <v>-1.7288572556027962E-4</v>
      </c>
      <c r="J16">
        <v>0</v>
      </c>
      <c r="K16">
        <f>2*H26</f>
        <v>8.4159699277712538E-4</v>
      </c>
      <c r="L16">
        <f>-K16</f>
        <v>-8.4159699277712538E-4</v>
      </c>
    </row>
    <row r="17" spans="5:12" x14ac:dyDescent="0.35">
      <c r="E17" s="2">
        <v>200</v>
      </c>
      <c r="F17" s="1">
        <f>H7</f>
        <v>5.6922095885517082E-2</v>
      </c>
      <c r="G17" s="22">
        <f t="shared" ref="G17:G19" si="3">E17*$G$24+$H$24</f>
        <v>5.7261237806786207E-2</v>
      </c>
      <c r="H17" s="1">
        <f>G17-F17</f>
        <v>3.3914192126912462E-4</v>
      </c>
      <c r="J17">
        <v>800</v>
      </c>
      <c r="K17">
        <f>K16</f>
        <v>8.4159699277712538E-4</v>
      </c>
      <c r="L17">
        <f>-K17</f>
        <v>-8.4159699277712538E-4</v>
      </c>
    </row>
    <row r="18" spans="5:12" x14ac:dyDescent="0.35">
      <c r="E18" s="2">
        <v>442</v>
      </c>
      <c r="F18" s="1">
        <f>H9</f>
        <v>0.12737821556294468</v>
      </c>
      <c r="G18" s="22">
        <f t="shared" si="3"/>
        <v>0.12698250509918063</v>
      </c>
      <c r="H18" s="1">
        <f>G18-F18</f>
        <v>-3.957104637640485E-4</v>
      </c>
    </row>
    <row r="19" spans="5:12" x14ac:dyDescent="0.35">
      <c r="E19" s="2">
        <v>542</v>
      </c>
      <c r="F19" s="1">
        <f>H10</f>
        <v>0.15556349186104046</v>
      </c>
      <c r="G19" s="22">
        <f t="shared" si="3"/>
        <v>0.15579294612909567</v>
      </c>
      <c r="H19" s="1">
        <f>G19-F19</f>
        <v>2.2945426805520697E-4</v>
      </c>
    </row>
    <row r="23" spans="5:12" ht="16.5" thickBot="1" x14ac:dyDescent="0.4">
      <c r="F23" s="5"/>
      <c r="G23" s="54" t="s">
        <v>45</v>
      </c>
      <c r="H23" s="54"/>
    </row>
    <row r="24" spans="5:12" ht="15" thickTop="1" x14ac:dyDescent="0.35">
      <c r="F24" s="3" t="s">
        <v>21</v>
      </c>
      <c r="G24" s="22">
        <f t="array" ref="G24:H26">LINEST(F16:F19,E16:E19,1,1)</f>
        <v>2.8810441029915047E-4</v>
      </c>
      <c r="H24" s="11">
        <v>-3.596442530438837E-4</v>
      </c>
      <c r="I24" s="3" t="s">
        <v>20</v>
      </c>
    </row>
    <row r="25" spans="5:12" x14ac:dyDescent="0.35">
      <c r="F25" s="3" t="s">
        <v>17</v>
      </c>
      <c r="G25" s="22">
        <v>1.1809564462739215E-6</v>
      </c>
      <c r="H25" s="11">
        <v>4.3356062068359875E-4</v>
      </c>
      <c r="I25" s="3" t="s">
        <v>22</v>
      </c>
    </row>
    <row r="26" spans="5:12" x14ac:dyDescent="0.35">
      <c r="F26" s="3" t="s">
        <v>18</v>
      </c>
      <c r="G26" s="21">
        <v>0.99996639659000186</v>
      </c>
      <c r="H26" s="11">
        <v>4.2079849638856269E-4</v>
      </c>
      <c r="I26" s="3" t="s">
        <v>23</v>
      </c>
    </row>
    <row r="48" spans="1:9" ht="16" x14ac:dyDescent="0.35">
      <c r="A48" s="3" t="s">
        <v>4</v>
      </c>
      <c r="B48" s="3" t="s">
        <v>5</v>
      </c>
      <c r="C48" s="4" t="s">
        <v>31</v>
      </c>
      <c r="D48" s="4" t="s">
        <v>32</v>
      </c>
      <c r="E48" s="4" t="s">
        <v>33</v>
      </c>
      <c r="F48" s="4" t="s">
        <v>34</v>
      </c>
      <c r="G48" s="4" t="s">
        <v>35</v>
      </c>
      <c r="H48" s="4" t="s">
        <v>6</v>
      </c>
      <c r="I48" s="4" t="s">
        <v>7</v>
      </c>
    </row>
    <row r="49" spans="1:9" x14ac:dyDescent="0.35">
      <c r="A49" s="1">
        <v>243</v>
      </c>
      <c r="B49" s="1">
        <f>2*PI()*A49</f>
        <v>1526.8140296446395</v>
      </c>
      <c r="C49" s="1">
        <v>1</v>
      </c>
      <c r="D49" s="1">
        <v>1</v>
      </c>
      <c r="E49" s="1">
        <v>1E-4</v>
      </c>
      <c r="F49" s="1">
        <v>0.1</v>
      </c>
      <c r="G49" s="1">
        <f>AVERAGE(F6:F10)</f>
        <v>0.23976576736473457</v>
      </c>
      <c r="H49" s="1">
        <v>1E-4</v>
      </c>
      <c r="I49" s="1">
        <v>0.1</v>
      </c>
    </row>
  </sheetData>
  <mergeCells count="7">
    <mergeCell ref="P5:R5"/>
    <mergeCell ref="N10:Q10"/>
    <mergeCell ref="G4:K4"/>
    <mergeCell ref="D2:L2"/>
    <mergeCell ref="G23:H23"/>
    <mergeCell ref="E14:H14"/>
    <mergeCell ref="N5:O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D7A3-770B-4ABA-86C6-78B26C374787}">
  <dimension ref="B5:K44"/>
  <sheetViews>
    <sheetView topLeftCell="A21" zoomScale="66" workbookViewId="0">
      <selection activeCell="J31" sqref="J31"/>
    </sheetView>
  </sheetViews>
  <sheetFormatPr defaultRowHeight="14.5" x14ac:dyDescent="0.35"/>
  <cols>
    <col min="4" max="4" width="10.1796875" bestFit="1" customWidth="1"/>
    <col min="5" max="5" width="16.7265625" bestFit="1" customWidth="1"/>
    <col min="6" max="6" width="15.90625" bestFit="1" customWidth="1"/>
    <col min="7" max="7" width="20.1796875" bestFit="1" customWidth="1"/>
    <col min="8" max="8" width="12.26953125" bestFit="1" customWidth="1"/>
    <col min="9" max="9" width="12.1796875" bestFit="1" customWidth="1"/>
    <col min="10" max="10" width="14.26953125" bestFit="1" customWidth="1"/>
    <col min="11" max="11" width="17.1796875" bestFit="1" customWidth="1"/>
  </cols>
  <sheetData>
    <row r="5" spans="2:10" ht="21" x14ac:dyDescent="0.35">
      <c r="D5" s="50" t="s">
        <v>44</v>
      </c>
      <c r="E5" s="51"/>
      <c r="F5" s="51"/>
      <c r="G5" s="51"/>
      <c r="H5" s="51"/>
      <c r="I5" s="51"/>
      <c r="J5" s="52"/>
    </row>
    <row r="6" spans="2:10" x14ac:dyDescent="0.35">
      <c r="D6" s="3" t="s">
        <v>29</v>
      </c>
      <c r="E6" s="3" t="s">
        <v>8</v>
      </c>
      <c r="F6" s="3" t="s">
        <v>10</v>
      </c>
      <c r="G6" s="3" t="s">
        <v>11</v>
      </c>
      <c r="H6" s="3" t="s">
        <v>12</v>
      </c>
      <c r="I6" s="3" t="s">
        <v>15</v>
      </c>
      <c r="J6" s="3" t="s">
        <v>16</v>
      </c>
    </row>
    <row r="7" spans="2:10" x14ac:dyDescent="0.35">
      <c r="D7" s="2">
        <f>PI()*((41/1000)^2)/4</f>
        <v>1.3202543126711107E-3</v>
      </c>
      <c r="E7" s="7">
        <v>288.31</v>
      </c>
      <c r="F7" s="1">
        <f>E7/1000*SQRT(2)</f>
        <v>0.40773191216778709</v>
      </c>
      <c r="G7" s="7">
        <v>101.3</v>
      </c>
      <c r="H7" s="1">
        <f>G7/1000*SQRT(2)</f>
        <v>0.14325983386839453</v>
      </c>
      <c r="I7" s="1">
        <f>D7*$E$13+$F$13</f>
        <v>0.14339748762901147</v>
      </c>
      <c r="J7" s="1">
        <f>I7-H7</f>
        <v>1.376537606169459E-4</v>
      </c>
    </row>
    <row r="8" spans="2:10" x14ac:dyDescent="0.35">
      <c r="B8" s="5"/>
      <c r="D8" s="34">
        <f>PI()*((33/1000)^2)/4</f>
        <v>8.5529859993982123E-4</v>
      </c>
      <c r="E8" s="7">
        <v>287.89999999999998</v>
      </c>
      <c r="F8" s="1">
        <f t="shared" ref="F8:F9" si="0">E8/1000*SQRT(2)</f>
        <v>0.40715208460721408</v>
      </c>
      <c r="G8" s="7">
        <v>65.98</v>
      </c>
      <c r="H8" s="1">
        <f t="shared" ref="H8:H9" si="1">G8/1000*SQRT(2)</f>
        <v>9.3309810845376831E-2</v>
      </c>
      <c r="I8" s="1">
        <f t="shared" ref="I8:I9" si="2">D8*$E$13+$F$13</f>
        <v>9.2974842251139389E-2</v>
      </c>
      <c r="J8" s="1">
        <f t="shared" ref="J8:J9" si="3">I8-H8</f>
        <v>-3.3496859423744196E-4</v>
      </c>
    </row>
    <row r="9" spans="2:10" x14ac:dyDescent="0.35">
      <c r="B9" s="5"/>
      <c r="D9" s="2">
        <f>PI()*((26/1000)^2)/4</f>
        <v>5.3092915845667494E-4</v>
      </c>
      <c r="E9" s="7">
        <v>287.82</v>
      </c>
      <c r="F9" s="1">
        <f t="shared" si="0"/>
        <v>0.40703894752222425</v>
      </c>
      <c r="G9" s="7">
        <v>40.729999999999997</v>
      </c>
      <c r="H9" s="1">
        <f t="shared" si="1"/>
        <v>5.7600918395456162E-2</v>
      </c>
      <c r="I9" s="1">
        <f t="shared" si="2"/>
        <v>5.7798233229076602E-2</v>
      </c>
      <c r="J9" s="1">
        <f t="shared" si="3"/>
        <v>1.9731483362044056E-4</v>
      </c>
    </row>
    <row r="10" spans="2:10" x14ac:dyDescent="0.35">
      <c r="B10" s="5"/>
      <c r="C10" s="5"/>
      <c r="D10" s="8"/>
      <c r="E10" s="5"/>
      <c r="F10" s="8"/>
      <c r="G10" s="5"/>
      <c r="H10" s="5"/>
      <c r="I10" s="5"/>
      <c r="J10" s="5"/>
    </row>
    <row r="11" spans="2:10" x14ac:dyDescent="0.35">
      <c r="D11" s="8"/>
      <c r="E11" s="5"/>
      <c r="F11" s="8"/>
      <c r="G11" s="5"/>
      <c r="H11" s="5"/>
      <c r="I11" s="5"/>
      <c r="J11" s="5"/>
    </row>
    <row r="12" spans="2:10" ht="17.5" thickBot="1" x14ac:dyDescent="0.4">
      <c r="D12" s="8"/>
      <c r="E12" s="58" t="s">
        <v>47</v>
      </c>
      <c r="F12" s="58"/>
      <c r="G12" s="5"/>
      <c r="H12" s="5"/>
      <c r="I12" s="5"/>
      <c r="J12" s="5"/>
    </row>
    <row r="13" spans="2:10" ht="15" thickTop="1" x14ac:dyDescent="0.35">
      <c r="B13" s="5"/>
      <c r="C13" s="5"/>
      <c r="D13" s="3" t="s">
        <v>21</v>
      </c>
      <c r="E13" s="20">
        <f t="array" ref="E13:F15">LINEST(H7:H9,D7:D9,1,1)</f>
        <v>108.44612507646012</v>
      </c>
      <c r="F13" s="11">
        <v>2.2102330434431439E-4</v>
      </c>
      <c r="G13" s="3" t="s">
        <v>20</v>
      </c>
      <c r="H13" s="5"/>
      <c r="I13" s="5"/>
      <c r="J13" s="5"/>
    </row>
    <row r="14" spans="2:10" x14ac:dyDescent="0.35">
      <c r="B14" s="5"/>
      <c r="C14" s="5"/>
      <c r="D14" s="3" t="s">
        <v>17</v>
      </c>
      <c r="E14" s="20">
        <v>0.73503627885337575</v>
      </c>
      <c r="F14" s="11">
        <v>7.0457395944112714E-4</v>
      </c>
      <c r="G14" s="3" t="s">
        <v>22</v>
      </c>
      <c r="H14" s="5"/>
      <c r="I14" s="5">
        <f>E44/(D44*C44)</f>
        <v>6.9252077562326867E-6</v>
      </c>
      <c r="J14" s="5"/>
    </row>
    <row r="15" spans="2:10" x14ac:dyDescent="0.35">
      <c r="B15" s="5"/>
      <c r="C15" s="5"/>
      <c r="D15" s="3" t="s">
        <v>18</v>
      </c>
      <c r="E15" s="21">
        <v>0.99995406227099981</v>
      </c>
      <c r="F15" s="11">
        <v>4.124144280987993E-4</v>
      </c>
      <c r="G15" s="3" t="s">
        <v>23</v>
      </c>
      <c r="H15" s="5"/>
      <c r="I15" s="5"/>
      <c r="J15" s="5"/>
    </row>
    <row r="16" spans="2:10" x14ac:dyDescent="0.35">
      <c r="B16" s="5"/>
      <c r="C16" s="5"/>
      <c r="D16" s="8"/>
      <c r="E16" s="5"/>
      <c r="F16" s="8"/>
      <c r="G16" s="5"/>
      <c r="H16" s="5"/>
      <c r="I16" s="5"/>
      <c r="J16" s="5"/>
    </row>
    <row r="17" spans="2:10" x14ac:dyDescent="0.35">
      <c r="B17" s="5"/>
      <c r="C17" s="5"/>
      <c r="D17" s="8">
        <v>2.9999999999999997E-4</v>
      </c>
      <c r="E17" s="5">
        <f>2*F15</f>
        <v>8.248288561975986E-4</v>
      </c>
      <c r="F17" s="30">
        <f>-E17</f>
        <v>-8.248288561975986E-4</v>
      </c>
      <c r="G17" s="5"/>
      <c r="H17" s="5"/>
      <c r="I17" s="5"/>
      <c r="J17" s="5"/>
    </row>
    <row r="18" spans="2:10" x14ac:dyDescent="0.35">
      <c r="D18" s="8">
        <v>2E-3</v>
      </c>
      <c r="E18" s="5">
        <f>2*F15</f>
        <v>8.248288561975986E-4</v>
      </c>
      <c r="F18" s="30">
        <f>-E18</f>
        <v>-8.248288561975986E-4</v>
      </c>
      <c r="G18" s="5"/>
      <c r="H18" s="5"/>
      <c r="I18" s="5"/>
      <c r="J18" s="5"/>
    </row>
    <row r="19" spans="2:10" x14ac:dyDescent="0.35">
      <c r="D19" s="8"/>
      <c r="E19" s="5"/>
      <c r="F19" s="8"/>
      <c r="G19" s="5"/>
      <c r="H19" s="5"/>
      <c r="I19" s="5"/>
      <c r="J19" s="5"/>
    </row>
    <row r="20" spans="2:10" ht="16" x14ac:dyDescent="0.35">
      <c r="B20" s="3" t="s">
        <v>4</v>
      </c>
      <c r="C20" s="3" t="s">
        <v>5</v>
      </c>
      <c r="D20" s="4" t="s">
        <v>31</v>
      </c>
      <c r="E20" s="4" t="s">
        <v>32</v>
      </c>
      <c r="F20" s="4" t="s">
        <v>33</v>
      </c>
      <c r="G20" s="4" t="s">
        <v>34</v>
      </c>
      <c r="H20" s="4" t="s">
        <v>35</v>
      </c>
      <c r="I20" s="4" t="s">
        <v>6</v>
      </c>
      <c r="J20" s="4" t="s">
        <v>7</v>
      </c>
    </row>
    <row r="21" spans="2:10" x14ac:dyDescent="0.35">
      <c r="B21" s="1">
        <v>243</v>
      </c>
      <c r="C21" s="1">
        <f>2*PI()*B21</f>
        <v>1526.8140296446395</v>
      </c>
      <c r="D21" s="1">
        <v>1</v>
      </c>
      <c r="E21" s="1">
        <v>1</v>
      </c>
      <c r="F21" s="1">
        <v>1E-4</v>
      </c>
      <c r="G21" s="1">
        <v>0.1</v>
      </c>
      <c r="H21" s="20">
        <f>AVERAGE(F7:F9)</f>
        <v>0.40730764809907516</v>
      </c>
      <c r="I21" s="1">
        <v>1E-4</v>
      </c>
      <c r="J21" s="1">
        <v>0.1</v>
      </c>
    </row>
    <row r="22" spans="2:10" x14ac:dyDescent="0.35">
      <c r="D22" s="8"/>
      <c r="E22" s="5"/>
      <c r="F22" s="5"/>
      <c r="G22" s="5"/>
      <c r="H22" s="5"/>
      <c r="I22" s="5"/>
      <c r="J22" s="5"/>
    </row>
    <row r="23" spans="2:10" x14ac:dyDescent="0.35">
      <c r="D23" s="8"/>
      <c r="E23" s="5"/>
      <c r="F23" s="5"/>
      <c r="G23" s="5"/>
      <c r="H23" s="5"/>
      <c r="I23" s="5"/>
      <c r="J23" s="5"/>
    </row>
    <row r="24" spans="2:10" x14ac:dyDescent="0.35">
      <c r="D24" s="8"/>
      <c r="E24" s="5"/>
      <c r="F24" s="5"/>
      <c r="G24" s="5"/>
      <c r="H24" s="5"/>
      <c r="I24" s="5"/>
      <c r="J24" s="5"/>
    </row>
    <row r="25" spans="2:10" x14ac:dyDescent="0.35">
      <c r="D25" s="8"/>
      <c r="E25" s="5"/>
      <c r="F25" s="5"/>
      <c r="G25" s="5"/>
      <c r="H25" s="5"/>
      <c r="I25" s="5"/>
      <c r="J25" s="5"/>
    </row>
    <row r="42" spans="3:11" ht="18.5" x14ac:dyDescent="0.45">
      <c r="C42" s="23" t="s">
        <v>49</v>
      </c>
      <c r="D42" s="36" t="s">
        <v>2</v>
      </c>
      <c r="E42" s="36"/>
      <c r="F42" s="36"/>
      <c r="H42" s="47" t="s">
        <v>50</v>
      </c>
      <c r="I42" s="47"/>
      <c r="J42" s="47"/>
      <c r="K42" s="47"/>
    </row>
    <row r="43" spans="3:11" ht="18.5" x14ac:dyDescent="0.45">
      <c r="C43" s="3" t="s">
        <v>26</v>
      </c>
      <c r="D43" s="3" t="s">
        <v>25</v>
      </c>
      <c r="E43" s="3" t="s">
        <v>24</v>
      </c>
      <c r="F43" s="3" t="s">
        <v>3</v>
      </c>
      <c r="H43" s="31" t="s">
        <v>51</v>
      </c>
      <c r="I43" s="31" t="s">
        <v>52</v>
      </c>
      <c r="J43" s="31" t="s">
        <v>53</v>
      </c>
      <c r="K43" s="31" t="s">
        <v>54</v>
      </c>
    </row>
    <row r="44" spans="3:11" x14ac:dyDescent="0.35">
      <c r="C44" s="24">
        <v>300</v>
      </c>
      <c r="D44" s="2">
        <v>361</v>
      </c>
      <c r="E44" s="2">
        <v>0.75</v>
      </c>
      <c r="F44" s="2">
        <v>0.01</v>
      </c>
      <c r="H44" s="2">
        <f>(E44*E13)/(H21*C21*D44*C44)</f>
        <v>1.2076418047656794E-6</v>
      </c>
      <c r="I44" s="2">
        <f>SQRT(POWER((I14*E14)/(H21*C21),2) +POWER((I14*E13*E21)/(H21*(C21^2)),2) + POWER((I14*E13*J21)/(C21*(H21^2)),2))</f>
        <v>2.9660778877209025E-7</v>
      </c>
      <c r="J44" s="2">
        <f>4*PI()*0.0000001</f>
        <v>1.2566370614359173E-6</v>
      </c>
      <c r="K44" s="35">
        <f>ABS(J44-H44)/J44</f>
        <v>3.8989186435622609E-2</v>
      </c>
    </row>
  </sheetData>
  <mergeCells count="4">
    <mergeCell ref="D5:J5"/>
    <mergeCell ref="E12:F12"/>
    <mergeCell ref="D42:F42"/>
    <mergeCell ref="H42:K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Bobinas</vt:lpstr>
      <vt:lpstr>ω</vt:lpstr>
      <vt:lpstr>i0</vt:lpstr>
      <vt:lpstr>n espiras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Gonçalves</dc:creator>
  <cp:lastModifiedBy>Tomás Gonçalves</cp:lastModifiedBy>
  <dcterms:created xsi:type="dcterms:W3CDTF">2024-04-14T18:34:29Z</dcterms:created>
  <dcterms:modified xsi:type="dcterms:W3CDTF">2024-05-10T09:48:09Z</dcterms:modified>
</cp:coreProperties>
</file>