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ffffe48e33b94/Ambiente de Trabalho/Labs de física II/Logbooks 0.16/"/>
    </mc:Choice>
  </mc:AlternateContent>
  <xr:revisionPtr revIDLastSave="0" documentId="14_{FE63BEB8-3D9C-403B-A6D1-8A60C0001FD9}" xr6:coauthVersionLast="47" xr6:coauthVersionMax="47" xr10:uidLastSave="{00000000-0000-0000-0000-000000000000}"/>
  <bookViews>
    <workbookView xWindow="-110" yWindow="-110" windowWidth="19420" windowHeight="11500" firstSheet="1" activeTab="2" xr2:uid="{D99CFF76-C7E9-4B8C-894A-31E61E3EB1DD}"/>
  </bookViews>
  <sheets>
    <sheet name="Cabo Coaxial 1" sheetId="1" r:id="rId1"/>
    <sheet name="Cabo Coaxial 2" sheetId="3" r:id="rId2"/>
    <sheet name="Pêndulo de torçã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6" i="2" l="1"/>
  <c r="AA27" i="3" a="1"/>
  <c r="AA27" i="3" s="1"/>
  <c r="AA6" i="3" a="1"/>
  <c r="AA6" i="3" s="1"/>
  <c r="C4" i="3"/>
  <c r="B42" i="3"/>
  <c r="B43" i="3"/>
  <c r="B44" i="3"/>
  <c r="B45" i="3"/>
  <c r="B46" i="3"/>
  <c r="B47" i="3"/>
  <c r="B48" i="3"/>
  <c r="C13" i="3"/>
  <c r="AB28" i="3" l="1"/>
  <c r="AB29" i="3"/>
  <c r="AA28" i="3"/>
  <c r="AB27" i="3"/>
  <c r="W33" i="3" s="1"/>
  <c r="X33" i="3" s="1"/>
  <c r="AA29" i="3"/>
  <c r="AB6" i="3"/>
  <c r="W16" i="3" s="1"/>
  <c r="X16" i="3" s="1"/>
  <c r="AB8" i="3"/>
  <c r="AA8" i="3"/>
  <c r="AB7" i="3"/>
  <c r="AA7" i="3"/>
  <c r="G7" i="2"/>
  <c r="H7" i="2" s="1"/>
  <c r="G10" i="2"/>
  <c r="H10" i="2" s="1"/>
  <c r="G13" i="2"/>
  <c r="H13" i="2" s="1"/>
  <c r="G4" i="2"/>
  <c r="H4" i="2" s="1"/>
  <c r="G20" i="2"/>
  <c r="F21" i="2"/>
  <c r="D21" i="2"/>
  <c r="D19" i="2"/>
  <c r="Q44" i="2"/>
  <c r="Q43" i="2"/>
  <c r="Q41" i="2"/>
  <c r="S22" i="2"/>
  <c r="R22" i="2" s="1"/>
  <c r="S25" i="2"/>
  <c r="R25" i="2" s="1"/>
  <c r="S28" i="2"/>
  <c r="R28" i="2" s="1"/>
  <c r="AI10" i="2" s="1"/>
  <c r="S19" i="2"/>
  <c r="R19" i="2"/>
  <c r="AI9" i="2" s="1"/>
  <c r="V19" i="2"/>
  <c r="W19" i="2" s="1"/>
  <c r="V20" i="2"/>
  <c r="W20" i="2" s="1"/>
  <c r="V21" i="2"/>
  <c r="W21" i="2" s="1"/>
  <c r="V22" i="2"/>
  <c r="W22" i="2" s="1"/>
  <c r="V23" i="2"/>
  <c r="W23" i="2" s="1"/>
  <c r="V24" i="2"/>
  <c r="W24" i="2" s="1"/>
  <c r="V25" i="2"/>
  <c r="W25" i="2" s="1"/>
  <c r="V26" i="2"/>
  <c r="W26" i="2" s="1"/>
  <c r="V27" i="2"/>
  <c r="W27" i="2" s="1"/>
  <c r="V28" i="2"/>
  <c r="W28" i="2"/>
  <c r="V29" i="2"/>
  <c r="W29" i="2" s="1"/>
  <c r="V30" i="2"/>
  <c r="W30" i="2" s="1"/>
  <c r="V16" i="2"/>
  <c r="W16" i="2" s="1"/>
  <c r="V17" i="2"/>
  <c r="W17" i="2" s="1"/>
  <c r="V18" i="2"/>
  <c r="W18" i="2" s="1"/>
  <c r="S16" i="2"/>
  <c r="R16" i="2" s="1"/>
  <c r="AI8" i="2" s="1"/>
  <c r="S13" i="2"/>
  <c r="R13" i="2" s="1"/>
  <c r="AI7" i="2" s="1"/>
  <c r="V13" i="2"/>
  <c r="W13" i="2" s="1"/>
  <c r="V14" i="2"/>
  <c r="W14" i="2" s="1"/>
  <c r="V15" i="2"/>
  <c r="W15" i="2" s="1"/>
  <c r="S10" i="2"/>
  <c r="R10" i="2" s="1"/>
  <c r="AI6" i="2" s="1"/>
  <c r="S7" i="2"/>
  <c r="R7" i="2" s="1"/>
  <c r="S4" i="2"/>
  <c r="R4" i="2" s="1"/>
  <c r="AI5" i="2" s="1"/>
  <c r="V12" i="2"/>
  <c r="W12" i="2" s="1"/>
  <c r="V11" i="2"/>
  <c r="W11" i="2" s="1"/>
  <c r="V10" i="2"/>
  <c r="W10" i="2" s="1"/>
  <c r="V9" i="2"/>
  <c r="W9" i="2" s="1"/>
  <c r="V8" i="2"/>
  <c r="W8" i="2" s="1"/>
  <c r="V7" i="2"/>
  <c r="W7" i="2" s="1"/>
  <c r="V5" i="2"/>
  <c r="W5" i="2" s="1"/>
  <c r="V6" i="2"/>
  <c r="W6" i="2" s="1"/>
  <c r="V4" i="2"/>
  <c r="W4" i="2" s="1"/>
  <c r="D47" i="3"/>
  <c r="D48" i="3"/>
  <c r="C6" i="3"/>
  <c r="C7" i="3"/>
  <c r="C8" i="3"/>
  <c r="C9" i="3"/>
  <c r="C10" i="3"/>
  <c r="C5" i="3"/>
  <c r="D44" i="3"/>
  <c r="D45" i="3"/>
  <c r="D46" i="3"/>
  <c r="D43" i="3"/>
  <c r="H25" i="1"/>
  <c r="H26" i="1"/>
  <c r="H27" i="1"/>
  <c r="H28" i="1"/>
  <c r="H29" i="1"/>
  <c r="H16" i="1"/>
  <c r="H17" i="1"/>
  <c r="H18" i="1"/>
  <c r="H19" i="1"/>
  <c r="H20" i="1"/>
  <c r="H21" i="1"/>
  <c r="H22" i="1"/>
  <c r="H23" i="1"/>
  <c r="H24" i="1"/>
  <c r="H12" i="1"/>
  <c r="H13" i="1"/>
  <c r="H14" i="1"/>
  <c r="H15" i="1"/>
  <c r="H11" i="1"/>
  <c r="H4" i="1"/>
  <c r="H5" i="1"/>
  <c r="H6" i="1"/>
  <c r="H7" i="1"/>
  <c r="H8" i="1"/>
  <c r="H9" i="1"/>
  <c r="H10" i="1"/>
  <c r="H3" i="1"/>
  <c r="F13" i="3"/>
  <c r="D3" i="1"/>
  <c r="Q42" i="2" l="1"/>
  <c r="T36" i="2" s="1"/>
  <c r="T38" i="2" s="1"/>
  <c r="C4" i="2"/>
  <c r="E4" i="2" s="1"/>
  <c r="C13" i="2"/>
  <c r="E13" i="2" s="1"/>
  <c r="C7" i="2"/>
  <c r="E7" i="2" s="1"/>
  <c r="W27" i="3"/>
  <c r="X27" i="3" s="1"/>
  <c r="W26" i="3"/>
  <c r="X26" i="3" s="1"/>
  <c r="W29" i="3"/>
  <c r="X29" i="3" s="1"/>
  <c r="W34" i="3"/>
  <c r="X34" i="3" s="1"/>
  <c r="W31" i="3"/>
  <c r="X31" i="3" s="1"/>
  <c r="W32" i="3"/>
  <c r="X32" i="3" s="1"/>
  <c r="AA34" i="3"/>
  <c r="AB34" i="3" s="1"/>
  <c r="AA33" i="3"/>
  <c r="AB33" i="3" s="1"/>
  <c r="W28" i="3"/>
  <c r="X28" i="3" s="1"/>
  <c r="W30" i="3"/>
  <c r="X30" i="3" s="1"/>
  <c r="W25" i="3"/>
  <c r="X25" i="3" s="1"/>
  <c r="I43" i="3" a="1"/>
  <c r="I43" i="3" s="1"/>
  <c r="I5" i="3" a="1"/>
  <c r="I5" i="3" s="1"/>
  <c r="W19" i="3"/>
  <c r="X19" i="3" s="1"/>
  <c r="W4" i="3"/>
  <c r="X4" i="3" s="1"/>
  <c r="W5" i="3"/>
  <c r="X5" i="3" s="1"/>
  <c r="W6" i="3"/>
  <c r="X6" i="3" s="1"/>
  <c r="W7" i="3"/>
  <c r="X7" i="3" s="1"/>
  <c r="W8" i="3"/>
  <c r="X8" i="3" s="1"/>
  <c r="W9" i="3"/>
  <c r="X9" i="3" s="1"/>
  <c r="W10" i="3"/>
  <c r="X10" i="3" s="1"/>
  <c r="W11" i="3"/>
  <c r="X11" i="3" s="1"/>
  <c r="W12" i="3"/>
  <c r="X12" i="3" s="1"/>
  <c r="W13" i="3"/>
  <c r="X13" i="3" s="1"/>
  <c r="W14" i="3"/>
  <c r="X14" i="3" s="1"/>
  <c r="W15" i="3"/>
  <c r="X15" i="3" s="1"/>
  <c r="W17" i="3"/>
  <c r="X17" i="3" s="1"/>
  <c r="W18" i="3"/>
  <c r="X18" i="3" s="1"/>
  <c r="AE7" i="3"/>
  <c r="AF7" i="3" s="1"/>
  <c r="AE6" i="3"/>
  <c r="AF6" i="3" s="1"/>
  <c r="C10" i="2"/>
  <c r="E10" i="2" s="1"/>
  <c r="X22" i="2"/>
  <c r="X25" i="2"/>
  <c r="X28" i="2"/>
  <c r="AJ10" i="2" s="1"/>
  <c r="X19" i="2"/>
  <c r="AJ9" i="2" s="1"/>
  <c r="X7" i="2"/>
  <c r="X16" i="2"/>
  <c r="AJ8" i="2" s="1"/>
  <c r="X13" i="2"/>
  <c r="AJ7" i="2" s="1"/>
  <c r="X4" i="2"/>
  <c r="AJ5" i="2" s="1"/>
  <c r="X10" i="2"/>
  <c r="AJ6" i="2" s="1"/>
  <c r="AO5" i="2" s="1" a="1"/>
  <c r="AP5" i="2" l="1"/>
  <c r="AO7" i="2"/>
  <c r="AO5" i="2"/>
  <c r="AK5" i="2" s="1"/>
  <c r="AL5" i="2" s="1"/>
  <c r="AP6" i="2"/>
  <c r="AO6" i="2"/>
  <c r="AP7" i="2"/>
  <c r="J5" i="3"/>
  <c r="E8" i="3" s="1"/>
  <c r="F8" i="3" s="1"/>
  <c r="I6" i="3"/>
  <c r="J6" i="3"/>
  <c r="J7" i="3"/>
  <c r="I7" i="3"/>
  <c r="J45" i="3"/>
  <c r="I45" i="3"/>
  <c r="I44" i="3"/>
  <c r="J44" i="3"/>
  <c r="J43" i="3"/>
  <c r="E42" i="3" s="1"/>
  <c r="F42" i="3" s="1"/>
  <c r="J12" i="3"/>
  <c r="K12" i="3" s="1"/>
  <c r="J11" i="3"/>
  <c r="K11" i="3" s="1"/>
  <c r="E9" i="3"/>
  <c r="F9" i="3" s="1"/>
  <c r="E10" i="3"/>
  <c r="F10" i="3" s="1"/>
  <c r="E5" i="3"/>
  <c r="F5" i="3" s="1"/>
  <c r="E6" i="3"/>
  <c r="F6" i="3" s="1"/>
  <c r="E7" i="3"/>
  <c r="F7" i="3" s="1"/>
  <c r="AK10" i="2" l="1"/>
  <c r="AL10" i="2" s="1"/>
  <c r="AK7" i="2"/>
  <c r="AL7" i="2" s="1"/>
  <c r="AK6" i="2"/>
  <c r="AL6" i="2" s="1"/>
  <c r="AT6" i="2"/>
  <c r="AS5" i="2"/>
  <c r="AT5" i="2" s="1"/>
  <c r="AK9" i="2"/>
  <c r="AL9" i="2" s="1"/>
  <c r="AK8" i="2"/>
  <c r="AL8" i="2" s="1"/>
  <c r="E4" i="3"/>
  <c r="F4" i="3" s="1"/>
  <c r="K48" i="3"/>
  <c r="L48" i="3" s="1"/>
  <c r="K49" i="3"/>
  <c r="L49" i="3" s="1"/>
  <c r="E48" i="3"/>
  <c r="F48" i="3" s="1"/>
  <c r="E47" i="3"/>
  <c r="F47" i="3" s="1"/>
  <c r="E45" i="3"/>
  <c r="F45" i="3" s="1"/>
  <c r="E44" i="3"/>
  <c r="F44" i="3" s="1"/>
  <c r="E43" i="3"/>
  <c r="F43" i="3" s="1"/>
  <c r="E46" i="3"/>
  <c r="F46" i="3" s="1"/>
</calcChain>
</file>

<file path=xl/sharedStrings.xml><?xml version="1.0" encoding="utf-8"?>
<sst xmlns="http://schemas.openxmlformats.org/spreadsheetml/2006/main" count="104" uniqueCount="67">
  <si>
    <t>D+prisma vertical</t>
  </si>
  <si>
    <t>D+prisma horizontal</t>
  </si>
  <si>
    <t>D+coroa cil.</t>
  </si>
  <si>
    <t>D+coroa cil.+prisma horizontal</t>
  </si>
  <si>
    <t>Massa</t>
  </si>
  <si>
    <t>Diâmetro</t>
  </si>
  <si>
    <t>Disco</t>
  </si>
  <si>
    <t>prisma horizontal</t>
  </si>
  <si>
    <t>coroa cilíndrica</t>
  </si>
  <si>
    <t>I (m. inércia)</t>
  </si>
  <si>
    <t>D2</t>
  </si>
  <si>
    <t>módulo de Rigidez</t>
  </si>
  <si>
    <t>declive</t>
  </si>
  <si>
    <t>l</t>
  </si>
  <si>
    <t>T médio</t>
  </si>
  <si>
    <t>t = 10 T</t>
  </si>
  <si>
    <t>teta</t>
  </si>
  <si>
    <t>Z_L</t>
  </si>
  <si>
    <t>Z_c</t>
  </si>
  <si>
    <t>coef. Reflex.</t>
  </si>
  <si>
    <t>V</t>
  </si>
  <si>
    <t>ln (V/V1)</t>
  </si>
  <si>
    <t>n</t>
  </si>
  <si>
    <t>ln</t>
  </si>
  <si>
    <t>a</t>
  </si>
  <si>
    <t>t</t>
  </si>
  <si>
    <t>Zl=0</t>
  </si>
  <si>
    <t>coef</t>
  </si>
  <si>
    <t>z=infinito</t>
  </si>
  <si>
    <t>com atenuação</t>
  </si>
  <si>
    <t>Vr +</t>
  </si>
  <si>
    <t>Vr soma</t>
  </si>
  <si>
    <t>Vr -</t>
  </si>
  <si>
    <t>f</t>
  </si>
  <si>
    <t>d.d.fase</t>
  </si>
  <si>
    <t>i</t>
  </si>
  <si>
    <t>l^4</t>
  </si>
  <si>
    <t>impulsos</t>
  </si>
  <si>
    <t>T^2</t>
  </si>
  <si>
    <t>T^2 médio</t>
  </si>
  <si>
    <t>densidade</t>
  </si>
  <si>
    <t>massa</t>
  </si>
  <si>
    <t>volume</t>
  </si>
  <si>
    <t>diâmetro</t>
  </si>
  <si>
    <t>E</t>
  </si>
  <si>
    <t>Eixo menor</t>
  </si>
  <si>
    <t>Eixo maior</t>
  </si>
  <si>
    <t>b</t>
  </si>
  <si>
    <t>h</t>
  </si>
  <si>
    <t>t (ns)</t>
  </si>
  <si>
    <t>t (s)</t>
  </si>
  <si>
    <t>d (m)</t>
  </si>
  <si>
    <t>ln (V/V1) ajs.linear</t>
  </si>
  <si>
    <t>resíduos</t>
  </si>
  <si>
    <t>d ajs.linear (m)</t>
  </si>
  <si>
    <t>m</t>
  </si>
  <si>
    <t>s_m</t>
  </si>
  <si>
    <t>r^2</t>
  </si>
  <si>
    <t>s_y</t>
  </si>
  <si>
    <t>s_b</t>
  </si>
  <si>
    <t>Matriz de ajuste</t>
  </si>
  <si>
    <t>Gama original</t>
  </si>
  <si>
    <t>Gama 1</t>
  </si>
  <si>
    <t>f ajs. linear</t>
  </si>
  <si>
    <t>Matriz de ajuste (gama 1)</t>
  </si>
  <si>
    <t>Matriz de ajuste (gama original)</t>
  </si>
  <si>
    <t>T^2 ajs.linear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</si>
</sst>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1" applyFont="1" applyBorder="1" applyAlignment="1">
      <alignment horizontal="center" vertical="center"/>
    </xf>
    <xf numFmtId="0" fontId="4" fillId="4" borderId="1" xfId="1" applyFont="1" applyBorder="1" applyAlignment="1">
      <alignment horizontal="center" vertical="center"/>
    </xf>
    <xf numFmtId="0" fontId="1" fillId="4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0" fontId="6" fillId="5" borderId="1" xfId="2" applyBorder="1" applyAlignment="1">
      <alignment horizontal="center" vertical="center"/>
    </xf>
    <xf numFmtId="0" fontId="4" fillId="4" borderId="1" xfId="1" applyFont="1" applyBorder="1" applyAlignment="1">
      <alignment horizontal="center"/>
    </xf>
    <xf numFmtId="0" fontId="7" fillId="6" borderId="0" xfId="3" applyFont="1" applyBorder="1" applyAlignment="1">
      <alignment horizontal="center" vertical="center"/>
    </xf>
    <xf numFmtId="0" fontId="7" fillId="6" borderId="6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4" borderId="7" xfId="1" applyFont="1" applyBorder="1" applyAlignment="1">
      <alignment horizontal="center"/>
    </xf>
    <xf numFmtId="0" fontId="4" fillId="4" borderId="5" xfId="1" applyFont="1" applyBorder="1" applyAlignment="1">
      <alignment horizontal="center"/>
    </xf>
    <xf numFmtId="0" fontId="1" fillId="4" borderId="1" xfId="1" applyFont="1" applyBorder="1" applyAlignment="1">
      <alignment horizontal="center"/>
    </xf>
  </cellXfs>
  <cellStyles count="4">
    <cellStyle name="20% - Cor1" xfId="3" builtinId="30"/>
    <cellStyle name="Cor1" xfId="1" builtinId="29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2277369490768674E-2"/>
          <c:y val="0.12208693980322632"/>
          <c:w val="0.87217299306242713"/>
          <c:h val="0.731385069307077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'Cabo Coaxial 1'!$I$3:$I$29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280</c:v>
                </c:pt>
                <c:pt idx="23">
                  <c:v>320</c:v>
                </c:pt>
                <c:pt idx="24">
                  <c:v>400</c:v>
                </c:pt>
                <c:pt idx="25">
                  <c:v>450</c:v>
                </c:pt>
                <c:pt idx="26">
                  <c:v>500</c:v>
                </c:pt>
              </c:numCache>
            </c:numRef>
          </c:xVal>
          <c:yVal>
            <c:numRef>
              <c:f>'Cabo Coaxial 1'!$F$3:$F$29</c:f>
              <c:numCache>
                <c:formatCode>General</c:formatCode>
                <c:ptCount val="27"/>
                <c:pt idx="0">
                  <c:v>-4.92</c:v>
                </c:pt>
                <c:pt idx="1">
                  <c:v>-3.52</c:v>
                </c:pt>
                <c:pt idx="2">
                  <c:v>-2.44</c:v>
                </c:pt>
                <c:pt idx="3">
                  <c:v>-1.6</c:v>
                </c:pt>
                <c:pt idx="4">
                  <c:v>-0.86399999999999999</c:v>
                </c:pt>
                <c:pt idx="5" formatCode="0.000">
                  <c:v>-0.44</c:v>
                </c:pt>
                <c:pt idx="7">
                  <c:v>0.94</c:v>
                </c:pt>
                <c:pt idx="8">
                  <c:v>1.2</c:v>
                </c:pt>
                <c:pt idx="9">
                  <c:v>1.42</c:v>
                </c:pt>
                <c:pt idx="10">
                  <c:v>1.62</c:v>
                </c:pt>
                <c:pt idx="11">
                  <c:v>1.78</c:v>
                </c:pt>
                <c:pt idx="12">
                  <c:v>1.96</c:v>
                </c:pt>
                <c:pt idx="13">
                  <c:v>2.12</c:v>
                </c:pt>
                <c:pt idx="14" formatCode="0.00">
                  <c:v>2.2400000000000002</c:v>
                </c:pt>
                <c:pt idx="15">
                  <c:v>2.38</c:v>
                </c:pt>
                <c:pt idx="16">
                  <c:v>2.52</c:v>
                </c:pt>
                <c:pt idx="17">
                  <c:v>2.72</c:v>
                </c:pt>
                <c:pt idx="18">
                  <c:v>2.74</c:v>
                </c:pt>
                <c:pt idx="19">
                  <c:v>2.82</c:v>
                </c:pt>
                <c:pt idx="20">
                  <c:v>2.9</c:v>
                </c:pt>
                <c:pt idx="21">
                  <c:v>2.96</c:v>
                </c:pt>
                <c:pt idx="22">
                  <c:v>3.4</c:v>
                </c:pt>
                <c:pt idx="23">
                  <c:v>3.56</c:v>
                </c:pt>
                <c:pt idx="24">
                  <c:v>3.76</c:v>
                </c:pt>
                <c:pt idx="25">
                  <c:v>3.88</c:v>
                </c:pt>
                <c:pt idx="26">
                  <c:v>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A-47A1-93CE-E9749F6C2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1391"/>
        <c:axId val="1324031871"/>
      </c:scatterChart>
      <c:valAx>
        <c:axId val="132403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1871"/>
        <c:crossesAt val="-100"/>
        <c:crossBetween val="midCat"/>
      </c:valAx>
      <c:valAx>
        <c:axId val="13240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ln(V/V1) em função de n </a:t>
            </a:r>
            <a:r>
              <a:rPr lang="en-US" sz="1100" baseline="0"/>
              <a:t>impulso</a:t>
            </a:r>
            <a:endParaRPr lang="en-US" sz="1600"/>
          </a:p>
        </c:rich>
      </c:tx>
      <c:layout>
        <c:manualLayout>
          <c:xMode val="edge"/>
          <c:yMode val="edge"/>
          <c:x val="0.18151389602419893"/>
          <c:y val="3.2030663854184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441386921323635"/>
          <c:y val="0.12428569253843651"/>
          <c:w val="0.8679213665827149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'Cabo Coaxial 2'!$C$4:$C$10</c:f>
              <c:numCache>
                <c:formatCode>General</c:formatCode>
                <c:ptCount val="7"/>
                <c:pt idx="0">
                  <c:v>0</c:v>
                </c:pt>
                <c:pt idx="1">
                  <c:v>-0.32918180335853353</c:v>
                </c:pt>
                <c:pt idx="2">
                  <c:v>-0.64551913157069063</c:v>
                </c:pt>
                <c:pt idx="3">
                  <c:v>-0.94098334446452636</c:v>
                </c:pt>
                <c:pt idx="4">
                  <c:v>-1.2712250313351032</c:v>
                </c:pt>
                <c:pt idx="5">
                  <c:v>-1.6094379124341003</c:v>
                </c:pt>
                <c:pt idx="6">
                  <c:v>-1.9557141491519341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0-413E-92D1-A3BAF53E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 (V/V1)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77943193008185"/>
          <c:y val="0.23294417529268552"/>
          <c:w val="0.25716471972292865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d </a:t>
            </a:r>
            <a:r>
              <a:rPr lang="en-US" sz="1050" b="0" baseline="0"/>
              <a:t>impulso</a:t>
            </a:r>
            <a:r>
              <a:rPr lang="en-US" sz="1800" b="0" baseline="0"/>
              <a:t> em função de t</a:t>
            </a:r>
            <a:endParaRPr lang="en-US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2'!$D$42:$D$48</c:f>
              <c:numCache>
                <c:formatCode>General</c:formatCode>
                <c:ptCount val="7"/>
                <c:pt idx="0">
                  <c:v>0</c:v>
                </c:pt>
                <c:pt idx="1">
                  <c:v>6.4000000000000001E-7</c:v>
                </c:pt>
                <c:pt idx="2">
                  <c:v>1.3E-6</c:v>
                </c:pt>
                <c:pt idx="3">
                  <c:v>1.9400000000000001E-6</c:v>
                </c:pt>
                <c:pt idx="4">
                  <c:v>2.6000000000000001E-6</c:v>
                </c:pt>
                <c:pt idx="5">
                  <c:v>3.2600000000000001E-6</c:v>
                </c:pt>
                <c:pt idx="6">
                  <c:v>3.8999999999999999E-6</c:v>
                </c:pt>
              </c:numCache>
            </c:numRef>
          </c:xVal>
          <c:yVal>
            <c:numRef>
              <c:f>'Cabo Coaxial 2'!$B$42:$B$48</c:f>
              <c:numCache>
                <c:formatCode>General</c:formatCode>
                <c:ptCount val="7"/>
                <c:pt idx="0">
                  <c:v>127</c:v>
                </c:pt>
                <c:pt idx="1">
                  <c:v>254</c:v>
                </c:pt>
                <c:pt idx="2">
                  <c:v>381</c:v>
                </c:pt>
                <c:pt idx="3">
                  <c:v>508</c:v>
                </c:pt>
                <c:pt idx="4">
                  <c:v>635</c:v>
                </c:pt>
                <c:pt idx="5">
                  <c:v>762</c:v>
                </c:pt>
                <c:pt idx="6">
                  <c:v>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9-44FB-AF97-D2F4659DA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4.0000000000000015E-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26750492505163"/>
          <c:y val="0.67299338256570251"/>
          <c:w val="0.24572088193991518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ajuste linear</a:t>
            </a:r>
            <a:endParaRPr lang="en-US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'Cabo Coaxial 2'!$D$42:$D$48</c:f>
              <c:numCache>
                <c:formatCode>General</c:formatCode>
                <c:ptCount val="7"/>
                <c:pt idx="0">
                  <c:v>0</c:v>
                </c:pt>
                <c:pt idx="1">
                  <c:v>6.4000000000000001E-7</c:v>
                </c:pt>
                <c:pt idx="2">
                  <c:v>1.3E-6</c:v>
                </c:pt>
                <c:pt idx="3">
                  <c:v>1.9400000000000001E-6</c:v>
                </c:pt>
                <c:pt idx="4">
                  <c:v>2.6000000000000001E-6</c:v>
                </c:pt>
                <c:pt idx="5">
                  <c:v>3.2600000000000001E-6</c:v>
                </c:pt>
                <c:pt idx="6">
                  <c:v>3.8999999999999999E-6</c:v>
                </c:pt>
              </c:numCache>
            </c:numRef>
          </c:xVal>
          <c:yVal>
            <c:numRef>
              <c:f>'Cabo Coaxial 2'!$E$42:$E$48</c:f>
              <c:numCache>
                <c:formatCode>General</c:formatCode>
                <c:ptCount val="7"/>
                <c:pt idx="0">
                  <c:v>128.12134269500808</c:v>
                </c:pt>
                <c:pt idx="1">
                  <c:v>252.89087236702886</c:v>
                </c:pt>
                <c:pt idx="2">
                  <c:v>381.55944984130031</c:v>
                </c:pt>
                <c:pt idx="3">
                  <c:v>506.32897951332114</c:v>
                </c:pt>
                <c:pt idx="4">
                  <c:v>634.99755698759259</c:v>
                </c:pt>
                <c:pt idx="5">
                  <c:v>763.66613446186398</c:v>
                </c:pt>
                <c:pt idx="6">
                  <c:v>888.43566413388476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64-4C50-B8FE-47711BDE0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4.0000000000000015E-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87945789010427"/>
          <c:y val="0.57587263272391342"/>
          <c:w val="0.15038256612320802"/>
          <c:h val="6.3866613025792315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resíduos</a:t>
            </a:r>
            <a:endParaRPr lang="en-US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6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2'!$D$42:$D$48</c:f>
              <c:numCache>
                <c:formatCode>General</c:formatCode>
                <c:ptCount val="7"/>
                <c:pt idx="0">
                  <c:v>0</c:v>
                </c:pt>
                <c:pt idx="1">
                  <c:v>6.4000000000000001E-7</c:v>
                </c:pt>
                <c:pt idx="2">
                  <c:v>1.3E-6</c:v>
                </c:pt>
                <c:pt idx="3">
                  <c:v>1.9400000000000001E-6</c:v>
                </c:pt>
                <c:pt idx="4">
                  <c:v>2.6000000000000001E-6</c:v>
                </c:pt>
                <c:pt idx="5">
                  <c:v>3.2600000000000001E-6</c:v>
                </c:pt>
                <c:pt idx="6">
                  <c:v>3.8999999999999999E-6</c:v>
                </c:pt>
              </c:numCache>
            </c:numRef>
          </c:xVal>
          <c:yVal>
            <c:numRef>
              <c:f>'Cabo Coaxial 2'!$F$42:$F$48</c:f>
              <c:numCache>
                <c:formatCode>General</c:formatCode>
                <c:ptCount val="7"/>
                <c:pt idx="0">
                  <c:v>1.1213426950080816</c:v>
                </c:pt>
                <c:pt idx="1">
                  <c:v>-1.1091276329711377</c:v>
                </c:pt>
                <c:pt idx="2">
                  <c:v>0.55944984130030662</c:v>
                </c:pt>
                <c:pt idx="3">
                  <c:v>-1.6710204866788558</c:v>
                </c:pt>
                <c:pt idx="4">
                  <c:v>-2.4430124074115156E-3</c:v>
                </c:pt>
                <c:pt idx="5">
                  <c:v>1.666134461863976</c:v>
                </c:pt>
                <c:pt idx="6">
                  <c:v>-0.56433586611524333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F-4078-B896-1BA007F5F42C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2'!$J$48:$J$49</c:f>
              <c:numCache>
                <c:formatCode>General</c:formatCode>
                <c:ptCount val="2"/>
                <c:pt idx="0">
                  <c:v>-1</c:v>
                </c:pt>
                <c:pt idx="1">
                  <c:v>5000000</c:v>
                </c:pt>
              </c:numCache>
            </c:numRef>
          </c:xVal>
          <c:yVal>
            <c:numRef>
              <c:f>'Cabo Coaxial 2'!$K$48:$K$49</c:f>
              <c:numCache>
                <c:formatCode>General</c:formatCode>
                <c:ptCount val="2"/>
                <c:pt idx="0">
                  <c:v>2.6362628276867364</c:v>
                </c:pt>
                <c:pt idx="1">
                  <c:v>2.6362628276867364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3F-4078-B896-1BA007F5F42C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2'!$J$48:$J$49</c:f>
              <c:numCache>
                <c:formatCode>General</c:formatCode>
                <c:ptCount val="2"/>
                <c:pt idx="0">
                  <c:v>-1</c:v>
                </c:pt>
                <c:pt idx="1">
                  <c:v>5000000</c:v>
                </c:pt>
              </c:numCache>
            </c:numRef>
          </c:xVal>
          <c:yVal>
            <c:numRef>
              <c:f>'Cabo Coaxial 2'!$L$48:$L$49</c:f>
              <c:numCache>
                <c:formatCode>General</c:formatCode>
                <c:ptCount val="2"/>
                <c:pt idx="0">
                  <c:v>-2.6362628276867364</c:v>
                </c:pt>
                <c:pt idx="1">
                  <c:v>-2.6362628276867364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3F-4078-B896-1BA007F5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4.0000000000000015E-6"/>
          <c:min val="-1.0000000000000005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1165230939442659"/>
          <c:y val="0.74239774708327744"/>
          <c:w val="0.16746366387036424"/>
          <c:h val="9.035924485569114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ajuste linear</a:t>
            </a:r>
            <a:endParaRPr lang="en-US" sz="1800" b="0"/>
          </a:p>
        </c:rich>
      </c:tx>
      <c:layout>
        <c:manualLayout>
          <c:xMode val="edge"/>
          <c:yMode val="edge"/>
          <c:x val="0.30941197022486633"/>
          <c:y val="2.270797013991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'Cabo Coaxial 2'!$D$4:$D$10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'Cabo Coaxial 2'!$E$4:$E$10</c:f>
              <c:numCache>
                <c:formatCode>General</c:formatCode>
                <c:ptCount val="7"/>
                <c:pt idx="0">
                  <c:v>5.4227216733745975E-3</c:v>
                </c:pt>
                <c:pt idx="1">
                  <c:v>-0.3179115842327449</c:v>
                </c:pt>
                <c:pt idx="2">
                  <c:v>-0.64124589013886435</c:v>
                </c:pt>
                <c:pt idx="3">
                  <c:v>-0.96458019604498391</c:v>
                </c:pt>
                <c:pt idx="4">
                  <c:v>-1.2879145019511036</c:v>
                </c:pt>
                <c:pt idx="5">
                  <c:v>-1.6112488078572227</c:v>
                </c:pt>
                <c:pt idx="6">
                  <c:v>-1.9345831137633422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F-406F-B4C1-5711C0F6D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  <c:max val="0.1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21193319631756"/>
          <c:y val="0.18983714034538768"/>
          <c:w val="0.15038256612320802"/>
          <c:h val="6.3866613025792315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resíduos</a:t>
            </a:r>
            <a:endParaRPr lang="en-US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4200000000000008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'Cabo Coaxial 2'!$F$4:$F$10</c:f>
              <c:numCache>
                <c:formatCode>General</c:formatCode>
                <c:ptCount val="7"/>
                <c:pt idx="0">
                  <c:v>5.4227216733745975E-3</c:v>
                </c:pt>
                <c:pt idx="1">
                  <c:v>1.1270219125788628E-2</c:v>
                </c:pt>
                <c:pt idx="2">
                  <c:v>4.2732414318262801E-3</c:v>
                </c:pt>
                <c:pt idx="3">
                  <c:v>-2.3596851580457545E-2</c:v>
                </c:pt>
                <c:pt idx="4">
                  <c:v>-1.6689470616000346E-2</c:v>
                </c:pt>
                <c:pt idx="5">
                  <c:v>-1.810895423122405E-3</c:v>
                </c:pt>
                <c:pt idx="6">
                  <c:v>2.1131035388591846E-2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F-4078-B896-1BA007F5F42C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2'!$I$11:$I$12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xVal>
          <c:yVal>
            <c:numRef>
              <c:f>'Cabo Coaxial 2'!$J$11:$J$12</c:f>
              <c:numCache>
                <c:formatCode>General</c:formatCode>
                <c:ptCount val="2"/>
                <c:pt idx="0">
                  <c:v>3.4174074086707855E-2</c:v>
                </c:pt>
                <c:pt idx="1">
                  <c:v>3.4174074086707855E-2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E-47C2-91F1-6CBB3F2F4A40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2'!$I$11:$I$12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xVal>
          <c:yVal>
            <c:numRef>
              <c:f>'Cabo Coaxial 2'!$K$11:$K$12</c:f>
              <c:numCache>
                <c:formatCode>General</c:formatCode>
                <c:ptCount val="2"/>
                <c:pt idx="0">
                  <c:v>-3.4174074086707855E-2</c:v>
                </c:pt>
                <c:pt idx="1">
                  <c:v>-3.4174074086707855E-2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E-47C2-91F1-6CBB3F2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696921708155255"/>
          <c:y val="0.74723285660148775"/>
          <c:w val="0.16726428559171361"/>
          <c:h val="8.4403844351864113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ln(V/V1) em função de n </a:t>
            </a:r>
            <a:r>
              <a:rPr lang="en-US" sz="1100" baseline="0"/>
              <a:t>impulso</a:t>
            </a:r>
            <a:endParaRPr lang="en-US" sz="1600"/>
          </a:p>
        </c:rich>
      </c:tx>
      <c:layout>
        <c:manualLayout>
          <c:xMode val="edge"/>
          <c:yMode val="edge"/>
          <c:x val="0.18151389602419893"/>
          <c:y val="3.2030663854184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Gama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2'!$V$4:$V$19</c:f>
              <c:numCache>
                <c:formatCode>General</c:formatCode>
                <c:ptCount val="16"/>
                <c:pt idx="0">
                  <c:v>1.8</c:v>
                </c:pt>
                <c:pt idx="1">
                  <c:v>5</c:v>
                </c:pt>
                <c:pt idx="2">
                  <c:v>8.82</c:v>
                </c:pt>
                <c:pt idx="3">
                  <c:v>11</c:v>
                </c:pt>
                <c:pt idx="4">
                  <c:v>17.7</c:v>
                </c:pt>
                <c:pt idx="5">
                  <c:v>22.5</c:v>
                </c:pt>
                <c:pt idx="6">
                  <c:v>28.1</c:v>
                </c:pt>
                <c:pt idx="7">
                  <c:v>35.200000000000003</c:v>
                </c:pt>
                <c:pt idx="8">
                  <c:v>40.799999999999997</c:v>
                </c:pt>
                <c:pt idx="9">
                  <c:v>46.4</c:v>
                </c:pt>
                <c:pt idx="10">
                  <c:v>51.2</c:v>
                </c:pt>
                <c:pt idx="11">
                  <c:v>58</c:v>
                </c:pt>
                <c:pt idx="12">
                  <c:v>63.8</c:v>
                </c:pt>
                <c:pt idx="13">
                  <c:v>68.2</c:v>
                </c:pt>
                <c:pt idx="14">
                  <c:v>75.099999999999994</c:v>
                </c:pt>
                <c:pt idx="15">
                  <c:v>81.2</c:v>
                </c:pt>
              </c:numCache>
            </c:numRef>
          </c:xVal>
          <c:yVal>
            <c:numRef>
              <c:f>'Cabo Coaxial 2'!$U$4:$U$19</c:f>
              <c:numCache>
                <c:formatCode>General</c:formatCode>
                <c:ptCount val="16"/>
                <c:pt idx="0">
                  <c:v>10000</c:v>
                </c:pt>
                <c:pt idx="1">
                  <c:v>50000</c:v>
                </c:pt>
                <c:pt idx="2">
                  <c:v>70000</c:v>
                </c:pt>
                <c:pt idx="3">
                  <c:v>90000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  <c:pt idx="10">
                  <c:v>450000</c:v>
                </c:pt>
                <c:pt idx="11">
                  <c:v>500000</c:v>
                </c:pt>
                <c:pt idx="12">
                  <c:v>550000</c:v>
                </c:pt>
                <c:pt idx="13">
                  <c:v>600000</c:v>
                </c:pt>
                <c:pt idx="14">
                  <c:v>650000</c:v>
                </c:pt>
                <c:pt idx="15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9-43A4-A1D3-19A23B9DD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 (V/V1)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96082623104784"/>
          <c:y val="0.7191157652310689"/>
          <c:w val="0.25229220875386249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ln(V/V1) em função de n </a:t>
            </a:r>
            <a:r>
              <a:rPr lang="en-US" sz="1100" baseline="0"/>
              <a:t>impulso</a:t>
            </a:r>
            <a:endParaRPr lang="en-US" sz="1600"/>
          </a:p>
        </c:rich>
      </c:tx>
      <c:layout>
        <c:manualLayout>
          <c:xMode val="edge"/>
          <c:yMode val="edge"/>
          <c:x val="0.18151389602419893"/>
          <c:y val="3.2030663854184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Gama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2'!$V$25:$V$34</c:f>
              <c:numCache>
                <c:formatCode>General</c:formatCode>
                <c:ptCount val="10"/>
                <c:pt idx="0">
                  <c:v>1.8</c:v>
                </c:pt>
                <c:pt idx="1">
                  <c:v>8.82</c:v>
                </c:pt>
                <c:pt idx="2">
                  <c:v>11</c:v>
                </c:pt>
                <c:pt idx="3">
                  <c:v>17.7</c:v>
                </c:pt>
                <c:pt idx="4">
                  <c:v>35.200000000000003</c:v>
                </c:pt>
                <c:pt idx="5">
                  <c:v>40.799999999999997</c:v>
                </c:pt>
                <c:pt idx="6">
                  <c:v>58</c:v>
                </c:pt>
                <c:pt idx="7">
                  <c:v>63.8</c:v>
                </c:pt>
                <c:pt idx="8">
                  <c:v>75.099999999999994</c:v>
                </c:pt>
                <c:pt idx="9">
                  <c:v>81.2</c:v>
                </c:pt>
              </c:numCache>
            </c:numRef>
          </c:xVal>
          <c:yVal>
            <c:numRef>
              <c:f>'Cabo Coaxial 2'!$U$25:$U$34</c:f>
              <c:numCache>
                <c:formatCode>General</c:formatCode>
                <c:ptCount val="10"/>
                <c:pt idx="0">
                  <c:v>10000</c:v>
                </c:pt>
                <c:pt idx="1">
                  <c:v>70000</c:v>
                </c:pt>
                <c:pt idx="2">
                  <c:v>90000</c:v>
                </c:pt>
                <c:pt idx="3">
                  <c:v>150000</c:v>
                </c:pt>
                <c:pt idx="4">
                  <c:v>300000</c:v>
                </c:pt>
                <c:pt idx="5">
                  <c:v>350000</c:v>
                </c:pt>
                <c:pt idx="6">
                  <c:v>500000</c:v>
                </c:pt>
                <c:pt idx="7">
                  <c:v>550000</c:v>
                </c:pt>
                <c:pt idx="8">
                  <c:v>650000</c:v>
                </c:pt>
                <c:pt idx="9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5D-4114-9A04-AF7DD4EF4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 (V/V1)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96082623104784"/>
          <c:y val="0.7191157652310689"/>
          <c:w val="0.25229220875386249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resíduos (gama original)</a:t>
            </a:r>
          </a:p>
        </c:rich>
      </c:tx>
      <c:layout>
        <c:manualLayout>
          <c:xMode val="edge"/>
          <c:yMode val="edge"/>
          <c:x val="0.28862726079926698"/>
          <c:y val="3.2030679475459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2'!$V$4:$V$19</c:f>
              <c:numCache>
                <c:formatCode>General</c:formatCode>
                <c:ptCount val="16"/>
                <c:pt idx="0">
                  <c:v>1.8</c:v>
                </c:pt>
                <c:pt idx="1">
                  <c:v>5</c:v>
                </c:pt>
                <c:pt idx="2">
                  <c:v>8.82</c:v>
                </c:pt>
                <c:pt idx="3">
                  <c:v>11</c:v>
                </c:pt>
                <c:pt idx="4">
                  <c:v>17.7</c:v>
                </c:pt>
                <c:pt idx="5">
                  <c:v>22.5</c:v>
                </c:pt>
                <c:pt idx="6">
                  <c:v>28.1</c:v>
                </c:pt>
                <c:pt idx="7">
                  <c:v>35.200000000000003</c:v>
                </c:pt>
                <c:pt idx="8">
                  <c:v>40.799999999999997</c:v>
                </c:pt>
                <c:pt idx="9">
                  <c:v>46.4</c:v>
                </c:pt>
                <c:pt idx="10">
                  <c:v>51.2</c:v>
                </c:pt>
                <c:pt idx="11">
                  <c:v>58</c:v>
                </c:pt>
                <c:pt idx="12">
                  <c:v>63.8</c:v>
                </c:pt>
                <c:pt idx="13">
                  <c:v>68.2</c:v>
                </c:pt>
                <c:pt idx="14">
                  <c:v>75.099999999999994</c:v>
                </c:pt>
                <c:pt idx="15">
                  <c:v>81.2</c:v>
                </c:pt>
              </c:numCache>
            </c:numRef>
          </c:xVal>
          <c:yVal>
            <c:numRef>
              <c:f>'Cabo Coaxial 2'!$X$4:$X$19</c:f>
              <c:numCache>
                <c:formatCode>General</c:formatCode>
                <c:ptCount val="16"/>
                <c:pt idx="0">
                  <c:v>4132.5201150554039</c:v>
                </c:pt>
                <c:pt idx="1">
                  <c:v>-8052.021419176941</c:v>
                </c:pt>
                <c:pt idx="2">
                  <c:v>5152.6821243332088</c:v>
                </c:pt>
                <c:pt idx="3">
                  <c:v>4101.9632041374134</c:v>
                </c:pt>
                <c:pt idx="4">
                  <c:v>2340.5793668384431</c:v>
                </c:pt>
                <c:pt idx="5">
                  <c:v>-5936.2329345100734</c:v>
                </c:pt>
                <c:pt idx="6">
                  <c:v>-7259.180619416642</c:v>
                </c:pt>
                <c:pt idx="7">
                  <c:v>4456.3678515053471</c:v>
                </c:pt>
                <c:pt idx="8">
                  <c:v>3133.4201665986911</c:v>
                </c:pt>
                <c:pt idx="9">
                  <c:v>1810.4724816920934</c:v>
                </c:pt>
                <c:pt idx="10">
                  <c:v>-6466.3398196563357</c:v>
                </c:pt>
                <c:pt idx="11">
                  <c:v>2641.509420099901</c:v>
                </c:pt>
                <c:pt idx="12">
                  <c:v>3057.0278893037466</c:v>
                </c:pt>
                <c:pt idx="13">
                  <c:v>-8696.7167202656856</c:v>
                </c:pt>
                <c:pt idx="14">
                  <c:v>1280.3655965457438</c:v>
                </c:pt>
                <c:pt idx="15">
                  <c:v>4303.5832969153998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C6-420D-9C40-4FF59AF421A3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2'!$AD$6:$AD$7</c:f>
              <c:numCache>
                <c:formatCode>General</c:formatCode>
                <c:ptCount val="2"/>
                <c:pt idx="0">
                  <c:v>-10</c:v>
                </c:pt>
                <c:pt idx="1">
                  <c:v>90</c:v>
                </c:pt>
              </c:numCache>
            </c:numRef>
          </c:xVal>
          <c:yVal>
            <c:numRef>
              <c:f>'Cabo Coaxial 2'!$AE$6:$AE$7</c:f>
              <c:numCache>
                <c:formatCode>General</c:formatCode>
                <c:ptCount val="2"/>
                <c:pt idx="0">
                  <c:v>10764.84780951695</c:v>
                </c:pt>
                <c:pt idx="1">
                  <c:v>10764.84780951695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C6-420D-9C40-4FF59AF421A3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2'!$AD$6:$AD$7</c:f>
              <c:numCache>
                <c:formatCode>General</c:formatCode>
                <c:ptCount val="2"/>
                <c:pt idx="0">
                  <c:v>-10</c:v>
                </c:pt>
                <c:pt idx="1">
                  <c:v>90</c:v>
                </c:pt>
              </c:numCache>
            </c:numRef>
          </c:xVal>
          <c:yVal>
            <c:numRef>
              <c:f>'Cabo Coaxial 2'!$AF$6:$AF$7</c:f>
              <c:numCache>
                <c:formatCode>General</c:formatCode>
                <c:ptCount val="2"/>
                <c:pt idx="0">
                  <c:v>-10764.84780951695</c:v>
                </c:pt>
                <c:pt idx="1">
                  <c:v>-10764.84780951695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C6-420D-9C40-4FF59AF42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0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 (V/V1)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397422862636857"/>
          <c:y val="0.13018883396419872"/>
          <c:w val="0.16725752377629419"/>
          <c:h val="7.9979480964807795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resíduos (gama 1)</a:t>
            </a:r>
            <a:endParaRPr lang="en-US" sz="1600"/>
          </a:p>
        </c:rich>
      </c:tx>
      <c:layout>
        <c:manualLayout>
          <c:xMode val="edge"/>
          <c:yMode val="edge"/>
          <c:x val="0.3469880192169254"/>
          <c:y val="3.2030800532354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200.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2'!$V$25:$V$34</c:f>
              <c:numCache>
                <c:formatCode>General</c:formatCode>
                <c:ptCount val="10"/>
                <c:pt idx="0">
                  <c:v>1.8</c:v>
                </c:pt>
                <c:pt idx="1">
                  <c:v>8.82</c:v>
                </c:pt>
                <c:pt idx="2">
                  <c:v>11</c:v>
                </c:pt>
                <c:pt idx="3">
                  <c:v>17.7</c:v>
                </c:pt>
                <c:pt idx="4">
                  <c:v>35.200000000000003</c:v>
                </c:pt>
                <c:pt idx="5">
                  <c:v>40.799999999999997</c:v>
                </c:pt>
                <c:pt idx="6">
                  <c:v>58</c:v>
                </c:pt>
                <c:pt idx="7">
                  <c:v>63.8</c:v>
                </c:pt>
                <c:pt idx="8">
                  <c:v>75.099999999999994</c:v>
                </c:pt>
                <c:pt idx="9">
                  <c:v>81.2</c:v>
                </c:pt>
              </c:numCache>
            </c:numRef>
          </c:xVal>
          <c:yVal>
            <c:numRef>
              <c:f>'Cabo Coaxial 2'!$X$25:$X$34</c:f>
              <c:numCache>
                <c:formatCode>General</c:formatCode>
                <c:ptCount val="10"/>
                <c:pt idx="0">
                  <c:v>-34.210655014387157</c:v>
                </c:pt>
                <c:pt idx="1">
                  <c:v>1118.1029883237788</c:v>
                </c:pt>
                <c:pt idx="2">
                  <c:v>108.42260975926183</c:v>
                </c:pt>
                <c:pt idx="3">
                  <c:v>-1526.8335995903471</c:v>
                </c:pt>
                <c:pt idx="4">
                  <c:v>918.39271927258233</c:v>
                </c:pt>
                <c:pt idx="5">
                  <c:v>-299.13485869130818</c:v>
                </c:pt>
                <c:pt idx="6">
                  <c:v>-467.25527672312455</c:v>
                </c:pt>
                <c:pt idx="7">
                  <c:v>57.448303242912516</c:v>
                </c:pt>
                <c:pt idx="8">
                  <c:v>-1506.4912737200502</c:v>
                </c:pt>
                <c:pt idx="9">
                  <c:v>1631.5590431408491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1-492F-A9BA-9D2DDBC49CCB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2'!$Z$33:$Z$34</c:f>
              <c:numCache>
                <c:formatCode>General</c:formatCode>
                <c:ptCount val="2"/>
                <c:pt idx="0">
                  <c:v>-30</c:v>
                </c:pt>
                <c:pt idx="1">
                  <c:v>100</c:v>
                </c:pt>
              </c:numCache>
            </c:numRef>
          </c:xVal>
          <c:yVal>
            <c:numRef>
              <c:f>'Cabo Coaxial 2'!$AA$33:$AA$34</c:f>
              <c:numCache>
                <c:formatCode>General</c:formatCode>
                <c:ptCount val="2"/>
                <c:pt idx="0">
                  <c:v>2200.0405093177019</c:v>
                </c:pt>
                <c:pt idx="1">
                  <c:v>2200.0405093177019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31-492F-A9BA-9D2DDBC49CCB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2'!$Z$33:$Z$34</c:f>
              <c:numCache>
                <c:formatCode>General</c:formatCode>
                <c:ptCount val="2"/>
                <c:pt idx="0">
                  <c:v>-30</c:v>
                </c:pt>
                <c:pt idx="1">
                  <c:v>100</c:v>
                </c:pt>
              </c:numCache>
            </c:numRef>
          </c:xVal>
          <c:yVal>
            <c:numRef>
              <c:f>'Cabo Coaxial 2'!$AB$33:$AB$34</c:f>
              <c:numCache>
                <c:formatCode>General</c:formatCode>
                <c:ptCount val="2"/>
                <c:pt idx="0">
                  <c:v>-2200.0405093177019</c:v>
                </c:pt>
                <c:pt idx="1">
                  <c:v>-2200.0405093177019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1-492F-A9BA-9D2DDBC49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9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000"/>
        <c:crossBetween val="midCat"/>
      </c:valAx>
      <c:valAx>
        <c:axId val="1196124784"/>
        <c:scaling>
          <c:orientation val="minMax"/>
          <c:max val="4000"/>
          <c:min val="-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83908996097101"/>
          <c:y val="2.267199679994469E-2"/>
          <c:w val="0.17191929683286339"/>
          <c:h val="7.7167823126994439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ajuste linear (gama original)</a:t>
            </a:r>
            <a:endParaRPr lang="en-US" sz="1600"/>
          </a:p>
        </c:rich>
      </c:tx>
      <c:layout>
        <c:manualLayout>
          <c:xMode val="edge"/>
          <c:yMode val="edge"/>
          <c:x val="0.18151389602419893"/>
          <c:y val="3.2030663854184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2'!$V$4:$V$19</c:f>
              <c:numCache>
                <c:formatCode>General</c:formatCode>
                <c:ptCount val="16"/>
                <c:pt idx="0">
                  <c:v>1.8</c:v>
                </c:pt>
                <c:pt idx="1">
                  <c:v>5</c:v>
                </c:pt>
                <c:pt idx="2">
                  <c:v>8.82</c:v>
                </c:pt>
                <c:pt idx="3">
                  <c:v>11</c:v>
                </c:pt>
                <c:pt idx="4">
                  <c:v>17.7</c:v>
                </c:pt>
                <c:pt idx="5">
                  <c:v>22.5</c:v>
                </c:pt>
                <c:pt idx="6">
                  <c:v>28.1</c:v>
                </c:pt>
                <c:pt idx="7">
                  <c:v>35.200000000000003</c:v>
                </c:pt>
                <c:pt idx="8">
                  <c:v>40.799999999999997</c:v>
                </c:pt>
                <c:pt idx="9">
                  <c:v>46.4</c:v>
                </c:pt>
                <c:pt idx="10">
                  <c:v>51.2</c:v>
                </c:pt>
                <c:pt idx="11">
                  <c:v>58</c:v>
                </c:pt>
                <c:pt idx="12">
                  <c:v>63.8</c:v>
                </c:pt>
                <c:pt idx="13">
                  <c:v>68.2</c:v>
                </c:pt>
                <c:pt idx="14">
                  <c:v>75.099999999999994</c:v>
                </c:pt>
                <c:pt idx="15">
                  <c:v>81.2</c:v>
                </c:pt>
              </c:numCache>
            </c:numRef>
          </c:xVal>
          <c:yVal>
            <c:numRef>
              <c:f>'Cabo Coaxial 2'!$W$4:$W$19</c:f>
              <c:numCache>
                <c:formatCode>General</c:formatCode>
                <c:ptCount val="16"/>
                <c:pt idx="0">
                  <c:v>14132.520115055404</c:v>
                </c:pt>
                <c:pt idx="1">
                  <c:v>41947.978580823059</c:v>
                </c:pt>
                <c:pt idx="2">
                  <c:v>75152.682124333209</c:v>
                </c:pt>
                <c:pt idx="3">
                  <c:v>94101.963204137413</c:v>
                </c:pt>
                <c:pt idx="4">
                  <c:v>152340.57936683844</c:v>
                </c:pt>
                <c:pt idx="5">
                  <c:v>194063.76706548993</c:v>
                </c:pt>
                <c:pt idx="6">
                  <c:v>242740.81938058336</c:v>
                </c:pt>
                <c:pt idx="7">
                  <c:v>304456.36785150535</c:v>
                </c:pt>
                <c:pt idx="8">
                  <c:v>353133.42016659869</c:v>
                </c:pt>
                <c:pt idx="9">
                  <c:v>401810.47248169209</c:v>
                </c:pt>
                <c:pt idx="10">
                  <c:v>443533.66018034366</c:v>
                </c:pt>
                <c:pt idx="11">
                  <c:v>502641.5094200999</c:v>
                </c:pt>
                <c:pt idx="12">
                  <c:v>553057.02788930375</c:v>
                </c:pt>
                <c:pt idx="13">
                  <c:v>591303.28327973431</c:v>
                </c:pt>
                <c:pt idx="14">
                  <c:v>651280.36559654574</c:v>
                </c:pt>
                <c:pt idx="15">
                  <c:v>704303.5832969154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8-45A9-9D5F-5DF90110B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 (V/V1) </a:t>
                </a:r>
                <a:r>
                  <a:rPr lang="pt-PT" sz="900"/>
                  <a:t>ajs.linear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96082623104784"/>
          <c:y val="0.7191157652310689"/>
          <c:w val="0.25229220875386249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ajuste linear (gama 1)</a:t>
            </a:r>
            <a:endParaRPr lang="en-US" sz="1600"/>
          </a:p>
        </c:rich>
      </c:tx>
      <c:layout>
        <c:manualLayout>
          <c:xMode val="edge"/>
          <c:yMode val="edge"/>
          <c:x val="0.23517557113507556"/>
          <c:y val="2.8125495849318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99000"/>
                </a:srgbClr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'Cabo Coaxial 2'!$V$25:$V$34</c:f>
              <c:numCache>
                <c:formatCode>General</c:formatCode>
                <c:ptCount val="10"/>
                <c:pt idx="0">
                  <c:v>1.8</c:v>
                </c:pt>
                <c:pt idx="1">
                  <c:v>8.82</c:v>
                </c:pt>
                <c:pt idx="2">
                  <c:v>11</c:v>
                </c:pt>
                <c:pt idx="3">
                  <c:v>17.7</c:v>
                </c:pt>
                <c:pt idx="4">
                  <c:v>35.200000000000003</c:v>
                </c:pt>
                <c:pt idx="5">
                  <c:v>40.799999999999997</c:v>
                </c:pt>
                <c:pt idx="6">
                  <c:v>58</c:v>
                </c:pt>
                <c:pt idx="7">
                  <c:v>63.8</c:v>
                </c:pt>
                <c:pt idx="8">
                  <c:v>75.099999999999994</c:v>
                </c:pt>
                <c:pt idx="9">
                  <c:v>81.2</c:v>
                </c:pt>
              </c:numCache>
            </c:numRef>
          </c:xVal>
          <c:yVal>
            <c:numRef>
              <c:f>'Cabo Coaxial 2'!$W$25:$W$34</c:f>
              <c:numCache>
                <c:formatCode>General</c:formatCode>
                <c:ptCount val="10"/>
                <c:pt idx="0">
                  <c:v>9965.7893449856128</c:v>
                </c:pt>
                <c:pt idx="1">
                  <c:v>71118.102988323779</c:v>
                </c:pt>
                <c:pt idx="2">
                  <c:v>90108.422609759262</c:v>
                </c:pt>
                <c:pt idx="3">
                  <c:v>148473.16640040965</c:v>
                </c:pt>
                <c:pt idx="4">
                  <c:v>300918.39271927258</c:v>
                </c:pt>
                <c:pt idx="5">
                  <c:v>349700.86514130869</c:v>
                </c:pt>
                <c:pt idx="6">
                  <c:v>499532.74472327688</c:v>
                </c:pt>
                <c:pt idx="7">
                  <c:v>550057.44830324291</c:v>
                </c:pt>
                <c:pt idx="8">
                  <c:v>648493.50872627995</c:v>
                </c:pt>
                <c:pt idx="9">
                  <c:v>701631.55904314085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FFA-A228-4B3A1282C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 (V/V1) </a:t>
                </a:r>
                <a:r>
                  <a:rPr lang="pt-PT" sz="900"/>
                  <a:t>ajs.linear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33177508257169"/>
          <c:y val="0.71130530295855221"/>
          <c:w val="0.15228629765572888"/>
          <c:h val="5.6919504206032243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838145231846"/>
          <c:y val="5.0925925925925923E-2"/>
          <c:w val="0.85140004374453204"/>
          <c:h val="0.82257728200641589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'Pêndulo de torção'!$G$4:$G$15</c:f>
              <c:numCache>
                <c:formatCode>General</c:formatCode>
                <c:ptCount val="12"/>
                <c:pt idx="0">
                  <c:v>5.8833333333333337</c:v>
                </c:pt>
                <c:pt idx="3">
                  <c:v>7.8466666666666667</c:v>
                </c:pt>
                <c:pt idx="6">
                  <c:v>9.6</c:v>
                </c:pt>
                <c:pt idx="9">
                  <c:v>10.390000000000002</c:v>
                </c:pt>
              </c:numCache>
            </c:numRef>
          </c:xVal>
          <c:yVal>
            <c:numRef>
              <c:f>'Pêndulo de torção'!$C$4:$C$15</c:f>
              <c:numCache>
                <c:formatCode>General</c:formatCode>
                <c:ptCount val="12"/>
                <c:pt idx="0">
                  <c:v>4.1984744250000003E-3</c:v>
                </c:pt>
                <c:pt idx="3">
                  <c:v>6.501503950000001E-3</c:v>
                </c:pt>
                <c:pt idx="6">
                  <c:v>8.5460333125000013E-3</c:v>
                </c:pt>
                <c:pt idx="9">
                  <c:v>1.0890579387500002E-2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D-4483-A0F6-ACD5BE8F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82752"/>
        <c:axId val="491783232"/>
      </c:scatterChart>
      <c:valAx>
        <c:axId val="4917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1783232"/>
        <c:crosses val="autoZero"/>
        <c:crossBetween val="midCat"/>
      </c:valAx>
      <c:valAx>
        <c:axId val="4917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17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4784722353382"/>
          <c:y val="5.0925925925925923E-2"/>
          <c:w val="0.79490114169293768"/>
          <c:h val="0.81603022618805543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'Pêndulo de torção'!$R$4:$R$30</c:f>
              <c:numCache>
                <c:formatCode>General</c:formatCode>
                <c:ptCount val="27"/>
                <c:pt idx="0">
                  <c:v>9.2352100000000006E-3</c:v>
                </c:pt>
                <c:pt idx="3">
                  <c:v>2.1743271936000001E-2</c:v>
                </c:pt>
                <c:pt idx="6">
                  <c:v>8.0999999999999996E-3</c:v>
                </c:pt>
                <c:pt idx="9">
                  <c:v>9.8456006250000009E-3</c:v>
                </c:pt>
                <c:pt idx="12">
                  <c:v>1.3363360000000005E-2</c:v>
                </c:pt>
                <c:pt idx="15">
                  <c:v>1.5882300624999998E-2</c:v>
                </c:pt>
                <c:pt idx="18">
                  <c:v>1.8141126721000007E-2</c:v>
                </c:pt>
                <c:pt idx="21">
                  <c:v>2.0632736880999997E-2</c:v>
                </c:pt>
                <c:pt idx="24">
                  <c:v>2.4591257856000002E-2</c:v>
                </c:pt>
              </c:numCache>
            </c:numRef>
          </c:xVal>
          <c:yVal>
            <c:numRef>
              <c:f>'Pêndulo de torção'!$X$4:$X$30</c:f>
              <c:numCache>
                <c:formatCode>General</c:formatCode>
                <c:ptCount val="27"/>
                <c:pt idx="0">
                  <c:v>5.3190992592592598E-3</c:v>
                </c:pt>
                <c:pt idx="3">
                  <c:v>1.1434773333333334E-2</c:v>
                </c:pt>
                <c:pt idx="6">
                  <c:v>4.6126237037037035E-3</c:v>
                </c:pt>
                <c:pt idx="9">
                  <c:v>5.1840000000000011E-3</c:v>
                </c:pt>
                <c:pt idx="12">
                  <c:v>7.0038459259259252E-3</c:v>
                </c:pt>
                <c:pt idx="15">
                  <c:v>8.2365748148148146E-3</c:v>
                </c:pt>
                <c:pt idx="18">
                  <c:v>9.5257599999999994E-3</c:v>
                </c:pt>
                <c:pt idx="21">
                  <c:v>1.073296E-2</c:v>
                </c:pt>
                <c:pt idx="24">
                  <c:v>1.2346810370370371E-2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3-45B0-BB11-FCC33870F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6959"/>
        <c:axId val="85217119"/>
      </c:scatterChart>
      <c:valAx>
        <c:axId val="85196959"/>
        <c:scaling>
          <c:orientation val="minMax"/>
          <c:max val="2.5000000000000005E-2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217119"/>
        <c:crosses val="autoZero"/>
        <c:crossBetween val="midCat"/>
      </c:valAx>
      <c:valAx>
        <c:axId val="85217119"/>
        <c:scaling>
          <c:orientation val="minMax"/>
          <c:min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19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4784722353382"/>
          <c:y val="5.0925925925925923E-2"/>
          <c:w val="0.79490114169293768"/>
          <c:h val="0.8160302261880554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'Pêndulo de torção'!$AI$5:$AI$10</c:f>
              <c:numCache>
                <c:formatCode>General</c:formatCode>
                <c:ptCount val="6"/>
                <c:pt idx="0">
                  <c:v>9.2352100000000006E-3</c:v>
                </c:pt>
                <c:pt idx="1">
                  <c:v>8.0999999999999996E-3</c:v>
                </c:pt>
                <c:pt idx="2">
                  <c:v>9.8456006250000009E-3</c:v>
                </c:pt>
                <c:pt idx="3">
                  <c:v>1.3363360000000005E-2</c:v>
                </c:pt>
                <c:pt idx="4">
                  <c:v>1.5882300624999998E-2</c:v>
                </c:pt>
                <c:pt idx="5">
                  <c:v>2.4591257856000002E-2</c:v>
                </c:pt>
              </c:numCache>
            </c:numRef>
          </c:xVal>
          <c:yVal>
            <c:numRef>
              <c:f>'Pêndulo de torção'!$AL$5:$AL$10</c:f>
              <c:numCache>
                <c:formatCode>General</c:formatCode>
                <c:ptCount val="6"/>
                <c:pt idx="0">
                  <c:v>-2.059535295212021E-4</c:v>
                </c:pt>
                <c:pt idx="1">
                  <c:v>-6.5674119477822455E-4</c:v>
                </c:pt>
                <c:pt idx="2">
                  <c:v>-5.6078209063349475E-4</c:v>
                </c:pt>
                <c:pt idx="3">
                  <c:v>-7.2878687829042253E-4</c:v>
                </c:pt>
                <c:pt idx="4">
                  <c:v>-7.7869189957694047E-4</c:v>
                </c:pt>
                <c:pt idx="5">
                  <c:v>-7.994454036232071E-4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D4-44D8-AE1B-66F0A2DE588A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'Pêndulo de torção'!$AR$5:$AR$6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xVal>
          <c:yVal>
            <c:numRef>
              <c:f>'Pêndulo de torção'!$AS$5:$AS$6</c:f>
              <c:numCache>
                <c:formatCode>General</c:formatCode>
                <c:ptCount val="2"/>
                <c:pt idx="0">
                  <c:v>3.0469938677500869E-4</c:v>
                </c:pt>
                <c:pt idx="1">
                  <c:v>3.0469938677500869E-4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D4-44D8-AE1B-66F0A2DE588A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'Pêndulo de torção'!$AR$5:$AR$6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xVal>
          <c:yVal>
            <c:numRef>
              <c:f>'Pêndulo de torção'!$AT$5:$AT$6</c:f>
              <c:numCache>
                <c:formatCode>General</c:formatCode>
                <c:ptCount val="2"/>
                <c:pt idx="0">
                  <c:v>-3.0469938677500869E-4</c:v>
                </c:pt>
                <c:pt idx="1">
                  <c:v>-3.0469938677500869E-4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D4-44D8-AE1B-66F0A2DE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6959"/>
        <c:axId val="85217119"/>
      </c:scatterChart>
      <c:valAx>
        <c:axId val="85196959"/>
        <c:scaling>
          <c:orientation val="minMax"/>
          <c:max val="2.6000000000000006E-2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217119"/>
        <c:crosses val="autoZero"/>
        <c:crossBetween val="midCat"/>
      </c:valAx>
      <c:valAx>
        <c:axId val="852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19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45877</xdr:colOff>
      <xdr:row>2</xdr:row>
      <xdr:rowOff>1396</xdr:rowOff>
    </xdr:from>
    <xdr:to>
      <xdr:col>18</xdr:col>
      <xdr:colOff>352558</xdr:colOff>
      <xdr:row>17</xdr:row>
      <xdr:rowOff>1396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AE33E2-8FF8-7535-AA71-600F532D0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176952</xdr:colOff>
      <xdr:row>1</xdr:row>
      <xdr:rowOff>107722</xdr:rowOff>
    </xdr:from>
    <xdr:to>
      <xdr:col>19</xdr:col>
      <xdr:colOff>513028</xdr:colOff>
      <xdr:row>18</xdr:row>
      <xdr:rowOff>64049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7A177D-736E-375F-320B-BA9EEC58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397893</xdr:colOff>
      <xdr:row>41</xdr:row>
      <xdr:rowOff>170033</xdr:rowOff>
    </xdr:from>
    <xdr:to>
      <xdr:col>22</xdr:col>
      <xdr:colOff>280197</xdr:colOff>
      <xdr:row>59</xdr:row>
      <xdr:rowOff>101231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05CE95F-3D92-4CC1-9D59-1E30312B3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128841</xdr:colOff>
      <xdr:row>49</xdr:row>
      <xdr:rowOff>110436</xdr:rowOff>
    </xdr:from>
    <xdr:to>
      <xdr:col>7</xdr:col>
      <xdr:colOff>517303</xdr:colOff>
      <xdr:row>67</xdr:row>
      <xdr:rowOff>153043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38EBE4-C35F-43DF-B144-21C7B8993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294493</xdr:colOff>
      <xdr:row>51</xdr:row>
      <xdr:rowOff>0</xdr:rowOff>
    </xdr:from>
    <xdr:to>
      <xdr:col>16</xdr:col>
      <xdr:colOff>563318</xdr:colOff>
      <xdr:row>69</xdr:row>
      <xdr:rowOff>42607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A6227FB-B229-4007-9CBA-CD9A779FB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110435</xdr:colOff>
      <xdr:row>14</xdr:row>
      <xdr:rowOff>101232</xdr:rowOff>
    </xdr:from>
    <xdr:to>
      <xdr:col>7</xdr:col>
      <xdr:colOff>498897</xdr:colOff>
      <xdr:row>32</xdr:row>
      <xdr:rowOff>143838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81DCE47-FFA8-4508-8721-6BE470D34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448235</xdr:colOff>
      <xdr:row>19</xdr:row>
      <xdr:rowOff>12451</xdr:rowOff>
    </xdr:from>
    <xdr:to>
      <xdr:col>17</xdr:col>
      <xdr:colOff>106962</xdr:colOff>
      <xdr:row>37</xdr:row>
      <xdr:rowOff>55057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7A4F37-BEE0-4F1F-AC1E-1ACE1F998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168844</xdr:colOff>
      <xdr:row>3</xdr:row>
      <xdr:rowOff>172977</xdr:rowOff>
    </xdr:from>
    <xdr:to>
      <xdr:col>40</xdr:col>
      <xdr:colOff>504920</xdr:colOff>
      <xdr:row>20</xdr:row>
      <xdr:rowOff>125273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AC56FD1-5992-4686-BA91-6EC3F78E4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562365</xdr:colOff>
      <xdr:row>24</xdr:row>
      <xdr:rowOff>65249</xdr:rowOff>
    </xdr:from>
    <xdr:to>
      <xdr:col>38</xdr:col>
      <xdr:colOff>287046</xdr:colOff>
      <xdr:row>41</xdr:row>
      <xdr:rowOff>122589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BB313DA-CF70-47E6-8631-FB376C1F0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317140</xdr:colOff>
      <xdr:row>3</xdr:row>
      <xdr:rowOff>213965</xdr:rowOff>
    </xdr:from>
    <xdr:to>
      <xdr:col>50</xdr:col>
      <xdr:colOff>43163</xdr:colOff>
      <xdr:row>20</xdr:row>
      <xdr:rowOff>158708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90F1427-0652-4ABF-9D43-5EFF741E8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45913</xdr:colOff>
      <xdr:row>26</xdr:row>
      <xdr:rowOff>150189</xdr:rowOff>
    </xdr:from>
    <xdr:to>
      <xdr:col>47</xdr:col>
      <xdr:colOff>384070</xdr:colOff>
      <xdr:row>43</xdr:row>
      <xdr:rowOff>103074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5D650D3-F2D0-45F8-A438-C6717D826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333643</xdr:colOff>
      <xdr:row>4</xdr:row>
      <xdr:rowOff>75338</xdr:rowOff>
    </xdr:from>
    <xdr:to>
      <xdr:col>59</xdr:col>
      <xdr:colOff>56245</xdr:colOff>
      <xdr:row>21</xdr:row>
      <xdr:rowOff>90694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270B7D5-621F-4300-AA50-2E8FC6984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36719</xdr:colOff>
      <xdr:row>23</xdr:row>
      <xdr:rowOff>71963</xdr:rowOff>
    </xdr:from>
    <xdr:to>
      <xdr:col>58</xdr:col>
      <xdr:colOff>369418</xdr:colOff>
      <xdr:row>40</xdr:row>
      <xdr:rowOff>33505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B2A98D4-9B23-466D-93F5-EC60A602C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767980</xdr:colOff>
      <xdr:row>29</xdr:row>
      <xdr:rowOff>108948</xdr:rowOff>
    </xdr:from>
    <xdr:to>
      <xdr:col>5</xdr:col>
      <xdr:colOff>627155</xdr:colOff>
      <xdr:row>44</xdr:row>
      <xdr:rowOff>108948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F93BC-2B5C-4AEB-5AD1-854734A7B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443697</xdr:colOff>
      <xdr:row>3</xdr:row>
      <xdr:rowOff>60767</xdr:rowOff>
    </xdr:from>
    <xdr:to>
      <xdr:col>33</xdr:col>
      <xdr:colOff>443817</xdr:colOff>
      <xdr:row>21</xdr:row>
      <xdr:rowOff>106102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0AA291-E95A-E43C-2334-00B5ED581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11</xdr:row>
      <xdr:rowOff>0</xdr:rowOff>
    </xdr:from>
    <xdr:to>
      <xdr:col>49</xdr:col>
      <xdr:colOff>120</xdr:colOff>
      <xdr:row>29</xdr:row>
      <xdr:rowOff>45335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DF95284-D579-486D-B8D6-694065834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111-8557-4BBE-A040-9D386BB0CD2B}">
  <dimension ref="B2:I29"/>
  <sheetViews>
    <sheetView zoomScale="81" zoomScaleNormal="81" workbookViewId="0">
      <selection activeCell="D18" sqref="D18"/>
    </sheetView>
  </sheetViews>
  <sheetFormatPr defaultRowHeight="14.5" x14ac:dyDescent="0.35"/>
  <cols>
    <col min="4" max="4" width="12.81640625" customWidth="1"/>
    <col min="6" max="6" width="6.7265625" bestFit="1" customWidth="1"/>
    <col min="7" max="7" width="5.1796875" bestFit="1" customWidth="1"/>
    <col min="8" max="8" width="9.7265625" bestFit="1" customWidth="1"/>
    <col min="9" max="9" width="4.453125" bestFit="1" customWidth="1"/>
  </cols>
  <sheetData>
    <row r="2" spans="2:9" ht="18.5" x14ac:dyDescent="0.35">
      <c r="B2" s="10" t="s">
        <v>17</v>
      </c>
      <c r="C2" s="10" t="s">
        <v>18</v>
      </c>
      <c r="D2" s="10" t="s">
        <v>19</v>
      </c>
      <c r="F2" s="9" t="s">
        <v>32</v>
      </c>
      <c r="G2" s="9" t="s">
        <v>30</v>
      </c>
      <c r="H2" s="9" t="s">
        <v>31</v>
      </c>
      <c r="I2" s="9" t="s">
        <v>17</v>
      </c>
    </row>
    <row r="3" spans="2:9" x14ac:dyDescent="0.35">
      <c r="B3" s="1">
        <v>1</v>
      </c>
      <c r="C3" s="1">
        <v>1</v>
      </c>
      <c r="D3" s="1">
        <f>(B3-C3)/(B3+C3)</f>
        <v>0</v>
      </c>
      <c r="F3" s="3">
        <v>-4.92</v>
      </c>
      <c r="G3" s="3">
        <v>5.76</v>
      </c>
      <c r="H3" s="3">
        <f>F3+G3</f>
        <v>0.83999999999999986</v>
      </c>
      <c r="I3" s="3">
        <v>0</v>
      </c>
    </row>
    <row r="4" spans="2:9" x14ac:dyDescent="0.35">
      <c r="C4" t="s">
        <v>27</v>
      </c>
      <c r="F4" s="3">
        <v>-3.52</v>
      </c>
      <c r="G4" s="3">
        <v>5.76</v>
      </c>
      <c r="H4" s="3">
        <f t="shared" ref="H4:H10" si="0">F4+G4</f>
        <v>2.2399999999999998</v>
      </c>
      <c r="I4" s="3">
        <v>10</v>
      </c>
    </row>
    <row r="5" spans="2:9" x14ac:dyDescent="0.35">
      <c r="B5" t="s">
        <v>26</v>
      </c>
      <c r="C5">
        <v>-1</v>
      </c>
      <c r="F5" s="3">
        <v>-2.44</v>
      </c>
      <c r="G5" s="3">
        <v>5.76</v>
      </c>
      <c r="H5" s="3">
        <f t="shared" si="0"/>
        <v>3.32</v>
      </c>
      <c r="I5" s="3">
        <v>20</v>
      </c>
    </row>
    <row r="6" spans="2:9" x14ac:dyDescent="0.35">
      <c r="B6" t="s">
        <v>28</v>
      </c>
      <c r="C6">
        <v>1</v>
      </c>
      <c r="D6" t="s">
        <v>29</v>
      </c>
      <c r="F6" s="3">
        <v>-1.6</v>
      </c>
      <c r="G6" s="3">
        <v>5.76</v>
      </c>
      <c r="H6" s="3">
        <f t="shared" si="0"/>
        <v>4.16</v>
      </c>
      <c r="I6" s="3">
        <v>30</v>
      </c>
    </row>
    <row r="7" spans="2:9" x14ac:dyDescent="0.35">
      <c r="F7" s="3">
        <v>-0.86399999999999999</v>
      </c>
      <c r="G7" s="3">
        <v>5.76</v>
      </c>
      <c r="H7" s="3">
        <f t="shared" si="0"/>
        <v>4.8959999999999999</v>
      </c>
      <c r="I7" s="3">
        <v>40</v>
      </c>
    </row>
    <row r="8" spans="2:9" x14ac:dyDescent="0.35">
      <c r="E8">
        <v>0.4</v>
      </c>
      <c r="F8" s="11">
        <v>-0.44</v>
      </c>
      <c r="G8" s="3">
        <v>5.76</v>
      </c>
      <c r="H8" s="3">
        <f t="shared" si="0"/>
        <v>5.3199999999999994</v>
      </c>
      <c r="I8" s="3">
        <v>50</v>
      </c>
    </row>
    <row r="9" spans="2:9" x14ac:dyDescent="0.35">
      <c r="E9">
        <v>0.64</v>
      </c>
      <c r="F9" s="11"/>
      <c r="G9" s="3">
        <v>5.76</v>
      </c>
      <c r="H9" s="3">
        <f t="shared" si="0"/>
        <v>5.76</v>
      </c>
      <c r="I9" s="3">
        <v>60</v>
      </c>
    </row>
    <row r="10" spans="2:9" x14ac:dyDescent="0.35">
      <c r="E10">
        <v>0.88</v>
      </c>
      <c r="F10" s="3">
        <v>0.94</v>
      </c>
      <c r="G10" s="3">
        <v>5.76</v>
      </c>
      <c r="H10" s="3">
        <f t="shared" si="0"/>
        <v>6.6999999999999993</v>
      </c>
      <c r="I10" s="3">
        <v>70</v>
      </c>
    </row>
    <row r="11" spans="2:9" x14ac:dyDescent="0.35">
      <c r="F11" s="3">
        <v>1.2</v>
      </c>
      <c r="G11" s="3">
        <v>5.76</v>
      </c>
      <c r="H11" s="3">
        <f>G11-F11</f>
        <v>4.5599999999999996</v>
      </c>
      <c r="I11" s="3">
        <v>80</v>
      </c>
    </row>
    <row r="12" spans="2:9" x14ac:dyDescent="0.35">
      <c r="F12" s="3">
        <v>1.42</v>
      </c>
      <c r="G12" s="3">
        <v>5.76</v>
      </c>
      <c r="H12" s="3">
        <f t="shared" ref="H12:H15" si="1">G12-F12</f>
        <v>4.34</v>
      </c>
      <c r="I12" s="3">
        <v>90</v>
      </c>
    </row>
    <row r="13" spans="2:9" x14ac:dyDescent="0.35">
      <c r="F13" s="3">
        <v>1.62</v>
      </c>
      <c r="G13" s="3">
        <v>5.76</v>
      </c>
      <c r="H13" s="3">
        <f t="shared" si="1"/>
        <v>4.1399999999999997</v>
      </c>
      <c r="I13" s="3">
        <v>100</v>
      </c>
    </row>
    <row r="14" spans="2:9" x14ac:dyDescent="0.35">
      <c r="F14" s="3">
        <v>1.78</v>
      </c>
      <c r="G14" s="3">
        <v>5.76</v>
      </c>
      <c r="H14" s="3">
        <f t="shared" si="1"/>
        <v>3.9799999999999995</v>
      </c>
      <c r="I14" s="3">
        <v>110</v>
      </c>
    </row>
    <row r="15" spans="2:9" x14ac:dyDescent="0.35">
      <c r="F15" s="3">
        <v>1.96</v>
      </c>
      <c r="G15" s="3">
        <v>5.76</v>
      </c>
      <c r="H15" s="3">
        <f t="shared" si="1"/>
        <v>3.8</v>
      </c>
      <c r="I15" s="3">
        <v>120</v>
      </c>
    </row>
    <row r="16" spans="2:9" x14ac:dyDescent="0.35">
      <c r="F16" s="3">
        <v>2.12</v>
      </c>
      <c r="G16" s="12">
        <v>5.76</v>
      </c>
      <c r="H16" s="3">
        <f t="shared" ref="H16:H28" si="2">G16-F16</f>
        <v>3.6399999999999997</v>
      </c>
      <c r="I16" s="3">
        <v>130</v>
      </c>
    </row>
    <row r="17" spans="6:9" x14ac:dyDescent="0.35">
      <c r="F17" s="13">
        <v>2.2400000000000002</v>
      </c>
      <c r="G17" s="12">
        <v>5.76</v>
      </c>
      <c r="H17" s="3">
        <f t="shared" si="2"/>
        <v>3.5199999999999996</v>
      </c>
      <c r="I17" s="3">
        <v>140</v>
      </c>
    </row>
    <row r="18" spans="6:9" x14ac:dyDescent="0.35">
      <c r="F18" s="3">
        <v>2.38</v>
      </c>
      <c r="G18" s="12">
        <v>5.76</v>
      </c>
      <c r="H18" s="3">
        <f t="shared" si="2"/>
        <v>3.38</v>
      </c>
      <c r="I18" s="3">
        <v>150</v>
      </c>
    </row>
    <row r="19" spans="6:9" x14ac:dyDescent="0.35">
      <c r="F19" s="3">
        <v>2.52</v>
      </c>
      <c r="G19" s="12">
        <v>5.76</v>
      </c>
      <c r="H19" s="3">
        <f t="shared" si="2"/>
        <v>3.2399999999999998</v>
      </c>
      <c r="I19" s="3">
        <v>160</v>
      </c>
    </row>
    <row r="20" spans="6:9" x14ac:dyDescent="0.35">
      <c r="F20" s="3">
        <v>2.72</v>
      </c>
      <c r="G20" s="12">
        <v>5.76</v>
      </c>
      <c r="H20" s="3">
        <f t="shared" si="2"/>
        <v>3.0399999999999996</v>
      </c>
      <c r="I20" s="3">
        <v>170</v>
      </c>
    </row>
    <row r="21" spans="6:9" x14ac:dyDescent="0.35">
      <c r="F21" s="3">
        <v>2.74</v>
      </c>
      <c r="G21" s="12">
        <v>5.76</v>
      </c>
      <c r="H21" s="3">
        <f t="shared" si="2"/>
        <v>3.0199999999999996</v>
      </c>
      <c r="I21" s="3">
        <v>180</v>
      </c>
    </row>
    <row r="22" spans="6:9" x14ac:dyDescent="0.35">
      <c r="F22" s="3">
        <v>2.82</v>
      </c>
      <c r="G22" s="12">
        <v>5.76</v>
      </c>
      <c r="H22" s="3">
        <f t="shared" si="2"/>
        <v>2.94</v>
      </c>
      <c r="I22" s="3">
        <v>190</v>
      </c>
    </row>
    <row r="23" spans="6:9" x14ac:dyDescent="0.35">
      <c r="F23" s="3">
        <v>2.9</v>
      </c>
      <c r="G23" s="12">
        <v>5.76</v>
      </c>
      <c r="H23" s="3">
        <f t="shared" si="2"/>
        <v>2.86</v>
      </c>
      <c r="I23" s="3">
        <v>200</v>
      </c>
    </row>
    <row r="24" spans="6:9" x14ac:dyDescent="0.35">
      <c r="F24" s="3">
        <v>2.96</v>
      </c>
      <c r="G24" s="12">
        <v>5.76</v>
      </c>
      <c r="H24" s="3">
        <f t="shared" si="2"/>
        <v>2.8</v>
      </c>
      <c r="I24" s="3">
        <v>210</v>
      </c>
    </row>
    <row r="25" spans="6:9" x14ac:dyDescent="0.35">
      <c r="F25" s="3">
        <v>3.4</v>
      </c>
      <c r="G25" s="12">
        <v>5.76</v>
      </c>
      <c r="H25" s="3">
        <f t="shared" si="2"/>
        <v>2.36</v>
      </c>
      <c r="I25" s="3">
        <v>280</v>
      </c>
    </row>
    <row r="26" spans="6:9" x14ac:dyDescent="0.35">
      <c r="F26" s="3">
        <v>3.56</v>
      </c>
      <c r="G26" s="12">
        <v>5.76</v>
      </c>
      <c r="H26" s="3">
        <f t="shared" si="2"/>
        <v>2.1999999999999997</v>
      </c>
      <c r="I26" s="3">
        <v>320</v>
      </c>
    </row>
    <row r="27" spans="6:9" x14ac:dyDescent="0.35">
      <c r="F27" s="3">
        <v>3.76</v>
      </c>
      <c r="G27" s="12">
        <v>5.76</v>
      </c>
      <c r="H27" s="3">
        <f t="shared" si="2"/>
        <v>2</v>
      </c>
      <c r="I27" s="3">
        <v>400</v>
      </c>
    </row>
    <row r="28" spans="6:9" x14ac:dyDescent="0.35">
      <c r="F28" s="3">
        <v>3.88</v>
      </c>
      <c r="G28" s="12">
        <v>5.76</v>
      </c>
      <c r="H28" s="3">
        <f t="shared" si="2"/>
        <v>1.88</v>
      </c>
      <c r="I28" s="3">
        <v>450</v>
      </c>
    </row>
    <row r="29" spans="6:9" x14ac:dyDescent="0.35">
      <c r="F29" s="3">
        <v>3.96</v>
      </c>
      <c r="G29" s="12">
        <v>5.76</v>
      </c>
      <c r="H29" s="3">
        <f t="shared" ref="H29" si="3">G29-F29</f>
        <v>1.7999999999999998</v>
      </c>
      <c r="I29" s="3">
        <v>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365B-FB3A-4211-A8B7-3303DA1AEBDA}">
  <dimension ref="B2:AF49"/>
  <sheetViews>
    <sheetView topLeftCell="I1" zoomScale="41" zoomScaleNormal="51" workbookViewId="0">
      <selection activeCell="AV25" sqref="AV25"/>
    </sheetView>
  </sheetViews>
  <sheetFormatPr defaultRowHeight="14.5" x14ac:dyDescent="0.35"/>
  <cols>
    <col min="2" max="2" width="11.6328125" customWidth="1"/>
    <col min="3" max="3" width="8.81640625" bestFit="1" customWidth="1"/>
    <col min="4" max="4" width="11.6328125" bestFit="1" customWidth="1"/>
    <col min="5" max="5" width="18.54296875" bestFit="1" customWidth="1"/>
    <col min="6" max="6" width="8.90625" bestFit="1" customWidth="1"/>
    <col min="7" max="7" width="11.6328125" bestFit="1" customWidth="1"/>
    <col min="9" max="9" width="11.81640625" bestFit="1" customWidth="1"/>
    <col min="10" max="10" width="8.81640625" bestFit="1" customWidth="1"/>
    <col min="21" max="22" width="8.81640625" bestFit="1" customWidth="1"/>
    <col min="23" max="23" width="10.1796875" bestFit="1" customWidth="1"/>
    <col min="24" max="24" width="8.26953125" bestFit="1" customWidth="1"/>
    <col min="27" max="27" width="17.81640625" bestFit="1" customWidth="1"/>
    <col min="28" max="28" width="10.26953125" bestFit="1" customWidth="1"/>
  </cols>
  <sheetData>
    <row r="2" spans="2:32" ht="18.5" x14ac:dyDescent="0.35">
      <c r="U2" s="19" t="s">
        <v>61</v>
      </c>
      <c r="V2" s="19"/>
      <c r="W2" s="19"/>
      <c r="X2" s="19"/>
    </row>
    <row r="3" spans="2:32" ht="16" x14ac:dyDescent="0.35">
      <c r="B3" s="8" t="s">
        <v>20</v>
      </c>
      <c r="C3" s="8" t="s">
        <v>21</v>
      </c>
      <c r="D3" s="8" t="s">
        <v>22</v>
      </c>
      <c r="E3" s="8" t="s">
        <v>52</v>
      </c>
      <c r="F3" s="8" t="s">
        <v>53</v>
      </c>
      <c r="U3" s="8" t="s">
        <v>33</v>
      </c>
      <c r="V3" s="8" t="s">
        <v>34</v>
      </c>
      <c r="W3" s="10" t="s">
        <v>63</v>
      </c>
      <c r="X3" s="10" t="s">
        <v>53</v>
      </c>
    </row>
    <row r="4" spans="2:32" ht="18.5" x14ac:dyDescent="0.45">
      <c r="B4" s="3">
        <v>16.399999999999999</v>
      </c>
      <c r="C4" s="3">
        <f>LN(B4/$B$4)</f>
        <v>0</v>
      </c>
      <c r="D4" s="3">
        <v>1</v>
      </c>
      <c r="E4" s="1">
        <f>D4*$I$5+$J$5</f>
        <v>5.4227216733745975E-3</v>
      </c>
      <c r="F4" s="1">
        <f>E4-C4</f>
        <v>5.4227216733745975E-3</v>
      </c>
      <c r="I4" s="18" t="s">
        <v>60</v>
      </c>
      <c r="J4" s="18"/>
      <c r="U4" s="3">
        <v>10000</v>
      </c>
      <c r="V4" s="3">
        <v>1.8</v>
      </c>
      <c r="W4" s="3">
        <f t="shared" ref="W4:W19" si="0">$AA$6*V4+$AB$6</f>
        <v>14132.520115055404</v>
      </c>
      <c r="X4" s="3">
        <f t="shared" ref="X4:X19" si="1">W4-U4</f>
        <v>4132.5201150554039</v>
      </c>
    </row>
    <row r="5" spans="2:32" ht="16" x14ac:dyDescent="0.35">
      <c r="B5" s="3">
        <v>11.8</v>
      </c>
      <c r="C5" s="3">
        <f>LN(B5/$B$4)</f>
        <v>-0.32918180335853353</v>
      </c>
      <c r="D5" s="3">
        <v>2</v>
      </c>
      <c r="E5" s="1">
        <f t="shared" ref="E5:E10" si="2">D5*$I$5+$J$5</f>
        <v>-0.3179115842327449</v>
      </c>
      <c r="F5" s="1">
        <f t="shared" ref="F5:F10" si="3">E5-C5</f>
        <v>1.1270219125788628E-2</v>
      </c>
      <c r="H5" s="8" t="s">
        <v>55</v>
      </c>
      <c r="I5" s="1">
        <f t="array" ref="I5:J7">LINEST(C4:C10,D4:D10,1,1)</f>
        <v>-0.3233343059061195</v>
      </c>
      <c r="J5" s="1">
        <v>0.3287570275794941</v>
      </c>
      <c r="K5" s="8" t="s">
        <v>47</v>
      </c>
      <c r="U5" s="17">
        <v>50000</v>
      </c>
      <c r="V5" s="17">
        <v>5</v>
      </c>
      <c r="W5" s="17">
        <f t="shared" si="0"/>
        <v>41947.978580823059</v>
      </c>
      <c r="X5" s="17">
        <f t="shared" si="1"/>
        <v>-8052.021419176941</v>
      </c>
      <c r="AA5" s="30" t="s">
        <v>65</v>
      </c>
      <c r="AB5" s="30"/>
    </row>
    <row r="6" spans="2:32" ht="16" x14ac:dyDescent="0.35">
      <c r="B6" s="3">
        <v>8.6</v>
      </c>
      <c r="C6" s="3">
        <f t="shared" ref="C6:C10" si="4">LN(B6/$B$4)</f>
        <v>-0.64551913157069063</v>
      </c>
      <c r="D6" s="3">
        <v>3</v>
      </c>
      <c r="E6" s="1">
        <f t="shared" si="2"/>
        <v>-0.64124589013886435</v>
      </c>
      <c r="F6" s="1">
        <f t="shared" si="3"/>
        <v>4.2732414318262801E-3</v>
      </c>
      <c r="H6" s="8" t="s">
        <v>56</v>
      </c>
      <c r="I6" s="1">
        <v>3.2291464756902051E-3</v>
      </c>
      <c r="J6" s="1">
        <v>1.4441182057894341E-2</v>
      </c>
      <c r="K6" s="8" t="s">
        <v>59</v>
      </c>
      <c r="U6" s="3">
        <v>70000</v>
      </c>
      <c r="V6" s="3">
        <v>8.82</v>
      </c>
      <c r="W6" s="3">
        <f t="shared" si="0"/>
        <v>75152.682124333209</v>
      </c>
      <c r="X6" s="3">
        <f t="shared" si="1"/>
        <v>5152.6821243332088</v>
      </c>
      <c r="Z6" s="8" t="s">
        <v>55</v>
      </c>
      <c r="AA6" s="1">
        <f t="array" ref="AA6:AB8">LINEST(U4:U19,V4:V19,1,1)</f>
        <v>8692.330770552393</v>
      </c>
      <c r="AB6" s="1">
        <v>-1513.6752719389042</v>
      </c>
      <c r="AC6" s="8" t="s">
        <v>47</v>
      </c>
      <c r="AD6">
        <v>-10</v>
      </c>
      <c r="AE6">
        <f>2*$AB$8</f>
        <v>10764.84780951695</v>
      </c>
      <c r="AF6">
        <f>-AE6</f>
        <v>-10764.84780951695</v>
      </c>
    </row>
    <row r="7" spans="2:32" ht="16" x14ac:dyDescent="0.35">
      <c r="B7" s="3">
        <v>6.4</v>
      </c>
      <c r="C7" s="3">
        <f t="shared" si="4"/>
        <v>-0.94098334446452636</v>
      </c>
      <c r="D7" s="3">
        <v>4</v>
      </c>
      <c r="E7" s="1">
        <f t="shared" si="2"/>
        <v>-0.96458019604498391</v>
      </c>
      <c r="F7" s="1">
        <f t="shared" si="3"/>
        <v>-2.3596851580457545E-2</v>
      </c>
      <c r="H7" s="8" t="s">
        <v>57</v>
      </c>
      <c r="I7" s="1">
        <v>0.9995015456468439</v>
      </c>
      <c r="J7" s="1">
        <v>1.7087037043353927E-2</v>
      </c>
      <c r="K7" s="8" t="s">
        <v>58</v>
      </c>
      <c r="U7" s="3">
        <v>90000</v>
      </c>
      <c r="V7" s="3">
        <v>11</v>
      </c>
      <c r="W7" s="3">
        <f t="shared" si="0"/>
        <v>94101.963204137413</v>
      </c>
      <c r="X7" s="3">
        <f t="shared" si="1"/>
        <v>4101.9632041374134</v>
      </c>
      <c r="Z7" s="8" t="s">
        <v>56</v>
      </c>
      <c r="AA7" s="1">
        <v>53.27261922729236</v>
      </c>
      <c r="AB7" s="1">
        <v>2449.7221643537255</v>
      </c>
      <c r="AC7" s="8" t="s">
        <v>59</v>
      </c>
      <c r="AD7">
        <v>90</v>
      </c>
      <c r="AE7">
        <f>2*$AB$8</f>
        <v>10764.84780951695</v>
      </c>
      <c r="AF7">
        <f>-AE7</f>
        <v>-10764.84780951695</v>
      </c>
    </row>
    <row r="8" spans="2:32" ht="16" x14ac:dyDescent="0.35">
      <c r="B8" s="3">
        <v>4.5999999999999996</v>
      </c>
      <c r="C8" s="3">
        <f t="shared" si="4"/>
        <v>-1.2712250313351032</v>
      </c>
      <c r="D8" s="3">
        <v>5</v>
      </c>
      <c r="E8" s="1">
        <f t="shared" si="2"/>
        <v>-1.2879145019511036</v>
      </c>
      <c r="F8" s="1">
        <f t="shared" si="3"/>
        <v>-1.6689470616000346E-2</v>
      </c>
      <c r="U8" s="3">
        <v>150000</v>
      </c>
      <c r="V8" s="3">
        <v>17.7</v>
      </c>
      <c r="W8" s="3">
        <f t="shared" si="0"/>
        <v>152340.57936683844</v>
      </c>
      <c r="X8" s="3">
        <f t="shared" si="1"/>
        <v>2340.5793668384431</v>
      </c>
      <c r="Z8" s="8" t="s">
        <v>57</v>
      </c>
      <c r="AA8" s="1">
        <v>0.99947442423316413</v>
      </c>
      <c r="AB8" s="1">
        <v>5382.4239047584751</v>
      </c>
      <c r="AC8" s="8" t="s">
        <v>58</v>
      </c>
    </row>
    <row r="9" spans="2:32" x14ac:dyDescent="0.35">
      <c r="B9" s="3">
        <v>3.28</v>
      </c>
      <c r="C9" s="3">
        <f t="shared" si="4"/>
        <v>-1.6094379124341003</v>
      </c>
      <c r="D9" s="3">
        <v>6</v>
      </c>
      <c r="E9" s="1">
        <f t="shared" si="2"/>
        <v>-1.6112488078572227</v>
      </c>
      <c r="F9" s="1">
        <f t="shared" si="3"/>
        <v>-1.810895423122405E-3</v>
      </c>
      <c r="U9" s="17">
        <v>200000</v>
      </c>
      <c r="V9" s="17">
        <v>22.5</v>
      </c>
      <c r="W9" s="17">
        <f t="shared" si="0"/>
        <v>194063.76706548993</v>
      </c>
      <c r="X9" s="17">
        <f t="shared" si="1"/>
        <v>-5936.2329345100734</v>
      </c>
    </row>
    <row r="10" spans="2:32" x14ac:dyDescent="0.35">
      <c r="B10" s="3">
        <v>2.3199999999999998</v>
      </c>
      <c r="C10" s="3">
        <f t="shared" si="4"/>
        <v>-1.9557141491519341</v>
      </c>
      <c r="D10" s="3">
        <v>7</v>
      </c>
      <c r="E10" s="1">
        <f t="shared" si="2"/>
        <v>-1.9345831137633422</v>
      </c>
      <c r="F10" s="1">
        <f t="shared" si="3"/>
        <v>2.1131035388591846E-2</v>
      </c>
      <c r="U10" s="17">
        <v>250000</v>
      </c>
      <c r="V10" s="17">
        <v>28.1</v>
      </c>
      <c r="W10" s="17">
        <f t="shared" si="0"/>
        <v>242740.81938058336</v>
      </c>
      <c r="X10" s="17">
        <f t="shared" si="1"/>
        <v>-7259.180619416642</v>
      </c>
    </row>
    <row r="11" spans="2:32" x14ac:dyDescent="0.35">
      <c r="I11">
        <v>-1</v>
      </c>
      <c r="J11">
        <f>2*$J$7</f>
        <v>3.4174074086707855E-2</v>
      </c>
      <c r="K11">
        <f>-J11</f>
        <v>-3.4174074086707855E-2</v>
      </c>
      <c r="U11" s="3">
        <v>300000</v>
      </c>
      <c r="V11" s="3">
        <v>35.200000000000003</v>
      </c>
      <c r="W11" s="3">
        <f t="shared" si="0"/>
        <v>304456.36785150535</v>
      </c>
      <c r="X11" s="3">
        <f t="shared" si="1"/>
        <v>4456.3678515053471</v>
      </c>
    </row>
    <row r="12" spans="2:32" x14ac:dyDescent="0.35">
      <c r="B12" s="10" t="s">
        <v>19</v>
      </c>
      <c r="C12" s="10" t="s">
        <v>23</v>
      </c>
      <c r="D12" s="10" t="s">
        <v>12</v>
      </c>
      <c r="E12" s="10" t="s">
        <v>13</v>
      </c>
      <c r="F12" s="10" t="s">
        <v>24</v>
      </c>
      <c r="I12">
        <v>9</v>
      </c>
      <c r="J12">
        <f>2*$J$7</f>
        <v>3.4174074086707855E-2</v>
      </c>
      <c r="K12">
        <f>-J12</f>
        <v>-3.4174074086707855E-2</v>
      </c>
      <c r="U12" s="3">
        <v>350000</v>
      </c>
      <c r="V12" s="3">
        <v>40.799999999999997</v>
      </c>
      <c r="W12" s="3">
        <f t="shared" si="0"/>
        <v>353133.42016659869</v>
      </c>
      <c r="X12" s="3">
        <f t="shared" si="1"/>
        <v>3133.4201665986911</v>
      </c>
    </row>
    <row r="13" spans="2:32" x14ac:dyDescent="0.35">
      <c r="B13" s="3">
        <v>0.84599999999999997</v>
      </c>
      <c r="C13" s="3">
        <f>LN($B$13)</f>
        <v>-0.16723591937591381</v>
      </c>
      <c r="D13" s="3"/>
      <c r="E13" s="3">
        <v>63.5</v>
      </c>
      <c r="F13" s="3">
        <f>(C13-C21)/(2*E13)</f>
        <v>-1.316818262802471E-3</v>
      </c>
      <c r="U13" s="3">
        <v>400000</v>
      </c>
      <c r="V13" s="3">
        <v>46.4</v>
      </c>
      <c r="W13" s="3">
        <f t="shared" si="0"/>
        <v>401810.47248169209</v>
      </c>
      <c r="X13" s="3">
        <f t="shared" si="1"/>
        <v>1810.4724816920934</v>
      </c>
    </row>
    <row r="14" spans="2:32" x14ac:dyDescent="0.35">
      <c r="U14" s="17">
        <v>450000</v>
      </c>
      <c r="V14" s="17">
        <v>51.2</v>
      </c>
      <c r="W14" s="17">
        <f t="shared" si="0"/>
        <v>443533.66018034366</v>
      </c>
      <c r="X14" s="17">
        <f t="shared" si="1"/>
        <v>-6466.3398196563357</v>
      </c>
    </row>
    <row r="15" spans="2:32" x14ac:dyDescent="0.35">
      <c r="U15" s="3">
        <v>500000</v>
      </c>
      <c r="V15" s="3">
        <v>58</v>
      </c>
      <c r="W15" s="3">
        <f t="shared" si="0"/>
        <v>502641.5094200999</v>
      </c>
      <c r="X15" s="3">
        <f t="shared" si="1"/>
        <v>2641.509420099901</v>
      </c>
    </row>
    <row r="16" spans="2:32" x14ac:dyDescent="0.35">
      <c r="U16" s="3">
        <v>550000</v>
      </c>
      <c r="V16" s="3">
        <v>63.8</v>
      </c>
      <c r="W16" s="3">
        <f t="shared" si="0"/>
        <v>553057.02788930375</v>
      </c>
      <c r="X16" s="3">
        <f t="shared" si="1"/>
        <v>3057.0278893037466</v>
      </c>
    </row>
    <row r="17" spans="6:29" x14ac:dyDescent="0.35">
      <c r="U17" s="17">
        <v>600000</v>
      </c>
      <c r="V17" s="17">
        <v>68.2</v>
      </c>
      <c r="W17" s="17">
        <f t="shared" si="0"/>
        <v>591303.28327973431</v>
      </c>
      <c r="X17" s="17">
        <f t="shared" si="1"/>
        <v>-8696.7167202656856</v>
      </c>
    </row>
    <row r="18" spans="6:29" x14ac:dyDescent="0.35">
      <c r="U18" s="3">
        <v>650000</v>
      </c>
      <c r="V18" s="3">
        <v>75.099999999999994</v>
      </c>
      <c r="W18" s="3">
        <f t="shared" si="0"/>
        <v>651280.36559654574</v>
      </c>
      <c r="X18" s="3">
        <f t="shared" si="1"/>
        <v>1280.3655965457438</v>
      </c>
    </row>
    <row r="19" spans="6:29" x14ac:dyDescent="0.35">
      <c r="U19" s="3">
        <v>700000</v>
      </c>
      <c r="V19" s="3">
        <v>81.2</v>
      </c>
      <c r="W19" s="3">
        <f t="shared" si="0"/>
        <v>704303.5832969154</v>
      </c>
      <c r="X19" s="3">
        <f t="shared" si="1"/>
        <v>4303.5832969153998</v>
      </c>
    </row>
    <row r="23" spans="6:29" ht="18.5" x14ac:dyDescent="0.35">
      <c r="U23" s="20" t="s">
        <v>62</v>
      </c>
      <c r="V23" s="20"/>
      <c r="W23" s="20"/>
      <c r="X23" s="20"/>
    </row>
    <row r="24" spans="6:29" ht="16" x14ac:dyDescent="0.35">
      <c r="U24" s="8" t="s">
        <v>33</v>
      </c>
      <c r="V24" s="8" t="s">
        <v>34</v>
      </c>
      <c r="W24" s="10" t="s">
        <v>63</v>
      </c>
      <c r="X24" s="10" t="s">
        <v>53</v>
      </c>
    </row>
    <row r="25" spans="6:29" x14ac:dyDescent="0.35">
      <c r="U25" s="3">
        <v>10000</v>
      </c>
      <c r="V25" s="3">
        <v>1.8</v>
      </c>
      <c r="W25" s="1">
        <f>V25*$AA$27+$AB$27</f>
        <v>9965.7893449856128</v>
      </c>
      <c r="X25" s="1">
        <f>W25-U25</f>
        <v>-34.210655014387157</v>
      </c>
    </row>
    <row r="26" spans="6:29" ht="18.5" x14ac:dyDescent="0.45">
      <c r="U26" s="3">
        <v>70000</v>
      </c>
      <c r="V26" s="3">
        <v>8.82</v>
      </c>
      <c r="W26" s="1">
        <f t="shared" ref="W26:W34" si="5">V26*$AA$27+$AB$27</f>
        <v>71118.102988323779</v>
      </c>
      <c r="X26" s="1">
        <f t="shared" ref="X26:X34" si="6">W26-U26</f>
        <v>1118.1029883237788</v>
      </c>
      <c r="AA26" s="28" t="s">
        <v>64</v>
      </c>
      <c r="AB26" s="29"/>
    </row>
    <row r="27" spans="6:29" ht="16" x14ac:dyDescent="0.35">
      <c r="F27" s="1"/>
      <c r="U27" s="3">
        <v>90000</v>
      </c>
      <c r="V27" s="3">
        <v>11</v>
      </c>
      <c r="W27" s="1">
        <f t="shared" si="5"/>
        <v>90108.422609759262</v>
      </c>
      <c r="X27" s="1">
        <f t="shared" si="6"/>
        <v>108.42260975926183</v>
      </c>
      <c r="Z27" s="8" t="s">
        <v>55</v>
      </c>
      <c r="AA27" s="1">
        <f t="array" ref="AA27:AB29">LINEST(U25:U34,V25:V34,1,1)</f>
        <v>8711.1557896493105</v>
      </c>
      <c r="AB27" s="1">
        <v>-5714.291076383146</v>
      </c>
      <c r="AC27" s="8" t="s">
        <v>47</v>
      </c>
    </row>
    <row r="28" spans="6:29" ht="16" x14ac:dyDescent="0.35">
      <c r="U28" s="3">
        <v>150000</v>
      </c>
      <c r="V28" s="3">
        <v>17.7</v>
      </c>
      <c r="W28" s="1">
        <f t="shared" si="5"/>
        <v>148473.16640040965</v>
      </c>
      <c r="X28" s="1">
        <f t="shared" si="6"/>
        <v>-1526.8335995903471</v>
      </c>
      <c r="Z28" s="8" t="s">
        <v>56</v>
      </c>
      <c r="AA28" s="1">
        <v>12.610663946414313</v>
      </c>
      <c r="AB28" s="1">
        <v>605.92753996843999</v>
      </c>
      <c r="AC28" s="8" t="s">
        <v>59</v>
      </c>
    </row>
    <row r="29" spans="6:29" ht="16" x14ac:dyDescent="0.35">
      <c r="U29" s="3">
        <v>300000</v>
      </c>
      <c r="V29" s="3">
        <v>35.200000000000003</v>
      </c>
      <c r="W29" s="1">
        <f t="shared" si="5"/>
        <v>300918.39271927258</v>
      </c>
      <c r="X29" s="1">
        <f t="shared" si="6"/>
        <v>918.39271927258233</v>
      </c>
      <c r="Z29" s="8" t="s">
        <v>57</v>
      </c>
      <c r="AA29" s="1">
        <v>0.99998323486519936</v>
      </c>
      <c r="AB29" s="1">
        <v>1100.0202546588509</v>
      </c>
      <c r="AC29" s="8" t="s">
        <v>58</v>
      </c>
    </row>
    <row r="30" spans="6:29" x14ac:dyDescent="0.35">
      <c r="U30" s="3">
        <v>350000</v>
      </c>
      <c r="V30" s="3">
        <v>40.799999999999997</v>
      </c>
      <c r="W30" s="1">
        <f t="shared" si="5"/>
        <v>349700.86514130869</v>
      </c>
      <c r="X30" s="1">
        <f t="shared" si="6"/>
        <v>-299.13485869130818</v>
      </c>
    </row>
    <row r="31" spans="6:29" x14ac:dyDescent="0.35">
      <c r="U31" s="3">
        <v>500000</v>
      </c>
      <c r="V31" s="3">
        <v>58</v>
      </c>
      <c r="W31" s="1">
        <f t="shared" si="5"/>
        <v>499532.74472327688</v>
      </c>
      <c r="X31" s="1">
        <f t="shared" si="6"/>
        <v>-467.25527672312455</v>
      </c>
    </row>
    <row r="32" spans="6:29" x14ac:dyDescent="0.35">
      <c r="U32" s="3">
        <v>550000</v>
      </c>
      <c r="V32" s="3">
        <v>63.8</v>
      </c>
      <c r="W32" s="1">
        <f t="shared" si="5"/>
        <v>550057.44830324291</v>
      </c>
      <c r="X32" s="1">
        <f t="shared" si="6"/>
        <v>57.448303242912516</v>
      </c>
    </row>
    <row r="33" spans="2:28" x14ac:dyDescent="0.35">
      <c r="U33" s="3">
        <v>650000</v>
      </c>
      <c r="V33" s="3">
        <v>75.099999999999994</v>
      </c>
      <c r="W33" s="1">
        <f t="shared" si="5"/>
        <v>648493.50872627995</v>
      </c>
      <c r="X33" s="1">
        <f t="shared" si="6"/>
        <v>-1506.4912737200502</v>
      </c>
      <c r="Z33">
        <v>-30</v>
      </c>
      <c r="AA33">
        <f>2*$AB$29</f>
        <v>2200.0405093177019</v>
      </c>
      <c r="AB33">
        <f>-AA33</f>
        <v>-2200.0405093177019</v>
      </c>
    </row>
    <row r="34" spans="2:28" x14ac:dyDescent="0.35">
      <c r="U34" s="3">
        <v>700000</v>
      </c>
      <c r="V34" s="3">
        <v>81.2</v>
      </c>
      <c r="W34" s="1">
        <f t="shared" si="5"/>
        <v>701631.55904314085</v>
      </c>
      <c r="X34" s="1">
        <f t="shared" si="6"/>
        <v>1631.5590431408491</v>
      </c>
      <c r="Z34">
        <v>100</v>
      </c>
      <c r="AA34">
        <f>2*$AB$29</f>
        <v>2200.0405093177019</v>
      </c>
      <c r="AB34">
        <f>-AA34</f>
        <v>-2200.0405093177019</v>
      </c>
    </row>
    <row r="41" spans="2:28" ht="16" x14ac:dyDescent="0.35">
      <c r="B41" s="8" t="s">
        <v>51</v>
      </c>
      <c r="C41" s="8" t="s">
        <v>49</v>
      </c>
      <c r="D41" s="8" t="s">
        <v>50</v>
      </c>
      <c r="E41" s="8" t="s">
        <v>54</v>
      </c>
      <c r="F41" s="8" t="s">
        <v>53</v>
      </c>
    </row>
    <row r="42" spans="2:28" ht="18.5" x14ac:dyDescent="0.45">
      <c r="B42" s="3">
        <f t="shared" ref="B42:B48" si="7">2*D4*$E$13</f>
        <v>127</v>
      </c>
      <c r="C42" s="7">
        <v>0</v>
      </c>
      <c r="D42" s="3">
        <v>0</v>
      </c>
      <c r="E42" s="1">
        <f>D42*$I$43+$J$43</f>
        <v>128.12134269500808</v>
      </c>
      <c r="F42" s="1">
        <f>E42-B42</f>
        <v>1.1213426950080816</v>
      </c>
      <c r="I42" s="18" t="s">
        <v>60</v>
      </c>
      <c r="J42" s="18"/>
    </row>
    <row r="43" spans="2:28" ht="16" x14ac:dyDescent="0.35">
      <c r="B43" s="3">
        <f t="shared" si="7"/>
        <v>254</v>
      </c>
      <c r="C43" s="3">
        <v>640</v>
      </c>
      <c r="D43" s="3">
        <f>C43*0.000000001</f>
        <v>6.4000000000000001E-7</v>
      </c>
      <c r="E43" s="1">
        <f t="shared" ref="E43:E48" si="8">D43*$I$43+$J$43</f>
        <v>252.89087236702886</v>
      </c>
      <c r="F43" s="1">
        <f t="shared" ref="F43:F48" si="9">E43-B43</f>
        <v>-1.1091276329711377</v>
      </c>
      <c r="H43" s="8" t="s">
        <v>55</v>
      </c>
      <c r="I43" s="15">
        <f t="array" ref="I43:J45">LINEST(B42:B48,D42:D48,1,1)</f>
        <v>194952390.1125325</v>
      </c>
      <c r="J43" s="14">
        <v>128.12134269500808</v>
      </c>
      <c r="K43" s="8" t="s">
        <v>47</v>
      </c>
    </row>
    <row r="44" spans="2:28" ht="16" x14ac:dyDescent="0.35">
      <c r="B44" s="3">
        <f t="shared" si="7"/>
        <v>381</v>
      </c>
      <c r="C44" s="3">
        <v>1300</v>
      </c>
      <c r="D44" s="3">
        <f>C44*0.000000001</f>
        <v>1.3E-6</v>
      </c>
      <c r="E44" s="1">
        <f t="shared" si="8"/>
        <v>381.55944984130031</v>
      </c>
      <c r="F44" s="1">
        <f t="shared" si="9"/>
        <v>0.55944984130030662</v>
      </c>
      <c r="H44" s="8" t="s">
        <v>56</v>
      </c>
      <c r="I44" s="15">
        <v>382391.92690146313</v>
      </c>
      <c r="J44" s="14">
        <v>0.89633189700943028</v>
      </c>
      <c r="K44" s="8" t="s">
        <v>59</v>
      </c>
    </row>
    <row r="45" spans="2:28" ht="16" x14ac:dyDescent="0.35">
      <c r="B45" s="3">
        <f t="shared" si="7"/>
        <v>508</v>
      </c>
      <c r="C45" s="3">
        <v>1940</v>
      </c>
      <c r="D45" s="3">
        <f>C45*0.000000001</f>
        <v>1.9400000000000001E-6</v>
      </c>
      <c r="E45" s="1">
        <f t="shared" si="8"/>
        <v>506.32897951332114</v>
      </c>
      <c r="F45" s="1">
        <f t="shared" si="9"/>
        <v>-1.6710204866788558</v>
      </c>
      <c r="H45" s="8" t="s">
        <v>57</v>
      </c>
      <c r="I45" s="16">
        <v>0.99998076368183131</v>
      </c>
      <c r="J45" s="14">
        <v>1.3181314138433682</v>
      </c>
      <c r="K45" s="8" t="s">
        <v>58</v>
      </c>
    </row>
    <row r="46" spans="2:28" x14ac:dyDescent="0.35">
      <c r="B46" s="3">
        <f t="shared" si="7"/>
        <v>635</v>
      </c>
      <c r="C46" s="3">
        <v>2600</v>
      </c>
      <c r="D46" s="3">
        <f>C46*0.000000001</f>
        <v>2.6000000000000001E-6</v>
      </c>
      <c r="E46" s="1">
        <f t="shared" si="8"/>
        <v>634.99755698759259</v>
      </c>
      <c r="F46" s="1">
        <f t="shared" si="9"/>
        <v>-2.4430124074115156E-3</v>
      </c>
    </row>
    <row r="47" spans="2:28" x14ac:dyDescent="0.35">
      <c r="B47" s="3">
        <f t="shared" si="7"/>
        <v>762</v>
      </c>
      <c r="C47" s="3">
        <v>3260</v>
      </c>
      <c r="D47" s="3">
        <f t="shared" ref="D47:D48" si="10">C47*0.000000001</f>
        <v>3.2600000000000001E-6</v>
      </c>
      <c r="E47" s="1">
        <f t="shared" si="8"/>
        <v>763.66613446186398</v>
      </c>
      <c r="F47" s="1">
        <f t="shared" si="9"/>
        <v>1.666134461863976</v>
      </c>
    </row>
    <row r="48" spans="2:28" x14ac:dyDescent="0.35">
      <c r="B48" s="3">
        <f t="shared" si="7"/>
        <v>889</v>
      </c>
      <c r="C48" s="3">
        <v>3900</v>
      </c>
      <c r="D48" s="3">
        <f t="shared" si="10"/>
        <v>3.8999999999999999E-6</v>
      </c>
      <c r="E48" s="1">
        <f t="shared" si="8"/>
        <v>888.43566413388476</v>
      </c>
      <c r="F48" s="1">
        <f t="shared" si="9"/>
        <v>-0.56433586611524333</v>
      </c>
      <c r="J48">
        <v>-1</v>
      </c>
      <c r="K48">
        <f>2*$J$45</f>
        <v>2.6362628276867364</v>
      </c>
      <c r="L48">
        <f>-K48</f>
        <v>-2.6362628276867364</v>
      </c>
    </row>
    <row r="49" spans="10:12" x14ac:dyDescent="0.35">
      <c r="J49">
        <v>5000000</v>
      </c>
      <c r="K49">
        <f>2*$J$45</f>
        <v>2.6362628276867364</v>
      </c>
      <c r="L49">
        <f>-K49</f>
        <v>-2.6362628276867364</v>
      </c>
    </row>
  </sheetData>
  <mergeCells count="6">
    <mergeCell ref="AA26:AB26"/>
    <mergeCell ref="I42:J42"/>
    <mergeCell ref="I4:J4"/>
    <mergeCell ref="U2:X2"/>
    <mergeCell ref="U23:X23"/>
    <mergeCell ref="AA5:AB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C777-BE04-4B4A-8EBE-48360408CA34}">
  <dimension ref="B3:AT44"/>
  <sheetViews>
    <sheetView tabSelected="1" topLeftCell="AD1" zoomScale="85" zoomScaleNormal="85" workbookViewId="0">
      <selection activeCell="AM28" sqref="AM28"/>
    </sheetView>
  </sheetViews>
  <sheetFormatPr defaultRowHeight="14.5" x14ac:dyDescent="0.35"/>
  <cols>
    <col min="2" max="2" width="18" customWidth="1"/>
    <col min="3" max="3" width="14.54296875" customWidth="1"/>
    <col min="4" max="5" width="18" customWidth="1"/>
    <col min="6" max="6" width="13.1796875" customWidth="1"/>
    <col min="7" max="7" width="11.90625" customWidth="1"/>
    <col min="8" max="9" width="9" bestFit="1" customWidth="1"/>
    <col min="14" max="15" width="9" bestFit="1" customWidth="1"/>
    <col min="17" max="17" width="12" bestFit="1" customWidth="1"/>
    <col min="18" max="18" width="9.6328125" customWidth="1"/>
    <col min="19" max="19" width="10.36328125" customWidth="1"/>
    <col min="20" max="20" width="12" bestFit="1" customWidth="1"/>
    <col min="24" max="24" width="10" bestFit="1" customWidth="1"/>
    <col min="37" max="37" width="11.08984375" bestFit="1" customWidth="1"/>
    <col min="39" max="39" width="11.08984375" bestFit="1" customWidth="1"/>
    <col min="40" max="40" width="7.7265625" bestFit="1" customWidth="1"/>
  </cols>
  <sheetData>
    <row r="3" spans="2:46" x14ac:dyDescent="0.35">
      <c r="C3" s="6" t="s">
        <v>9</v>
      </c>
      <c r="D3" s="6" t="s">
        <v>16</v>
      </c>
      <c r="E3" s="6" t="s">
        <v>11</v>
      </c>
      <c r="F3" s="6" t="s">
        <v>15</v>
      </c>
      <c r="G3" s="6" t="s">
        <v>14</v>
      </c>
      <c r="H3" s="6" t="s">
        <v>38</v>
      </c>
      <c r="R3" s="1" t="s">
        <v>36</v>
      </c>
      <c r="S3" s="1" t="s">
        <v>13</v>
      </c>
      <c r="T3" s="1" t="s">
        <v>35</v>
      </c>
      <c r="U3" s="1" t="s">
        <v>25</v>
      </c>
      <c r="V3" s="1" t="s">
        <v>37</v>
      </c>
      <c r="W3" s="1" t="s">
        <v>38</v>
      </c>
      <c r="X3" s="1" t="s">
        <v>39</v>
      </c>
    </row>
    <row r="4" spans="2:46" x14ac:dyDescent="0.35">
      <c r="B4" s="25" t="s">
        <v>0</v>
      </c>
      <c r="C4" s="21">
        <f>(($C$19*$D$19^2)/8) + (($C$20*$G$20^2)/12)</f>
        <v>4.1984744250000003E-3</v>
      </c>
      <c r="D4" s="2">
        <v>90</v>
      </c>
      <c r="E4" s="21">
        <f>(C4*128*PI()*C26)/(D19^4*H4)</f>
        <v>3024.4657020031623</v>
      </c>
      <c r="F4" s="1">
        <v>64.2</v>
      </c>
      <c r="G4" s="21">
        <f>AVERAGE(F4:F6)/10</f>
        <v>5.8833333333333337</v>
      </c>
      <c r="H4" s="21">
        <f>G4^2</f>
        <v>34.613611111111119</v>
      </c>
      <c r="Q4">
        <v>31</v>
      </c>
      <c r="R4" s="21">
        <f>S4^4</f>
        <v>9.2352100000000006E-3</v>
      </c>
      <c r="S4" s="21">
        <f>Q4/100</f>
        <v>0.31</v>
      </c>
      <c r="T4" s="1">
        <v>51</v>
      </c>
      <c r="U4" s="1">
        <v>1.91</v>
      </c>
      <c r="V4" s="1">
        <f>(T4-1)/2</f>
        <v>25</v>
      </c>
      <c r="W4" s="1">
        <f>(U4/V4)^2</f>
        <v>5.8369599999999995E-3</v>
      </c>
      <c r="X4" s="24">
        <f>AVERAGE(W4:W6)</f>
        <v>5.3190992592592598E-3</v>
      </c>
      <c r="AI4" s="3" t="s">
        <v>36</v>
      </c>
      <c r="AJ4" s="3" t="s">
        <v>39</v>
      </c>
      <c r="AK4" s="3" t="s">
        <v>66</v>
      </c>
      <c r="AL4" s="3" t="s">
        <v>53</v>
      </c>
    </row>
    <row r="5" spans="2:46" x14ac:dyDescent="0.35">
      <c r="B5" s="26"/>
      <c r="C5" s="22"/>
      <c r="D5" s="2">
        <v>180</v>
      </c>
      <c r="E5" s="22"/>
      <c r="F5" s="1">
        <v>56.3</v>
      </c>
      <c r="G5" s="22"/>
      <c r="H5" s="22"/>
      <c r="R5" s="22"/>
      <c r="S5" s="22"/>
      <c r="T5" s="1">
        <v>101</v>
      </c>
      <c r="U5" s="1">
        <v>3.58</v>
      </c>
      <c r="V5" s="1">
        <f t="shared" ref="V5:V12" si="0">(T5-1)/2</f>
        <v>50</v>
      </c>
      <c r="W5" s="1">
        <f t="shared" ref="W5:W12" si="1">(U5/V5)^2</f>
        <v>5.1265599999999996E-3</v>
      </c>
      <c r="X5" s="24"/>
      <c r="AI5" s="3">
        <f>R4</f>
        <v>9.2352100000000006E-3</v>
      </c>
      <c r="AJ5" s="3">
        <f>X4</f>
        <v>5.3190992592592598E-3</v>
      </c>
      <c r="AK5" s="1">
        <f>AI5*$AO$5+AP5</f>
        <v>5.1131457297380577E-3</v>
      </c>
      <c r="AL5" s="1">
        <f>AK5-AJ5</f>
        <v>-2.059535295212021E-4</v>
      </c>
      <c r="AO5">
        <f t="array" ref="AO5:AP7">LINEST(AJ5:AJ10,AI5:AI10,1,1)</f>
        <v>0.46957195253555245</v>
      </c>
      <c r="AP5">
        <v>7.7655013796219807E-4</v>
      </c>
      <c r="AR5">
        <v>-1</v>
      </c>
      <c r="AS5">
        <f>2*$AP$7</f>
        <v>3.0469938677500869E-4</v>
      </c>
      <c r="AT5">
        <f>-AS5</f>
        <v>-3.0469938677500869E-4</v>
      </c>
    </row>
    <row r="6" spans="2:46" x14ac:dyDescent="0.35">
      <c r="B6" s="27"/>
      <c r="C6" s="23"/>
      <c r="D6" s="2">
        <v>270</v>
      </c>
      <c r="E6" s="23"/>
      <c r="F6" s="1">
        <v>56</v>
      </c>
      <c r="G6" s="23"/>
      <c r="H6" s="23"/>
      <c r="R6" s="23"/>
      <c r="S6" s="23"/>
      <c r="T6" s="1">
        <v>151</v>
      </c>
      <c r="U6" s="1">
        <v>5.3</v>
      </c>
      <c r="V6" s="1">
        <f t="shared" si="0"/>
        <v>75</v>
      </c>
      <c r="W6" s="1">
        <f t="shared" si="1"/>
        <v>4.9937777777777784E-3</v>
      </c>
      <c r="X6" s="24"/>
      <c r="AI6" s="3">
        <f>R10</f>
        <v>8.0999999999999996E-3</v>
      </c>
      <c r="AJ6" s="3">
        <f>X10</f>
        <v>4.6126237037037035E-3</v>
      </c>
      <c r="AK6" s="1">
        <f>AI6*$AO$5+AP7</f>
        <v>3.955882508925479E-3</v>
      </c>
      <c r="AL6" s="1">
        <f>AK6-AJ6</f>
        <v>-6.5674119477822455E-4</v>
      </c>
      <c r="AO6">
        <v>1.1069720182796582E-2</v>
      </c>
      <c r="AP6">
        <v>1.6189768727822168E-4</v>
      </c>
      <c r="AR6">
        <v>1</v>
      </c>
      <c r="AS6">
        <f>2*$AP$7</f>
        <v>3.0469938677500869E-4</v>
      </c>
      <c r="AT6">
        <f>-AS6</f>
        <v>-3.0469938677500869E-4</v>
      </c>
    </row>
    <row r="7" spans="2:46" x14ac:dyDescent="0.35">
      <c r="B7" s="25" t="s">
        <v>1</v>
      </c>
      <c r="C7" s="21">
        <f>(($C$19*$D$19^2)/8) + (($C$20/24)*(2*$E$20^2 + $G$20^2))</f>
        <v>6.501503950000001E-3</v>
      </c>
      <c r="D7" s="2">
        <v>90</v>
      </c>
      <c r="E7" s="21" t="e">
        <f>C7*128*PI()*C27/(D20^4*D27)</f>
        <v>#DIV/0!</v>
      </c>
      <c r="F7" s="1">
        <v>81.400000000000006</v>
      </c>
      <c r="G7" s="21">
        <f t="shared" ref="G7" si="2">AVERAGE(F7:F9)/10</f>
        <v>7.8466666666666667</v>
      </c>
      <c r="H7" s="21">
        <f t="shared" ref="H7" si="3">G7^2</f>
        <v>61.570177777777779</v>
      </c>
      <c r="Q7">
        <v>34.4</v>
      </c>
      <c r="R7" s="21">
        <f t="shared" ref="R7" si="4">S7^4</f>
        <v>2.1743271936000001E-2</v>
      </c>
      <c r="S7" s="21">
        <f>Q10/100</f>
        <v>0.38400000000000001</v>
      </c>
      <c r="T7" s="1">
        <v>51</v>
      </c>
      <c r="U7" s="1">
        <v>2.68</v>
      </c>
      <c r="V7" s="1">
        <f>(T7-1)/2</f>
        <v>25</v>
      </c>
      <c r="W7" s="1">
        <f t="shared" si="1"/>
        <v>1.1491840000000001E-2</v>
      </c>
      <c r="X7" s="24">
        <f t="shared" ref="X7" si="5">AVERAGE(W7:W9)</f>
        <v>1.1434773333333334E-2</v>
      </c>
      <c r="AI7" s="3">
        <f>R13</f>
        <v>9.8456006250000009E-3</v>
      </c>
      <c r="AJ7" s="3">
        <f>X13</f>
        <v>5.1840000000000011E-3</v>
      </c>
      <c r="AK7" s="1">
        <f>AI7*$AO$5+AP8</f>
        <v>4.6232179093665064E-3</v>
      </c>
      <c r="AL7" s="1">
        <f>AK7-AJ7</f>
        <v>-5.6078209063349475E-4</v>
      </c>
      <c r="AO7">
        <v>0.99778198418629371</v>
      </c>
      <c r="AP7">
        <v>1.5234969338750434E-4</v>
      </c>
    </row>
    <row r="8" spans="2:46" x14ac:dyDescent="0.35">
      <c r="B8" s="26"/>
      <c r="C8" s="22"/>
      <c r="D8" s="2">
        <v>180</v>
      </c>
      <c r="E8" s="22"/>
      <c r="F8" s="1">
        <v>81.099999999999994</v>
      </c>
      <c r="G8" s="22"/>
      <c r="H8" s="22"/>
      <c r="R8" s="22"/>
      <c r="S8" s="22"/>
      <c r="T8" s="1">
        <v>101</v>
      </c>
      <c r="U8" s="1">
        <v>5.34</v>
      </c>
      <c r="V8" s="1">
        <f t="shared" si="0"/>
        <v>50</v>
      </c>
      <c r="W8" s="1">
        <f t="shared" si="1"/>
        <v>1.1406239999999998E-2</v>
      </c>
      <c r="X8" s="24"/>
      <c r="AI8" s="3">
        <f>R16</f>
        <v>1.3363360000000005E-2</v>
      </c>
      <c r="AJ8" s="3">
        <f>X16</f>
        <v>7.0038459259259252E-3</v>
      </c>
      <c r="AK8" s="1">
        <f>AI8*$AO$5+AP9</f>
        <v>6.2750590476355027E-3</v>
      </c>
      <c r="AL8" s="1">
        <f>AK8-AJ8</f>
        <v>-7.2878687829042253E-4</v>
      </c>
    </row>
    <row r="9" spans="2:46" x14ac:dyDescent="0.35">
      <c r="B9" s="27"/>
      <c r="C9" s="23"/>
      <c r="D9" s="2">
        <v>270</v>
      </c>
      <c r="E9" s="23"/>
      <c r="F9" s="1">
        <v>72.900000000000006</v>
      </c>
      <c r="G9" s="23"/>
      <c r="H9" s="23"/>
      <c r="R9" s="23"/>
      <c r="S9" s="23"/>
      <c r="T9" s="1">
        <v>151</v>
      </c>
      <c r="U9" s="1">
        <v>8.01</v>
      </c>
      <c r="V9" s="1">
        <f t="shared" si="0"/>
        <v>75</v>
      </c>
      <c r="W9" s="1">
        <f t="shared" si="1"/>
        <v>1.1406239999999998E-2</v>
      </c>
      <c r="X9" s="24"/>
      <c r="AI9" s="3">
        <f>R19</f>
        <v>1.5882300624999998E-2</v>
      </c>
      <c r="AJ9" s="3">
        <f>X19</f>
        <v>8.2365748148148146E-3</v>
      </c>
      <c r="AK9" s="1">
        <f>AI9*$AO$5+AP10</f>
        <v>7.4578829152378741E-3</v>
      </c>
      <c r="AL9" s="1">
        <f>AK9-AJ9</f>
        <v>-7.7869189957694047E-4</v>
      </c>
    </row>
    <row r="10" spans="2:46" x14ac:dyDescent="0.35">
      <c r="B10" s="25" t="s">
        <v>2</v>
      </c>
      <c r="C10" s="21">
        <f>((C19*D19^2)/8)+((C21/8)*(D21^2+F21^2))</f>
        <v>8.5460333125000013E-3</v>
      </c>
      <c r="D10" s="2">
        <v>90</v>
      </c>
      <c r="E10" s="21" t="e">
        <f>C10*128*PI()*C28/(D21^4*D28)</f>
        <v>#DIV/0!</v>
      </c>
      <c r="F10" s="1">
        <v>91</v>
      </c>
      <c r="G10" s="21">
        <f t="shared" ref="G10" si="6">AVERAGE(F10:F12)/10</f>
        <v>9.6</v>
      </c>
      <c r="H10" s="21">
        <f t="shared" ref="H10" si="7">G10^2</f>
        <v>92.16</v>
      </c>
      <c r="Q10">
        <v>38.4</v>
      </c>
      <c r="R10" s="21">
        <f t="shared" ref="R10" si="8">S10^4</f>
        <v>8.0999999999999996E-3</v>
      </c>
      <c r="S10" s="21">
        <f>Q13/100</f>
        <v>0.3</v>
      </c>
      <c r="T10" s="1">
        <v>51</v>
      </c>
      <c r="U10" s="1">
        <v>1.67</v>
      </c>
      <c r="V10" s="1">
        <f>(T10-1)/2</f>
        <v>25</v>
      </c>
      <c r="W10" s="1">
        <f t="shared" si="1"/>
        <v>4.4622400000000001E-3</v>
      </c>
      <c r="X10" s="24">
        <f t="shared" ref="X10" si="9">AVERAGE(W10:W12)</f>
        <v>4.6126237037037035E-3</v>
      </c>
      <c r="AI10" s="3">
        <f>R28</f>
        <v>2.4591257856000002E-2</v>
      </c>
      <c r="AJ10" s="3">
        <f>X28</f>
        <v>1.2346810370370371E-2</v>
      </c>
      <c r="AK10" s="1">
        <f>AI10*$AO$5+AP13</f>
        <v>1.1547364966747164E-2</v>
      </c>
      <c r="AL10" s="1">
        <f t="shared" ref="AL10" si="10">AK10-AJ10</f>
        <v>-7.994454036232071E-4</v>
      </c>
    </row>
    <row r="11" spans="2:46" x14ac:dyDescent="0.35">
      <c r="B11" s="26"/>
      <c r="C11" s="22"/>
      <c r="D11" s="2">
        <v>180</v>
      </c>
      <c r="E11" s="22"/>
      <c r="F11" s="1">
        <v>98</v>
      </c>
      <c r="G11" s="22"/>
      <c r="H11" s="22"/>
      <c r="R11" s="22"/>
      <c r="S11" s="22"/>
      <c r="T11" s="1">
        <v>101</v>
      </c>
      <c r="U11" s="1">
        <v>3.53</v>
      </c>
      <c r="V11" s="1">
        <f t="shared" si="0"/>
        <v>50</v>
      </c>
      <c r="W11" s="1">
        <f t="shared" si="1"/>
        <v>4.9843599999999993E-3</v>
      </c>
      <c r="X11" s="24"/>
    </row>
    <row r="12" spans="2:46" x14ac:dyDescent="0.35">
      <c r="B12" s="27"/>
      <c r="C12" s="23"/>
      <c r="D12" s="2">
        <v>270</v>
      </c>
      <c r="E12" s="23"/>
      <c r="F12" s="1">
        <v>99</v>
      </c>
      <c r="G12" s="23"/>
      <c r="H12" s="23"/>
      <c r="R12" s="23"/>
      <c r="S12" s="23"/>
      <c r="T12" s="1">
        <v>151</v>
      </c>
      <c r="U12" s="1">
        <v>4.97</v>
      </c>
      <c r="V12" s="1">
        <f t="shared" si="0"/>
        <v>75</v>
      </c>
      <c r="W12" s="1">
        <f t="shared" si="1"/>
        <v>4.3912711111111112E-3</v>
      </c>
      <c r="X12" s="24"/>
    </row>
    <row r="13" spans="2:46" ht="14.4" customHeight="1" x14ac:dyDescent="0.35">
      <c r="B13" s="25" t="s">
        <v>3</v>
      </c>
      <c r="C13" s="21">
        <f>((C19*D19^2)/8)+((C21/8)*(D21^2+F21^2)) + ((C20/24)*(2*E20^2 + $G$20^2))</f>
        <v>1.0890579387500002E-2</v>
      </c>
      <c r="D13" s="2">
        <v>90</v>
      </c>
      <c r="E13" s="21" t="e">
        <f>C13*128*PI()*C29/(D22^4*D29)</f>
        <v>#DIV/0!</v>
      </c>
      <c r="F13" s="2">
        <v>113.6</v>
      </c>
      <c r="G13" s="21">
        <f t="shared" ref="G13" si="11">AVERAGE(F13:F15)/10</f>
        <v>10.390000000000002</v>
      </c>
      <c r="H13" s="21">
        <f t="shared" ref="H13" si="12">G13^2</f>
        <v>107.95210000000004</v>
      </c>
      <c r="Q13">
        <v>30</v>
      </c>
      <c r="R13" s="21">
        <f t="shared" ref="R13" si="13">S13^4</f>
        <v>9.8456006250000009E-3</v>
      </c>
      <c r="S13" s="21">
        <f>Q16/100</f>
        <v>0.315</v>
      </c>
      <c r="T13" s="1">
        <v>51</v>
      </c>
      <c r="U13" s="1">
        <v>1.8</v>
      </c>
      <c r="V13" s="1">
        <f>(T13-1)/2</f>
        <v>25</v>
      </c>
      <c r="W13" s="1">
        <f t="shared" ref="W13:W15" si="14">(U13/V13)^2</f>
        <v>5.1840000000000011E-3</v>
      </c>
      <c r="X13" s="24">
        <f t="shared" ref="X13" si="15">AVERAGE(W13:W15)</f>
        <v>5.1840000000000011E-3</v>
      </c>
    </row>
    <row r="14" spans="2:46" x14ac:dyDescent="0.35">
      <c r="B14" s="26"/>
      <c r="C14" s="22"/>
      <c r="D14" s="2">
        <v>180</v>
      </c>
      <c r="E14" s="22"/>
      <c r="F14" s="2">
        <v>98.7</v>
      </c>
      <c r="G14" s="22"/>
      <c r="H14" s="22"/>
      <c r="R14" s="22"/>
      <c r="S14" s="22"/>
      <c r="T14" s="1">
        <v>101</v>
      </c>
      <c r="U14" s="1">
        <v>3.6</v>
      </c>
      <c r="V14" s="1">
        <f t="shared" ref="V14:V15" si="16">(T14-1)/2</f>
        <v>50</v>
      </c>
      <c r="W14" s="1">
        <f t="shared" si="14"/>
        <v>5.1840000000000011E-3</v>
      </c>
      <c r="X14" s="24"/>
    </row>
    <row r="15" spans="2:46" x14ac:dyDescent="0.35">
      <c r="B15" s="27"/>
      <c r="C15" s="23"/>
      <c r="D15" s="2">
        <v>270</v>
      </c>
      <c r="E15" s="23"/>
      <c r="F15" s="2">
        <v>99.4</v>
      </c>
      <c r="G15" s="23"/>
      <c r="H15" s="23"/>
      <c r="R15" s="23"/>
      <c r="S15" s="23"/>
      <c r="T15" s="1">
        <v>151</v>
      </c>
      <c r="U15" s="1">
        <v>5.4</v>
      </c>
      <c r="V15" s="1">
        <f t="shared" si="16"/>
        <v>75</v>
      </c>
      <c r="W15" s="1">
        <f t="shared" si="14"/>
        <v>5.1840000000000011E-3</v>
      </c>
      <c r="X15" s="24"/>
    </row>
    <row r="16" spans="2:46" x14ac:dyDescent="0.35">
      <c r="Q16">
        <v>31.5</v>
      </c>
      <c r="R16" s="21">
        <f t="shared" ref="R16" si="17">S16^4</f>
        <v>1.3363360000000005E-2</v>
      </c>
      <c r="S16" s="21">
        <f>Q19/100</f>
        <v>0.34</v>
      </c>
      <c r="T16" s="1">
        <v>51</v>
      </c>
      <c r="U16" s="1">
        <v>2.09</v>
      </c>
      <c r="V16" s="1">
        <f>(T16-1)/2</f>
        <v>25</v>
      </c>
      <c r="W16" s="1">
        <f t="shared" ref="W16:W18" si="18">(U16/V16)^2</f>
        <v>6.9889599999999989E-3</v>
      </c>
      <c r="X16" s="24">
        <f t="shared" ref="X16" si="19">AVERAGE(W16:W18)</f>
        <v>7.0038459259259252E-3</v>
      </c>
    </row>
    <row r="17" spans="2:24" x14ac:dyDescent="0.35">
      <c r="C17">
        <v>0.1</v>
      </c>
      <c r="E17" t="s">
        <v>48</v>
      </c>
      <c r="G17" t="s">
        <v>47</v>
      </c>
      <c r="R17" s="22"/>
      <c r="S17" s="22"/>
      <c r="T17" s="1">
        <v>101</v>
      </c>
      <c r="U17" s="1">
        <v>4.18</v>
      </c>
      <c r="V17" s="1">
        <f t="shared" ref="V17:V19" si="20">(T17-1)/2</f>
        <v>50</v>
      </c>
      <c r="W17" s="1">
        <f t="shared" si="18"/>
        <v>6.9889599999999989E-3</v>
      </c>
      <c r="X17" s="24"/>
    </row>
    <row r="18" spans="2:24" x14ac:dyDescent="0.35">
      <c r="C18" s="6" t="s">
        <v>4</v>
      </c>
      <c r="D18" s="6" t="s">
        <v>5</v>
      </c>
      <c r="E18" s="6" t="s">
        <v>46</v>
      </c>
      <c r="F18" s="6" t="s">
        <v>10</v>
      </c>
      <c r="G18" s="6" t="s">
        <v>45</v>
      </c>
      <c r="H18">
        <v>20.3</v>
      </c>
      <c r="R18" s="23"/>
      <c r="S18" s="23"/>
      <c r="T18" s="1">
        <v>151</v>
      </c>
      <c r="U18" s="1">
        <v>6.29</v>
      </c>
      <c r="V18" s="1">
        <f t="shared" si="20"/>
        <v>75</v>
      </c>
      <c r="W18" s="1">
        <f t="shared" si="18"/>
        <v>7.0336177777777786E-3</v>
      </c>
      <c r="X18" s="24"/>
    </row>
    <row r="19" spans="2:24" x14ac:dyDescent="0.35">
      <c r="B19" s="6" t="s">
        <v>6</v>
      </c>
      <c r="C19" s="3">
        <v>0.80700000000000005</v>
      </c>
      <c r="D19" s="3">
        <f>H18/100</f>
        <v>0.20300000000000001</v>
      </c>
      <c r="E19" s="4"/>
      <c r="F19" s="5"/>
      <c r="G19" s="5"/>
      <c r="Q19">
        <v>34</v>
      </c>
      <c r="R19" s="21">
        <f t="shared" ref="R19:R28" si="21">S19^4</f>
        <v>1.5882300624999998E-2</v>
      </c>
      <c r="S19" s="21">
        <f>Q22/100</f>
        <v>0.35499999999999998</v>
      </c>
      <c r="T19" s="1">
        <v>51</v>
      </c>
      <c r="U19" s="1">
        <v>2.27</v>
      </c>
      <c r="V19" s="1">
        <f t="shared" si="20"/>
        <v>25</v>
      </c>
      <c r="W19" s="1">
        <f t="shared" ref="W19:W30" si="22">(U19/V19)^2</f>
        <v>8.244640000000001E-3</v>
      </c>
      <c r="X19" s="24">
        <f t="shared" ref="X19:X28" si="23">AVERAGE(W19:W21)</f>
        <v>8.2365748148148146E-3</v>
      </c>
    </row>
    <row r="20" spans="2:24" x14ac:dyDescent="0.35">
      <c r="B20" s="6" t="s">
        <v>7</v>
      </c>
      <c r="C20" s="3">
        <v>0.68340000000000001</v>
      </c>
      <c r="D20" s="5"/>
      <c r="E20" s="3">
        <v>0.20200000000000001</v>
      </c>
      <c r="F20" s="5"/>
      <c r="G20" s="1">
        <f>H20/100</f>
        <v>2.7000000000000003E-2</v>
      </c>
      <c r="H20">
        <v>2.7</v>
      </c>
      <c r="R20" s="22"/>
      <c r="S20" s="22"/>
      <c r="T20" s="1">
        <v>101</v>
      </c>
      <c r="U20" s="1">
        <v>4.54</v>
      </c>
      <c r="V20" s="1">
        <f t="shared" ref="V20:V30" si="24">(T20-1)/2</f>
        <v>50</v>
      </c>
      <c r="W20" s="1">
        <f t="shared" si="22"/>
        <v>8.244640000000001E-3</v>
      </c>
      <c r="X20" s="24"/>
    </row>
    <row r="21" spans="2:24" x14ac:dyDescent="0.35">
      <c r="B21" s="6" t="s">
        <v>8</v>
      </c>
      <c r="C21" s="3">
        <v>0.48709999999999998</v>
      </c>
      <c r="D21" s="3">
        <f>H21/100</f>
        <v>0.20100000000000001</v>
      </c>
      <c r="E21" s="5"/>
      <c r="F21" s="1">
        <f>I21/100</f>
        <v>0.17800000000000002</v>
      </c>
      <c r="G21" s="5"/>
      <c r="H21">
        <v>20.100000000000001</v>
      </c>
      <c r="I21">
        <v>17.8</v>
      </c>
      <c r="R21" s="23"/>
      <c r="S21" s="23"/>
      <c r="T21" s="1">
        <v>151</v>
      </c>
      <c r="U21" s="1">
        <v>6.8</v>
      </c>
      <c r="V21" s="1">
        <f t="shared" si="24"/>
        <v>75</v>
      </c>
      <c r="W21" s="1">
        <f t="shared" si="22"/>
        <v>8.2204444444444434E-3</v>
      </c>
      <c r="X21" s="24"/>
    </row>
    <row r="22" spans="2:24" x14ac:dyDescent="0.35">
      <c r="Q22">
        <v>35.5</v>
      </c>
      <c r="R22" s="21">
        <f t="shared" si="21"/>
        <v>1.8141126721000007E-2</v>
      </c>
      <c r="S22" s="21">
        <f t="shared" ref="S22" si="25">Q25/100</f>
        <v>0.36700000000000005</v>
      </c>
      <c r="T22" s="1">
        <v>51</v>
      </c>
      <c r="U22" s="1">
        <v>2.44</v>
      </c>
      <c r="V22" s="1">
        <f t="shared" si="24"/>
        <v>25</v>
      </c>
      <c r="W22" s="1">
        <f t="shared" si="22"/>
        <v>9.5257599999999977E-3</v>
      </c>
      <c r="X22" s="24">
        <f t="shared" si="23"/>
        <v>9.5257599999999994E-3</v>
      </c>
    </row>
    <row r="23" spans="2:24" x14ac:dyDescent="0.35">
      <c r="R23" s="22"/>
      <c r="S23" s="22"/>
      <c r="T23" s="1">
        <v>101</v>
      </c>
      <c r="U23" s="1">
        <v>4.88</v>
      </c>
      <c r="V23" s="1">
        <f t="shared" si="24"/>
        <v>50</v>
      </c>
      <c r="W23" s="1">
        <f t="shared" si="22"/>
        <v>9.5257599999999977E-3</v>
      </c>
      <c r="X23" s="24"/>
    </row>
    <row r="24" spans="2:24" x14ac:dyDescent="0.35">
      <c r="B24" s="6" t="s">
        <v>12</v>
      </c>
      <c r="C24" s="1"/>
      <c r="R24" s="23"/>
      <c r="S24" s="23"/>
      <c r="T24" s="1">
        <v>151</v>
      </c>
      <c r="U24" s="1">
        <v>7.32</v>
      </c>
      <c r="V24" s="1">
        <f t="shared" si="24"/>
        <v>75</v>
      </c>
      <c r="W24" s="1">
        <f t="shared" si="22"/>
        <v>9.5257600000000012E-3</v>
      </c>
      <c r="X24" s="24"/>
    </row>
    <row r="25" spans="2:24" x14ac:dyDescent="0.35">
      <c r="Q25">
        <v>36.700000000000003</v>
      </c>
      <c r="R25" s="21">
        <f t="shared" si="21"/>
        <v>2.0632736880999997E-2</v>
      </c>
      <c r="S25" s="21">
        <f t="shared" ref="S25" si="26">Q28/100</f>
        <v>0.379</v>
      </c>
      <c r="T25" s="1">
        <v>51</v>
      </c>
      <c r="U25" s="1">
        <v>2.59</v>
      </c>
      <c r="V25" s="1">
        <f t="shared" si="24"/>
        <v>25</v>
      </c>
      <c r="W25" s="1">
        <f t="shared" si="22"/>
        <v>1.073296E-2</v>
      </c>
      <c r="X25" s="24">
        <f t="shared" si="23"/>
        <v>1.073296E-2</v>
      </c>
    </row>
    <row r="26" spans="2:24" x14ac:dyDescent="0.35">
      <c r="B26" s="6" t="s">
        <v>13</v>
      </c>
      <c r="C26" s="1">
        <v>105.3</v>
      </c>
      <c r="R26" s="22"/>
      <c r="S26" s="22"/>
      <c r="T26" s="1">
        <v>101</v>
      </c>
      <c r="U26" s="1">
        <v>5.18</v>
      </c>
      <c r="V26" s="1">
        <f t="shared" si="24"/>
        <v>50</v>
      </c>
      <c r="W26" s="1">
        <f t="shared" si="22"/>
        <v>1.073296E-2</v>
      </c>
      <c r="X26" s="24"/>
    </row>
    <row r="27" spans="2:24" x14ac:dyDescent="0.35">
      <c r="R27" s="23"/>
      <c r="S27" s="23"/>
      <c r="T27" s="1">
        <v>151</v>
      </c>
      <c r="U27" s="1">
        <v>7.77</v>
      </c>
      <c r="V27" s="1">
        <f t="shared" si="24"/>
        <v>75</v>
      </c>
      <c r="W27" s="1">
        <f t="shared" si="22"/>
        <v>1.073296E-2</v>
      </c>
      <c r="X27" s="24"/>
    </row>
    <row r="28" spans="2:24" x14ac:dyDescent="0.35">
      <c r="Q28">
        <v>37.9</v>
      </c>
      <c r="R28" s="21">
        <f t="shared" si="21"/>
        <v>2.4591257856000002E-2</v>
      </c>
      <c r="S28" s="21">
        <f t="shared" ref="S28" si="27">Q31/100</f>
        <v>0.39600000000000002</v>
      </c>
      <c r="T28" s="1">
        <v>51</v>
      </c>
      <c r="U28" s="1">
        <v>2.85</v>
      </c>
      <c r="V28" s="1">
        <f t="shared" si="24"/>
        <v>25</v>
      </c>
      <c r="W28" s="1">
        <f t="shared" si="22"/>
        <v>1.2996000000000001E-2</v>
      </c>
      <c r="X28" s="24">
        <f t="shared" si="23"/>
        <v>1.2346810370370371E-2</v>
      </c>
    </row>
    <row r="29" spans="2:24" x14ac:dyDescent="0.35">
      <c r="R29" s="22"/>
      <c r="S29" s="22"/>
      <c r="T29" s="1">
        <v>101</v>
      </c>
      <c r="U29" s="1">
        <v>5.27</v>
      </c>
      <c r="V29" s="1">
        <f t="shared" si="24"/>
        <v>50</v>
      </c>
      <c r="W29" s="1">
        <f t="shared" si="22"/>
        <v>1.1109159999999998E-2</v>
      </c>
      <c r="X29" s="24"/>
    </row>
    <row r="30" spans="2:24" x14ac:dyDescent="0.35">
      <c r="R30" s="23"/>
      <c r="S30" s="23"/>
      <c r="T30" s="1">
        <v>151</v>
      </c>
      <c r="U30" s="1">
        <v>8.5299999999999994</v>
      </c>
      <c r="V30" s="1">
        <f t="shared" si="24"/>
        <v>75</v>
      </c>
      <c r="W30" s="1">
        <f t="shared" si="22"/>
        <v>1.293527111111111E-2</v>
      </c>
      <c r="X30" s="24"/>
    </row>
    <row r="31" spans="2:24" x14ac:dyDescent="0.35">
      <c r="Q31">
        <v>39.6</v>
      </c>
      <c r="R31" s="7"/>
      <c r="S31" s="7"/>
      <c r="X31" s="7"/>
    </row>
    <row r="32" spans="2:24" x14ac:dyDescent="0.35">
      <c r="R32" s="7"/>
      <c r="S32" s="7"/>
      <c r="X32" s="7"/>
    </row>
    <row r="35" spans="14:20" x14ac:dyDescent="0.35">
      <c r="S35" s="1" t="s">
        <v>12</v>
      </c>
      <c r="T35" s="1">
        <v>0.48559999999999998</v>
      </c>
    </row>
    <row r="36" spans="14:20" x14ac:dyDescent="0.35">
      <c r="S36" s="1" t="s">
        <v>40</v>
      </c>
      <c r="T36" s="1">
        <f>Q41/Q42</f>
        <v>5927.6963836921868</v>
      </c>
    </row>
    <row r="38" spans="14:20" x14ac:dyDescent="0.35">
      <c r="S38" s="1" t="s">
        <v>44</v>
      </c>
      <c r="T38" s="1">
        <f>(5.029*PI()^2*T36)/(Q44^2 * T35)</f>
        <v>116551793259.93544</v>
      </c>
    </row>
    <row r="41" spans="14:20" x14ac:dyDescent="0.35">
      <c r="N41">
        <v>21.6</v>
      </c>
      <c r="O41">
        <v>0.1</v>
      </c>
      <c r="P41" s="1" t="s">
        <v>41</v>
      </c>
      <c r="Q41" s="1">
        <f>N41/1000</f>
        <v>2.1600000000000001E-2</v>
      </c>
    </row>
    <row r="42" spans="14:20" x14ac:dyDescent="0.35">
      <c r="P42" s="1" t="s">
        <v>42</v>
      </c>
      <c r="Q42" s="1">
        <f>Q43*PI()*((Q44/2)^2)</f>
        <v>3.6439113277502248E-6</v>
      </c>
    </row>
    <row r="43" spans="14:20" x14ac:dyDescent="0.35">
      <c r="N43">
        <v>89.25</v>
      </c>
      <c r="P43" s="1" t="s">
        <v>13</v>
      </c>
      <c r="Q43" s="1">
        <f>N43/100</f>
        <v>0.89249999999999996</v>
      </c>
    </row>
    <row r="44" spans="14:20" x14ac:dyDescent="0.35">
      <c r="N44">
        <v>0.22800000000000001</v>
      </c>
      <c r="P44" s="1" t="s">
        <v>43</v>
      </c>
      <c r="Q44" s="1">
        <f>N44/100</f>
        <v>2.2799999999999999E-3</v>
      </c>
    </row>
  </sheetData>
  <mergeCells count="47">
    <mergeCell ref="E13:E15"/>
    <mergeCell ref="G13:G15"/>
    <mergeCell ref="B4:B6"/>
    <mergeCell ref="C4:C6"/>
    <mergeCell ref="B7:B9"/>
    <mergeCell ref="C7:C9"/>
    <mergeCell ref="B10:B12"/>
    <mergeCell ref="C10:C12"/>
    <mergeCell ref="B13:B15"/>
    <mergeCell ref="C13:C15"/>
    <mergeCell ref="G4:G6"/>
    <mergeCell ref="G7:G9"/>
    <mergeCell ref="G10:G12"/>
    <mergeCell ref="E4:E6"/>
    <mergeCell ref="E7:E9"/>
    <mergeCell ref="E10:E12"/>
    <mergeCell ref="X4:X6"/>
    <mergeCell ref="X7:X9"/>
    <mergeCell ref="X10:X12"/>
    <mergeCell ref="R13:R15"/>
    <mergeCell ref="S13:S15"/>
    <mergeCell ref="X13:X15"/>
    <mergeCell ref="S4:S6"/>
    <mergeCell ref="S7:S9"/>
    <mergeCell ref="S10:S12"/>
    <mergeCell ref="R4:R6"/>
    <mergeCell ref="R7:R9"/>
    <mergeCell ref="R10:R12"/>
    <mergeCell ref="S16:S18"/>
    <mergeCell ref="X16:X18"/>
    <mergeCell ref="R19:R21"/>
    <mergeCell ref="S19:S21"/>
    <mergeCell ref="X19:X21"/>
    <mergeCell ref="S28:S30"/>
    <mergeCell ref="X28:X30"/>
    <mergeCell ref="R22:R24"/>
    <mergeCell ref="S22:S24"/>
    <mergeCell ref="X22:X24"/>
    <mergeCell ref="R25:R27"/>
    <mergeCell ref="S25:S27"/>
    <mergeCell ref="X25:X27"/>
    <mergeCell ref="H4:H6"/>
    <mergeCell ref="H7:H9"/>
    <mergeCell ref="H10:H12"/>
    <mergeCell ref="H13:H15"/>
    <mergeCell ref="R28:R30"/>
    <mergeCell ref="R16:R1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189D058F38744E8B2324CA3F0CA1AE" ma:contentTypeVersion="8" ma:contentTypeDescription="Criar um novo documento." ma:contentTypeScope="" ma:versionID="a95064a3feed0cc189675c7809dd0261">
  <xsd:schema xmlns:xsd="http://www.w3.org/2001/XMLSchema" xmlns:xs="http://www.w3.org/2001/XMLSchema" xmlns:p="http://schemas.microsoft.com/office/2006/metadata/properties" xmlns:ns3="e9ed2acc-c12c-4e3a-ad49-e464c64d31c4" xmlns:ns4="aa6216f6-7e11-49e5-97e9-a77bc0eadbc2" targetNamespace="http://schemas.microsoft.com/office/2006/metadata/properties" ma:root="true" ma:fieldsID="a13967d287f82ce33f7b371e42a7c31e" ns3:_="" ns4:_="">
    <xsd:import namespace="e9ed2acc-c12c-4e3a-ad49-e464c64d31c4"/>
    <xsd:import namespace="aa6216f6-7e11-49e5-97e9-a77bc0eadb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d2acc-c12c-4e3a-ad49-e464c64d3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16f6-7e11-49e5-97e9-a77bc0ead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ed2acc-c12c-4e3a-ad49-e464c64d31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7C2DD-5B3D-4AEF-A34E-5FBBB702E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d2acc-c12c-4e3a-ad49-e464c64d31c4"/>
    <ds:schemaRef ds:uri="aa6216f6-7e11-49e5-97e9-a77bc0ead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3AA438-AE0F-4DC8-8B13-BBEC1D7DF996}">
  <ds:schemaRefs>
    <ds:schemaRef ds:uri="e9ed2acc-c12c-4e3a-ad49-e464c64d31c4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a6216f6-7e11-49e5-97e9-a77bc0eadbc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5EE62CA-F088-4AC0-98FF-9689FB3D1B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Cabo Coaxial 1</vt:lpstr>
      <vt:lpstr>Cabo Coaxial 2</vt:lpstr>
      <vt:lpstr>Pêndulo de torção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Oliveira Monteiro</dc:creator>
  <cp:lastModifiedBy>Tomás Gonçalves</cp:lastModifiedBy>
  <dcterms:created xsi:type="dcterms:W3CDTF">2024-04-28T22:24:22Z</dcterms:created>
  <dcterms:modified xsi:type="dcterms:W3CDTF">2024-05-10T08:31:38Z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0x010100DB189D058F38744E8B2324CA3F0CA1AE</vt:lpwstr>
  </property>
</Properties>
</file>