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D:\Users\trade.sec\Desktop\"/>
    </mc:Choice>
  </mc:AlternateContent>
  <xr:revisionPtr revIDLastSave="0" documentId="13_ncr:1_{FEC28F60-5E74-43F0-A643-9376359E723B}" xr6:coauthVersionLast="47" xr6:coauthVersionMax="47" xr10:uidLastSave="{00000000-0000-0000-0000-000000000000}"/>
  <bookViews>
    <workbookView xWindow="-120" yWindow="-120" windowWidth="29040" windowHeight="15720" activeTab="1" xr2:uid="{00000000-000D-0000-FFFF-FFFF00000000}"/>
  </bookViews>
  <sheets>
    <sheet name="Sheet 1" sheetId="2" r:id="rId1"/>
    <sheet name="工作表1"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74" i="2" l="1"/>
  <c r="O477" i="2"/>
  <c r="P276" i="2"/>
  <c r="Q254" i="2"/>
  <c r="J363" i="2"/>
  <c r="Q45" i="2"/>
  <c r="O274" i="2"/>
  <c r="O45" i="2"/>
  <c r="E477" i="2"/>
  <c r="E358" i="2"/>
  <c r="G216" i="2"/>
  <c r="D254" i="2"/>
  <c r="Q216" i="2"/>
  <c r="M363" i="2"/>
  <c r="D477" i="2"/>
  <c r="I274" i="2"/>
  <c r="M384" i="2"/>
  <c r="I216" i="2"/>
  <c r="H454" i="2"/>
  <c r="H254" i="2"/>
  <c r="E254" i="2"/>
  <c r="P45" i="2"/>
  <c r="O276" i="2"/>
  <c r="H477" i="2"/>
  <c r="P363" i="2"/>
  <c r="D358" i="2"/>
  <c r="N477" i="2"/>
  <c r="G274" i="2"/>
  <c r="C358" i="2"/>
  <c r="G45" i="2"/>
  <c r="J276" i="2"/>
  <c r="I454" i="2"/>
  <c r="H274" i="2"/>
  <c r="Q358" i="2"/>
  <c r="N274" i="2"/>
  <c r="C454" i="2"/>
  <c r="P274" i="2"/>
  <c r="L274" i="2"/>
  <c r="R274" i="2"/>
  <c r="G454" i="2"/>
  <c r="F363" i="2"/>
  <c r="K477" i="2"/>
  <c r="L45" i="2"/>
  <c r="E384" i="2"/>
  <c r="P454" i="2"/>
  <c r="Q384" i="2"/>
  <c r="P254" i="2"/>
  <c r="J454" i="2"/>
  <c r="K254" i="2"/>
  <c r="L358" i="2"/>
  <c r="H363" i="2"/>
  <c r="L363" i="2"/>
  <c r="G384" i="2"/>
  <c r="F45" i="2"/>
  <c r="L254" i="2"/>
  <c r="K358" i="2"/>
  <c r="C276" i="2"/>
  <c r="C274" i="2"/>
  <c r="G363" i="2"/>
  <c r="F384" i="2"/>
  <c r="G358" i="2"/>
  <c r="R254" i="2"/>
  <c r="H216" i="2"/>
  <c r="M45" i="2"/>
  <c r="P477" i="2"/>
  <c r="K363" i="2"/>
  <c r="K454" i="2"/>
  <c r="F274" i="2"/>
  <c r="J45" i="2"/>
  <c r="K276" i="2"/>
  <c r="D363" i="2"/>
  <c r="J254" i="2"/>
  <c r="K274" i="2"/>
  <c r="P384" i="2"/>
  <c r="N363" i="2"/>
  <c r="E454" i="2"/>
  <c r="J216" i="2"/>
  <c r="D216" i="2"/>
  <c r="E45" i="2"/>
  <c r="Q274" i="2"/>
  <c r="I45" i="2"/>
  <c r="E276" i="2"/>
  <c r="E216" i="2"/>
  <c r="F477" i="2"/>
  <c r="R363" i="2"/>
  <c r="D454" i="2"/>
  <c r="O216" i="2"/>
  <c r="D274" i="2"/>
  <c r="D276" i="2"/>
  <c r="Q276" i="2"/>
  <c r="R384" i="2"/>
  <c r="Q477" i="2"/>
  <c r="J358" i="2"/>
  <c r="N216" i="2"/>
  <c r="K45" i="2"/>
  <c r="O254" i="2"/>
  <c r="C254" i="2"/>
  <c r="H358" i="2"/>
  <c r="N358" i="2"/>
  <c r="C216" i="2"/>
  <c r="J477" i="2"/>
  <c r="L477" i="2"/>
  <c r="D384" i="2"/>
  <c r="R454" i="2"/>
  <c r="F276" i="2"/>
  <c r="R45" i="2"/>
  <c r="F454" i="2"/>
  <c r="N45" i="2"/>
  <c r="I477" i="2"/>
  <c r="R276" i="2"/>
  <c r="Q454" i="2"/>
  <c r="G276" i="2"/>
  <c r="K384" i="2"/>
  <c r="Q363" i="2"/>
  <c r="C384" i="2"/>
  <c r="C477" i="2"/>
  <c r="L276" i="2"/>
  <c r="K216" i="2"/>
  <c r="L384" i="2"/>
  <c r="P216" i="2"/>
  <c r="M454" i="2"/>
  <c r="L216" i="2"/>
  <c r="N384" i="2"/>
  <c r="H384" i="2"/>
  <c r="R358" i="2"/>
  <c r="I254" i="2"/>
  <c r="P358" i="2"/>
  <c r="G254" i="2"/>
  <c r="O454" i="2"/>
  <c r="H45" i="2"/>
  <c r="R477" i="2"/>
  <c r="H276" i="2"/>
  <c r="D45" i="2"/>
  <c r="M216" i="2"/>
  <c r="I384" i="2"/>
  <c r="N454" i="2"/>
  <c r="O358" i="2"/>
  <c r="E274" i="2"/>
  <c r="I363" i="2"/>
  <c r="I276" i="2"/>
  <c r="F358" i="2"/>
  <c r="N276" i="2"/>
  <c r="O384" i="2"/>
  <c r="C363" i="2"/>
  <c r="I358" i="2"/>
  <c r="E363" i="2"/>
  <c r="F254" i="2"/>
  <c r="G477" i="2"/>
  <c r="R216" i="2"/>
  <c r="M254" i="2"/>
  <c r="F216" i="2"/>
  <c r="M477" i="2"/>
  <c r="N254" i="2"/>
  <c r="J384" i="2"/>
  <c r="C45" i="2"/>
  <c r="J274" i="2"/>
  <c r="O363" i="2"/>
  <c r="M276" i="2"/>
  <c r="M358" i="2"/>
  <c r="L454" i="2"/>
  <c r="F62" i="2"/>
  <c r="Q337" i="2"/>
  <c r="K277" i="2"/>
  <c r="F393" i="2"/>
  <c r="J91" i="2"/>
  <c r="R277" i="2"/>
  <c r="R393" i="2"/>
  <c r="N393" i="2"/>
  <c r="G91" i="2"/>
  <c r="E338" i="2"/>
  <c r="N186" i="2"/>
  <c r="I189" i="2"/>
  <c r="P393" i="2"/>
  <c r="D12" i="2"/>
  <c r="N12" i="2"/>
  <c r="K12" i="2"/>
  <c r="E12" i="2"/>
  <c r="C338" i="2"/>
  <c r="R186" i="2"/>
  <c r="G38" i="2"/>
  <c r="I186" i="2"/>
  <c r="F277" i="2"/>
  <c r="P189" i="2"/>
  <c r="H12" i="2"/>
  <c r="C189" i="2"/>
  <c r="G189" i="2"/>
  <c r="M338" i="2"/>
  <c r="L338" i="2"/>
  <c r="L91" i="2"/>
  <c r="I277" i="2"/>
  <c r="H393" i="2"/>
  <c r="O337" i="2"/>
  <c r="K91" i="2"/>
  <c r="N337" i="2"/>
  <c r="O62" i="2"/>
  <c r="O338" i="2"/>
  <c r="K393" i="2"/>
  <c r="I337" i="2"/>
  <c r="C38" i="2"/>
  <c r="G393" i="2"/>
  <c r="J337" i="2"/>
  <c r="J393" i="2"/>
  <c r="M277" i="2"/>
  <c r="Q186" i="2"/>
  <c r="R91" i="2"/>
  <c r="P186" i="2"/>
  <c r="C12" i="2"/>
  <c r="D38" i="2"/>
  <c r="D277" i="2"/>
  <c r="I338" i="2"/>
  <c r="L12" i="2"/>
  <c r="P62" i="2"/>
  <c r="J62" i="2"/>
  <c r="E277" i="2"/>
  <c r="D338" i="2"/>
  <c r="L189" i="2"/>
  <c r="M12" i="2"/>
  <c r="P38" i="2"/>
  <c r="H337" i="2"/>
  <c r="Q338" i="2"/>
  <c r="C91" i="2"/>
  <c r="G338" i="2"/>
  <c r="M189" i="2"/>
  <c r="D91" i="2"/>
  <c r="K338" i="2"/>
  <c r="I12" i="2"/>
  <c r="D186" i="2"/>
  <c r="P91" i="2"/>
  <c r="J277" i="2"/>
  <c r="C337" i="2"/>
  <c r="I393" i="2"/>
  <c r="N189" i="2"/>
  <c r="K62" i="2"/>
  <c r="L337" i="2"/>
  <c r="R338" i="2"/>
  <c r="L186" i="2"/>
  <c r="K189" i="2"/>
  <c r="Q393" i="2"/>
  <c r="M393" i="2"/>
  <c r="L393" i="2"/>
  <c r="E91" i="2"/>
  <c r="N62" i="2"/>
  <c r="H189" i="2"/>
  <c r="D337" i="2"/>
  <c r="E186" i="2"/>
  <c r="K38" i="2"/>
  <c r="M186" i="2"/>
  <c r="H277" i="2"/>
  <c r="L38" i="2"/>
  <c r="M38" i="2"/>
  <c r="G337" i="2"/>
  <c r="F91" i="2"/>
  <c r="D393" i="2"/>
  <c r="H338" i="2"/>
  <c r="L277" i="2"/>
  <c r="F189" i="2"/>
  <c r="O277" i="2"/>
  <c r="R189" i="2"/>
  <c r="M337" i="2"/>
  <c r="O12" i="2"/>
  <c r="H91" i="2"/>
  <c r="N277" i="2"/>
  <c r="M62" i="2"/>
  <c r="N38" i="2"/>
  <c r="P277" i="2"/>
  <c r="R12" i="2"/>
  <c r="I91" i="2"/>
  <c r="F38" i="2"/>
  <c r="D62" i="2"/>
  <c r="E337" i="2"/>
  <c r="H38" i="2"/>
  <c r="G186" i="2"/>
  <c r="G12" i="2"/>
  <c r="F337" i="2"/>
  <c r="H186" i="2"/>
  <c r="G62" i="2"/>
  <c r="J38" i="2"/>
  <c r="R62" i="2"/>
  <c r="Q12" i="2"/>
  <c r="O189" i="2"/>
  <c r="L62" i="2"/>
  <c r="N91" i="2"/>
  <c r="P12" i="2"/>
  <c r="O186" i="2"/>
  <c r="Q277" i="2"/>
  <c r="E189" i="2"/>
  <c r="O38" i="2"/>
  <c r="F12" i="2"/>
  <c r="D189" i="2"/>
  <c r="R337" i="2"/>
  <c r="Q38" i="2"/>
  <c r="J338" i="2"/>
  <c r="J189" i="2"/>
  <c r="K186" i="2"/>
  <c r="K337" i="2"/>
  <c r="R38" i="2"/>
  <c r="P338" i="2"/>
  <c r="J186" i="2"/>
  <c r="C393" i="2"/>
  <c r="Q91" i="2"/>
  <c r="F186" i="2"/>
  <c r="I62" i="2"/>
  <c r="C62" i="2"/>
  <c r="E393" i="2"/>
  <c r="H62" i="2"/>
  <c r="N338" i="2"/>
  <c r="M91" i="2"/>
  <c r="E38" i="2"/>
  <c r="F338" i="2"/>
  <c r="Q62" i="2"/>
  <c r="C277" i="2"/>
  <c r="G277" i="2"/>
  <c r="O393" i="2"/>
  <c r="O91" i="2"/>
  <c r="P337" i="2"/>
  <c r="I38" i="2"/>
  <c r="C186" i="2"/>
  <c r="E62" i="2"/>
  <c r="Q189" i="2"/>
  <c r="J12" i="2"/>
  <c r="G436" i="2"/>
  <c r="P302" i="2"/>
  <c r="D94" i="2"/>
  <c r="I328" i="2"/>
  <c r="E267" i="2"/>
  <c r="G478" i="2"/>
  <c r="L328" i="2"/>
  <c r="R478" i="2"/>
  <c r="H302" i="2"/>
  <c r="C267" i="2"/>
  <c r="C328" i="2"/>
  <c r="G209" i="2"/>
  <c r="P131" i="2"/>
  <c r="E328" i="2"/>
  <c r="C302" i="2"/>
  <c r="M131" i="2"/>
  <c r="G302" i="2"/>
  <c r="K370" i="2"/>
  <c r="C478" i="2"/>
  <c r="E94" i="2"/>
  <c r="C436" i="2"/>
  <c r="D267" i="2"/>
  <c r="F436" i="2"/>
  <c r="I94" i="2"/>
  <c r="F328" i="2"/>
  <c r="J466" i="2"/>
  <c r="M466" i="2"/>
  <c r="H370" i="2"/>
  <c r="I209" i="2"/>
  <c r="R466" i="2"/>
  <c r="J370" i="2"/>
  <c r="N328" i="2"/>
  <c r="D370" i="2"/>
  <c r="N302" i="2"/>
  <c r="L466" i="2"/>
  <c r="J267" i="2"/>
  <c r="D466" i="2"/>
  <c r="K328" i="2"/>
  <c r="L478" i="2"/>
  <c r="R436" i="2"/>
  <c r="K436" i="2"/>
  <c r="N436" i="2"/>
  <c r="F131" i="2"/>
  <c r="H328" i="2"/>
  <c r="E478" i="2"/>
  <c r="E302" i="2"/>
  <c r="O209" i="2"/>
  <c r="I478" i="2"/>
  <c r="M267" i="2"/>
  <c r="J478" i="2"/>
  <c r="N267" i="2"/>
  <c r="P267" i="2"/>
  <c r="M94" i="2"/>
  <c r="P478" i="2"/>
  <c r="D436" i="2"/>
  <c r="Q267" i="2"/>
  <c r="K466" i="2"/>
  <c r="Q94" i="2"/>
  <c r="Q478" i="2"/>
  <c r="P209" i="2"/>
  <c r="F370" i="2"/>
  <c r="K302" i="2"/>
  <c r="M370" i="2"/>
  <c r="Q328" i="2"/>
  <c r="G328" i="2"/>
  <c r="M328" i="2"/>
  <c r="Q302" i="2"/>
  <c r="Q370" i="2"/>
  <c r="H131" i="2"/>
  <c r="J209" i="2"/>
  <c r="C466" i="2"/>
  <c r="F302" i="2"/>
  <c r="G94" i="2"/>
  <c r="F478" i="2"/>
  <c r="P466" i="2"/>
  <c r="H436" i="2"/>
  <c r="N370" i="2"/>
  <c r="D328" i="2"/>
  <c r="D209" i="2"/>
  <c r="L370" i="2"/>
  <c r="N466" i="2"/>
  <c r="O436" i="2"/>
  <c r="J94" i="2"/>
  <c r="I370" i="2"/>
  <c r="I302" i="2"/>
  <c r="L267" i="2"/>
  <c r="E209" i="2"/>
  <c r="P328" i="2"/>
  <c r="P370" i="2"/>
  <c r="H267" i="2"/>
  <c r="N131" i="2"/>
  <c r="I267" i="2"/>
  <c r="H478" i="2"/>
  <c r="O267" i="2"/>
  <c r="I131" i="2"/>
  <c r="M478" i="2"/>
  <c r="K267" i="2"/>
  <c r="L209" i="2"/>
  <c r="F466" i="2"/>
  <c r="D302" i="2"/>
  <c r="C370" i="2"/>
  <c r="N94" i="2"/>
  <c r="O370" i="2"/>
  <c r="H209" i="2"/>
  <c r="Q131" i="2"/>
  <c r="C131" i="2"/>
  <c r="E370" i="2"/>
  <c r="R267" i="2"/>
  <c r="D131" i="2"/>
  <c r="N478" i="2"/>
  <c r="I436" i="2"/>
  <c r="O478" i="2"/>
  <c r="M209" i="2"/>
  <c r="G370" i="2"/>
  <c r="G466" i="2"/>
  <c r="K131" i="2"/>
  <c r="F267" i="2"/>
  <c r="L302" i="2"/>
  <c r="J302" i="2"/>
  <c r="K209" i="2"/>
  <c r="J328" i="2"/>
  <c r="C209" i="2"/>
  <c r="Q466" i="2"/>
  <c r="R209" i="2"/>
  <c r="F209" i="2"/>
  <c r="J131" i="2"/>
  <c r="R131" i="2"/>
  <c r="R302" i="2"/>
  <c r="L131" i="2"/>
  <c r="J436" i="2"/>
  <c r="L436" i="2"/>
  <c r="H466" i="2"/>
  <c r="M436" i="2"/>
  <c r="R94" i="2"/>
  <c r="Q209" i="2"/>
  <c r="L94" i="2"/>
  <c r="K94" i="2"/>
  <c r="O94" i="2"/>
  <c r="E466" i="2"/>
  <c r="M302" i="2"/>
  <c r="H94" i="2"/>
  <c r="Q436" i="2"/>
  <c r="G131" i="2"/>
  <c r="P94" i="2"/>
  <c r="C94" i="2"/>
  <c r="O466" i="2"/>
  <c r="E436" i="2"/>
  <c r="R328" i="2"/>
  <c r="E131" i="2"/>
  <c r="I466" i="2"/>
  <c r="O302" i="2"/>
  <c r="O131" i="2"/>
  <c r="O328" i="2"/>
  <c r="N209" i="2"/>
  <c r="K478" i="2"/>
  <c r="D478" i="2"/>
  <c r="G267" i="2"/>
  <c r="R370" i="2"/>
  <c r="P436" i="2"/>
  <c r="F94" i="2"/>
  <c r="M83" i="2"/>
  <c r="I411" i="2"/>
  <c r="R208" i="2"/>
  <c r="Q269" i="2"/>
  <c r="E83" i="2"/>
  <c r="G83" i="2"/>
  <c r="G194" i="2"/>
  <c r="F221" i="2"/>
  <c r="I73" i="2"/>
  <c r="D375" i="2"/>
  <c r="J208" i="2"/>
  <c r="D269" i="2"/>
  <c r="M221" i="2"/>
  <c r="F460" i="2"/>
  <c r="E411" i="2"/>
  <c r="C411" i="2"/>
  <c r="Q208" i="2"/>
  <c r="O83" i="2"/>
  <c r="E269" i="2"/>
  <c r="K269" i="2"/>
  <c r="H221" i="2"/>
  <c r="H411" i="2"/>
  <c r="F375" i="2"/>
  <c r="N83" i="2"/>
  <c r="O73" i="2"/>
  <c r="N460" i="2"/>
  <c r="P411" i="2"/>
  <c r="C269" i="2"/>
  <c r="D221" i="2"/>
  <c r="J194" i="2"/>
  <c r="L208" i="2"/>
  <c r="N269" i="2"/>
  <c r="I194" i="2"/>
  <c r="N411" i="2"/>
  <c r="H269" i="2"/>
  <c r="M208" i="2"/>
  <c r="P83" i="2"/>
  <c r="I269" i="2"/>
  <c r="C221" i="2"/>
  <c r="R269" i="2"/>
  <c r="Q221" i="2"/>
  <c r="D83" i="2"/>
  <c r="K375" i="2"/>
  <c r="J460" i="2"/>
  <c r="D411" i="2"/>
  <c r="D430" i="2"/>
  <c r="O208" i="2"/>
  <c r="N73" i="2"/>
  <c r="R430" i="2"/>
  <c r="K194" i="2"/>
  <c r="J73" i="2"/>
  <c r="M375" i="2"/>
  <c r="G411" i="2"/>
  <c r="M460" i="2"/>
  <c r="O460" i="2"/>
  <c r="F83" i="2"/>
  <c r="C208" i="2"/>
  <c r="R460" i="2"/>
  <c r="O194" i="2"/>
  <c r="Q460" i="2"/>
  <c r="R375" i="2"/>
  <c r="C375" i="2"/>
  <c r="C83" i="2"/>
  <c r="R83" i="2"/>
  <c r="J411" i="2"/>
  <c r="H375" i="2"/>
  <c r="O375" i="2"/>
  <c r="K430" i="2"/>
  <c r="D208" i="2"/>
  <c r="L221" i="2"/>
  <c r="N194" i="2"/>
  <c r="J375" i="2"/>
  <c r="Q194" i="2"/>
  <c r="L269" i="2"/>
  <c r="L375" i="2"/>
  <c r="F208" i="2"/>
  <c r="Q83" i="2"/>
  <c r="D460" i="2"/>
  <c r="K73" i="2"/>
  <c r="N430" i="2"/>
  <c r="F269" i="2"/>
  <c r="N208" i="2"/>
  <c r="F430" i="2"/>
  <c r="I208" i="2"/>
  <c r="H73" i="2"/>
  <c r="R411" i="2"/>
  <c r="P460" i="2"/>
  <c r="G430" i="2"/>
  <c r="P430" i="2"/>
  <c r="R221" i="2"/>
  <c r="M430" i="2"/>
  <c r="O411" i="2"/>
  <c r="L83" i="2"/>
  <c r="C73" i="2"/>
  <c r="P73" i="2"/>
  <c r="Q430" i="2"/>
  <c r="I460" i="2"/>
  <c r="K221" i="2"/>
  <c r="F194" i="2"/>
  <c r="O269" i="2"/>
  <c r="I430" i="2"/>
  <c r="F411" i="2"/>
  <c r="M73" i="2"/>
  <c r="L430" i="2"/>
  <c r="N221" i="2"/>
  <c r="P208" i="2"/>
  <c r="K83" i="2"/>
  <c r="K208" i="2"/>
  <c r="E430" i="2"/>
  <c r="G269" i="2"/>
  <c r="G460" i="2"/>
  <c r="C194" i="2"/>
  <c r="G73" i="2"/>
  <c r="D73" i="2"/>
  <c r="H83" i="2"/>
  <c r="G208" i="2"/>
  <c r="L460" i="2"/>
  <c r="I221" i="2"/>
  <c r="L194" i="2"/>
  <c r="P194" i="2"/>
  <c r="H460" i="2"/>
  <c r="J221" i="2"/>
  <c r="G375" i="2"/>
  <c r="C430" i="2"/>
  <c r="E194" i="2"/>
  <c r="E221" i="2"/>
  <c r="L411" i="2"/>
  <c r="H208" i="2"/>
  <c r="L73" i="2"/>
  <c r="M194" i="2"/>
  <c r="Q73" i="2"/>
  <c r="R73" i="2"/>
  <c r="K411" i="2"/>
  <c r="P221" i="2"/>
  <c r="H194" i="2"/>
  <c r="E73" i="2"/>
  <c r="P375" i="2"/>
  <c r="M269" i="2"/>
  <c r="J430" i="2"/>
  <c r="M411" i="2"/>
  <c r="K460" i="2"/>
  <c r="I83" i="2"/>
  <c r="R194" i="2"/>
  <c r="Q375" i="2"/>
  <c r="P269" i="2"/>
  <c r="N375" i="2"/>
  <c r="E375" i="2"/>
  <c r="E460" i="2"/>
  <c r="O221" i="2"/>
  <c r="O430" i="2"/>
  <c r="J269" i="2"/>
  <c r="J83" i="2"/>
  <c r="F73" i="2"/>
  <c r="I375" i="2"/>
  <c r="H430" i="2"/>
  <c r="C460" i="2"/>
  <c r="D194" i="2"/>
  <c r="Q411" i="2"/>
  <c r="E208" i="2"/>
  <c r="G221" i="2"/>
  <c r="I252" i="2"/>
  <c r="R494" i="2"/>
  <c r="L7" i="2"/>
  <c r="H494" i="2"/>
  <c r="F247" i="2"/>
  <c r="I381" i="2"/>
  <c r="R341" i="2"/>
  <c r="C494" i="2"/>
  <c r="M381" i="2"/>
  <c r="Q296" i="2"/>
  <c r="F421" i="2"/>
  <c r="I152" i="2"/>
  <c r="N494" i="2"/>
  <c r="M247" i="2"/>
  <c r="C341" i="2"/>
  <c r="K494" i="2"/>
  <c r="J381" i="2"/>
  <c r="N381" i="2"/>
  <c r="F494" i="2"/>
  <c r="J152" i="2"/>
  <c r="Q152" i="2"/>
  <c r="J261" i="2"/>
  <c r="M7" i="2"/>
  <c r="D7" i="2"/>
  <c r="M494" i="2"/>
  <c r="G421" i="2"/>
  <c r="E381" i="2"/>
  <c r="F381" i="2"/>
  <c r="Q421" i="2"/>
  <c r="I494" i="2"/>
  <c r="J7" i="2"/>
  <c r="G494" i="2"/>
  <c r="R296" i="2"/>
  <c r="G381" i="2"/>
  <c r="H341" i="2"/>
  <c r="Q252" i="2"/>
  <c r="E252" i="2"/>
  <c r="I341" i="2"/>
  <c r="D381" i="2"/>
  <c r="N152" i="2"/>
  <c r="K421" i="2"/>
  <c r="E494" i="2"/>
  <c r="F152" i="2"/>
  <c r="I7" i="2"/>
  <c r="C381" i="2"/>
  <c r="P341" i="2"/>
  <c r="M341" i="2"/>
  <c r="K7" i="2"/>
  <c r="O381" i="2"/>
  <c r="K247" i="2"/>
  <c r="O247" i="2"/>
  <c r="H152" i="2"/>
  <c r="D252" i="2"/>
  <c r="G261" i="2"/>
  <c r="H296" i="2"/>
  <c r="N247" i="2"/>
  <c r="I421" i="2"/>
  <c r="H381" i="2"/>
  <c r="M252" i="2"/>
  <c r="L252" i="2"/>
  <c r="R261" i="2"/>
  <c r="F296" i="2"/>
  <c r="E247" i="2"/>
  <c r="R381" i="2"/>
  <c r="C247" i="2"/>
  <c r="C252" i="2"/>
  <c r="P247" i="2"/>
  <c r="L421" i="2"/>
  <c r="G296" i="2"/>
  <c r="P296" i="2"/>
  <c r="O494" i="2"/>
  <c r="G152" i="2"/>
  <c r="K341" i="2"/>
  <c r="C296" i="2"/>
  <c r="G7" i="2"/>
  <c r="C261" i="2"/>
  <c r="E421" i="2"/>
  <c r="M152" i="2"/>
  <c r="D261" i="2"/>
  <c r="L341" i="2"/>
  <c r="D296" i="2"/>
  <c r="P7" i="2"/>
  <c r="K252" i="2"/>
  <c r="M296" i="2"/>
  <c r="H252" i="2"/>
  <c r="Q7" i="2"/>
  <c r="P381" i="2"/>
  <c r="E341" i="2"/>
  <c r="O152" i="2"/>
  <c r="J296" i="2"/>
  <c r="R421" i="2"/>
  <c r="Q381" i="2"/>
  <c r="J494" i="2"/>
  <c r="F341" i="2"/>
  <c r="I296" i="2"/>
  <c r="L261" i="2"/>
  <c r="I247" i="2"/>
  <c r="L296" i="2"/>
  <c r="L381" i="2"/>
  <c r="O421" i="2"/>
  <c r="F7" i="2"/>
  <c r="C7" i="2"/>
  <c r="F261" i="2"/>
  <c r="O261" i="2"/>
  <c r="O7" i="2"/>
  <c r="R247" i="2"/>
  <c r="E261" i="2"/>
  <c r="E7" i="2"/>
  <c r="G252" i="2"/>
  <c r="H421" i="2"/>
  <c r="P261" i="2"/>
  <c r="D152" i="2"/>
  <c r="F252" i="2"/>
  <c r="Q341" i="2"/>
  <c r="G341" i="2"/>
  <c r="P152" i="2"/>
  <c r="M421" i="2"/>
  <c r="I261" i="2"/>
  <c r="E152" i="2"/>
  <c r="G247" i="2"/>
  <c r="D247" i="2"/>
  <c r="H7" i="2"/>
  <c r="C421" i="2"/>
  <c r="N261" i="2"/>
  <c r="O296" i="2"/>
  <c r="L494" i="2"/>
  <c r="P252" i="2"/>
  <c r="Q261" i="2"/>
  <c r="Q247" i="2"/>
  <c r="E296" i="2"/>
  <c r="D421" i="2"/>
  <c r="N7" i="2"/>
  <c r="Q494" i="2"/>
  <c r="N252" i="2"/>
  <c r="R252" i="2"/>
  <c r="O252" i="2"/>
  <c r="C152" i="2"/>
  <c r="N296" i="2"/>
  <c r="D341" i="2"/>
  <c r="H247" i="2"/>
  <c r="H261" i="2"/>
  <c r="R152" i="2"/>
  <c r="L152" i="2"/>
  <c r="O341" i="2"/>
  <c r="J247" i="2"/>
  <c r="P494" i="2"/>
  <c r="J341" i="2"/>
  <c r="P421" i="2"/>
  <c r="N421" i="2"/>
  <c r="M261" i="2"/>
  <c r="J252" i="2"/>
  <c r="J421" i="2"/>
  <c r="K381" i="2"/>
  <c r="D494" i="2"/>
  <c r="K261" i="2"/>
  <c r="N341" i="2"/>
  <c r="R7" i="2"/>
  <c r="K152" i="2"/>
  <c r="L247" i="2"/>
  <c r="K296" i="2"/>
  <c r="H6" i="2"/>
  <c r="L60" i="2"/>
  <c r="K60" i="2"/>
  <c r="K24" i="2"/>
  <c r="O268" i="2"/>
  <c r="I60" i="2"/>
  <c r="M434" i="2"/>
  <c r="E24" i="2"/>
  <c r="C268" i="2"/>
  <c r="R142" i="2"/>
  <c r="R60" i="2"/>
  <c r="N268" i="2"/>
  <c r="E60" i="2"/>
  <c r="Q142" i="2"/>
  <c r="P268" i="2"/>
  <c r="H24" i="2"/>
  <c r="L434" i="2"/>
  <c r="G60" i="2"/>
  <c r="J24" i="2"/>
  <c r="C434" i="2"/>
  <c r="I6" i="2"/>
  <c r="N24" i="2"/>
  <c r="G268" i="2"/>
  <c r="E434" i="2"/>
  <c r="D434" i="2"/>
  <c r="Q24" i="2"/>
  <c r="M60" i="2"/>
  <c r="M142" i="2"/>
  <c r="L268" i="2"/>
  <c r="H434" i="2"/>
  <c r="I434" i="2"/>
  <c r="G24" i="2"/>
  <c r="M24" i="2"/>
  <c r="J142" i="2"/>
  <c r="D24" i="2"/>
  <c r="J60" i="2"/>
  <c r="J268" i="2"/>
  <c r="Q434" i="2"/>
  <c r="N60" i="2"/>
  <c r="N434" i="2"/>
  <c r="F24" i="2"/>
  <c r="P6" i="2"/>
  <c r="N6" i="2"/>
  <c r="H60" i="2"/>
  <c r="F6" i="2"/>
  <c r="O142" i="2"/>
  <c r="N142" i="2"/>
  <c r="G142" i="2"/>
  <c r="J434" i="2"/>
  <c r="P24" i="2"/>
  <c r="F434" i="2"/>
  <c r="K6" i="2"/>
  <c r="R6" i="2"/>
  <c r="C24" i="2"/>
  <c r="D142" i="2"/>
  <c r="F142" i="2"/>
  <c r="M268" i="2"/>
  <c r="P60" i="2"/>
  <c r="Q268" i="2"/>
  <c r="F268" i="2"/>
  <c r="E142" i="2"/>
  <c r="J6" i="2"/>
  <c r="L142" i="2"/>
  <c r="I268" i="2"/>
  <c r="H142" i="2"/>
  <c r="O6" i="2"/>
  <c r="M6" i="2"/>
  <c r="O434" i="2"/>
  <c r="D268" i="2"/>
  <c r="I24" i="2"/>
  <c r="D6" i="2"/>
  <c r="P142" i="2"/>
  <c r="Q60" i="2"/>
  <c r="G6" i="2"/>
  <c r="R268" i="2"/>
  <c r="E6" i="2"/>
  <c r="D60" i="2"/>
  <c r="P434" i="2"/>
  <c r="L6" i="2"/>
  <c r="O24" i="2"/>
  <c r="L24" i="2"/>
  <c r="K142" i="2"/>
  <c r="C6" i="2"/>
  <c r="K434" i="2"/>
  <c r="C60" i="2"/>
  <c r="H268" i="2"/>
  <c r="K268" i="2"/>
  <c r="R24" i="2"/>
  <c r="E268" i="2"/>
  <c r="I142" i="2"/>
  <c r="G434" i="2"/>
  <c r="O60" i="2"/>
  <c r="C142" i="2"/>
  <c r="Q6" i="2"/>
  <c r="R434" i="2"/>
  <c r="F60" i="2"/>
  <c r="R486" i="2"/>
  <c r="H410" i="2"/>
  <c r="F116" i="2"/>
  <c r="R239" i="2"/>
  <c r="J239" i="2"/>
  <c r="C322" i="2"/>
  <c r="J486" i="2"/>
  <c r="N486" i="2"/>
  <c r="L486" i="2"/>
  <c r="E424" i="2"/>
  <c r="F410" i="2"/>
  <c r="K239" i="2"/>
  <c r="H84" i="2"/>
  <c r="C116" i="2"/>
  <c r="Q424" i="2"/>
  <c r="G239" i="2"/>
  <c r="N84" i="2"/>
  <c r="C424" i="2"/>
  <c r="N124" i="2"/>
  <c r="I322" i="2"/>
  <c r="Q178" i="2"/>
  <c r="E486" i="2"/>
  <c r="M486" i="2"/>
  <c r="F486" i="2"/>
  <c r="E178" i="2"/>
  <c r="Q410" i="2"/>
  <c r="P322" i="2"/>
  <c r="I116" i="2"/>
  <c r="P486" i="2"/>
  <c r="M124" i="2"/>
  <c r="R124" i="2"/>
  <c r="I84" i="2"/>
  <c r="L322" i="2"/>
  <c r="D368" i="2"/>
  <c r="L116" i="2"/>
  <c r="D410" i="2"/>
  <c r="Q239" i="2"/>
  <c r="O239" i="2"/>
  <c r="Q322" i="2"/>
  <c r="L124" i="2"/>
  <c r="D124" i="2"/>
  <c r="P116" i="2"/>
  <c r="R368" i="2"/>
  <c r="N116" i="2"/>
  <c r="Q124" i="2"/>
  <c r="E368" i="2"/>
  <c r="I178" i="2"/>
  <c r="C486" i="2"/>
  <c r="G124" i="2"/>
  <c r="G322" i="2"/>
  <c r="J116" i="2"/>
  <c r="R178" i="2"/>
  <c r="D424" i="2"/>
  <c r="M368" i="2"/>
  <c r="N178" i="2"/>
  <c r="N424" i="2"/>
  <c r="H124" i="2"/>
  <c r="O322" i="2"/>
  <c r="O424" i="2"/>
  <c r="M322" i="2"/>
  <c r="O178" i="2"/>
  <c r="Q368" i="2"/>
  <c r="N239" i="2"/>
  <c r="R84" i="2"/>
  <c r="P424" i="2"/>
  <c r="F368" i="2"/>
  <c r="C124" i="2"/>
  <c r="I368" i="2"/>
  <c r="G84" i="2"/>
  <c r="D84" i="2"/>
  <c r="D116" i="2"/>
  <c r="L84" i="2"/>
  <c r="L368" i="2"/>
  <c r="E116" i="2"/>
  <c r="F424" i="2"/>
  <c r="K322" i="2"/>
  <c r="N322" i="2"/>
  <c r="J322" i="2"/>
  <c r="C178" i="2"/>
  <c r="N368" i="2"/>
  <c r="K84" i="2"/>
  <c r="E322" i="2"/>
  <c r="E124" i="2"/>
  <c r="P178" i="2"/>
  <c r="R116" i="2"/>
  <c r="P124" i="2"/>
  <c r="O486" i="2"/>
  <c r="L178" i="2"/>
  <c r="H424" i="2"/>
  <c r="J178" i="2"/>
  <c r="R424" i="2"/>
  <c r="L424" i="2"/>
  <c r="M410" i="2"/>
  <c r="H368" i="2"/>
  <c r="F178" i="2"/>
  <c r="I486" i="2"/>
  <c r="P84" i="2"/>
  <c r="D239" i="2"/>
  <c r="K124" i="2"/>
  <c r="I424" i="2"/>
  <c r="F84" i="2"/>
  <c r="J84" i="2"/>
  <c r="F322" i="2"/>
  <c r="D486" i="2"/>
  <c r="C239" i="2"/>
  <c r="P368" i="2"/>
  <c r="K486" i="2"/>
  <c r="M424" i="2"/>
  <c r="K410" i="2"/>
  <c r="M239" i="2"/>
  <c r="Q116" i="2"/>
  <c r="J410" i="2"/>
  <c r="O368" i="2"/>
  <c r="H239" i="2"/>
  <c r="C410" i="2"/>
  <c r="C368" i="2"/>
  <c r="Q486" i="2"/>
  <c r="C84" i="2"/>
  <c r="H116" i="2"/>
  <c r="R410" i="2"/>
  <c r="G410" i="2"/>
  <c r="O84" i="2"/>
  <c r="K368" i="2"/>
  <c r="I410" i="2"/>
  <c r="F239" i="2"/>
  <c r="H486" i="2"/>
  <c r="F124" i="2"/>
  <c r="P410" i="2"/>
  <c r="E239" i="2"/>
  <c r="L239" i="2"/>
  <c r="M116" i="2"/>
  <c r="G116" i="2"/>
  <c r="I124" i="2"/>
  <c r="O124" i="2"/>
  <c r="L410" i="2"/>
  <c r="O116" i="2"/>
  <c r="K424" i="2"/>
  <c r="D178" i="2"/>
  <c r="G178" i="2"/>
  <c r="R322" i="2"/>
  <c r="N410" i="2"/>
  <c r="P239" i="2"/>
  <c r="K178" i="2"/>
  <c r="G424" i="2"/>
  <c r="E410" i="2"/>
  <c r="J124" i="2"/>
  <c r="Q84" i="2"/>
  <c r="M84" i="2"/>
  <c r="I239" i="2"/>
  <c r="O410" i="2"/>
  <c r="K116" i="2"/>
  <c r="G486" i="2"/>
  <c r="H178" i="2"/>
  <c r="E84" i="2"/>
  <c r="H322" i="2"/>
  <c r="M178" i="2"/>
  <c r="D322" i="2"/>
  <c r="J424" i="2"/>
  <c r="G368" i="2"/>
  <c r="J368" i="2"/>
  <c r="G377" i="2"/>
  <c r="N181" i="2"/>
  <c r="E391" i="2"/>
  <c r="M223" i="2"/>
  <c r="L391" i="2"/>
  <c r="L223" i="2"/>
  <c r="K391" i="2"/>
  <c r="R377" i="2"/>
  <c r="Q502" i="2"/>
  <c r="G408" i="2"/>
  <c r="K408" i="2"/>
  <c r="C493" i="2"/>
  <c r="P200" i="2"/>
  <c r="O391" i="2"/>
  <c r="I391" i="2"/>
  <c r="N502" i="2"/>
  <c r="N391" i="2"/>
  <c r="N408" i="2"/>
  <c r="P377" i="2"/>
  <c r="I377" i="2"/>
  <c r="C113" i="2"/>
  <c r="D408" i="2"/>
  <c r="J493" i="2"/>
  <c r="C377" i="2"/>
  <c r="J502" i="2"/>
  <c r="R391" i="2"/>
  <c r="J377" i="2"/>
  <c r="E377" i="2"/>
  <c r="O223" i="2"/>
  <c r="K200" i="2"/>
  <c r="I502" i="2"/>
  <c r="K377" i="2"/>
  <c r="G502" i="2"/>
  <c r="N113" i="2"/>
  <c r="Q113" i="2"/>
  <c r="D181" i="2"/>
  <c r="Q200" i="2"/>
  <c r="C502" i="2"/>
  <c r="P493" i="2"/>
  <c r="H408" i="2"/>
  <c r="E408" i="2"/>
  <c r="F181" i="2"/>
  <c r="N200" i="2"/>
  <c r="I161" i="2"/>
  <c r="M377" i="2"/>
  <c r="D161" i="2"/>
  <c r="L113" i="2"/>
  <c r="G181" i="2"/>
  <c r="J223" i="2"/>
  <c r="J391" i="2"/>
  <c r="E493" i="2"/>
  <c r="F391" i="2"/>
  <c r="Q493" i="2"/>
  <c r="F223" i="2"/>
  <c r="M502" i="2"/>
  <c r="N493" i="2"/>
  <c r="D200" i="2"/>
  <c r="M391" i="2"/>
  <c r="Q408" i="2"/>
  <c r="P408" i="2"/>
  <c r="M200" i="2"/>
  <c r="D377" i="2"/>
  <c r="Q391" i="2"/>
  <c r="I113" i="2"/>
  <c r="O408" i="2"/>
  <c r="F408" i="2"/>
  <c r="I408" i="2"/>
  <c r="O377" i="2"/>
  <c r="G223" i="2"/>
  <c r="M408" i="2"/>
  <c r="M161" i="2"/>
  <c r="H200" i="2"/>
  <c r="D391" i="2"/>
  <c r="G113" i="2"/>
  <c r="R161" i="2"/>
  <c r="L161" i="2"/>
  <c r="K161" i="2"/>
  <c r="F377" i="2"/>
  <c r="E181" i="2"/>
  <c r="H502" i="2"/>
  <c r="F200" i="2"/>
  <c r="O200" i="2"/>
  <c r="J161" i="2"/>
  <c r="M493" i="2"/>
  <c r="K502" i="2"/>
  <c r="R181" i="2"/>
  <c r="H181" i="2"/>
  <c r="P223" i="2"/>
  <c r="K181" i="2"/>
  <c r="O113" i="2"/>
  <c r="D493" i="2"/>
  <c r="I200" i="2"/>
  <c r="C391" i="2"/>
  <c r="H113" i="2"/>
  <c r="R502" i="2"/>
  <c r="N377" i="2"/>
  <c r="F161" i="2"/>
  <c r="E223" i="2"/>
  <c r="D502" i="2"/>
  <c r="L408" i="2"/>
  <c r="Q181" i="2"/>
  <c r="H223" i="2"/>
  <c r="C408" i="2"/>
  <c r="D113" i="2"/>
  <c r="L181" i="2"/>
  <c r="P181" i="2"/>
  <c r="L493" i="2"/>
  <c r="N161" i="2"/>
  <c r="O502" i="2"/>
  <c r="P161" i="2"/>
  <c r="L200" i="2"/>
  <c r="G200" i="2"/>
  <c r="H377" i="2"/>
  <c r="Q161" i="2"/>
  <c r="H493" i="2"/>
  <c r="E161" i="2"/>
  <c r="N223" i="2"/>
  <c r="G391" i="2"/>
  <c r="E502" i="2"/>
  <c r="C200" i="2"/>
  <c r="K223" i="2"/>
  <c r="E113" i="2"/>
  <c r="P113" i="2"/>
  <c r="P502" i="2"/>
  <c r="R113" i="2"/>
  <c r="L502" i="2"/>
  <c r="M113" i="2"/>
  <c r="I223" i="2"/>
  <c r="O493" i="2"/>
  <c r="K113" i="2"/>
  <c r="R223" i="2"/>
  <c r="G161" i="2"/>
  <c r="J200" i="2"/>
  <c r="Q377" i="2"/>
  <c r="J181" i="2"/>
  <c r="D223" i="2"/>
  <c r="R200" i="2"/>
  <c r="H391" i="2"/>
  <c r="K493" i="2"/>
  <c r="O161" i="2"/>
  <c r="C181" i="2"/>
  <c r="M181" i="2"/>
  <c r="I181" i="2"/>
  <c r="F493" i="2"/>
  <c r="J408" i="2"/>
  <c r="F113" i="2"/>
  <c r="Q223" i="2"/>
  <c r="C161" i="2"/>
  <c r="G493" i="2"/>
  <c r="I493" i="2"/>
  <c r="J113" i="2"/>
  <c r="L377" i="2"/>
  <c r="C223" i="2"/>
  <c r="E200" i="2"/>
  <c r="O181" i="2"/>
  <c r="F502" i="2"/>
  <c r="R408" i="2"/>
  <c r="R493" i="2"/>
  <c r="P391" i="2"/>
  <c r="H161" i="2"/>
  <c r="G69" i="2"/>
  <c r="L265" i="2"/>
  <c r="M3" i="2"/>
  <c r="N71" i="2"/>
  <c r="H18" i="2"/>
  <c r="P448" i="2"/>
  <c r="D69" i="2"/>
  <c r="O88" i="2"/>
  <c r="D237" i="2"/>
  <c r="D71" i="2"/>
  <c r="H112" i="2"/>
  <c r="P265" i="2"/>
  <c r="M112" i="2"/>
  <c r="I448" i="2"/>
  <c r="L69" i="2"/>
  <c r="N289" i="2"/>
  <c r="K448" i="2"/>
  <c r="G265" i="2"/>
  <c r="I71" i="2"/>
  <c r="K112" i="2"/>
  <c r="P289" i="2"/>
  <c r="O289" i="2"/>
  <c r="F18" i="2"/>
  <c r="O448" i="2"/>
  <c r="I237" i="2"/>
  <c r="G18" i="2"/>
  <c r="E448" i="2"/>
  <c r="O71" i="2"/>
  <c r="K237" i="2"/>
  <c r="L112" i="2"/>
  <c r="H265" i="2"/>
  <c r="K71" i="2"/>
  <c r="I88" i="2"/>
  <c r="Q18" i="2"/>
  <c r="N448" i="2"/>
  <c r="N112" i="2"/>
  <c r="C88" i="2"/>
  <c r="R237" i="2"/>
  <c r="I112" i="2"/>
  <c r="O265" i="2"/>
  <c r="D448" i="2"/>
  <c r="D265" i="2"/>
  <c r="J88" i="2"/>
  <c r="Q69" i="2"/>
  <c r="L237" i="2"/>
  <c r="O237" i="2"/>
  <c r="P69" i="2"/>
  <c r="N3" i="2"/>
  <c r="H237" i="2"/>
  <c r="P3" i="2"/>
  <c r="K265" i="2"/>
  <c r="K3" i="2"/>
  <c r="C448" i="2"/>
  <c r="Q3" i="2"/>
  <c r="R265" i="2"/>
  <c r="F237" i="2"/>
  <c r="P88" i="2"/>
  <c r="M448" i="2"/>
  <c r="J71" i="2"/>
  <c r="F448" i="2"/>
  <c r="N18" i="2"/>
  <c r="F71" i="2"/>
  <c r="D112" i="2"/>
  <c r="H448" i="2"/>
  <c r="I3" i="2"/>
  <c r="C69" i="2"/>
  <c r="F3" i="2"/>
  <c r="F112" i="2"/>
  <c r="C289" i="2"/>
  <c r="J18" i="2"/>
  <c r="L88" i="2"/>
  <c r="I265" i="2"/>
  <c r="R3" i="2"/>
  <c r="Q289" i="2"/>
  <c r="R88" i="2"/>
  <c r="J237" i="2"/>
  <c r="O3" i="2"/>
  <c r="G3" i="2"/>
  <c r="L448" i="2"/>
  <c r="C237" i="2"/>
  <c r="E289" i="2"/>
  <c r="O18" i="2"/>
  <c r="N69" i="2"/>
  <c r="R18" i="2"/>
  <c r="F289" i="2"/>
  <c r="D18" i="2"/>
  <c r="D88" i="2"/>
  <c r="M18" i="2"/>
  <c r="D289" i="2"/>
  <c r="L3" i="2"/>
  <c r="P237" i="2"/>
  <c r="H88" i="2"/>
  <c r="I18" i="2"/>
  <c r="R112" i="2"/>
  <c r="M88" i="2"/>
  <c r="J3" i="2"/>
  <c r="F265" i="2"/>
  <c r="M289" i="2"/>
  <c r="L289" i="2"/>
  <c r="C112" i="2"/>
  <c r="P18" i="2"/>
  <c r="E71" i="2"/>
  <c r="M265" i="2"/>
  <c r="I289" i="2"/>
  <c r="E88" i="2"/>
  <c r="J69" i="2"/>
  <c r="C3" i="2"/>
  <c r="Q448" i="2"/>
  <c r="Q88" i="2"/>
  <c r="O112" i="2"/>
  <c r="Q112" i="2"/>
  <c r="P112" i="2"/>
  <c r="E18" i="2"/>
  <c r="H71" i="2"/>
  <c r="M71" i="2"/>
  <c r="O69" i="2"/>
  <c r="M237" i="2"/>
  <c r="R69" i="2"/>
  <c r="G88" i="2"/>
  <c r="E112" i="2"/>
  <c r="H289" i="2"/>
  <c r="H3" i="2"/>
  <c r="N265" i="2"/>
  <c r="H69" i="2"/>
  <c r="K18" i="2"/>
  <c r="Q71" i="2"/>
  <c r="N88" i="2"/>
  <c r="Q265" i="2"/>
  <c r="M69" i="2"/>
  <c r="J265" i="2"/>
  <c r="G448" i="2"/>
  <c r="E237" i="2"/>
  <c r="F69" i="2"/>
  <c r="E3" i="2"/>
  <c r="E265" i="2"/>
  <c r="R289" i="2"/>
  <c r="I69" i="2"/>
  <c r="F88" i="2"/>
  <c r="C71" i="2"/>
  <c r="J448" i="2"/>
  <c r="R71" i="2"/>
  <c r="K289" i="2"/>
  <c r="Q237" i="2"/>
  <c r="J289" i="2"/>
  <c r="L71" i="2"/>
  <c r="G71" i="2"/>
  <c r="N237" i="2"/>
  <c r="K69" i="2"/>
  <c r="P71" i="2"/>
  <c r="K88" i="2"/>
  <c r="R448" i="2"/>
  <c r="J112" i="2"/>
  <c r="G289" i="2"/>
  <c r="L18" i="2"/>
  <c r="E69" i="2"/>
  <c r="G112" i="2"/>
  <c r="G237" i="2"/>
  <c r="D3" i="2"/>
  <c r="C18" i="2"/>
  <c r="C265" i="2"/>
  <c r="N471" i="2"/>
  <c r="E319" i="2"/>
  <c r="L490" i="2"/>
  <c r="D490" i="2"/>
  <c r="Q490" i="2"/>
  <c r="M372" i="2"/>
  <c r="P176" i="2"/>
  <c r="P372" i="2"/>
  <c r="L471" i="2"/>
  <c r="N490" i="2"/>
  <c r="H21" i="2"/>
  <c r="N176" i="2"/>
  <c r="P490" i="2"/>
  <c r="J89" i="2"/>
  <c r="P326" i="2"/>
  <c r="H176" i="2"/>
  <c r="J326" i="2"/>
  <c r="M471" i="2"/>
  <c r="I476" i="2"/>
  <c r="R176" i="2"/>
  <c r="G326" i="2"/>
  <c r="H471" i="2"/>
  <c r="J471" i="2"/>
  <c r="N326" i="2"/>
  <c r="M176" i="2"/>
  <c r="D471" i="2"/>
  <c r="K476" i="2"/>
  <c r="E21" i="2"/>
  <c r="O471" i="2"/>
  <c r="E89" i="2"/>
  <c r="E372" i="2"/>
  <c r="F21" i="2"/>
  <c r="C326" i="2"/>
  <c r="H89" i="2"/>
  <c r="P89" i="2"/>
  <c r="O476" i="2"/>
  <c r="C203" i="2"/>
  <c r="L476" i="2"/>
  <c r="Q476" i="2"/>
  <c r="I490" i="2"/>
  <c r="C319" i="2"/>
  <c r="O490" i="2"/>
  <c r="E476" i="2"/>
  <c r="L319" i="2"/>
  <c r="K372" i="2"/>
  <c r="Q89" i="2"/>
  <c r="H490" i="2"/>
  <c r="P21" i="2"/>
  <c r="H203" i="2"/>
  <c r="L89" i="2"/>
  <c r="I21" i="2"/>
  <c r="N319" i="2"/>
  <c r="Q21" i="2"/>
  <c r="O89" i="2"/>
  <c r="G176" i="2"/>
  <c r="E490" i="2"/>
  <c r="O21" i="2"/>
  <c r="J490" i="2"/>
  <c r="J176" i="2"/>
  <c r="L326" i="2"/>
  <c r="F326" i="2"/>
  <c r="K176" i="2"/>
  <c r="I471" i="2"/>
  <c r="J21" i="2"/>
  <c r="F372" i="2"/>
  <c r="P319" i="2"/>
  <c r="R21" i="2"/>
  <c r="K203" i="2"/>
  <c r="C372" i="2"/>
  <c r="F471" i="2"/>
  <c r="I372" i="2"/>
  <c r="Q372" i="2"/>
  <c r="K89" i="2"/>
  <c r="F176" i="2"/>
  <c r="I319" i="2"/>
  <c r="I176" i="2"/>
  <c r="R372" i="2"/>
  <c r="M203" i="2"/>
  <c r="R326" i="2"/>
  <c r="D326" i="2"/>
  <c r="N21" i="2"/>
  <c r="M490" i="2"/>
  <c r="M476" i="2"/>
  <c r="E176" i="2"/>
  <c r="K21" i="2"/>
  <c r="K319" i="2"/>
  <c r="F89" i="2"/>
  <c r="N89" i="2"/>
  <c r="C476" i="2"/>
  <c r="D89" i="2"/>
  <c r="O203" i="2"/>
  <c r="L176" i="2"/>
  <c r="C21" i="2"/>
  <c r="K490" i="2"/>
  <c r="G203" i="2"/>
  <c r="D176" i="2"/>
  <c r="C490" i="2"/>
  <c r="D476" i="2"/>
  <c r="D203" i="2"/>
  <c r="J372" i="2"/>
  <c r="C89" i="2"/>
  <c r="R89" i="2"/>
  <c r="G471" i="2"/>
  <c r="Q471" i="2"/>
  <c r="R490" i="2"/>
  <c r="R203" i="2"/>
  <c r="Q176" i="2"/>
  <c r="I203" i="2"/>
  <c r="H319" i="2"/>
  <c r="G372" i="2"/>
  <c r="I326" i="2"/>
  <c r="L21" i="2"/>
  <c r="E471" i="2"/>
  <c r="J319" i="2"/>
  <c r="N372" i="2"/>
  <c r="L203" i="2"/>
  <c r="P476" i="2"/>
  <c r="D372" i="2"/>
  <c r="R476" i="2"/>
  <c r="M89" i="2"/>
  <c r="N476" i="2"/>
  <c r="R471" i="2"/>
  <c r="Q326" i="2"/>
  <c r="N203" i="2"/>
  <c r="P203" i="2"/>
  <c r="P471" i="2"/>
  <c r="G319" i="2"/>
  <c r="H372" i="2"/>
  <c r="M21" i="2"/>
  <c r="G21" i="2"/>
  <c r="F319" i="2"/>
  <c r="K326" i="2"/>
  <c r="J476" i="2"/>
  <c r="M319" i="2"/>
  <c r="O319" i="2"/>
  <c r="O326" i="2"/>
  <c r="G490" i="2"/>
  <c r="G476" i="2"/>
  <c r="C176" i="2"/>
  <c r="Q319" i="2"/>
  <c r="H326" i="2"/>
  <c r="J203" i="2"/>
  <c r="O372" i="2"/>
  <c r="E203" i="2"/>
  <c r="R319" i="2"/>
  <c r="F476" i="2"/>
  <c r="G89" i="2"/>
  <c r="M326" i="2"/>
  <c r="K471" i="2"/>
  <c r="Q203" i="2"/>
  <c r="C471" i="2"/>
  <c r="D21" i="2"/>
  <c r="H476" i="2"/>
  <c r="L372" i="2"/>
  <c r="D319" i="2"/>
  <c r="O176" i="2"/>
  <c r="F490" i="2"/>
  <c r="F203" i="2"/>
  <c r="I89" i="2"/>
  <c r="E326" i="2"/>
  <c r="I367" i="2"/>
  <c r="O383" i="2"/>
  <c r="D367" i="2"/>
  <c r="K163" i="2"/>
  <c r="R90" i="2"/>
  <c r="Q163" i="2"/>
  <c r="G90" i="2"/>
  <c r="L8" i="2"/>
  <c r="N457" i="2"/>
  <c r="N367" i="2"/>
  <c r="L457" i="2"/>
  <c r="G8" i="2"/>
  <c r="Q8" i="2"/>
  <c r="R139" i="2"/>
  <c r="R367" i="2"/>
  <c r="N383" i="2"/>
  <c r="J457" i="2"/>
  <c r="M234" i="2"/>
  <c r="M90" i="2"/>
  <c r="D457" i="2"/>
  <c r="P383" i="2"/>
  <c r="P139" i="2"/>
  <c r="J305" i="2"/>
  <c r="E8" i="2"/>
  <c r="C8" i="2"/>
  <c r="P457" i="2"/>
  <c r="I139" i="2"/>
  <c r="L234" i="2"/>
  <c r="M383" i="2"/>
  <c r="O163" i="2"/>
  <c r="D90" i="2"/>
  <c r="C139" i="2"/>
  <c r="J234" i="2"/>
  <c r="G227" i="2"/>
  <c r="I163" i="2"/>
  <c r="F8" i="2"/>
  <c r="C163" i="2"/>
  <c r="D163" i="2"/>
  <c r="Q227" i="2"/>
  <c r="H227" i="2"/>
  <c r="K234" i="2"/>
  <c r="E234" i="2"/>
  <c r="F139" i="2"/>
  <c r="G139" i="2"/>
  <c r="I457" i="2"/>
  <c r="H383" i="2"/>
  <c r="C227" i="2"/>
  <c r="E383" i="2"/>
  <c r="I305" i="2"/>
  <c r="K8" i="2"/>
  <c r="N234" i="2"/>
  <c r="J8" i="2"/>
  <c r="N305" i="2"/>
  <c r="O8" i="2"/>
  <c r="F163" i="2"/>
  <c r="D234" i="2"/>
  <c r="J139" i="2"/>
  <c r="H457" i="2"/>
  <c r="K383" i="2"/>
  <c r="F383" i="2"/>
  <c r="N139" i="2"/>
  <c r="P227" i="2"/>
  <c r="N227" i="2"/>
  <c r="P8" i="2"/>
  <c r="R457" i="2"/>
  <c r="E305" i="2"/>
  <c r="M457" i="2"/>
  <c r="D383" i="2"/>
  <c r="L139" i="2"/>
  <c r="K367" i="2"/>
  <c r="O234" i="2"/>
  <c r="C305" i="2"/>
  <c r="G367" i="2"/>
  <c r="K227" i="2"/>
  <c r="G234" i="2"/>
  <c r="C234" i="2"/>
  <c r="L367" i="2"/>
  <c r="J227" i="2"/>
  <c r="I234" i="2"/>
  <c r="P163" i="2"/>
  <c r="F305" i="2"/>
  <c r="J383" i="2"/>
  <c r="R8" i="2"/>
  <c r="E227" i="2"/>
  <c r="G305" i="2"/>
  <c r="G383" i="2"/>
  <c r="H305" i="2"/>
  <c r="C457" i="2"/>
  <c r="Q367" i="2"/>
  <c r="Q383" i="2"/>
  <c r="D227" i="2"/>
  <c r="F227" i="2"/>
  <c r="M8" i="2"/>
  <c r="P367" i="2"/>
  <c r="Q234" i="2"/>
  <c r="E163" i="2"/>
  <c r="D305" i="2"/>
  <c r="C90" i="2"/>
  <c r="F457" i="2"/>
  <c r="E367" i="2"/>
  <c r="P234" i="2"/>
  <c r="D8" i="2"/>
  <c r="H139" i="2"/>
  <c r="F367" i="2"/>
  <c r="H90" i="2"/>
  <c r="H367" i="2"/>
  <c r="K139" i="2"/>
  <c r="E90" i="2"/>
  <c r="O90" i="2"/>
  <c r="Q457" i="2"/>
  <c r="J163" i="2"/>
  <c r="N8" i="2"/>
  <c r="R234" i="2"/>
  <c r="H234" i="2"/>
  <c r="H8" i="2"/>
  <c r="I90" i="2"/>
  <c r="M305" i="2"/>
  <c r="L305" i="2"/>
  <c r="N90" i="2"/>
  <c r="L383" i="2"/>
  <c r="K305" i="2"/>
  <c r="L163" i="2"/>
  <c r="C367" i="2"/>
  <c r="O305" i="2"/>
  <c r="P90" i="2"/>
  <c r="R305" i="2"/>
  <c r="Q139" i="2"/>
  <c r="R227" i="2"/>
  <c r="N163" i="2"/>
  <c r="G457" i="2"/>
  <c r="M139" i="2"/>
  <c r="J90" i="2"/>
  <c r="L90" i="2"/>
  <c r="C383" i="2"/>
  <c r="J367" i="2"/>
  <c r="M227" i="2"/>
  <c r="E457" i="2"/>
  <c r="E139" i="2"/>
  <c r="H163" i="2"/>
  <c r="R163" i="2"/>
  <c r="R383" i="2"/>
  <c r="K90" i="2"/>
  <c r="K457" i="2"/>
  <c r="L227" i="2"/>
  <c r="M163" i="2"/>
  <c r="Q305" i="2"/>
  <c r="O139" i="2"/>
  <c r="I227" i="2"/>
  <c r="Q90" i="2"/>
  <c r="M367" i="2"/>
  <c r="I383" i="2"/>
  <c r="G163" i="2"/>
  <c r="O367" i="2"/>
  <c r="I8" i="2"/>
  <c r="O457" i="2"/>
  <c r="F90" i="2"/>
  <c r="F234" i="2"/>
  <c r="P305" i="2"/>
  <c r="O227" i="2"/>
  <c r="D139" i="2"/>
  <c r="H482" i="2"/>
  <c r="K13" i="2"/>
  <c r="F431" i="2"/>
  <c r="E297" i="2"/>
  <c r="H214" i="2"/>
  <c r="L297" i="2"/>
  <c r="O55" i="2"/>
  <c r="M193" i="2"/>
  <c r="J13" i="2"/>
  <c r="J55" i="2"/>
  <c r="P222" i="2"/>
  <c r="J193" i="2"/>
  <c r="J342" i="2"/>
  <c r="C13" i="2"/>
  <c r="P193" i="2"/>
  <c r="F214" i="2"/>
  <c r="L193" i="2"/>
  <c r="I13" i="2"/>
  <c r="E395" i="2"/>
  <c r="N13" i="2"/>
  <c r="Q222" i="2"/>
  <c r="L55" i="2"/>
  <c r="K214" i="2"/>
  <c r="J482" i="2"/>
  <c r="O193" i="2"/>
  <c r="R193" i="2"/>
  <c r="I395" i="2"/>
  <c r="E214" i="2"/>
  <c r="E482" i="2"/>
  <c r="R214" i="2"/>
  <c r="K342" i="2"/>
  <c r="P431" i="2"/>
  <c r="F222" i="2"/>
  <c r="D193" i="2"/>
  <c r="P214" i="2"/>
  <c r="N193" i="2"/>
  <c r="K55" i="2"/>
  <c r="G13" i="2"/>
  <c r="F13" i="2"/>
  <c r="F193" i="2"/>
  <c r="M13" i="2"/>
  <c r="M214" i="2"/>
  <c r="L222" i="2"/>
  <c r="L482" i="2"/>
  <c r="C297" i="2"/>
  <c r="N342" i="2"/>
  <c r="C222" i="2"/>
  <c r="H395" i="2"/>
  <c r="Q13" i="2"/>
  <c r="K482" i="2"/>
  <c r="G55" i="2"/>
  <c r="D482" i="2"/>
  <c r="E55" i="2"/>
  <c r="D431" i="2"/>
  <c r="L395" i="2"/>
  <c r="M222" i="2"/>
  <c r="E431" i="2"/>
  <c r="H342" i="2"/>
  <c r="F55" i="2"/>
  <c r="G222" i="2"/>
  <c r="I222" i="2"/>
  <c r="D222" i="2"/>
  <c r="I297" i="2"/>
  <c r="O342" i="2"/>
  <c r="R55" i="2"/>
  <c r="H55" i="2"/>
  <c r="F395" i="2"/>
  <c r="G214" i="2"/>
  <c r="D342" i="2"/>
  <c r="Q342" i="2"/>
  <c r="E193" i="2"/>
  <c r="I193" i="2"/>
  <c r="C395" i="2"/>
  <c r="R431" i="2"/>
  <c r="R297" i="2"/>
  <c r="E222" i="2"/>
  <c r="O431" i="2"/>
  <c r="C431" i="2"/>
  <c r="O297" i="2"/>
  <c r="H222" i="2"/>
  <c r="H13" i="2"/>
  <c r="O214" i="2"/>
  <c r="J214" i="2"/>
  <c r="H297" i="2"/>
  <c r="G482" i="2"/>
  <c r="L214" i="2"/>
  <c r="K193" i="2"/>
  <c r="R13" i="2"/>
  <c r="I55" i="2"/>
  <c r="J431" i="2"/>
  <c r="O13" i="2"/>
  <c r="C482" i="2"/>
  <c r="Q482" i="2"/>
  <c r="Q395" i="2"/>
  <c r="K395" i="2"/>
  <c r="F342" i="2"/>
  <c r="H431" i="2"/>
  <c r="E342" i="2"/>
  <c r="P395" i="2"/>
  <c r="I482" i="2"/>
  <c r="F297" i="2"/>
  <c r="K297" i="2"/>
  <c r="N222" i="2"/>
  <c r="P482" i="2"/>
  <c r="G193" i="2"/>
  <c r="N297" i="2"/>
  <c r="N214" i="2"/>
  <c r="P13" i="2"/>
  <c r="N55" i="2"/>
  <c r="H193" i="2"/>
  <c r="P342" i="2"/>
  <c r="M55" i="2"/>
  <c r="N482" i="2"/>
  <c r="R482" i="2"/>
  <c r="P55" i="2"/>
  <c r="P297" i="2"/>
  <c r="N431" i="2"/>
  <c r="L431" i="2"/>
  <c r="M342" i="2"/>
  <c r="M431" i="2"/>
  <c r="F482" i="2"/>
  <c r="G395" i="2"/>
  <c r="I342" i="2"/>
  <c r="E13" i="2"/>
  <c r="R395" i="2"/>
  <c r="N395" i="2"/>
  <c r="K222" i="2"/>
  <c r="Q55" i="2"/>
  <c r="C342" i="2"/>
  <c r="J297" i="2"/>
  <c r="C193" i="2"/>
  <c r="R222" i="2"/>
  <c r="G431" i="2"/>
  <c r="I431" i="2"/>
  <c r="M297" i="2"/>
  <c r="O395" i="2"/>
  <c r="G297" i="2"/>
  <c r="K431" i="2"/>
  <c r="C55" i="2"/>
  <c r="R342" i="2"/>
  <c r="D395" i="2"/>
  <c r="Q214" i="2"/>
  <c r="Q297" i="2"/>
  <c r="O482" i="2"/>
  <c r="M395" i="2"/>
  <c r="C214" i="2"/>
  <c r="L13" i="2"/>
  <c r="J222" i="2"/>
  <c r="L342" i="2"/>
  <c r="I214" i="2"/>
  <c r="D297" i="2"/>
  <c r="J395" i="2"/>
  <c r="O222" i="2"/>
  <c r="D55" i="2"/>
  <c r="D214" i="2"/>
  <c r="G342" i="2"/>
  <c r="M482" i="2"/>
  <c r="Q193" i="2"/>
  <c r="Q431" i="2"/>
  <c r="D13" i="2"/>
  <c r="M212" i="2"/>
  <c r="H122" i="2"/>
  <c r="K212" i="2"/>
  <c r="O447" i="2"/>
  <c r="L212" i="2"/>
  <c r="O31" i="2"/>
  <c r="J122" i="2"/>
  <c r="N321" i="2"/>
  <c r="Q321" i="2"/>
  <c r="P321" i="2"/>
  <c r="F343" i="2"/>
  <c r="E343" i="2"/>
  <c r="D177" i="2"/>
  <c r="E321" i="2"/>
  <c r="E31" i="2"/>
  <c r="R31" i="2"/>
  <c r="E122" i="2"/>
  <c r="P343" i="2"/>
  <c r="P184" i="2"/>
  <c r="L122" i="2"/>
  <c r="K343" i="2"/>
  <c r="R400" i="2"/>
  <c r="R184" i="2"/>
  <c r="Q343" i="2"/>
  <c r="N177" i="2"/>
  <c r="J321" i="2"/>
  <c r="M447" i="2"/>
  <c r="M321" i="2"/>
  <c r="F321" i="2"/>
  <c r="K447" i="2"/>
  <c r="Q447" i="2"/>
  <c r="C184" i="2"/>
  <c r="O400" i="2"/>
  <c r="G400" i="2"/>
  <c r="L31" i="2"/>
  <c r="F177" i="2"/>
  <c r="D212" i="2"/>
  <c r="P400" i="2"/>
  <c r="R374" i="2"/>
  <c r="C343" i="2"/>
  <c r="L447" i="2"/>
  <c r="G447" i="2"/>
  <c r="I184" i="2"/>
  <c r="I122" i="2"/>
  <c r="J212" i="2"/>
  <c r="M374" i="2"/>
  <c r="R321" i="2"/>
  <c r="N31" i="2"/>
  <c r="G374" i="2"/>
  <c r="D184" i="2"/>
  <c r="J31" i="2"/>
  <c r="I321" i="2"/>
  <c r="H400" i="2"/>
  <c r="J400" i="2"/>
  <c r="G177" i="2"/>
  <c r="K31" i="2"/>
  <c r="P212" i="2"/>
  <c r="I177" i="2"/>
  <c r="N184" i="2"/>
  <c r="L321" i="2"/>
  <c r="C374" i="2"/>
  <c r="E184" i="2"/>
  <c r="O343" i="2"/>
  <c r="M31" i="2"/>
  <c r="K400" i="2"/>
  <c r="H321" i="2"/>
  <c r="D122" i="2"/>
  <c r="R447" i="2"/>
  <c r="R212" i="2"/>
  <c r="L400" i="2"/>
  <c r="F31" i="2"/>
  <c r="G343" i="2"/>
  <c r="J343" i="2"/>
  <c r="J177" i="2"/>
  <c r="C31" i="2"/>
  <c r="F212" i="2"/>
  <c r="N447" i="2"/>
  <c r="F400" i="2"/>
  <c r="I343" i="2"/>
  <c r="M400" i="2"/>
  <c r="D31" i="2"/>
  <c r="R122" i="2"/>
  <c r="O177" i="2"/>
  <c r="H212" i="2"/>
  <c r="K374" i="2"/>
  <c r="G212" i="2"/>
  <c r="I400" i="2"/>
  <c r="F447" i="2"/>
  <c r="P177" i="2"/>
  <c r="N212" i="2"/>
  <c r="I447" i="2"/>
  <c r="P447" i="2"/>
  <c r="Q374" i="2"/>
  <c r="M184" i="2"/>
  <c r="K184" i="2"/>
  <c r="D321" i="2"/>
  <c r="F374" i="2"/>
  <c r="E400" i="2"/>
  <c r="J184" i="2"/>
  <c r="L343" i="2"/>
  <c r="H177" i="2"/>
  <c r="P31" i="2"/>
  <c r="K321" i="2"/>
  <c r="D447" i="2"/>
  <c r="N343" i="2"/>
  <c r="F184" i="2"/>
  <c r="H374" i="2"/>
  <c r="H184" i="2"/>
  <c r="D374" i="2"/>
  <c r="M122" i="2"/>
  <c r="P122" i="2"/>
  <c r="C447" i="2"/>
  <c r="P374" i="2"/>
  <c r="E374" i="2"/>
  <c r="Q122" i="2"/>
  <c r="G122" i="2"/>
  <c r="R343" i="2"/>
  <c r="K177" i="2"/>
  <c r="L177" i="2"/>
  <c r="L374" i="2"/>
  <c r="K122" i="2"/>
  <c r="D400" i="2"/>
  <c r="N122" i="2"/>
  <c r="H343" i="2"/>
  <c r="C177" i="2"/>
  <c r="M177" i="2"/>
  <c r="C321" i="2"/>
  <c r="F122" i="2"/>
  <c r="O374" i="2"/>
  <c r="N374" i="2"/>
  <c r="Q400" i="2"/>
  <c r="C212" i="2"/>
  <c r="Q184" i="2"/>
  <c r="Q31" i="2"/>
  <c r="E212" i="2"/>
  <c r="I212" i="2"/>
  <c r="M343" i="2"/>
  <c r="G321" i="2"/>
  <c r="N400" i="2"/>
  <c r="H447" i="2"/>
  <c r="H31" i="2"/>
  <c r="O184" i="2"/>
  <c r="G184" i="2"/>
  <c r="O212" i="2"/>
  <c r="J374" i="2"/>
  <c r="E177" i="2"/>
  <c r="I31" i="2"/>
  <c r="E447" i="2"/>
  <c r="C122" i="2"/>
  <c r="R177" i="2"/>
  <c r="C400" i="2"/>
  <c r="O122" i="2"/>
  <c r="J447" i="2"/>
  <c r="D343" i="2"/>
  <c r="G31" i="2"/>
  <c r="L184" i="2"/>
  <c r="Q177" i="2"/>
  <c r="I374" i="2"/>
  <c r="O321" i="2"/>
  <c r="Q212" i="2"/>
  <c r="D356" i="2"/>
  <c r="F405" i="2"/>
  <c r="N100" i="2"/>
  <c r="K379" i="2"/>
  <c r="Q81" i="2"/>
  <c r="H356" i="2"/>
  <c r="L356" i="2"/>
  <c r="O489" i="2"/>
  <c r="E106" i="2"/>
  <c r="R100" i="2"/>
  <c r="O43" i="2"/>
  <c r="I405" i="2"/>
  <c r="K119" i="2"/>
  <c r="E412" i="2"/>
  <c r="C119" i="2"/>
  <c r="R412" i="2"/>
  <c r="Q123" i="2"/>
  <c r="E442" i="2"/>
  <c r="H81" i="2"/>
  <c r="K228" i="2"/>
  <c r="F397" i="2"/>
  <c r="C412" i="2"/>
  <c r="M120" i="2"/>
  <c r="G364" i="2"/>
  <c r="H364" i="2"/>
  <c r="R106" i="2"/>
  <c r="K320" i="2"/>
  <c r="O311" i="2"/>
  <c r="L311" i="2"/>
  <c r="G412" i="2"/>
  <c r="N306" i="2"/>
  <c r="Q120" i="2"/>
  <c r="H442" i="2"/>
  <c r="O306" i="2"/>
  <c r="C106" i="2"/>
  <c r="F412" i="2"/>
  <c r="L120" i="2"/>
  <c r="H397" i="2"/>
  <c r="H120" i="2"/>
  <c r="G119" i="2"/>
  <c r="C306" i="2"/>
  <c r="N412" i="2"/>
  <c r="J120" i="2"/>
  <c r="H489" i="2"/>
  <c r="I106" i="2"/>
  <c r="J15" i="2"/>
  <c r="F442" i="2"/>
  <c r="G356" i="2"/>
  <c r="G100" i="2"/>
  <c r="J106" i="2"/>
  <c r="C100" i="2"/>
  <c r="N43" i="2"/>
  <c r="Q356" i="2"/>
  <c r="J405" i="2"/>
  <c r="P311" i="2"/>
  <c r="G311" i="2"/>
  <c r="I120" i="2"/>
  <c r="M356" i="2"/>
  <c r="J43" i="2"/>
  <c r="N120" i="2"/>
  <c r="M320" i="2"/>
  <c r="R379" i="2"/>
  <c r="N311" i="2"/>
  <c r="H15" i="2"/>
  <c r="F106" i="2"/>
  <c r="L442" i="2"/>
  <c r="C364" i="2"/>
  <c r="J364" i="2"/>
  <c r="P43" i="2"/>
  <c r="G489" i="2"/>
  <c r="L100" i="2"/>
  <c r="C397" i="2"/>
  <c r="G106" i="2"/>
  <c r="R15" i="2"/>
  <c r="M106" i="2"/>
  <c r="I306" i="2"/>
  <c r="M364" i="2"/>
  <c r="G81" i="2"/>
  <c r="Q100" i="2"/>
  <c r="G306" i="2"/>
  <c r="J412" i="2"/>
  <c r="L15" i="2"/>
  <c r="N81" i="2"/>
  <c r="R311" i="2"/>
  <c r="I320" i="2"/>
  <c r="F311" i="2"/>
  <c r="R489" i="2"/>
  <c r="M412" i="2"/>
  <c r="D15" i="2"/>
  <c r="P120" i="2"/>
  <c r="Q405" i="2"/>
  <c r="N379" i="2"/>
  <c r="J442" i="2"/>
  <c r="M123" i="2"/>
  <c r="K356" i="2"/>
  <c r="G228" i="2"/>
  <c r="F364" i="2"/>
  <c r="K405" i="2"/>
  <c r="G442" i="2"/>
  <c r="F120" i="2"/>
  <c r="N106" i="2"/>
  <c r="J356" i="2"/>
  <c r="C489" i="2"/>
  <c r="Q15" i="2"/>
  <c r="O405" i="2"/>
  <c r="O120" i="2"/>
  <c r="O123" i="2"/>
  <c r="R320" i="2"/>
  <c r="R405" i="2"/>
  <c r="H228" i="2"/>
  <c r="O356" i="2"/>
  <c r="E119" i="2"/>
  <c r="H379" i="2"/>
  <c r="R306" i="2"/>
  <c r="N15" i="2"/>
  <c r="G379" i="2"/>
  <c r="N119" i="2"/>
  <c r="E43" i="2"/>
  <c r="K123" i="2"/>
  <c r="L412" i="2"/>
  <c r="R442" i="2"/>
  <c r="D364" i="2"/>
  <c r="H320" i="2"/>
  <c r="L119" i="2"/>
  <c r="O320" i="2"/>
  <c r="F356" i="2"/>
  <c r="N489" i="2"/>
  <c r="D412" i="2"/>
  <c r="I489" i="2"/>
  <c r="P100" i="2"/>
  <c r="Q228" i="2"/>
  <c r="I119" i="2"/>
  <c r="F228" i="2"/>
  <c r="D405" i="2"/>
  <c r="Q311" i="2"/>
  <c r="O379" i="2"/>
  <c r="E379" i="2"/>
  <c r="I356" i="2"/>
  <c r="P379" i="2"/>
  <c r="M119" i="2"/>
  <c r="R364" i="2"/>
  <c r="Q106" i="2"/>
  <c r="Q442" i="2"/>
  <c r="E364" i="2"/>
  <c r="N228" i="2"/>
  <c r="F379" i="2"/>
  <c r="R397" i="2"/>
  <c r="K489" i="2"/>
  <c r="M100" i="2"/>
  <c r="K15" i="2"/>
  <c r="P442" i="2"/>
  <c r="H412" i="2"/>
  <c r="D379" i="2"/>
  <c r="Q379" i="2"/>
  <c r="L106" i="2"/>
  <c r="F100" i="2"/>
  <c r="P364" i="2"/>
  <c r="E120" i="2"/>
  <c r="L306" i="2"/>
  <c r="G320" i="2"/>
  <c r="R120" i="2"/>
  <c r="M81" i="2"/>
  <c r="J397" i="2"/>
  <c r="E100" i="2"/>
  <c r="I412" i="2"/>
  <c r="F489" i="2"/>
  <c r="E81" i="2"/>
  <c r="C379" i="2"/>
  <c r="J123" i="2"/>
  <c r="P397" i="2"/>
  <c r="G43" i="2"/>
  <c r="M43" i="2"/>
  <c r="D442" i="2"/>
  <c r="K364" i="2"/>
  <c r="D489" i="2"/>
  <c r="F15" i="2"/>
  <c r="M489" i="2"/>
  <c r="O15" i="2"/>
  <c r="H106" i="2"/>
  <c r="Q489" i="2"/>
  <c r="M379" i="2"/>
  <c r="C356" i="2"/>
  <c r="Q119" i="2"/>
  <c r="P15" i="2"/>
  <c r="K43" i="2"/>
  <c r="G405" i="2"/>
  <c r="N405" i="2"/>
  <c r="O228" i="2"/>
  <c r="C405" i="2"/>
  <c r="K442" i="2"/>
  <c r="F320" i="2"/>
  <c r="D81" i="2"/>
  <c r="D100" i="2"/>
  <c r="L405" i="2"/>
  <c r="D228" i="2"/>
  <c r="C311" i="2"/>
  <c r="F306" i="2"/>
  <c r="R123" i="2"/>
  <c r="C120" i="2"/>
  <c r="G120" i="2"/>
  <c r="J100" i="2"/>
  <c r="I100" i="2"/>
  <c r="J119" i="2"/>
  <c r="O81" i="2"/>
  <c r="Q306" i="2"/>
  <c r="P320" i="2"/>
  <c r="J306" i="2"/>
  <c r="D106" i="2"/>
  <c r="D397" i="2"/>
  <c r="C43" i="2"/>
  <c r="N123" i="2"/>
  <c r="C123" i="2"/>
  <c r="R43" i="2"/>
  <c r="K311" i="2"/>
  <c r="J379" i="2"/>
  <c r="L397" i="2"/>
  <c r="L364" i="2"/>
  <c r="K397" i="2"/>
  <c r="E356" i="2"/>
  <c r="O412" i="2"/>
  <c r="O119" i="2"/>
  <c r="J320" i="2"/>
  <c r="I228" i="2"/>
  <c r="O364" i="2"/>
  <c r="G397" i="2"/>
  <c r="R81" i="2"/>
  <c r="L43" i="2"/>
  <c r="J489" i="2"/>
  <c r="H311" i="2"/>
  <c r="Q397" i="2"/>
  <c r="Q364" i="2"/>
  <c r="N320" i="2"/>
  <c r="K100" i="2"/>
  <c r="L123" i="2"/>
  <c r="O397" i="2"/>
  <c r="K120" i="2"/>
  <c r="Q412" i="2"/>
  <c r="P356" i="2"/>
  <c r="D43" i="2"/>
  <c r="L228" i="2"/>
  <c r="F123" i="2"/>
  <c r="I379" i="2"/>
  <c r="O100" i="2"/>
  <c r="J81" i="2"/>
  <c r="P306" i="2"/>
  <c r="E397" i="2"/>
  <c r="O106" i="2"/>
  <c r="C228" i="2"/>
  <c r="C81" i="2"/>
  <c r="H306" i="2"/>
  <c r="D123" i="2"/>
  <c r="L489" i="2"/>
  <c r="N397" i="2"/>
  <c r="E405" i="2"/>
  <c r="J228" i="2"/>
  <c r="P106" i="2"/>
  <c r="R119" i="2"/>
  <c r="I81" i="2"/>
  <c r="I123" i="2"/>
  <c r="I43" i="2"/>
  <c r="G15" i="2"/>
  <c r="F119" i="2"/>
  <c r="D311" i="2"/>
  <c r="N442" i="2"/>
  <c r="E306" i="2"/>
  <c r="Q43" i="2"/>
  <c r="P119" i="2"/>
  <c r="I364" i="2"/>
  <c r="E123" i="2"/>
  <c r="P81" i="2"/>
  <c r="F43" i="2"/>
  <c r="P412" i="2"/>
  <c r="P123" i="2"/>
  <c r="M397" i="2"/>
  <c r="D320" i="2"/>
  <c r="K306" i="2"/>
  <c r="G123" i="2"/>
  <c r="M442" i="2"/>
  <c r="D120" i="2"/>
  <c r="H43" i="2"/>
  <c r="E320" i="2"/>
  <c r="I397" i="2"/>
  <c r="H405" i="2"/>
  <c r="K106" i="2"/>
  <c r="M228" i="2"/>
  <c r="P489" i="2"/>
  <c r="H123" i="2"/>
  <c r="C320" i="2"/>
  <c r="K412" i="2"/>
  <c r="N364" i="2"/>
  <c r="H100" i="2"/>
  <c r="L81" i="2"/>
  <c r="Q320" i="2"/>
  <c r="L320" i="2"/>
  <c r="I442" i="2"/>
  <c r="E489" i="2"/>
  <c r="H119" i="2"/>
  <c r="K81" i="2"/>
  <c r="J311" i="2"/>
  <c r="E228" i="2"/>
  <c r="P228" i="2"/>
  <c r="C15" i="2"/>
  <c r="I311" i="2"/>
  <c r="O442" i="2"/>
  <c r="E15" i="2"/>
  <c r="E311" i="2"/>
  <c r="N356" i="2"/>
  <c r="P405" i="2"/>
  <c r="I15" i="2"/>
  <c r="L379" i="2"/>
  <c r="R228" i="2"/>
  <c r="D119" i="2"/>
  <c r="M311" i="2"/>
  <c r="C442" i="2"/>
  <c r="M15" i="2"/>
  <c r="M405" i="2"/>
  <c r="F81" i="2"/>
  <c r="D306" i="2"/>
  <c r="M306" i="2"/>
  <c r="R356" i="2"/>
  <c r="G9" i="2"/>
  <c r="H9" i="2"/>
  <c r="J44" i="2"/>
  <c r="R47" i="2"/>
  <c r="L4" i="2"/>
  <c r="E35" i="2"/>
  <c r="O47" i="2"/>
  <c r="G26" i="2"/>
  <c r="H47" i="2"/>
  <c r="H26" i="2"/>
  <c r="M9" i="2"/>
  <c r="F44" i="2"/>
  <c r="G47" i="2"/>
  <c r="M26" i="2"/>
  <c r="Q26" i="2"/>
  <c r="I44" i="2"/>
  <c r="L35" i="2"/>
  <c r="N9" i="2"/>
  <c r="C9" i="2"/>
  <c r="D2" i="2"/>
  <c r="L26" i="2"/>
  <c r="K4" i="2"/>
  <c r="Q47" i="2"/>
  <c r="L44" i="2"/>
  <c r="F35" i="2"/>
  <c r="M4" i="2"/>
  <c r="M35" i="2"/>
  <c r="C4" i="2"/>
  <c r="E26" i="2"/>
  <c r="D9" i="2"/>
  <c r="I4" i="2"/>
  <c r="G2" i="2"/>
  <c r="F9" i="2"/>
  <c r="J4" i="2"/>
  <c r="J47" i="2"/>
  <c r="O44" i="2"/>
  <c r="K9" i="2"/>
  <c r="P26" i="2"/>
  <c r="C47" i="2"/>
  <c r="N35" i="2"/>
  <c r="P47" i="2"/>
  <c r="D4" i="2"/>
  <c r="H44" i="2"/>
  <c r="Q2" i="2"/>
  <c r="M47" i="2"/>
  <c r="D44" i="2"/>
  <c r="F26" i="2"/>
  <c r="C35" i="2"/>
  <c r="D35" i="2"/>
  <c r="R9" i="2"/>
  <c r="R35" i="2"/>
  <c r="N26" i="2"/>
  <c r="J9" i="2"/>
  <c r="O9" i="2"/>
  <c r="O35" i="2"/>
  <c r="E4" i="2"/>
  <c r="P2" i="2"/>
  <c r="L9" i="2"/>
  <c r="J35" i="2"/>
  <c r="E9" i="2"/>
  <c r="L2" i="2"/>
  <c r="C2" i="2"/>
  <c r="Q4" i="2"/>
  <c r="Q9" i="2"/>
  <c r="E47" i="2"/>
  <c r="D47" i="2"/>
  <c r="G35" i="2"/>
  <c r="N4" i="2"/>
  <c r="K47" i="2"/>
  <c r="E2" i="2"/>
  <c r="H2" i="2"/>
  <c r="M2" i="2"/>
  <c r="O26" i="2"/>
  <c r="D26" i="2"/>
  <c r="R4" i="2"/>
  <c r="H35" i="2"/>
  <c r="E44" i="2"/>
  <c r="C44" i="2"/>
  <c r="R2" i="2"/>
  <c r="F2" i="2"/>
  <c r="P35" i="2"/>
  <c r="I26" i="2"/>
  <c r="N47" i="2"/>
  <c r="Q44" i="2"/>
  <c r="L47" i="2"/>
  <c r="J2" i="2"/>
  <c r="P4" i="2"/>
  <c r="G4" i="2"/>
  <c r="G44" i="2"/>
  <c r="Q35" i="2"/>
  <c r="K35" i="2"/>
  <c r="I47" i="2"/>
  <c r="K44" i="2"/>
  <c r="P9" i="2"/>
  <c r="O4" i="2"/>
  <c r="H4" i="2"/>
  <c r="M44" i="2"/>
  <c r="I9" i="2"/>
  <c r="K2" i="2"/>
  <c r="R26" i="2"/>
  <c r="I35" i="2"/>
  <c r="I2" i="2"/>
  <c r="O2" i="2"/>
  <c r="R44" i="2"/>
  <c r="F47" i="2"/>
  <c r="P44" i="2"/>
  <c r="K26" i="2"/>
  <c r="F4" i="2"/>
  <c r="C26" i="2"/>
  <c r="J26" i="2"/>
  <c r="N44" i="2"/>
  <c r="N2" i="2"/>
  <c r="R449" i="2"/>
  <c r="P96" i="2"/>
  <c r="P72" i="2"/>
  <c r="I488" i="2"/>
  <c r="Q253" i="2"/>
  <c r="J295" i="2"/>
  <c r="K253" i="2"/>
  <c r="C429" i="2"/>
  <c r="K72" i="2"/>
  <c r="L295" i="2"/>
  <c r="J449" i="2"/>
  <c r="R253" i="2"/>
  <c r="Q429" i="2"/>
  <c r="F438" i="2"/>
  <c r="D96" i="2"/>
  <c r="M438" i="2"/>
  <c r="L483" i="2"/>
  <c r="N438" i="2"/>
  <c r="O483" i="2"/>
  <c r="O72" i="2"/>
  <c r="G324" i="2"/>
  <c r="C295" i="2"/>
  <c r="E449" i="2"/>
  <c r="N96" i="2"/>
  <c r="O438" i="2"/>
  <c r="M96" i="2"/>
  <c r="D295" i="2"/>
  <c r="N488" i="2"/>
  <c r="H72" i="2"/>
  <c r="F253" i="2"/>
  <c r="M253" i="2"/>
  <c r="L449" i="2"/>
  <c r="F488" i="2"/>
  <c r="E429" i="2"/>
  <c r="M483" i="2"/>
  <c r="N72" i="2"/>
  <c r="R438" i="2"/>
  <c r="M488" i="2"/>
  <c r="R429" i="2"/>
  <c r="D429" i="2"/>
  <c r="F72" i="2"/>
  <c r="G483" i="2"/>
  <c r="D324" i="2"/>
  <c r="I438" i="2"/>
  <c r="E483" i="2"/>
  <c r="N295" i="2"/>
  <c r="P324" i="2"/>
  <c r="C488" i="2"/>
  <c r="D483" i="2"/>
  <c r="H438" i="2"/>
  <c r="I295" i="2"/>
  <c r="R72" i="2"/>
  <c r="K96" i="2"/>
  <c r="F483" i="2"/>
  <c r="Q438" i="2"/>
  <c r="N324" i="2"/>
  <c r="L96" i="2"/>
  <c r="R324" i="2"/>
  <c r="I483" i="2"/>
  <c r="C96" i="2"/>
  <c r="H324" i="2"/>
  <c r="P429" i="2"/>
  <c r="L488" i="2"/>
  <c r="P253" i="2"/>
  <c r="E96" i="2"/>
  <c r="J324" i="2"/>
  <c r="J483" i="2"/>
  <c r="O324" i="2"/>
  <c r="R295" i="2"/>
  <c r="I96" i="2"/>
  <c r="C483" i="2"/>
  <c r="F96" i="2"/>
  <c r="K449" i="2"/>
  <c r="G295" i="2"/>
  <c r="K295" i="2"/>
  <c r="I324" i="2"/>
  <c r="J253" i="2"/>
  <c r="Q488" i="2"/>
  <c r="D253" i="2"/>
  <c r="H295" i="2"/>
  <c r="G96" i="2"/>
  <c r="F295" i="2"/>
  <c r="G72" i="2"/>
  <c r="C449" i="2"/>
  <c r="Q324" i="2"/>
  <c r="C324" i="2"/>
  <c r="Q483" i="2"/>
  <c r="L324" i="2"/>
  <c r="K438" i="2"/>
  <c r="O295" i="2"/>
  <c r="H429" i="2"/>
  <c r="P488" i="2"/>
  <c r="O429" i="2"/>
  <c r="D72" i="2"/>
  <c r="R483" i="2"/>
  <c r="O449" i="2"/>
  <c r="I429" i="2"/>
  <c r="D438" i="2"/>
  <c r="M72" i="2"/>
  <c r="I253" i="2"/>
  <c r="N483" i="2"/>
  <c r="K429" i="2"/>
  <c r="J429" i="2"/>
  <c r="N429" i="2"/>
  <c r="J72" i="2"/>
  <c r="D488" i="2"/>
  <c r="K488" i="2"/>
  <c r="Q449" i="2"/>
  <c r="H96" i="2"/>
  <c r="E295" i="2"/>
  <c r="E488" i="2"/>
  <c r="O253" i="2"/>
  <c r="N449" i="2"/>
  <c r="C253" i="2"/>
  <c r="P483" i="2"/>
  <c r="H253" i="2"/>
  <c r="H483" i="2"/>
  <c r="L429" i="2"/>
  <c r="R488" i="2"/>
  <c r="Q96" i="2"/>
  <c r="P438" i="2"/>
  <c r="M295" i="2"/>
  <c r="M449" i="2"/>
  <c r="I72" i="2"/>
  <c r="H449" i="2"/>
  <c r="J438" i="2"/>
  <c r="J96" i="2"/>
  <c r="E72" i="2"/>
  <c r="G449" i="2"/>
  <c r="O488" i="2"/>
  <c r="C72" i="2"/>
  <c r="L253" i="2"/>
  <c r="Q72" i="2"/>
  <c r="N253" i="2"/>
  <c r="M324" i="2"/>
  <c r="F449" i="2"/>
  <c r="P295" i="2"/>
  <c r="J488" i="2"/>
  <c r="O96" i="2"/>
  <c r="P449" i="2"/>
  <c r="L438" i="2"/>
  <c r="E324" i="2"/>
  <c r="F324" i="2"/>
  <c r="E438" i="2"/>
  <c r="D449" i="2"/>
  <c r="F429" i="2"/>
  <c r="G438" i="2"/>
  <c r="K483" i="2"/>
  <c r="M429" i="2"/>
  <c r="C438" i="2"/>
  <c r="R96" i="2"/>
  <c r="Q295" i="2"/>
  <c r="I449" i="2"/>
  <c r="G488" i="2"/>
  <c r="L72" i="2"/>
  <c r="H488" i="2"/>
  <c r="K324" i="2"/>
  <c r="G429" i="2"/>
  <c r="E253" i="2"/>
  <c r="G253" i="2"/>
  <c r="M77" i="2"/>
  <c r="M51" i="2"/>
  <c r="J157" i="2"/>
  <c r="H206" i="2"/>
  <c r="I157" i="2"/>
  <c r="I284" i="2"/>
  <c r="R20" i="2"/>
  <c r="M157" i="2"/>
  <c r="I51" i="2"/>
  <c r="F51" i="2"/>
  <c r="D157" i="2"/>
  <c r="N51" i="2"/>
  <c r="E77" i="2"/>
  <c r="D20" i="2"/>
  <c r="R51" i="2"/>
  <c r="E450" i="2"/>
  <c r="E51" i="2"/>
  <c r="N20" i="2"/>
  <c r="J469" i="2"/>
  <c r="Q361" i="2"/>
  <c r="I469" i="2"/>
  <c r="D243" i="2"/>
  <c r="J243" i="2"/>
  <c r="I450" i="2"/>
  <c r="Q243" i="2"/>
  <c r="L157" i="2"/>
  <c r="L77" i="2"/>
  <c r="L469" i="2"/>
  <c r="K469" i="2"/>
  <c r="K20" i="2"/>
  <c r="L243" i="2"/>
  <c r="H361" i="2"/>
  <c r="O206" i="2"/>
  <c r="C206" i="2"/>
  <c r="N450" i="2"/>
  <c r="P206" i="2"/>
  <c r="O361" i="2"/>
  <c r="R77" i="2"/>
  <c r="H469" i="2"/>
  <c r="I206" i="2"/>
  <c r="J206" i="2"/>
  <c r="H51" i="2"/>
  <c r="O469" i="2"/>
  <c r="E469" i="2"/>
  <c r="M243" i="2"/>
  <c r="G77" i="2"/>
  <c r="G284" i="2"/>
  <c r="F450" i="2"/>
  <c r="K77" i="2"/>
  <c r="M284" i="2"/>
  <c r="D206" i="2"/>
  <c r="M450" i="2"/>
  <c r="K243" i="2"/>
  <c r="K157" i="2"/>
  <c r="Q157" i="2"/>
  <c r="O157" i="2"/>
  <c r="L361" i="2"/>
  <c r="P77" i="2"/>
  <c r="C243" i="2"/>
  <c r="C450" i="2"/>
  <c r="I361" i="2"/>
  <c r="R450" i="2"/>
  <c r="Q206" i="2"/>
  <c r="P284" i="2"/>
  <c r="F157" i="2"/>
  <c r="G157" i="2"/>
  <c r="G469" i="2"/>
  <c r="J20" i="2"/>
  <c r="G361" i="2"/>
  <c r="O284" i="2"/>
  <c r="Q450" i="2"/>
  <c r="L20" i="2"/>
  <c r="N206" i="2"/>
  <c r="C284" i="2"/>
  <c r="M469" i="2"/>
  <c r="R157" i="2"/>
  <c r="R284" i="2"/>
  <c r="J77" i="2"/>
  <c r="J51" i="2"/>
  <c r="E157" i="2"/>
  <c r="F469" i="2"/>
  <c r="N243" i="2"/>
  <c r="N284" i="2"/>
  <c r="P469" i="2"/>
  <c r="Q20" i="2"/>
  <c r="M361" i="2"/>
  <c r="G51" i="2"/>
  <c r="F77" i="2"/>
  <c r="N157" i="2"/>
  <c r="G243" i="2"/>
  <c r="O450" i="2"/>
  <c r="P361" i="2"/>
  <c r="J450" i="2"/>
  <c r="C20" i="2"/>
  <c r="J361" i="2"/>
  <c r="Q51" i="2"/>
  <c r="H284" i="2"/>
  <c r="R361" i="2"/>
  <c r="I243" i="2"/>
  <c r="K284" i="2"/>
  <c r="P450" i="2"/>
  <c r="E206" i="2"/>
  <c r="L206" i="2"/>
  <c r="K206" i="2"/>
  <c r="K51" i="2"/>
  <c r="F206" i="2"/>
  <c r="H243" i="2"/>
  <c r="K450" i="2"/>
  <c r="G206" i="2"/>
  <c r="H450" i="2"/>
  <c r="P20" i="2"/>
  <c r="E284" i="2"/>
  <c r="Q469" i="2"/>
  <c r="K361" i="2"/>
  <c r="E243" i="2"/>
  <c r="O77" i="2"/>
  <c r="P157" i="2"/>
  <c r="C469" i="2"/>
  <c r="M20" i="2"/>
  <c r="L450" i="2"/>
  <c r="D361" i="2"/>
  <c r="D450" i="2"/>
  <c r="D77" i="2"/>
  <c r="F20" i="2"/>
  <c r="F284" i="2"/>
  <c r="O243" i="2"/>
  <c r="E20" i="2"/>
  <c r="L51" i="2"/>
  <c r="D284" i="2"/>
  <c r="H77" i="2"/>
  <c r="P243" i="2"/>
  <c r="N77" i="2"/>
  <c r="O51" i="2"/>
  <c r="I77" i="2"/>
  <c r="C51" i="2"/>
  <c r="E361" i="2"/>
  <c r="R243" i="2"/>
  <c r="Q284" i="2"/>
  <c r="D469" i="2"/>
  <c r="O20" i="2"/>
  <c r="D51" i="2"/>
  <c r="C361" i="2"/>
  <c r="J284" i="2"/>
  <c r="M206" i="2"/>
  <c r="H157" i="2"/>
  <c r="R469" i="2"/>
  <c r="F361" i="2"/>
  <c r="H20" i="2"/>
  <c r="G20" i="2"/>
  <c r="C157" i="2"/>
  <c r="I20" i="2"/>
  <c r="G450" i="2"/>
  <c r="F243" i="2"/>
  <c r="N469" i="2"/>
  <c r="C77" i="2"/>
  <c r="R206" i="2"/>
  <c r="N361" i="2"/>
  <c r="L284" i="2"/>
  <c r="Q77" i="2"/>
  <c r="P51" i="2"/>
  <c r="G49" i="2"/>
  <c r="D224" i="2"/>
  <c r="P348" i="2"/>
  <c r="R49" i="2"/>
  <c r="M348" i="2"/>
  <c r="C329" i="2"/>
  <c r="G334" i="2"/>
  <c r="Q415" i="2"/>
  <c r="D126" i="2"/>
  <c r="Q329" i="2"/>
  <c r="M111" i="2"/>
  <c r="H111" i="2"/>
  <c r="M126" i="2"/>
  <c r="I111" i="2"/>
  <c r="K329" i="2"/>
  <c r="Q111" i="2"/>
  <c r="Q348" i="2"/>
  <c r="F334" i="2"/>
  <c r="I329" i="2"/>
  <c r="D128" i="2"/>
  <c r="J128" i="2"/>
  <c r="M49" i="2"/>
  <c r="C224" i="2"/>
  <c r="E415" i="2"/>
  <c r="I348" i="2"/>
  <c r="C74" i="2"/>
  <c r="C111" i="2"/>
  <c r="O74" i="2"/>
  <c r="Q224" i="2"/>
  <c r="P126" i="2"/>
  <c r="E74" i="2"/>
  <c r="I334" i="2"/>
  <c r="G224" i="2"/>
  <c r="R329" i="2"/>
  <c r="F49" i="2"/>
  <c r="N128" i="2"/>
  <c r="E128" i="2"/>
  <c r="N49" i="2"/>
  <c r="D74" i="2"/>
  <c r="P329" i="2"/>
  <c r="F224" i="2"/>
  <c r="Q49" i="2"/>
  <c r="P224" i="2"/>
  <c r="O126" i="2"/>
  <c r="F74" i="2"/>
  <c r="R74" i="2"/>
  <c r="I49" i="2"/>
  <c r="O334" i="2"/>
  <c r="E224" i="2"/>
  <c r="L49" i="2"/>
  <c r="F348" i="2"/>
  <c r="N415" i="2"/>
  <c r="R224" i="2"/>
  <c r="P111" i="2"/>
  <c r="G348" i="2"/>
  <c r="J329" i="2"/>
  <c r="K74" i="2"/>
  <c r="N334" i="2"/>
  <c r="K224" i="2"/>
  <c r="H74" i="2"/>
  <c r="R126" i="2"/>
  <c r="K348" i="2"/>
  <c r="Q334" i="2"/>
  <c r="H334" i="2"/>
  <c r="J126" i="2"/>
  <c r="N348" i="2"/>
  <c r="J334" i="2"/>
  <c r="O111" i="2"/>
  <c r="M74" i="2"/>
  <c r="R348" i="2"/>
  <c r="H49" i="2"/>
  <c r="C49" i="2"/>
  <c r="L348" i="2"/>
  <c r="L74" i="2"/>
  <c r="J49" i="2"/>
  <c r="C128" i="2"/>
  <c r="M415" i="2"/>
  <c r="E329" i="2"/>
  <c r="N126" i="2"/>
  <c r="N74" i="2"/>
  <c r="L224" i="2"/>
  <c r="P128" i="2"/>
  <c r="G128" i="2"/>
  <c r="I224" i="2"/>
  <c r="O49" i="2"/>
  <c r="E348" i="2"/>
  <c r="I126" i="2"/>
  <c r="G111" i="2"/>
  <c r="K126" i="2"/>
  <c r="G74" i="2"/>
  <c r="E111" i="2"/>
  <c r="K415" i="2"/>
  <c r="E334" i="2"/>
  <c r="P74" i="2"/>
  <c r="J415" i="2"/>
  <c r="N111" i="2"/>
  <c r="J348" i="2"/>
  <c r="C348" i="2"/>
  <c r="M224" i="2"/>
  <c r="L126" i="2"/>
  <c r="E49" i="2"/>
  <c r="D329" i="2"/>
  <c r="N329" i="2"/>
  <c r="C415" i="2"/>
  <c r="G415" i="2"/>
  <c r="F329" i="2"/>
  <c r="H128" i="2"/>
  <c r="H348" i="2"/>
  <c r="D49" i="2"/>
  <c r="D348" i="2"/>
  <c r="K49" i="2"/>
  <c r="G329" i="2"/>
  <c r="J74" i="2"/>
  <c r="H329" i="2"/>
  <c r="F415" i="2"/>
  <c r="K334" i="2"/>
  <c r="M334" i="2"/>
  <c r="D334" i="2"/>
  <c r="Q126" i="2"/>
  <c r="P415" i="2"/>
  <c r="I415" i="2"/>
  <c r="N224" i="2"/>
  <c r="L128" i="2"/>
  <c r="M128" i="2"/>
  <c r="C126" i="2"/>
  <c r="M329" i="2"/>
  <c r="L329" i="2"/>
  <c r="H224" i="2"/>
  <c r="F126" i="2"/>
  <c r="Q74" i="2"/>
  <c r="J111" i="2"/>
  <c r="L334" i="2"/>
  <c r="J224" i="2"/>
  <c r="R415" i="2"/>
  <c r="L111" i="2"/>
  <c r="E126" i="2"/>
  <c r="K111" i="2"/>
  <c r="L415" i="2"/>
  <c r="O415" i="2"/>
  <c r="R334" i="2"/>
  <c r="I128" i="2"/>
  <c r="R111" i="2"/>
  <c r="F111" i="2"/>
  <c r="H415" i="2"/>
  <c r="R128" i="2"/>
  <c r="K128" i="2"/>
  <c r="O128" i="2"/>
  <c r="F128" i="2"/>
  <c r="G126" i="2"/>
  <c r="C334" i="2"/>
  <c r="O329" i="2"/>
  <c r="I74" i="2"/>
  <c r="P334" i="2"/>
  <c r="D415" i="2"/>
  <c r="O224" i="2"/>
  <c r="O348" i="2"/>
  <c r="H126" i="2"/>
  <c r="Q128" i="2"/>
  <c r="P49" i="2"/>
  <c r="D111" i="2"/>
  <c r="N357" i="2"/>
  <c r="F65" i="2"/>
  <c r="O141" i="2"/>
  <c r="Q387" i="2"/>
  <c r="M155" i="2"/>
  <c r="H127" i="2"/>
  <c r="R144" i="2"/>
  <c r="P144" i="2"/>
  <c r="R278" i="2"/>
  <c r="D278" i="2"/>
  <c r="P357" i="2"/>
  <c r="L182" i="2"/>
  <c r="F144" i="2"/>
  <c r="H357" i="2"/>
  <c r="H144" i="2"/>
  <c r="P85" i="2"/>
  <c r="J141" i="2"/>
  <c r="I278" i="2"/>
  <c r="E85" i="2"/>
  <c r="Q182" i="2"/>
  <c r="L387" i="2"/>
  <c r="K144" i="2"/>
  <c r="Q155" i="2"/>
  <c r="I141" i="2"/>
  <c r="J278" i="2"/>
  <c r="K278" i="2"/>
  <c r="D127" i="2"/>
  <c r="P127" i="2"/>
  <c r="P65" i="2"/>
  <c r="P141" i="2"/>
  <c r="I85" i="2"/>
  <c r="N182" i="2"/>
  <c r="C155" i="2"/>
  <c r="Q278" i="2"/>
  <c r="F127" i="2"/>
  <c r="D387" i="2"/>
  <c r="D357" i="2"/>
  <c r="R85" i="2"/>
  <c r="E144" i="2"/>
  <c r="L65" i="2"/>
  <c r="L127" i="2"/>
  <c r="I65" i="2"/>
  <c r="L85" i="2"/>
  <c r="C278" i="2"/>
  <c r="K182" i="2"/>
  <c r="N278" i="2"/>
  <c r="K65" i="2"/>
  <c r="H387" i="2"/>
  <c r="N387" i="2"/>
  <c r="J357" i="2"/>
  <c r="O357" i="2"/>
  <c r="F141" i="2"/>
  <c r="R65" i="2"/>
  <c r="O155" i="2"/>
  <c r="C65" i="2"/>
  <c r="G144" i="2"/>
  <c r="F155" i="2"/>
  <c r="L144" i="2"/>
  <c r="E65" i="2"/>
  <c r="H155" i="2"/>
  <c r="K141" i="2"/>
  <c r="E182" i="2"/>
  <c r="L141" i="2"/>
  <c r="M182" i="2"/>
  <c r="I155" i="2"/>
  <c r="C144" i="2"/>
  <c r="E278" i="2"/>
  <c r="G357" i="2"/>
  <c r="H182" i="2"/>
  <c r="Q144" i="2"/>
  <c r="M144" i="2"/>
  <c r="E155" i="2"/>
  <c r="O127" i="2"/>
  <c r="G141" i="2"/>
  <c r="O182" i="2"/>
  <c r="R155" i="2"/>
  <c r="R387" i="2"/>
  <c r="G127" i="2"/>
  <c r="R127" i="2"/>
  <c r="R182" i="2"/>
  <c r="D155" i="2"/>
  <c r="E141" i="2"/>
  <c r="J144" i="2"/>
  <c r="H65" i="2"/>
  <c r="R141" i="2"/>
  <c r="C85" i="2"/>
  <c r="F357" i="2"/>
  <c r="C127" i="2"/>
  <c r="J85" i="2"/>
  <c r="O65" i="2"/>
  <c r="M357" i="2"/>
  <c r="H85" i="2"/>
  <c r="N144" i="2"/>
  <c r="K85" i="2"/>
  <c r="N127" i="2"/>
  <c r="C387" i="2"/>
  <c r="C357" i="2"/>
  <c r="D65" i="2"/>
  <c r="K127" i="2"/>
  <c r="J65" i="2"/>
  <c r="C182" i="2"/>
  <c r="L278" i="2"/>
  <c r="Q357" i="2"/>
  <c r="F387" i="2"/>
  <c r="D85" i="2"/>
  <c r="I182" i="2"/>
  <c r="I387" i="2"/>
  <c r="J182" i="2"/>
  <c r="L357" i="2"/>
  <c r="G65" i="2"/>
  <c r="P155" i="2"/>
  <c r="F278" i="2"/>
  <c r="E357" i="2"/>
  <c r="F85" i="2"/>
  <c r="H141" i="2"/>
  <c r="N65" i="2"/>
  <c r="M278" i="2"/>
  <c r="M85" i="2"/>
  <c r="P182" i="2"/>
  <c r="O387" i="2"/>
  <c r="O85" i="2"/>
  <c r="D182" i="2"/>
  <c r="I144" i="2"/>
  <c r="G155" i="2"/>
  <c r="Q141" i="2"/>
  <c r="C141" i="2"/>
  <c r="G387" i="2"/>
  <c r="N155" i="2"/>
  <c r="J155" i="2"/>
  <c r="I357" i="2"/>
  <c r="N141" i="2"/>
  <c r="K357" i="2"/>
  <c r="N85" i="2"/>
  <c r="D141" i="2"/>
  <c r="M65" i="2"/>
  <c r="F182" i="2"/>
  <c r="E387" i="2"/>
  <c r="P278" i="2"/>
  <c r="Q127" i="2"/>
  <c r="I127" i="2"/>
  <c r="K155" i="2"/>
  <c r="O278" i="2"/>
  <c r="G85" i="2"/>
  <c r="J387" i="2"/>
  <c r="J127" i="2"/>
  <c r="M127" i="2"/>
  <c r="H278" i="2"/>
  <c r="D144" i="2"/>
  <c r="M387" i="2"/>
  <c r="P387" i="2"/>
  <c r="M141" i="2"/>
  <c r="E127" i="2"/>
  <c r="G182" i="2"/>
  <c r="O144" i="2"/>
  <c r="G278" i="2"/>
  <c r="K387" i="2"/>
  <c r="Q65" i="2"/>
  <c r="L155" i="2"/>
  <c r="R357" i="2"/>
  <c r="Q85" i="2"/>
  <c r="M386" i="2"/>
  <c r="C396" i="2"/>
  <c r="O346" i="2"/>
  <c r="K64" i="2"/>
  <c r="J396" i="2"/>
  <c r="L64" i="2"/>
  <c r="K68" i="2"/>
  <c r="P310" i="2"/>
  <c r="R64" i="2"/>
  <c r="N190" i="2"/>
  <c r="O396" i="2"/>
  <c r="H298" i="2"/>
  <c r="M68" i="2"/>
  <c r="P64" i="2"/>
  <c r="R346" i="2"/>
  <c r="M64" i="2"/>
  <c r="H346" i="2"/>
  <c r="J346" i="2"/>
  <c r="M346" i="2"/>
  <c r="K350" i="2"/>
  <c r="R350" i="2"/>
  <c r="F64" i="2"/>
  <c r="G190" i="2"/>
  <c r="N64" i="2"/>
  <c r="D190" i="2"/>
  <c r="Q396" i="2"/>
  <c r="Q64" i="2"/>
  <c r="M298" i="2"/>
  <c r="J190" i="2"/>
  <c r="F346" i="2"/>
  <c r="H68" i="2"/>
  <c r="P190" i="2"/>
  <c r="D298" i="2"/>
  <c r="F396" i="2"/>
  <c r="O310" i="2"/>
  <c r="E350" i="2"/>
  <c r="I190" i="2"/>
  <c r="L386" i="2"/>
  <c r="C68" i="2"/>
  <c r="D68" i="2"/>
  <c r="K386" i="2"/>
  <c r="C102" i="2"/>
  <c r="H310" i="2"/>
  <c r="H386" i="2"/>
  <c r="E396" i="2"/>
  <c r="L396" i="2"/>
  <c r="N346" i="2"/>
  <c r="L190" i="2"/>
  <c r="M310" i="2"/>
  <c r="I396" i="2"/>
  <c r="R396" i="2"/>
  <c r="J386" i="2"/>
  <c r="Q310" i="2"/>
  <c r="M350" i="2"/>
  <c r="H396" i="2"/>
  <c r="D64" i="2"/>
  <c r="F102" i="2"/>
  <c r="Q346" i="2"/>
  <c r="P68" i="2"/>
  <c r="D346" i="2"/>
  <c r="F310" i="2"/>
  <c r="C310" i="2"/>
  <c r="J68" i="2"/>
  <c r="Q298" i="2"/>
  <c r="H102" i="2"/>
  <c r="O64" i="2"/>
  <c r="K190" i="2"/>
  <c r="P396" i="2"/>
  <c r="G396" i="2"/>
  <c r="H190" i="2"/>
  <c r="D396" i="2"/>
  <c r="D310" i="2"/>
  <c r="M102" i="2"/>
  <c r="D102" i="2"/>
  <c r="C190" i="2"/>
  <c r="J310" i="2"/>
  <c r="N386" i="2"/>
  <c r="K396" i="2"/>
  <c r="I350" i="2"/>
  <c r="F386" i="2"/>
  <c r="J102" i="2"/>
  <c r="I102" i="2"/>
  <c r="L346" i="2"/>
  <c r="K346" i="2"/>
  <c r="M396" i="2"/>
  <c r="O386" i="2"/>
  <c r="Q350" i="2"/>
  <c r="C298" i="2"/>
  <c r="G102" i="2"/>
  <c r="E64" i="2"/>
  <c r="G350" i="2"/>
  <c r="R310" i="2"/>
  <c r="Q68" i="2"/>
  <c r="I68" i="2"/>
  <c r="E190" i="2"/>
  <c r="R102" i="2"/>
  <c r="O350" i="2"/>
  <c r="E346" i="2"/>
  <c r="C64" i="2"/>
  <c r="D350" i="2"/>
  <c r="O190" i="2"/>
  <c r="P350" i="2"/>
  <c r="F190" i="2"/>
  <c r="I64" i="2"/>
  <c r="E102" i="2"/>
  <c r="Q386" i="2"/>
  <c r="O68" i="2"/>
  <c r="J64" i="2"/>
  <c r="G386" i="2"/>
  <c r="E298" i="2"/>
  <c r="G64" i="2"/>
  <c r="R298" i="2"/>
  <c r="G68" i="2"/>
  <c r="R68" i="2"/>
  <c r="C386" i="2"/>
  <c r="E310" i="2"/>
  <c r="F298" i="2"/>
  <c r="N102" i="2"/>
  <c r="Q190" i="2"/>
  <c r="I346" i="2"/>
  <c r="E386" i="2"/>
  <c r="O298" i="2"/>
  <c r="P102" i="2"/>
  <c r="N298" i="2"/>
  <c r="E68" i="2"/>
  <c r="G310" i="2"/>
  <c r="R386" i="2"/>
  <c r="J298" i="2"/>
  <c r="G298" i="2"/>
  <c r="I298" i="2"/>
  <c r="P346" i="2"/>
  <c r="C346" i="2"/>
  <c r="N310" i="2"/>
  <c r="L350" i="2"/>
  <c r="N68" i="2"/>
  <c r="K298" i="2"/>
  <c r="K102" i="2"/>
  <c r="K310" i="2"/>
  <c r="H350" i="2"/>
  <c r="L298" i="2"/>
  <c r="M190" i="2"/>
  <c r="O102" i="2"/>
  <c r="F350" i="2"/>
  <c r="Q102" i="2"/>
  <c r="C350" i="2"/>
  <c r="I310" i="2"/>
  <c r="J350" i="2"/>
  <c r="P386" i="2"/>
  <c r="I386" i="2"/>
  <c r="L68" i="2"/>
  <c r="N396" i="2"/>
  <c r="F68" i="2"/>
  <c r="G346" i="2"/>
  <c r="R190" i="2"/>
  <c r="H64" i="2"/>
  <c r="D386" i="2"/>
  <c r="L102" i="2"/>
  <c r="L310" i="2"/>
  <c r="P298" i="2"/>
  <c r="N350" i="2"/>
  <c r="Q427" i="2"/>
  <c r="M150" i="2"/>
  <c r="F170" i="2"/>
  <c r="O151" i="2"/>
  <c r="C316" i="2"/>
  <c r="P151" i="2"/>
  <c r="Q129" i="2"/>
  <c r="M107" i="2"/>
  <c r="C185" i="2"/>
  <c r="E107" i="2"/>
  <c r="Q316" i="2"/>
  <c r="H107" i="2"/>
  <c r="O427" i="2"/>
  <c r="O185" i="2"/>
  <c r="F427" i="2"/>
  <c r="E27" i="2"/>
  <c r="M170" i="2"/>
  <c r="Q170" i="2"/>
  <c r="P196" i="2"/>
  <c r="J170" i="2"/>
  <c r="E150" i="2"/>
  <c r="G27" i="2"/>
  <c r="F151" i="2"/>
  <c r="H196" i="2"/>
  <c r="D107" i="2"/>
  <c r="F27" i="2"/>
  <c r="L151" i="2"/>
  <c r="F316" i="2"/>
  <c r="R107" i="2"/>
  <c r="I170" i="2"/>
  <c r="I150" i="2"/>
  <c r="H316" i="2"/>
  <c r="M427" i="2"/>
  <c r="M196" i="2"/>
  <c r="P129" i="2"/>
  <c r="L170" i="2"/>
  <c r="H151" i="2"/>
  <c r="R427" i="2"/>
  <c r="G151" i="2"/>
  <c r="J107" i="2"/>
  <c r="N150" i="2"/>
  <c r="Q27" i="2"/>
  <c r="M129" i="2"/>
  <c r="Q151" i="2"/>
  <c r="N107" i="2"/>
  <c r="N170" i="2"/>
  <c r="F107" i="2"/>
  <c r="K150" i="2"/>
  <c r="G129" i="2"/>
  <c r="D427" i="2"/>
  <c r="C129" i="2"/>
  <c r="P170" i="2"/>
  <c r="L129" i="2"/>
  <c r="R185" i="2"/>
  <c r="K196" i="2"/>
  <c r="G170" i="2"/>
  <c r="M151" i="2"/>
  <c r="D185" i="2"/>
  <c r="E185" i="2"/>
  <c r="Q196" i="2"/>
  <c r="F185" i="2"/>
  <c r="K316" i="2"/>
  <c r="C150" i="2"/>
  <c r="P427" i="2"/>
  <c r="J316" i="2"/>
  <c r="J185" i="2"/>
  <c r="J27" i="2"/>
  <c r="C427" i="2"/>
  <c r="L185" i="2"/>
  <c r="C170" i="2"/>
  <c r="N427" i="2"/>
  <c r="H129" i="2"/>
  <c r="L27" i="2"/>
  <c r="C107" i="2"/>
  <c r="K129" i="2"/>
  <c r="J129" i="2"/>
  <c r="I196" i="2"/>
  <c r="D196" i="2"/>
  <c r="D151" i="2"/>
  <c r="Q185" i="2"/>
  <c r="N151" i="2"/>
  <c r="L107" i="2"/>
  <c r="O196" i="2"/>
  <c r="K185" i="2"/>
  <c r="N129" i="2"/>
  <c r="C27" i="2"/>
  <c r="E196" i="2"/>
  <c r="G316" i="2"/>
  <c r="J427" i="2"/>
  <c r="O129" i="2"/>
  <c r="K170" i="2"/>
  <c r="K151" i="2"/>
  <c r="Q150" i="2"/>
  <c r="O27" i="2"/>
  <c r="E427" i="2"/>
  <c r="O107" i="2"/>
  <c r="H185" i="2"/>
  <c r="M316" i="2"/>
  <c r="N196" i="2"/>
  <c r="L150" i="2"/>
  <c r="E151" i="2"/>
  <c r="N27" i="2"/>
  <c r="R196" i="2"/>
  <c r="D27" i="2"/>
  <c r="J196" i="2"/>
  <c r="J150" i="2"/>
  <c r="G185" i="2"/>
  <c r="C151" i="2"/>
  <c r="R150" i="2"/>
  <c r="H27" i="2"/>
  <c r="I27" i="2"/>
  <c r="R129" i="2"/>
  <c r="P107" i="2"/>
  <c r="D129" i="2"/>
  <c r="L196" i="2"/>
  <c r="M185" i="2"/>
  <c r="G150" i="2"/>
  <c r="P316" i="2"/>
  <c r="I151" i="2"/>
  <c r="K427" i="2"/>
  <c r="H150" i="2"/>
  <c r="D150" i="2"/>
  <c r="K27" i="2"/>
  <c r="D316" i="2"/>
  <c r="D170" i="2"/>
  <c r="I107" i="2"/>
  <c r="R170" i="2"/>
  <c r="I427" i="2"/>
  <c r="R151" i="2"/>
  <c r="G107" i="2"/>
  <c r="N185" i="2"/>
  <c r="C196" i="2"/>
  <c r="M27" i="2"/>
  <c r="G427" i="2"/>
  <c r="R316" i="2"/>
  <c r="F129" i="2"/>
  <c r="O170" i="2"/>
  <c r="I316" i="2"/>
  <c r="P150" i="2"/>
  <c r="K107" i="2"/>
  <c r="E316" i="2"/>
  <c r="E170" i="2"/>
  <c r="R27" i="2"/>
  <c r="F196" i="2"/>
  <c r="F150" i="2"/>
  <c r="N316" i="2"/>
  <c r="L427" i="2"/>
  <c r="I129" i="2"/>
  <c r="L316" i="2"/>
  <c r="I185" i="2"/>
  <c r="P27" i="2"/>
  <c r="H170" i="2"/>
  <c r="O150" i="2"/>
  <c r="H427" i="2"/>
  <c r="G196" i="2"/>
  <c r="P185" i="2"/>
  <c r="O316" i="2"/>
  <c r="E129" i="2"/>
  <c r="Q107" i="2"/>
  <c r="J151" i="2"/>
  <c r="L179" i="2"/>
  <c r="E179" i="2"/>
  <c r="F480" i="2"/>
  <c r="K392" i="2"/>
  <c r="C392" i="2"/>
  <c r="I117" i="2"/>
  <c r="N179" i="2"/>
  <c r="Q179" i="2"/>
  <c r="I480" i="2"/>
  <c r="I179" i="2"/>
  <c r="R480" i="2"/>
  <c r="N392" i="2"/>
  <c r="D325" i="2"/>
  <c r="K117" i="2"/>
  <c r="C255" i="2"/>
  <c r="O420" i="2"/>
  <c r="J472" i="2"/>
  <c r="D392" i="2"/>
  <c r="K420" i="2"/>
  <c r="F472" i="2"/>
  <c r="M325" i="2"/>
  <c r="P179" i="2"/>
  <c r="D117" i="2"/>
  <c r="L285" i="2"/>
  <c r="P117" i="2"/>
  <c r="Q255" i="2"/>
  <c r="J392" i="2"/>
  <c r="K480" i="2"/>
  <c r="F285" i="2"/>
  <c r="J164" i="2"/>
  <c r="O117" i="2"/>
  <c r="M117" i="2"/>
  <c r="L420" i="2"/>
  <c r="I472" i="2"/>
  <c r="P392" i="2"/>
  <c r="R285" i="2"/>
  <c r="G472" i="2"/>
  <c r="O472" i="2"/>
  <c r="D255" i="2"/>
  <c r="O325" i="2"/>
  <c r="H179" i="2"/>
  <c r="E420" i="2"/>
  <c r="L472" i="2"/>
  <c r="C179" i="2"/>
  <c r="L325" i="2"/>
  <c r="K255" i="2"/>
  <c r="I392" i="2"/>
  <c r="C480" i="2"/>
  <c r="G285" i="2"/>
  <c r="C285" i="2"/>
  <c r="L392" i="2"/>
  <c r="E117" i="2"/>
  <c r="N420" i="2"/>
  <c r="M472" i="2"/>
  <c r="D179" i="2"/>
  <c r="F325" i="2"/>
  <c r="H164" i="2"/>
  <c r="C420" i="2"/>
  <c r="Q117" i="2"/>
  <c r="H325" i="2"/>
  <c r="F117" i="2"/>
  <c r="M480" i="2"/>
  <c r="P255" i="2"/>
  <c r="D480" i="2"/>
  <c r="M164" i="2"/>
  <c r="N164" i="2"/>
  <c r="E480" i="2"/>
  <c r="E392" i="2"/>
  <c r="P420" i="2"/>
  <c r="D164" i="2"/>
  <c r="D285" i="2"/>
  <c r="P472" i="2"/>
  <c r="M392" i="2"/>
  <c r="M179" i="2"/>
  <c r="G392" i="2"/>
  <c r="P325" i="2"/>
  <c r="P164" i="2"/>
  <c r="F420" i="2"/>
  <c r="N285" i="2"/>
  <c r="M285" i="2"/>
  <c r="G420" i="2"/>
  <c r="C325" i="2"/>
  <c r="H392" i="2"/>
  <c r="R179" i="2"/>
  <c r="C164" i="2"/>
  <c r="J117" i="2"/>
  <c r="O480" i="2"/>
  <c r="F179" i="2"/>
  <c r="L255" i="2"/>
  <c r="N480" i="2"/>
  <c r="K472" i="2"/>
  <c r="L117" i="2"/>
  <c r="K179" i="2"/>
  <c r="R325" i="2"/>
  <c r="Q472" i="2"/>
  <c r="Q325" i="2"/>
  <c r="P480" i="2"/>
  <c r="C472" i="2"/>
  <c r="J285" i="2"/>
  <c r="O179" i="2"/>
  <c r="E472" i="2"/>
  <c r="H255" i="2"/>
  <c r="O255" i="2"/>
  <c r="E285" i="2"/>
  <c r="E164" i="2"/>
  <c r="G480" i="2"/>
  <c r="E255" i="2"/>
  <c r="D472" i="2"/>
  <c r="Q285" i="2"/>
  <c r="F392" i="2"/>
  <c r="J420" i="2"/>
  <c r="H420" i="2"/>
  <c r="R117" i="2"/>
  <c r="P285" i="2"/>
  <c r="K325" i="2"/>
  <c r="R420" i="2"/>
  <c r="O164" i="2"/>
  <c r="I325" i="2"/>
  <c r="Q164" i="2"/>
  <c r="K285" i="2"/>
  <c r="E325" i="2"/>
  <c r="H117" i="2"/>
  <c r="R255" i="2"/>
  <c r="O285" i="2"/>
  <c r="M255" i="2"/>
  <c r="G179" i="2"/>
  <c r="J255" i="2"/>
  <c r="O392" i="2"/>
  <c r="L164" i="2"/>
  <c r="F255" i="2"/>
  <c r="I255" i="2"/>
  <c r="G325" i="2"/>
  <c r="I285" i="2"/>
  <c r="Q420" i="2"/>
  <c r="R164" i="2"/>
  <c r="N117" i="2"/>
  <c r="G255" i="2"/>
  <c r="C117" i="2"/>
  <c r="M420" i="2"/>
  <c r="J480" i="2"/>
  <c r="K164" i="2"/>
  <c r="J325" i="2"/>
  <c r="Q392" i="2"/>
  <c r="H480" i="2"/>
  <c r="R472" i="2"/>
  <c r="Q480" i="2"/>
  <c r="F164" i="2"/>
  <c r="N472" i="2"/>
  <c r="I420" i="2"/>
  <c r="I164" i="2"/>
  <c r="H472" i="2"/>
  <c r="G164" i="2"/>
  <c r="R392" i="2"/>
  <c r="N255" i="2"/>
  <c r="J179" i="2"/>
  <c r="H285" i="2"/>
  <c r="D420" i="2"/>
  <c r="N325" i="2"/>
  <c r="G117" i="2"/>
  <c r="L480" i="2"/>
  <c r="N309" i="2"/>
  <c r="H213" i="2"/>
  <c r="F61" i="2"/>
  <c r="I87" i="2"/>
  <c r="I101" i="2"/>
  <c r="E219" i="2"/>
  <c r="F169" i="2"/>
  <c r="F213" i="2"/>
  <c r="H503" i="2"/>
  <c r="L87" i="2"/>
  <c r="Q213" i="2"/>
  <c r="Q101" i="2"/>
  <c r="M219" i="2"/>
  <c r="Q309" i="2"/>
  <c r="M406" i="2"/>
  <c r="D312" i="2"/>
  <c r="N503" i="2"/>
  <c r="E312" i="2"/>
  <c r="N219" i="2"/>
  <c r="M87" i="2"/>
  <c r="Q219" i="2"/>
  <c r="Q61" i="2"/>
  <c r="L406" i="2"/>
  <c r="F101" i="2"/>
  <c r="C309" i="2"/>
  <c r="D309" i="2"/>
  <c r="J406" i="2"/>
  <c r="K213" i="2"/>
  <c r="J169" i="2"/>
  <c r="H406" i="2"/>
  <c r="H309" i="2"/>
  <c r="M213" i="2"/>
  <c r="Q87" i="2"/>
  <c r="D213" i="2"/>
  <c r="R61" i="2"/>
  <c r="R219" i="2"/>
  <c r="R101" i="2"/>
  <c r="C213" i="2"/>
  <c r="N406" i="2"/>
  <c r="I61" i="2"/>
  <c r="R213" i="2"/>
  <c r="C87" i="2"/>
  <c r="J312" i="2"/>
  <c r="J61" i="2"/>
  <c r="H312" i="2"/>
  <c r="M61" i="2"/>
  <c r="E169" i="2"/>
  <c r="R503" i="2"/>
  <c r="L219" i="2"/>
  <c r="D61" i="2"/>
  <c r="D503" i="2"/>
  <c r="H219" i="2"/>
  <c r="L309" i="2"/>
  <c r="P503" i="2"/>
  <c r="L61" i="2"/>
  <c r="L503" i="2"/>
  <c r="G101" i="2"/>
  <c r="J101" i="2"/>
  <c r="E309" i="2"/>
  <c r="G87" i="2"/>
  <c r="O312" i="2"/>
  <c r="H169" i="2"/>
  <c r="O503" i="2"/>
  <c r="F312" i="2"/>
  <c r="G309" i="2"/>
  <c r="I312" i="2"/>
  <c r="G61" i="2"/>
  <c r="K406" i="2"/>
  <c r="Q312" i="2"/>
  <c r="H61" i="2"/>
  <c r="R312" i="2"/>
  <c r="L101" i="2"/>
  <c r="N312" i="2"/>
  <c r="E503" i="2"/>
  <c r="R406" i="2"/>
  <c r="K87" i="2"/>
  <c r="M312" i="2"/>
  <c r="N169" i="2"/>
  <c r="G219" i="2"/>
  <c r="F406" i="2"/>
  <c r="E101" i="2"/>
  <c r="L169" i="2"/>
  <c r="K503" i="2"/>
  <c r="N61" i="2"/>
  <c r="J309" i="2"/>
  <c r="D87" i="2"/>
  <c r="P213" i="2"/>
  <c r="M169" i="2"/>
  <c r="J503" i="2"/>
  <c r="O309" i="2"/>
  <c r="G406" i="2"/>
  <c r="O101" i="2"/>
  <c r="D219" i="2"/>
  <c r="F87" i="2"/>
  <c r="F309" i="2"/>
  <c r="P406" i="2"/>
  <c r="I309" i="2"/>
  <c r="N87" i="2"/>
  <c r="I406" i="2"/>
  <c r="O213" i="2"/>
  <c r="Q406" i="2"/>
  <c r="Q169" i="2"/>
  <c r="K61" i="2"/>
  <c r="C406" i="2"/>
  <c r="R309" i="2"/>
  <c r="J213" i="2"/>
  <c r="K219" i="2"/>
  <c r="C169" i="2"/>
  <c r="R87" i="2"/>
  <c r="G312" i="2"/>
  <c r="D169" i="2"/>
  <c r="J87" i="2"/>
  <c r="O87" i="2"/>
  <c r="O219" i="2"/>
  <c r="C101" i="2"/>
  <c r="D101" i="2"/>
  <c r="R169" i="2"/>
  <c r="E213" i="2"/>
  <c r="G503" i="2"/>
  <c r="M309" i="2"/>
  <c r="M503" i="2"/>
  <c r="I503" i="2"/>
  <c r="I213" i="2"/>
  <c r="K169" i="2"/>
  <c r="C219" i="2"/>
  <c r="F503" i="2"/>
  <c r="C503" i="2"/>
  <c r="P219" i="2"/>
  <c r="E61" i="2"/>
  <c r="P169" i="2"/>
  <c r="K309" i="2"/>
  <c r="F219" i="2"/>
  <c r="G169" i="2"/>
  <c r="K101" i="2"/>
  <c r="P312" i="2"/>
  <c r="D406" i="2"/>
  <c r="G213" i="2"/>
  <c r="C312" i="2"/>
  <c r="O406" i="2"/>
  <c r="L312" i="2"/>
  <c r="M101" i="2"/>
  <c r="P87" i="2"/>
  <c r="I219" i="2"/>
  <c r="N101" i="2"/>
  <c r="N213" i="2"/>
  <c r="O169" i="2"/>
  <c r="C61" i="2"/>
  <c r="H87" i="2"/>
  <c r="H101" i="2"/>
  <c r="O61" i="2"/>
  <c r="E406" i="2"/>
  <c r="I169" i="2"/>
  <c r="Q503" i="2"/>
  <c r="P101" i="2"/>
  <c r="K312" i="2"/>
  <c r="P61" i="2"/>
  <c r="E87" i="2"/>
  <c r="P309" i="2"/>
  <c r="L213" i="2"/>
  <c r="J219" i="2"/>
  <c r="G244" i="2"/>
  <c r="M485" i="2"/>
  <c r="H238" i="2"/>
  <c r="Q263" i="2"/>
  <c r="E244" i="2"/>
  <c r="R315" i="2"/>
  <c r="J263" i="2"/>
  <c r="M238" i="2"/>
  <c r="Q148" i="2"/>
  <c r="N238" i="2"/>
  <c r="M244" i="2"/>
  <c r="R272" i="2"/>
  <c r="G263" i="2"/>
  <c r="N485" i="2"/>
  <c r="K451" i="2"/>
  <c r="D270" i="2"/>
  <c r="C238" i="2"/>
  <c r="N272" i="2"/>
  <c r="E148" i="2"/>
  <c r="Q270" i="2"/>
  <c r="C270" i="2"/>
  <c r="O148" i="2"/>
  <c r="J451" i="2"/>
  <c r="Q315" i="2"/>
  <c r="D238" i="2"/>
  <c r="H315" i="2"/>
  <c r="H270" i="2"/>
  <c r="O272" i="2"/>
  <c r="J148" i="2"/>
  <c r="P270" i="2"/>
  <c r="R382" i="2"/>
  <c r="P238" i="2"/>
  <c r="M382" i="2"/>
  <c r="N382" i="2"/>
  <c r="P148" i="2"/>
  <c r="Q238" i="2"/>
  <c r="J244" i="2"/>
  <c r="K315" i="2"/>
  <c r="Q272" i="2"/>
  <c r="I451" i="2"/>
  <c r="O315" i="2"/>
  <c r="F244" i="2"/>
  <c r="J382" i="2"/>
  <c r="C485" i="2"/>
  <c r="N270" i="2"/>
  <c r="M148" i="2"/>
  <c r="F382" i="2"/>
  <c r="F315" i="2"/>
  <c r="L315" i="2"/>
  <c r="K382" i="2"/>
  <c r="L485" i="2"/>
  <c r="O485" i="2"/>
  <c r="D263" i="2"/>
  <c r="H244" i="2"/>
  <c r="N451" i="2"/>
  <c r="M270" i="2"/>
  <c r="N244" i="2"/>
  <c r="O382" i="2"/>
  <c r="R244" i="2"/>
  <c r="L451" i="2"/>
  <c r="I315" i="2"/>
  <c r="D272" i="2"/>
  <c r="F148" i="2"/>
  <c r="P263" i="2"/>
  <c r="D451" i="2"/>
  <c r="G272" i="2"/>
  <c r="K244" i="2"/>
  <c r="P272" i="2"/>
  <c r="L238" i="2"/>
  <c r="M315" i="2"/>
  <c r="E263" i="2"/>
  <c r="P382" i="2"/>
  <c r="F451" i="2"/>
  <c r="I263" i="2"/>
  <c r="J270" i="2"/>
  <c r="E485" i="2"/>
  <c r="P451" i="2"/>
  <c r="F238" i="2"/>
  <c r="P315" i="2"/>
  <c r="D244" i="2"/>
  <c r="H148" i="2"/>
  <c r="N148" i="2"/>
  <c r="F270" i="2"/>
  <c r="R270" i="2"/>
  <c r="L263" i="2"/>
  <c r="C263" i="2"/>
  <c r="E382" i="2"/>
  <c r="L272" i="2"/>
  <c r="G148" i="2"/>
  <c r="K272" i="2"/>
  <c r="D315" i="2"/>
  <c r="N315" i="2"/>
  <c r="C315" i="2"/>
  <c r="H485" i="2"/>
  <c r="I382" i="2"/>
  <c r="F263" i="2"/>
  <c r="P485" i="2"/>
  <c r="H272" i="2"/>
  <c r="D148" i="2"/>
  <c r="J315" i="2"/>
  <c r="K485" i="2"/>
  <c r="J238" i="2"/>
  <c r="I148" i="2"/>
  <c r="L244" i="2"/>
  <c r="H263" i="2"/>
  <c r="C148" i="2"/>
  <c r="E451" i="2"/>
  <c r="F272" i="2"/>
  <c r="D485" i="2"/>
  <c r="F485" i="2"/>
  <c r="I270" i="2"/>
  <c r="I272" i="2"/>
  <c r="I244" i="2"/>
  <c r="R485" i="2"/>
  <c r="G238" i="2"/>
  <c r="E270" i="2"/>
  <c r="Q244" i="2"/>
  <c r="Q451" i="2"/>
  <c r="R451" i="2"/>
  <c r="R263" i="2"/>
  <c r="K263" i="2"/>
  <c r="G270" i="2"/>
  <c r="E315" i="2"/>
  <c r="O270" i="2"/>
  <c r="Q485" i="2"/>
  <c r="L148" i="2"/>
  <c r="C451" i="2"/>
  <c r="E238" i="2"/>
  <c r="I485" i="2"/>
  <c r="D382" i="2"/>
  <c r="Q382" i="2"/>
  <c r="G382" i="2"/>
  <c r="L382" i="2"/>
  <c r="L270" i="2"/>
  <c r="J272" i="2"/>
  <c r="O451" i="2"/>
  <c r="M263" i="2"/>
  <c r="N263" i="2"/>
  <c r="E272" i="2"/>
  <c r="M272" i="2"/>
  <c r="R238" i="2"/>
  <c r="O244" i="2"/>
  <c r="H382" i="2"/>
  <c r="K148" i="2"/>
  <c r="G485" i="2"/>
  <c r="I238" i="2"/>
  <c r="G451" i="2"/>
  <c r="C244" i="2"/>
  <c r="K238" i="2"/>
  <c r="M451" i="2"/>
  <c r="H451" i="2"/>
  <c r="O263" i="2"/>
  <c r="G315" i="2"/>
  <c r="C272" i="2"/>
  <c r="C382" i="2"/>
  <c r="J485" i="2"/>
  <c r="R148" i="2"/>
  <c r="P244" i="2"/>
  <c r="K270" i="2"/>
  <c r="O238" i="2"/>
  <c r="C409" i="2"/>
  <c r="L22" i="2"/>
  <c r="J22" i="2"/>
  <c r="D495" i="2"/>
  <c r="F378" i="2"/>
  <c r="N226" i="2"/>
  <c r="O22" i="2"/>
  <c r="H226" i="2"/>
  <c r="N42" i="2"/>
  <c r="P22" i="2"/>
  <c r="Q42" i="2"/>
  <c r="R409" i="2"/>
  <c r="K22" i="2"/>
  <c r="E495" i="2"/>
  <c r="C42" i="2"/>
  <c r="F409" i="2"/>
  <c r="H260" i="2"/>
  <c r="O260" i="2"/>
  <c r="H495" i="2"/>
  <c r="K260" i="2"/>
  <c r="D409" i="2"/>
  <c r="K226" i="2"/>
  <c r="P398" i="2"/>
  <c r="L42" i="2"/>
  <c r="K501" i="2"/>
  <c r="L226" i="2"/>
  <c r="K198" i="2"/>
  <c r="I398" i="2"/>
  <c r="N198" i="2"/>
  <c r="P226" i="2"/>
  <c r="C378" i="2"/>
  <c r="G226" i="2"/>
  <c r="F42" i="2"/>
  <c r="K495" i="2"/>
  <c r="N378" i="2"/>
  <c r="F260" i="2"/>
  <c r="J378" i="2"/>
  <c r="G501" i="2"/>
  <c r="K378" i="2"/>
  <c r="R198" i="2"/>
  <c r="J398" i="2"/>
  <c r="N495" i="2"/>
  <c r="P42" i="2"/>
  <c r="J226" i="2"/>
  <c r="L501" i="2"/>
  <c r="G398" i="2"/>
  <c r="R501" i="2"/>
  <c r="H398" i="2"/>
  <c r="E501" i="2"/>
  <c r="D501" i="2"/>
  <c r="C495" i="2"/>
  <c r="R22" i="2"/>
  <c r="K409" i="2"/>
  <c r="K42" i="2"/>
  <c r="R42" i="2"/>
  <c r="E226" i="2"/>
  <c r="O495" i="2"/>
  <c r="N409" i="2"/>
  <c r="N22" i="2"/>
  <c r="G22" i="2"/>
  <c r="J409" i="2"/>
  <c r="D42" i="2"/>
  <c r="C501" i="2"/>
  <c r="I22" i="2"/>
  <c r="E198" i="2"/>
  <c r="Q495" i="2"/>
  <c r="C22" i="2"/>
  <c r="O226" i="2"/>
  <c r="P378" i="2"/>
  <c r="R495" i="2"/>
  <c r="K398" i="2"/>
  <c r="O501" i="2"/>
  <c r="E260" i="2"/>
  <c r="M398" i="2"/>
  <c r="Q198" i="2"/>
  <c r="L378" i="2"/>
  <c r="F198" i="2"/>
  <c r="C198" i="2"/>
  <c r="R378" i="2"/>
  <c r="P198" i="2"/>
  <c r="H42" i="2"/>
  <c r="Q260" i="2"/>
  <c r="F226" i="2"/>
  <c r="C260" i="2"/>
  <c r="Q398" i="2"/>
  <c r="F398" i="2"/>
  <c r="P495" i="2"/>
  <c r="M378" i="2"/>
  <c r="D260" i="2"/>
  <c r="P260" i="2"/>
  <c r="P501" i="2"/>
  <c r="D226" i="2"/>
  <c r="I409" i="2"/>
  <c r="D398" i="2"/>
  <c r="Q409" i="2"/>
  <c r="M226" i="2"/>
  <c r="I378" i="2"/>
  <c r="O378" i="2"/>
  <c r="D378" i="2"/>
  <c r="N260" i="2"/>
  <c r="R226" i="2"/>
  <c r="Q378" i="2"/>
  <c r="R260" i="2"/>
  <c r="L198" i="2"/>
  <c r="N398" i="2"/>
  <c r="G198" i="2"/>
  <c r="N501" i="2"/>
  <c r="L495" i="2"/>
  <c r="G378" i="2"/>
  <c r="E398" i="2"/>
  <c r="O198" i="2"/>
  <c r="R398" i="2"/>
  <c r="M42" i="2"/>
  <c r="F495" i="2"/>
  <c r="J501" i="2"/>
  <c r="O398" i="2"/>
  <c r="D22" i="2"/>
  <c r="H501" i="2"/>
  <c r="Q226" i="2"/>
  <c r="C226" i="2"/>
  <c r="G42" i="2"/>
  <c r="D198" i="2"/>
  <c r="G409" i="2"/>
  <c r="L398" i="2"/>
  <c r="J260" i="2"/>
  <c r="G495" i="2"/>
  <c r="P409" i="2"/>
  <c r="J495" i="2"/>
  <c r="H409" i="2"/>
  <c r="L409" i="2"/>
  <c r="E409" i="2"/>
  <c r="O42" i="2"/>
  <c r="M22" i="2"/>
  <c r="M198" i="2"/>
  <c r="I260" i="2"/>
  <c r="J42" i="2"/>
  <c r="J198" i="2"/>
  <c r="H378" i="2"/>
  <c r="Q501" i="2"/>
  <c r="Q22" i="2"/>
  <c r="H22" i="2"/>
  <c r="I198" i="2"/>
  <c r="F501" i="2"/>
  <c r="M501" i="2"/>
  <c r="O409" i="2"/>
  <c r="E22" i="2"/>
  <c r="M495" i="2"/>
  <c r="G260" i="2"/>
  <c r="L260" i="2"/>
  <c r="I42" i="2"/>
  <c r="I226" i="2"/>
  <c r="H198" i="2"/>
  <c r="I495" i="2"/>
  <c r="M409" i="2"/>
  <c r="E42" i="2"/>
  <c r="M260" i="2"/>
  <c r="F22" i="2"/>
  <c r="C398" i="2"/>
  <c r="I501" i="2"/>
  <c r="E378" i="2"/>
  <c r="L248" i="2"/>
  <c r="J439" i="2"/>
  <c r="D248" i="2"/>
  <c r="C345" i="2"/>
  <c r="L465" i="2"/>
  <c r="C465" i="2"/>
  <c r="H344" i="2"/>
  <c r="J465" i="2"/>
  <c r="P248" i="2"/>
  <c r="K437" i="2"/>
  <c r="O465" i="2"/>
  <c r="L202" i="2"/>
  <c r="J345" i="2"/>
  <c r="D17" i="2"/>
  <c r="R439" i="2"/>
  <c r="N437" i="2"/>
  <c r="R344" i="2"/>
  <c r="P439" i="2"/>
  <c r="M437" i="2"/>
  <c r="E17" i="2"/>
  <c r="O275" i="2"/>
  <c r="H437" i="2"/>
  <c r="N465" i="2"/>
  <c r="L344" i="2"/>
  <c r="H465" i="2"/>
  <c r="H439" i="2"/>
  <c r="C437" i="2"/>
  <c r="R437" i="2"/>
  <c r="I439" i="2"/>
  <c r="R275" i="2"/>
  <c r="C17" i="2"/>
  <c r="M17" i="2"/>
  <c r="G437" i="2"/>
  <c r="G345" i="2"/>
  <c r="P275" i="2"/>
  <c r="I202" i="2"/>
  <c r="K344" i="2"/>
  <c r="M275" i="2"/>
  <c r="R248" i="2"/>
  <c r="E344" i="2"/>
  <c r="N344" i="2"/>
  <c r="G439" i="2"/>
  <c r="E248" i="2"/>
  <c r="C281" i="2"/>
  <c r="I465" i="2"/>
  <c r="L345" i="2"/>
  <c r="O248" i="2"/>
  <c r="J202" i="2"/>
  <c r="E275" i="2"/>
  <c r="Q275" i="2"/>
  <c r="I248" i="2"/>
  <c r="F345" i="2"/>
  <c r="L275" i="2"/>
  <c r="Q437" i="2"/>
  <c r="K275" i="2"/>
  <c r="F465" i="2"/>
  <c r="E202" i="2"/>
  <c r="P345" i="2"/>
  <c r="D437" i="2"/>
  <c r="N248" i="2"/>
  <c r="L439" i="2"/>
  <c r="C202" i="2"/>
  <c r="J275" i="2"/>
  <c r="D345" i="2"/>
  <c r="Q281" i="2"/>
  <c r="H275" i="2"/>
  <c r="J437" i="2"/>
  <c r="C275" i="2"/>
  <c r="H345" i="2"/>
  <c r="L281" i="2"/>
  <c r="N281" i="2"/>
  <c r="F439" i="2"/>
  <c r="E345" i="2"/>
  <c r="G465" i="2"/>
  <c r="O202" i="2"/>
  <c r="E465" i="2"/>
  <c r="I275" i="2"/>
  <c r="M345" i="2"/>
  <c r="G202" i="2"/>
  <c r="M202" i="2"/>
  <c r="P17" i="2"/>
  <c r="J281" i="2"/>
  <c r="R202" i="2"/>
  <c r="K248" i="2"/>
  <c r="K17" i="2"/>
  <c r="R345" i="2"/>
  <c r="G17" i="2"/>
  <c r="I281" i="2"/>
  <c r="K345" i="2"/>
  <c r="O17" i="2"/>
  <c r="M248" i="2"/>
  <c r="O437" i="2"/>
  <c r="F248" i="2"/>
  <c r="Q439" i="2"/>
  <c r="R465" i="2"/>
  <c r="I345" i="2"/>
  <c r="F17" i="2"/>
  <c r="F437" i="2"/>
  <c r="P202" i="2"/>
  <c r="N275" i="2"/>
  <c r="K439" i="2"/>
  <c r="C439" i="2"/>
  <c r="F275" i="2"/>
  <c r="F344" i="2"/>
  <c r="E281" i="2"/>
  <c r="O345" i="2"/>
  <c r="H248" i="2"/>
  <c r="K465" i="2"/>
  <c r="Q202" i="2"/>
  <c r="M281" i="2"/>
  <c r="M344" i="2"/>
  <c r="N202" i="2"/>
  <c r="N345" i="2"/>
  <c r="O439" i="2"/>
  <c r="D275" i="2"/>
  <c r="J248" i="2"/>
  <c r="P344" i="2"/>
  <c r="F281" i="2"/>
  <c r="C344" i="2"/>
  <c r="H281" i="2"/>
  <c r="D465" i="2"/>
  <c r="D202" i="2"/>
  <c r="J344" i="2"/>
  <c r="E439" i="2"/>
  <c r="G344" i="2"/>
  <c r="K202" i="2"/>
  <c r="O344" i="2"/>
  <c r="R281" i="2"/>
  <c r="Q17" i="2"/>
  <c r="D344" i="2"/>
  <c r="Q465" i="2"/>
  <c r="J17" i="2"/>
  <c r="M465" i="2"/>
  <c r="I437" i="2"/>
  <c r="Q248" i="2"/>
  <c r="O281" i="2"/>
  <c r="G281" i="2"/>
  <c r="D281" i="2"/>
  <c r="I17" i="2"/>
  <c r="G248" i="2"/>
  <c r="P437" i="2"/>
  <c r="I344" i="2"/>
  <c r="N17" i="2"/>
  <c r="F202" i="2"/>
  <c r="M439" i="2"/>
  <c r="R17" i="2"/>
  <c r="K281" i="2"/>
  <c r="D439" i="2"/>
  <c r="L437" i="2"/>
  <c r="L17" i="2"/>
  <c r="N439" i="2"/>
  <c r="P465" i="2"/>
  <c r="E437" i="2"/>
  <c r="H202" i="2"/>
  <c r="C248" i="2"/>
  <c r="P281" i="2"/>
  <c r="Q345" i="2"/>
  <c r="G275" i="2"/>
  <c r="H17" i="2"/>
  <c r="Q344" i="2"/>
  <c r="Q264" i="2"/>
  <c r="L201" i="2"/>
  <c r="Q401" i="2"/>
  <c r="I301" i="2"/>
  <c r="N301" i="2"/>
  <c r="P201" i="2"/>
  <c r="J339" i="2"/>
  <c r="P479" i="2"/>
  <c r="I339" i="2"/>
  <c r="L30" i="2"/>
  <c r="M401" i="2"/>
  <c r="G301" i="2"/>
  <c r="M301" i="2"/>
  <c r="M264" i="2"/>
  <c r="K479" i="2"/>
  <c r="G66" i="2"/>
  <c r="D301" i="2"/>
  <c r="N66" i="2"/>
  <c r="O30" i="2"/>
  <c r="P33" i="2"/>
  <c r="J33" i="2"/>
  <c r="O402" i="2"/>
  <c r="F66" i="2"/>
  <c r="K402" i="2"/>
  <c r="Q339" i="2"/>
  <c r="K264" i="2"/>
  <c r="E401" i="2"/>
  <c r="O479" i="2"/>
  <c r="P401" i="2"/>
  <c r="C201" i="2"/>
  <c r="Q301" i="2"/>
  <c r="L264" i="2"/>
  <c r="N479" i="2"/>
  <c r="H66" i="2"/>
  <c r="L339" i="2"/>
  <c r="F479" i="2"/>
  <c r="D339" i="2"/>
  <c r="R402" i="2"/>
  <c r="D66" i="2"/>
  <c r="R33" i="2"/>
  <c r="K339" i="2"/>
  <c r="C339" i="2"/>
  <c r="H33" i="2"/>
  <c r="C33" i="2"/>
  <c r="O201" i="2"/>
  <c r="L33" i="2"/>
  <c r="D264" i="2"/>
  <c r="C301" i="2"/>
  <c r="M402" i="2"/>
  <c r="D33" i="2"/>
  <c r="G339" i="2"/>
  <c r="K30" i="2"/>
  <c r="D479" i="2"/>
  <c r="O339" i="2"/>
  <c r="G201" i="2"/>
  <c r="M30" i="2"/>
  <c r="J401" i="2"/>
  <c r="E33" i="2"/>
  <c r="E402" i="2"/>
  <c r="Q402" i="2"/>
  <c r="I264" i="2"/>
  <c r="R66" i="2"/>
  <c r="H402" i="2"/>
  <c r="J402" i="2"/>
  <c r="Q201" i="2"/>
  <c r="M339" i="2"/>
  <c r="H30" i="2"/>
  <c r="G402" i="2"/>
  <c r="M201" i="2"/>
  <c r="N402" i="2"/>
  <c r="R401" i="2"/>
  <c r="E30" i="2"/>
  <c r="C264" i="2"/>
  <c r="F402" i="2"/>
  <c r="F301" i="2"/>
  <c r="N264" i="2"/>
  <c r="O66" i="2"/>
  <c r="I402" i="2"/>
  <c r="K401" i="2"/>
  <c r="C401" i="2"/>
  <c r="D401" i="2"/>
  <c r="C66" i="2"/>
  <c r="K301" i="2"/>
  <c r="L66" i="2"/>
  <c r="L402" i="2"/>
  <c r="J30" i="2"/>
  <c r="G401" i="2"/>
  <c r="P264" i="2"/>
  <c r="M33" i="2"/>
  <c r="F264" i="2"/>
  <c r="R264" i="2"/>
  <c r="G30" i="2"/>
  <c r="O301" i="2"/>
  <c r="H401" i="2"/>
  <c r="P30" i="2"/>
  <c r="K66" i="2"/>
  <c r="Q33" i="2"/>
  <c r="I201" i="2"/>
  <c r="N33" i="2"/>
  <c r="Q66" i="2"/>
  <c r="F201" i="2"/>
  <c r="H339" i="2"/>
  <c r="Q30" i="2"/>
  <c r="E201" i="2"/>
  <c r="I479" i="2"/>
  <c r="O401" i="2"/>
  <c r="P402" i="2"/>
  <c r="D402" i="2"/>
  <c r="F33" i="2"/>
  <c r="H201" i="2"/>
  <c r="R30" i="2"/>
  <c r="E339" i="2"/>
  <c r="J201" i="2"/>
  <c r="F30" i="2"/>
  <c r="P339" i="2"/>
  <c r="H479" i="2"/>
  <c r="J66" i="2"/>
  <c r="G264" i="2"/>
  <c r="E301" i="2"/>
  <c r="H264" i="2"/>
  <c r="Q479" i="2"/>
  <c r="E479" i="2"/>
  <c r="F339" i="2"/>
  <c r="G479" i="2"/>
  <c r="I30" i="2"/>
  <c r="L401" i="2"/>
  <c r="I401" i="2"/>
  <c r="R479" i="2"/>
  <c r="L301" i="2"/>
  <c r="N30" i="2"/>
  <c r="R201" i="2"/>
  <c r="I33" i="2"/>
  <c r="C30" i="2"/>
  <c r="C479" i="2"/>
  <c r="M66" i="2"/>
  <c r="D201" i="2"/>
  <c r="H301" i="2"/>
  <c r="N401" i="2"/>
  <c r="M479" i="2"/>
  <c r="E66" i="2"/>
  <c r="K33" i="2"/>
  <c r="K201" i="2"/>
  <c r="N339" i="2"/>
  <c r="E264" i="2"/>
  <c r="J301" i="2"/>
  <c r="O264" i="2"/>
  <c r="I66" i="2"/>
  <c r="L479" i="2"/>
  <c r="R301" i="2"/>
  <c r="G33" i="2"/>
  <c r="P301" i="2"/>
  <c r="J264" i="2"/>
  <c r="D30" i="2"/>
  <c r="O33" i="2"/>
  <c r="J479" i="2"/>
  <c r="P66" i="2"/>
  <c r="N201" i="2"/>
  <c r="C402" i="2"/>
  <c r="R339" i="2"/>
  <c r="F401" i="2"/>
  <c r="E353" i="2"/>
  <c r="K456" i="2"/>
  <c r="H353" i="2"/>
  <c r="L456" i="2"/>
  <c r="I162" i="2"/>
  <c r="N286" i="2"/>
  <c r="E162" i="2"/>
  <c r="O444" i="2"/>
  <c r="C456" i="2"/>
  <c r="I174" i="2"/>
  <c r="G360" i="2"/>
  <c r="G456" i="2"/>
  <c r="C353" i="2"/>
  <c r="D147" i="2"/>
  <c r="G444" i="2"/>
  <c r="J286" i="2"/>
  <c r="M147" i="2"/>
  <c r="Q286" i="2"/>
  <c r="H174" i="2"/>
  <c r="J174" i="2"/>
  <c r="N174" i="2"/>
  <c r="O456" i="2"/>
  <c r="C286" i="2"/>
  <c r="K162" i="2"/>
  <c r="G174" i="2"/>
  <c r="O353" i="2"/>
  <c r="D456" i="2"/>
  <c r="P360" i="2"/>
  <c r="M360" i="2"/>
  <c r="H360" i="2"/>
  <c r="N330" i="2"/>
  <c r="M286" i="2"/>
  <c r="F147" i="2"/>
  <c r="J444" i="2"/>
  <c r="E444" i="2"/>
  <c r="K147" i="2"/>
  <c r="R360" i="2"/>
  <c r="C147" i="2"/>
  <c r="O174" i="2"/>
  <c r="I330" i="2"/>
  <c r="C174" i="2"/>
  <c r="R444" i="2"/>
  <c r="R286" i="2"/>
  <c r="M353" i="2"/>
  <c r="L162" i="2"/>
  <c r="M174" i="2"/>
  <c r="G318" i="2"/>
  <c r="I360" i="2"/>
  <c r="I286" i="2"/>
  <c r="C162" i="2"/>
  <c r="F162" i="2"/>
  <c r="E318" i="2"/>
  <c r="N444" i="2"/>
  <c r="J330" i="2"/>
  <c r="L444" i="2"/>
  <c r="K318" i="2"/>
  <c r="R330" i="2"/>
  <c r="N318" i="2"/>
  <c r="J162" i="2"/>
  <c r="J147" i="2"/>
  <c r="I318" i="2"/>
  <c r="L147" i="2"/>
  <c r="P330" i="2"/>
  <c r="E456" i="2"/>
  <c r="Q147" i="2"/>
  <c r="Q330" i="2"/>
  <c r="D353" i="2"/>
  <c r="H444" i="2"/>
  <c r="P286" i="2"/>
  <c r="K286" i="2"/>
  <c r="Q444" i="2"/>
  <c r="P318" i="2"/>
  <c r="J318" i="2"/>
  <c r="G286" i="2"/>
  <c r="F444" i="2"/>
  <c r="M444" i="2"/>
  <c r="Q174" i="2"/>
  <c r="D174" i="2"/>
  <c r="E330" i="2"/>
  <c r="E360" i="2"/>
  <c r="O318" i="2"/>
  <c r="R318" i="2"/>
  <c r="C330" i="2"/>
  <c r="N147" i="2"/>
  <c r="O286" i="2"/>
  <c r="K174" i="2"/>
  <c r="F456" i="2"/>
  <c r="L330" i="2"/>
  <c r="O162" i="2"/>
  <c r="I353" i="2"/>
  <c r="C360" i="2"/>
  <c r="K444" i="2"/>
  <c r="H318" i="2"/>
  <c r="F318" i="2"/>
  <c r="L318" i="2"/>
  <c r="R147" i="2"/>
  <c r="H456" i="2"/>
  <c r="N456" i="2"/>
  <c r="P174" i="2"/>
  <c r="M162" i="2"/>
  <c r="C318" i="2"/>
  <c r="L353" i="2"/>
  <c r="J360" i="2"/>
  <c r="G330" i="2"/>
  <c r="N353" i="2"/>
  <c r="O330" i="2"/>
  <c r="K353" i="2"/>
  <c r="D286" i="2"/>
  <c r="D444" i="2"/>
  <c r="Q353" i="2"/>
  <c r="R353" i="2"/>
  <c r="H330" i="2"/>
  <c r="J456" i="2"/>
  <c r="P444" i="2"/>
  <c r="P353" i="2"/>
  <c r="K360" i="2"/>
  <c r="E174" i="2"/>
  <c r="K330" i="2"/>
  <c r="R162" i="2"/>
  <c r="R174" i="2"/>
  <c r="E147" i="2"/>
  <c r="D162" i="2"/>
  <c r="N360" i="2"/>
  <c r="J353" i="2"/>
  <c r="G162" i="2"/>
  <c r="R456" i="2"/>
  <c r="N162" i="2"/>
  <c r="C444" i="2"/>
  <c r="F353" i="2"/>
  <c r="M330" i="2"/>
  <c r="D360" i="2"/>
  <c r="D318" i="2"/>
  <c r="F286" i="2"/>
  <c r="H147" i="2"/>
  <c r="P147" i="2"/>
  <c r="L286" i="2"/>
  <c r="G147" i="2"/>
  <c r="Q162" i="2"/>
  <c r="M318" i="2"/>
  <c r="M456" i="2"/>
  <c r="H162" i="2"/>
  <c r="Q360" i="2"/>
  <c r="E286" i="2"/>
  <c r="F360" i="2"/>
  <c r="O147" i="2"/>
  <c r="I456" i="2"/>
  <c r="Q456" i="2"/>
  <c r="L360" i="2"/>
  <c r="F174" i="2"/>
  <c r="P456" i="2"/>
  <c r="L174" i="2"/>
  <c r="H286" i="2"/>
  <c r="I147" i="2"/>
  <c r="Q318" i="2"/>
  <c r="O360" i="2"/>
  <c r="G353" i="2"/>
  <c r="F330" i="2"/>
  <c r="I444" i="2"/>
  <c r="P162" i="2"/>
  <c r="D330" i="2"/>
  <c r="D34" i="2"/>
  <c r="K183" i="2"/>
  <c r="E34" i="2"/>
  <c r="P426" i="2"/>
  <c r="H462" i="2"/>
  <c r="K34" i="2"/>
  <c r="F317" i="2"/>
  <c r="D232" i="2"/>
  <c r="H232" i="2"/>
  <c r="R232" i="2"/>
  <c r="L34" i="2"/>
  <c r="E232" i="2"/>
  <c r="J462" i="2"/>
  <c r="G210" i="2"/>
  <c r="P462" i="2"/>
  <c r="P210" i="2"/>
  <c r="M183" i="2"/>
  <c r="J34" i="2"/>
  <c r="D210" i="2"/>
  <c r="L340" i="2"/>
  <c r="Q426" i="2"/>
  <c r="O183" i="2"/>
  <c r="I257" i="2"/>
  <c r="D462" i="2"/>
  <c r="F294" i="2"/>
  <c r="N340" i="2"/>
  <c r="J426" i="2"/>
  <c r="F34" i="2"/>
  <c r="C462" i="2"/>
  <c r="R294" i="2"/>
  <c r="O462" i="2"/>
  <c r="Q294" i="2"/>
  <c r="O232" i="2"/>
  <c r="G340" i="2"/>
  <c r="N232" i="2"/>
  <c r="O340" i="2"/>
  <c r="L232" i="2"/>
  <c r="L317" i="2"/>
  <c r="E462" i="2"/>
  <c r="K210" i="2"/>
  <c r="M294" i="2"/>
  <c r="C340" i="2"/>
  <c r="L257" i="2"/>
  <c r="K294" i="2"/>
  <c r="M462" i="2"/>
  <c r="L210" i="2"/>
  <c r="M340" i="2"/>
  <c r="I183" i="2"/>
  <c r="N317" i="2"/>
  <c r="R462" i="2"/>
  <c r="D317" i="2"/>
  <c r="C294" i="2"/>
  <c r="Q462" i="2"/>
  <c r="E294" i="2"/>
  <c r="K426" i="2"/>
  <c r="G257" i="2"/>
  <c r="C210" i="2"/>
  <c r="O257" i="2"/>
  <c r="E183" i="2"/>
  <c r="G426" i="2"/>
  <c r="I232" i="2"/>
  <c r="P340" i="2"/>
  <c r="G294" i="2"/>
  <c r="E210" i="2"/>
  <c r="I34" i="2"/>
  <c r="D426" i="2"/>
  <c r="F340" i="2"/>
  <c r="F426" i="2"/>
  <c r="C317" i="2"/>
  <c r="R426" i="2"/>
  <c r="R257" i="2"/>
  <c r="L462" i="2"/>
  <c r="Q34" i="2"/>
  <c r="K257" i="2"/>
  <c r="N426" i="2"/>
  <c r="Q183" i="2"/>
  <c r="C183" i="2"/>
  <c r="L294" i="2"/>
  <c r="R210" i="2"/>
  <c r="M210" i="2"/>
  <c r="G183" i="2"/>
  <c r="K232" i="2"/>
  <c r="L183" i="2"/>
  <c r="I462" i="2"/>
  <c r="J257" i="2"/>
  <c r="R340" i="2"/>
  <c r="M232" i="2"/>
  <c r="I340" i="2"/>
  <c r="Q232" i="2"/>
  <c r="K340" i="2"/>
  <c r="H426" i="2"/>
  <c r="J294" i="2"/>
  <c r="E257" i="2"/>
  <c r="N210" i="2"/>
  <c r="F183" i="2"/>
  <c r="H340" i="2"/>
  <c r="D257" i="2"/>
  <c r="Q340" i="2"/>
  <c r="O426" i="2"/>
  <c r="J340" i="2"/>
  <c r="R34" i="2"/>
  <c r="G317" i="2"/>
  <c r="E317" i="2"/>
  <c r="M257" i="2"/>
  <c r="F257" i="2"/>
  <c r="O294" i="2"/>
  <c r="Q317" i="2"/>
  <c r="H34" i="2"/>
  <c r="R317" i="2"/>
  <c r="J232" i="2"/>
  <c r="C232" i="2"/>
  <c r="P317" i="2"/>
  <c r="I317" i="2"/>
  <c r="E426" i="2"/>
  <c r="K317" i="2"/>
  <c r="C426" i="2"/>
  <c r="H210" i="2"/>
  <c r="C34" i="2"/>
  <c r="H183" i="2"/>
  <c r="I294" i="2"/>
  <c r="J210" i="2"/>
  <c r="O34" i="2"/>
  <c r="M426" i="2"/>
  <c r="K462" i="2"/>
  <c r="H257" i="2"/>
  <c r="G232" i="2"/>
  <c r="D294" i="2"/>
  <c r="H294" i="2"/>
  <c r="Q257" i="2"/>
  <c r="N257" i="2"/>
  <c r="N294" i="2"/>
  <c r="P232" i="2"/>
  <c r="D340" i="2"/>
  <c r="D183" i="2"/>
  <c r="J317" i="2"/>
  <c r="G34" i="2"/>
  <c r="P183" i="2"/>
  <c r="N183" i="2"/>
  <c r="I210" i="2"/>
  <c r="Q210" i="2"/>
  <c r="J183" i="2"/>
  <c r="N34" i="2"/>
  <c r="O210" i="2"/>
  <c r="M34" i="2"/>
  <c r="P257" i="2"/>
  <c r="O317" i="2"/>
  <c r="M317" i="2"/>
  <c r="I426" i="2"/>
  <c r="N462" i="2"/>
  <c r="F462" i="2"/>
  <c r="R183" i="2"/>
  <c r="F210" i="2"/>
  <c r="P294" i="2"/>
  <c r="L426" i="2"/>
  <c r="F232" i="2"/>
  <c r="G462" i="2"/>
  <c r="E340" i="2"/>
  <c r="P34" i="2"/>
  <c r="H317" i="2"/>
  <c r="C257" i="2"/>
  <c r="N283" i="2"/>
  <c r="H229" i="2"/>
  <c r="K390" i="2"/>
  <c r="C14" i="2"/>
  <c r="D487" i="2"/>
  <c r="Q14" i="2"/>
  <c r="G390" i="2"/>
  <c r="N291" i="2"/>
  <c r="N279" i="2"/>
  <c r="G487" i="2"/>
  <c r="G279" i="2"/>
  <c r="M390" i="2"/>
  <c r="I279" i="2"/>
  <c r="Q380" i="2"/>
  <c r="M291" i="2"/>
  <c r="L283" i="2"/>
  <c r="J291" i="2"/>
  <c r="G14" i="2"/>
  <c r="G283" i="2"/>
  <c r="L14" i="2"/>
  <c r="I487" i="2"/>
  <c r="C229" i="2"/>
  <c r="I229" i="2"/>
  <c r="D291" i="2"/>
  <c r="L474" i="2"/>
  <c r="O380" i="2"/>
  <c r="P380" i="2"/>
  <c r="D14" i="2"/>
  <c r="R380" i="2"/>
  <c r="J464" i="2"/>
  <c r="D390" i="2"/>
  <c r="Q229" i="2"/>
  <c r="N474" i="2"/>
  <c r="K291" i="2"/>
  <c r="D464" i="2"/>
  <c r="O283" i="2"/>
  <c r="Q474" i="2"/>
  <c r="F464" i="2"/>
  <c r="N14" i="2"/>
  <c r="F380" i="2"/>
  <c r="C291" i="2"/>
  <c r="G380" i="2"/>
  <c r="F390" i="2"/>
  <c r="C279" i="2"/>
  <c r="D380" i="2"/>
  <c r="M474" i="2"/>
  <c r="K229" i="2"/>
  <c r="F291" i="2"/>
  <c r="Q487" i="2"/>
  <c r="O474" i="2"/>
  <c r="I380" i="2"/>
  <c r="C380" i="2"/>
  <c r="M283" i="2"/>
  <c r="H390" i="2"/>
  <c r="E279" i="2"/>
  <c r="P390" i="2"/>
  <c r="K380" i="2"/>
  <c r="N487" i="2"/>
  <c r="M464" i="2"/>
  <c r="C390" i="2"/>
  <c r="K464" i="2"/>
  <c r="P229" i="2"/>
  <c r="M487" i="2"/>
  <c r="K14" i="2"/>
  <c r="C464" i="2"/>
  <c r="J14" i="2"/>
  <c r="E487" i="2"/>
  <c r="E283" i="2"/>
  <c r="Q291" i="2"/>
  <c r="N464" i="2"/>
  <c r="J229" i="2"/>
  <c r="J283" i="2"/>
  <c r="I14" i="2"/>
  <c r="C283" i="2"/>
  <c r="M229" i="2"/>
  <c r="Q464" i="2"/>
  <c r="N229" i="2"/>
  <c r="J380" i="2"/>
  <c r="M380" i="2"/>
  <c r="P474" i="2"/>
  <c r="H291" i="2"/>
  <c r="H380" i="2"/>
  <c r="R487" i="2"/>
  <c r="H283" i="2"/>
  <c r="I283" i="2"/>
  <c r="D474" i="2"/>
  <c r="H487" i="2"/>
  <c r="R464" i="2"/>
  <c r="P464" i="2"/>
  <c r="F487" i="2"/>
  <c r="M279" i="2"/>
  <c r="K487" i="2"/>
  <c r="O487" i="2"/>
  <c r="E474" i="2"/>
  <c r="F283" i="2"/>
  <c r="L487" i="2"/>
  <c r="L390" i="2"/>
  <c r="O229" i="2"/>
  <c r="I291" i="2"/>
  <c r="P487" i="2"/>
  <c r="F14" i="2"/>
  <c r="L291" i="2"/>
  <c r="M14" i="2"/>
  <c r="Q390" i="2"/>
  <c r="K283" i="2"/>
  <c r="E14" i="2"/>
  <c r="R279" i="2"/>
  <c r="O14" i="2"/>
  <c r="L229" i="2"/>
  <c r="D279" i="2"/>
  <c r="R283" i="2"/>
  <c r="F474" i="2"/>
  <c r="R474" i="2"/>
  <c r="Q283" i="2"/>
  <c r="F279" i="2"/>
  <c r="N390" i="2"/>
  <c r="H279" i="2"/>
  <c r="P279" i="2"/>
  <c r="E390" i="2"/>
  <c r="G474" i="2"/>
  <c r="E464" i="2"/>
  <c r="R390" i="2"/>
  <c r="C487" i="2"/>
  <c r="Q279" i="2"/>
  <c r="H14" i="2"/>
  <c r="O390" i="2"/>
  <c r="R291" i="2"/>
  <c r="I464" i="2"/>
  <c r="O291" i="2"/>
  <c r="H464" i="2"/>
  <c r="I474" i="2"/>
  <c r="G229" i="2"/>
  <c r="F229" i="2"/>
  <c r="P291" i="2"/>
  <c r="J390" i="2"/>
  <c r="J279" i="2"/>
  <c r="E380" i="2"/>
  <c r="D229" i="2"/>
  <c r="H474" i="2"/>
  <c r="G464" i="2"/>
  <c r="J474" i="2"/>
  <c r="P283" i="2"/>
  <c r="R14" i="2"/>
  <c r="G291" i="2"/>
  <c r="R229" i="2"/>
  <c r="K474" i="2"/>
  <c r="K279" i="2"/>
  <c r="N380" i="2"/>
  <c r="L464" i="2"/>
  <c r="L279" i="2"/>
  <c r="E291" i="2"/>
  <c r="D283" i="2"/>
  <c r="J487" i="2"/>
  <c r="P14" i="2"/>
  <c r="L380" i="2"/>
  <c r="O279" i="2"/>
  <c r="C474" i="2"/>
  <c r="E229" i="2"/>
  <c r="I390" i="2"/>
  <c r="O464" i="2"/>
  <c r="H180" i="2"/>
  <c r="G133" i="2"/>
  <c r="K135" i="2"/>
  <c r="M262" i="2"/>
  <c r="M211" i="2"/>
  <c r="D171" i="2"/>
  <c r="L262" i="2"/>
  <c r="N133" i="2"/>
  <c r="G292" i="2"/>
  <c r="P173" i="2"/>
  <c r="L453" i="2"/>
  <c r="C97" i="2"/>
  <c r="L97" i="2"/>
  <c r="L156" i="2"/>
  <c r="L468" i="2"/>
  <c r="M303" i="2"/>
  <c r="F180" i="2"/>
  <c r="O211" i="2"/>
  <c r="E292" i="2"/>
  <c r="C500" i="2"/>
  <c r="N135" i="2"/>
  <c r="E211" i="2"/>
  <c r="E173" i="2"/>
  <c r="G135" i="2"/>
  <c r="L413" i="2"/>
  <c r="H468" i="2"/>
  <c r="M468" i="2"/>
  <c r="M171" i="2"/>
  <c r="P180" i="2"/>
  <c r="N180" i="2"/>
  <c r="M407" i="2"/>
  <c r="E262" i="2"/>
  <c r="I303" i="2"/>
  <c r="I500" i="2"/>
  <c r="L98" i="2"/>
  <c r="J303" i="2"/>
  <c r="I133" i="2"/>
  <c r="F288" i="2"/>
  <c r="G262" i="2"/>
  <c r="D97" i="2"/>
  <c r="D407" i="2"/>
  <c r="N171" i="2"/>
  <c r="H156" i="2"/>
  <c r="C288" i="2"/>
  <c r="R288" i="2"/>
  <c r="K407" i="2"/>
  <c r="I173" i="2"/>
  <c r="M500" i="2"/>
  <c r="E156" i="2"/>
  <c r="C468" i="2"/>
  <c r="H98" i="2"/>
  <c r="O453" i="2"/>
  <c r="I407" i="2"/>
  <c r="R313" i="2"/>
  <c r="C135" i="2"/>
  <c r="P98" i="2"/>
  <c r="I288" i="2"/>
  <c r="E413" i="2"/>
  <c r="Q292" i="2"/>
  <c r="K133" i="2"/>
  <c r="N97" i="2"/>
  <c r="J97" i="2"/>
  <c r="K313" i="2"/>
  <c r="J288" i="2"/>
  <c r="H93" i="2"/>
  <c r="I93" i="2"/>
  <c r="J468" i="2"/>
  <c r="O93" i="2"/>
  <c r="L407" i="2"/>
  <c r="F135" i="2"/>
  <c r="P413" i="2"/>
  <c r="Q468" i="2"/>
  <c r="F97" i="2"/>
  <c r="O171" i="2"/>
  <c r="Q97" i="2"/>
  <c r="C313" i="2"/>
  <c r="G173" i="2"/>
  <c r="G413" i="2"/>
  <c r="J180" i="2"/>
  <c r="Q135" i="2"/>
  <c r="F171" i="2"/>
  <c r="R180" i="2"/>
  <c r="I313" i="2"/>
  <c r="R453" i="2"/>
  <c r="F93" i="2"/>
  <c r="L500" i="2"/>
  <c r="J407" i="2"/>
  <c r="H292" i="2"/>
  <c r="I180" i="2"/>
  <c r="D313" i="2"/>
  <c r="J262" i="2"/>
  <c r="L180" i="2"/>
  <c r="J171" i="2"/>
  <c r="K97" i="2"/>
  <c r="K156" i="2"/>
  <c r="K93" i="2"/>
  <c r="E468" i="2"/>
  <c r="O500" i="2"/>
  <c r="Q93" i="2"/>
  <c r="Q407" i="2"/>
  <c r="K303" i="2"/>
  <c r="C262" i="2"/>
  <c r="K468" i="2"/>
  <c r="C98" i="2"/>
  <c r="L171" i="2"/>
  <c r="R500" i="2"/>
  <c r="K171" i="2"/>
  <c r="J156" i="2"/>
  <c r="Q500" i="2"/>
  <c r="N211" i="2"/>
  <c r="E407" i="2"/>
  <c r="Q156" i="2"/>
  <c r="C180" i="2"/>
  <c r="P313" i="2"/>
  <c r="M453" i="2"/>
  <c r="J413" i="2"/>
  <c r="O173" i="2"/>
  <c r="J135" i="2"/>
  <c r="N262" i="2"/>
  <c r="R262" i="2"/>
  <c r="N453" i="2"/>
  <c r="M180" i="2"/>
  <c r="F407" i="2"/>
  <c r="E135" i="2"/>
  <c r="G98" i="2"/>
  <c r="D93" i="2"/>
  <c r="D468" i="2"/>
  <c r="G313" i="2"/>
  <c r="G97" i="2"/>
  <c r="E93" i="2"/>
  <c r="O407" i="2"/>
  <c r="P407" i="2"/>
  <c r="O292" i="2"/>
  <c r="G500" i="2"/>
  <c r="F468" i="2"/>
  <c r="Q303" i="2"/>
  <c r="I135" i="2"/>
  <c r="C173" i="2"/>
  <c r="D413" i="2"/>
  <c r="Q133" i="2"/>
  <c r="P303" i="2"/>
  <c r="E133" i="2"/>
  <c r="G407" i="2"/>
  <c r="I292" i="2"/>
  <c r="O97" i="2"/>
  <c r="R173" i="2"/>
  <c r="P93" i="2"/>
  <c r="C171" i="2"/>
  <c r="E500" i="2"/>
  <c r="P97" i="2"/>
  <c r="F453" i="2"/>
  <c r="K453" i="2"/>
  <c r="I97" i="2"/>
  <c r="R133" i="2"/>
  <c r="N288" i="2"/>
  <c r="N98" i="2"/>
  <c r="C303" i="2"/>
  <c r="I98" i="2"/>
  <c r="E453" i="2"/>
  <c r="P135" i="2"/>
  <c r="F262" i="2"/>
  <c r="H407" i="2"/>
  <c r="M133" i="2"/>
  <c r="N468" i="2"/>
  <c r="Q313" i="2"/>
  <c r="D453" i="2"/>
  <c r="E288" i="2"/>
  <c r="L292" i="2"/>
  <c r="D180" i="2"/>
  <c r="D303" i="2"/>
  <c r="M413" i="2"/>
  <c r="R303" i="2"/>
  <c r="K292" i="2"/>
  <c r="P468" i="2"/>
  <c r="F303" i="2"/>
  <c r="K173" i="2"/>
  <c r="D500" i="2"/>
  <c r="O262" i="2"/>
  <c r="R97" i="2"/>
  <c r="F133" i="2"/>
  <c r="C133" i="2"/>
  <c r="R156" i="2"/>
  <c r="C156" i="2"/>
  <c r="K98" i="2"/>
  <c r="K500" i="2"/>
  <c r="O313" i="2"/>
  <c r="H171" i="2"/>
  <c r="O288" i="2"/>
  <c r="R292" i="2"/>
  <c r="L133" i="2"/>
  <c r="K262" i="2"/>
  <c r="P262" i="2"/>
  <c r="P500" i="2"/>
  <c r="N156" i="2"/>
  <c r="O180" i="2"/>
  <c r="Q262" i="2"/>
  <c r="G468" i="2"/>
  <c r="R171" i="2"/>
  <c r="I171" i="2"/>
  <c r="M292" i="2"/>
  <c r="H413" i="2"/>
  <c r="M135" i="2"/>
  <c r="H133" i="2"/>
  <c r="K413" i="2"/>
  <c r="O98" i="2"/>
  <c r="J211" i="2"/>
  <c r="J173" i="2"/>
  <c r="F500" i="2"/>
  <c r="G288" i="2"/>
  <c r="D211" i="2"/>
  <c r="N413" i="2"/>
  <c r="O135" i="2"/>
  <c r="P211" i="2"/>
  <c r="R98" i="2"/>
  <c r="M313" i="2"/>
  <c r="L173" i="2"/>
  <c r="D173" i="2"/>
  <c r="R407" i="2"/>
  <c r="F292" i="2"/>
  <c r="L303" i="2"/>
  <c r="M173" i="2"/>
  <c r="Q173" i="2"/>
  <c r="G303" i="2"/>
  <c r="D133" i="2"/>
  <c r="O413" i="2"/>
  <c r="M98" i="2"/>
  <c r="K211" i="2"/>
  <c r="F313" i="2"/>
  <c r="G211" i="2"/>
  <c r="E313" i="2"/>
  <c r="N93" i="2"/>
  <c r="O468" i="2"/>
  <c r="G180" i="2"/>
  <c r="P133" i="2"/>
  <c r="G171" i="2"/>
  <c r="G453" i="2"/>
  <c r="N313" i="2"/>
  <c r="N303" i="2"/>
  <c r="F173" i="2"/>
  <c r="J98" i="2"/>
  <c r="C211" i="2"/>
  <c r="D135" i="2"/>
  <c r="F98" i="2"/>
  <c r="H211" i="2"/>
  <c r="O133" i="2"/>
  <c r="P156" i="2"/>
  <c r="H173" i="2"/>
  <c r="L211" i="2"/>
  <c r="E180" i="2"/>
  <c r="H313" i="2"/>
  <c r="L135" i="2"/>
  <c r="Q98" i="2"/>
  <c r="P453" i="2"/>
  <c r="O303" i="2"/>
  <c r="D156" i="2"/>
  <c r="Q171" i="2"/>
  <c r="P288" i="2"/>
  <c r="E97" i="2"/>
  <c r="F156" i="2"/>
  <c r="R413" i="2"/>
  <c r="R93" i="2"/>
  <c r="M93" i="2"/>
  <c r="Q413" i="2"/>
  <c r="K180" i="2"/>
  <c r="C292" i="2"/>
  <c r="R468" i="2"/>
  <c r="F211" i="2"/>
  <c r="I453" i="2"/>
  <c r="H135" i="2"/>
  <c r="C93" i="2"/>
  <c r="D292" i="2"/>
  <c r="H453" i="2"/>
  <c r="Q453" i="2"/>
  <c r="L313" i="2"/>
  <c r="F413" i="2"/>
  <c r="J500" i="2"/>
  <c r="E98" i="2"/>
  <c r="K288" i="2"/>
  <c r="Q288" i="2"/>
  <c r="E303" i="2"/>
  <c r="I211" i="2"/>
  <c r="E171" i="2"/>
  <c r="L288" i="2"/>
  <c r="H97" i="2"/>
  <c r="C407" i="2"/>
  <c r="J453" i="2"/>
  <c r="I156" i="2"/>
  <c r="I413" i="2"/>
  <c r="H500" i="2"/>
  <c r="R135" i="2"/>
  <c r="N500" i="2"/>
  <c r="C413" i="2"/>
  <c r="J133" i="2"/>
  <c r="C453" i="2"/>
  <c r="L93" i="2"/>
  <c r="D98" i="2"/>
  <c r="M97" i="2"/>
  <c r="H303" i="2"/>
  <c r="J313" i="2"/>
  <c r="Q180" i="2"/>
  <c r="R211" i="2"/>
  <c r="N292" i="2"/>
  <c r="D262" i="2"/>
  <c r="J93" i="2"/>
  <c r="D288" i="2"/>
  <c r="G156" i="2"/>
  <c r="H288" i="2"/>
  <c r="I262" i="2"/>
  <c r="J292" i="2"/>
  <c r="M156" i="2"/>
  <c r="G93" i="2"/>
  <c r="I468" i="2"/>
  <c r="P292" i="2"/>
  <c r="P171" i="2"/>
  <c r="Q211" i="2"/>
  <c r="M288" i="2"/>
  <c r="N173" i="2"/>
  <c r="H262" i="2"/>
  <c r="O156" i="2"/>
  <c r="N407" i="2"/>
  <c r="O299" i="2"/>
  <c r="C52" i="2"/>
  <c r="K153" i="2"/>
  <c r="P52" i="2"/>
  <c r="L399" i="2"/>
  <c r="E86" i="2"/>
  <c r="J299" i="2"/>
  <c r="D153" i="2"/>
  <c r="D249" i="2"/>
  <c r="M52" i="2"/>
  <c r="Q52" i="2"/>
  <c r="P86" i="2"/>
  <c r="I86" i="2"/>
  <c r="R399" i="2"/>
  <c r="H473" i="2"/>
  <c r="M249" i="2"/>
  <c r="M473" i="2"/>
  <c r="F299" i="2"/>
  <c r="C37" i="2"/>
  <c r="K86" i="2"/>
  <c r="M153" i="2"/>
  <c r="P299" i="2"/>
  <c r="M299" i="2"/>
  <c r="L63" i="2"/>
  <c r="O153" i="2"/>
  <c r="J153" i="2"/>
  <c r="I153" i="2"/>
  <c r="I473" i="2"/>
  <c r="L473" i="2"/>
  <c r="Q249" i="2"/>
  <c r="I63" i="2"/>
  <c r="K63" i="2"/>
  <c r="I299" i="2"/>
  <c r="P249" i="2"/>
  <c r="L86" i="2"/>
  <c r="J63" i="2"/>
  <c r="E299" i="2"/>
  <c r="Q153" i="2"/>
  <c r="J399" i="2"/>
  <c r="M86" i="2"/>
  <c r="M399" i="2"/>
  <c r="O52" i="2"/>
  <c r="I399" i="2"/>
  <c r="H86" i="2"/>
  <c r="P473" i="2"/>
  <c r="F86" i="2"/>
  <c r="D299" i="2"/>
  <c r="N153" i="2"/>
  <c r="J249" i="2"/>
  <c r="O399" i="2"/>
  <c r="D63" i="2"/>
  <c r="D167" i="2"/>
  <c r="P37" i="2"/>
  <c r="D399" i="2"/>
  <c r="H52" i="2"/>
  <c r="J473" i="2"/>
  <c r="C63" i="2"/>
  <c r="H153" i="2"/>
  <c r="N249" i="2"/>
  <c r="K52" i="2"/>
  <c r="E52" i="2"/>
  <c r="R37" i="2"/>
  <c r="Q63" i="2"/>
  <c r="C473" i="2"/>
  <c r="Q167" i="2"/>
  <c r="E37" i="2"/>
  <c r="R86" i="2"/>
  <c r="N63" i="2"/>
  <c r="R153" i="2"/>
  <c r="O167" i="2"/>
  <c r="P399" i="2"/>
  <c r="N37" i="2"/>
  <c r="F153" i="2"/>
  <c r="C299" i="2"/>
  <c r="F167" i="2"/>
  <c r="P167" i="2"/>
  <c r="C167" i="2"/>
  <c r="F37" i="2"/>
  <c r="J52" i="2"/>
  <c r="L37" i="2"/>
  <c r="K473" i="2"/>
  <c r="D52" i="2"/>
  <c r="M63" i="2"/>
  <c r="F399" i="2"/>
  <c r="G63" i="2"/>
  <c r="R473" i="2"/>
  <c r="P63" i="2"/>
  <c r="C86" i="2"/>
  <c r="I52" i="2"/>
  <c r="C399" i="2"/>
  <c r="D37" i="2"/>
  <c r="R299" i="2"/>
  <c r="N86" i="2"/>
  <c r="G249" i="2"/>
  <c r="F249" i="2"/>
  <c r="R249" i="2"/>
  <c r="K37" i="2"/>
  <c r="H249" i="2"/>
  <c r="E249" i="2"/>
  <c r="G299" i="2"/>
  <c r="N52" i="2"/>
  <c r="L153" i="2"/>
  <c r="O249" i="2"/>
  <c r="N299" i="2"/>
  <c r="E63" i="2"/>
  <c r="Q37" i="2"/>
  <c r="C249" i="2"/>
  <c r="N473" i="2"/>
  <c r="G399" i="2"/>
  <c r="C153" i="2"/>
  <c r="O37" i="2"/>
  <c r="M167" i="2"/>
  <c r="E153" i="2"/>
  <c r="K299" i="2"/>
  <c r="G473" i="2"/>
  <c r="H399" i="2"/>
  <c r="O63" i="2"/>
  <c r="D473" i="2"/>
  <c r="J86" i="2"/>
  <c r="I167" i="2"/>
  <c r="Q399" i="2"/>
  <c r="G86" i="2"/>
  <c r="F63" i="2"/>
  <c r="F473" i="2"/>
  <c r="H167" i="2"/>
  <c r="N167" i="2"/>
  <c r="G52" i="2"/>
  <c r="K399" i="2"/>
  <c r="P153" i="2"/>
  <c r="H63" i="2"/>
  <c r="G167" i="2"/>
  <c r="J37" i="2"/>
  <c r="F52" i="2"/>
  <c r="L52" i="2"/>
  <c r="O86" i="2"/>
  <c r="K167" i="2"/>
  <c r="Q299" i="2"/>
  <c r="I37" i="2"/>
  <c r="R167" i="2"/>
  <c r="E399" i="2"/>
  <c r="H299" i="2"/>
  <c r="D86" i="2"/>
  <c r="E473" i="2"/>
  <c r="L249" i="2"/>
  <c r="L167" i="2"/>
  <c r="J167" i="2"/>
  <c r="H37" i="2"/>
  <c r="I249" i="2"/>
  <c r="Q473" i="2"/>
  <c r="M37" i="2"/>
  <c r="Q86" i="2"/>
  <c r="G153" i="2"/>
  <c r="O473" i="2"/>
  <c r="R63" i="2"/>
  <c r="K249" i="2"/>
  <c r="E167" i="2"/>
  <c r="R52" i="2"/>
  <c r="G37" i="2"/>
  <c r="L299" i="2"/>
  <c r="N399" i="2"/>
  <c r="R215" i="2"/>
  <c r="E366" i="2"/>
  <c r="O16" i="2"/>
  <c r="K149" i="2"/>
  <c r="J5" i="2"/>
  <c r="C16" i="2"/>
  <c r="N236" i="2"/>
  <c r="L39" i="2"/>
  <c r="C236" i="2"/>
  <c r="M145" i="2"/>
  <c r="G366" i="2"/>
  <c r="M300" i="2"/>
  <c r="F273" i="2"/>
  <c r="H145" i="2"/>
  <c r="Q5" i="2"/>
  <c r="L145" i="2"/>
  <c r="D366" i="2"/>
  <c r="F5" i="2"/>
  <c r="J16" i="2"/>
  <c r="Q215" i="2"/>
  <c r="H39" i="2"/>
  <c r="O5" i="2"/>
  <c r="E149" i="2"/>
  <c r="H16" i="2"/>
  <c r="Q273" i="2"/>
  <c r="P16" i="2"/>
  <c r="I215" i="2"/>
  <c r="G39" i="2"/>
  <c r="K273" i="2"/>
  <c r="J236" i="2"/>
  <c r="O39" i="2"/>
  <c r="F16" i="2"/>
  <c r="F300" i="2"/>
  <c r="C145" i="2"/>
  <c r="C300" i="2"/>
  <c r="P366" i="2"/>
  <c r="L149" i="2"/>
  <c r="O273" i="2"/>
  <c r="D215" i="2"/>
  <c r="L16" i="2"/>
  <c r="F145" i="2"/>
  <c r="I236" i="2"/>
  <c r="P300" i="2"/>
  <c r="E215" i="2"/>
  <c r="I366" i="2"/>
  <c r="N16" i="2"/>
  <c r="O145" i="2"/>
  <c r="H273" i="2"/>
  <c r="G149" i="2"/>
  <c r="L5" i="2"/>
  <c r="R366" i="2"/>
  <c r="R236" i="2"/>
  <c r="O215" i="2"/>
  <c r="G215" i="2"/>
  <c r="P273" i="2"/>
  <c r="N149" i="2"/>
  <c r="R145" i="2"/>
  <c r="M39" i="2"/>
  <c r="C366" i="2"/>
  <c r="M273" i="2"/>
  <c r="K300" i="2"/>
  <c r="Q145" i="2"/>
  <c r="M16" i="2"/>
  <c r="D145" i="2"/>
  <c r="H366" i="2"/>
  <c r="H215" i="2"/>
  <c r="D273" i="2"/>
  <c r="R16" i="2"/>
  <c r="J273" i="2"/>
  <c r="I273" i="2"/>
  <c r="K5" i="2"/>
  <c r="O236" i="2"/>
  <c r="E300" i="2"/>
  <c r="N273" i="2"/>
  <c r="F366" i="2"/>
  <c r="C5" i="2"/>
  <c r="D5" i="2"/>
  <c r="N5" i="2"/>
  <c r="N215" i="2"/>
  <c r="O366" i="2"/>
  <c r="I300" i="2"/>
  <c r="E145" i="2"/>
  <c r="J39" i="2"/>
  <c r="N39" i="2"/>
  <c r="N300" i="2"/>
  <c r="P236" i="2"/>
  <c r="E236" i="2"/>
  <c r="J300" i="2"/>
  <c r="R39" i="2"/>
  <c r="C149" i="2"/>
  <c r="K366" i="2"/>
  <c r="I5" i="2"/>
  <c r="J366" i="2"/>
  <c r="I39" i="2"/>
  <c r="G300" i="2"/>
  <c r="M149" i="2"/>
  <c r="E16" i="2"/>
  <c r="Q149" i="2"/>
  <c r="M236" i="2"/>
  <c r="I149" i="2"/>
  <c r="H5" i="2"/>
  <c r="Q236" i="2"/>
  <c r="O149" i="2"/>
  <c r="M5" i="2"/>
  <c r="G273" i="2"/>
  <c r="M366" i="2"/>
  <c r="R149" i="2"/>
  <c r="O300" i="2"/>
  <c r="C215" i="2"/>
  <c r="Q300" i="2"/>
  <c r="N145" i="2"/>
  <c r="G145" i="2"/>
  <c r="D300" i="2"/>
  <c r="J149" i="2"/>
  <c r="R5" i="2"/>
  <c r="H300" i="2"/>
  <c r="Q366" i="2"/>
  <c r="K236" i="2"/>
  <c r="L366" i="2"/>
  <c r="K215" i="2"/>
  <c r="P39" i="2"/>
  <c r="C39" i="2"/>
  <c r="G236" i="2"/>
  <c r="K39" i="2"/>
  <c r="R273" i="2"/>
  <c r="G16" i="2"/>
  <c r="P215" i="2"/>
  <c r="L215" i="2"/>
  <c r="L236" i="2"/>
  <c r="G5" i="2"/>
  <c r="Q16" i="2"/>
  <c r="P149" i="2"/>
  <c r="I145" i="2"/>
  <c r="D236" i="2"/>
  <c r="R300" i="2"/>
  <c r="I16" i="2"/>
  <c r="J145" i="2"/>
  <c r="P5" i="2"/>
  <c r="F149" i="2"/>
  <c r="L273" i="2"/>
  <c r="J215" i="2"/>
  <c r="Q39" i="2"/>
  <c r="C273" i="2"/>
  <c r="K16" i="2"/>
  <c r="K145" i="2"/>
  <c r="H236" i="2"/>
  <c r="D149" i="2"/>
  <c r="F39" i="2"/>
  <c r="M215" i="2"/>
  <c r="D39" i="2"/>
  <c r="E273" i="2"/>
  <c r="L300" i="2"/>
  <c r="N366" i="2"/>
  <c r="P145" i="2"/>
  <c r="F236" i="2"/>
  <c r="H149" i="2"/>
  <c r="F215" i="2"/>
  <c r="D16" i="2"/>
  <c r="E5" i="2"/>
  <c r="E39" i="2"/>
  <c r="G499" i="2"/>
  <c r="C417" i="2"/>
  <c r="F136" i="2"/>
  <c r="O195" i="2"/>
  <c r="E136" i="2"/>
  <c r="O136" i="2"/>
  <c r="K41" i="2"/>
  <c r="O246" i="2"/>
  <c r="C195" i="2"/>
  <c r="M140" i="2"/>
  <c r="K136" i="2"/>
  <c r="R354" i="2"/>
  <c r="K417" i="2"/>
  <c r="F140" i="2"/>
  <c r="J48" i="2"/>
  <c r="N41" i="2"/>
  <c r="I136" i="2"/>
  <c r="P423" i="2"/>
  <c r="R499" i="2"/>
  <c r="I499" i="2"/>
  <c r="M195" i="2"/>
  <c r="Q48" i="2"/>
  <c r="R41" i="2"/>
  <c r="F41" i="2"/>
  <c r="P417" i="2"/>
  <c r="P136" i="2"/>
  <c r="K140" i="2"/>
  <c r="J246" i="2"/>
  <c r="O423" i="2"/>
  <c r="J423" i="2"/>
  <c r="D140" i="2"/>
  <c r="J41" i="2"/>
  <c r="Q41" i="2"/>
  <c r="H48" i="2"/>
  <c r="I423" i="2"/>
  <c r="E499" i="2"/>
  <c r="G354" i="2"/>
  <c r="L140" i="2"/>
  <c r="G48" i="2"/>
  <c r="F417" i="2"/>
  <c r="I354" i="2"/>
  <c r="L423" i="2"/>
  <c r="R136" i="2"/>
  <c r="O499" i="2"/>
  <c r="N48" i="2"/>
  <c r="D195" i="2"/>
  <c r="M136" i="2"/>
  <c r="J499" i="2"/>
  <c r="F499" i="2"/>
  <c r="G41" i="2"/>
  <c r="N140" i="2"/>
  <c r="E41" i="2"/>
  <c r="M246" i="2"/>
  <c r="F423" i="2"/>
  <c r="K354" i="2"/>
  <c r="Q136" i="2"/>
  <c r="I140" i="2"/>
  <c r="H195" i="2"/>
  <c r="O354" i="2"/>
  <c r="O41" i="2"/>
  <c r="E417" i="2"/>
  <c r="R48" i="2"/>
  <c r="E195" i="2"/>
  <c r="Q423" i="2"/>
  <c r="M499" i="2"/>
  <c r="D423" i="2"/>
  <c r="H41" i="2"/>
  <c r="E423" i="2"/>
  <c r="F354" i="2"/>
  <c r="C136" i="2"/>
  <c r="H140" i="2"/>
  <c r="Q354" i="2"/>
  <c r="D246" i="2"/>
  <c r="I195" i="2"/>
  <c r="R246" i="2"/>
  <c r="J195" i="2"/>
  <c r="O417" i="2"/>
  <c r="N195" i="2"/>
  <c r="N417" i="2"/>
  <c r="K48" i="2"/>
  <c r="N246" i="2"/>
  <c r="I246" i="2"/>
  <c r="L195" i="2"/>
  <c r="Q195" i="2"/>
  <c r="R423" i="2"/>
  <c r="Q417" i="2"/>
  <c r="R140" i="2"/>
  <c r="C246" i="2"/>
  <c r="C354" i="2"/>
  <c r="D499" i="2"/>
  <c r="G417" i="2"/>
  <c r="M417" i="2"/>
  <c r="R195" i="2"/>
  <c r="P499" i="2"/>
  <c r="D136" i="2"/>
  <c r="N354" i="2"/>
  <c r="L499" i="2"/>
  <c r="K499" i="2"/>
  <c r="N423" i="2"/>
  <c r="C41" i="2"/>
  <c r="J417" i="2"/>
  <c r="G195" i="2"/>
  <c r="I417" i="2"/>
  <c r="D354" i="2"/>
  <c r="M354" i="2"/>
  <c r="L246" i="2"/>
  <c r="G246" i="2"/>
  <c r="D48" i="2"/>
  <c r="O140" i="2"/>
  <c r="N499" i="2"/>
  <c r="I41" i="2"/>
  <c r="G423" i="2"/>
  <c r="H246" i="2"/>
  <c r="L417" i="2"/>
  <c r="P354" i="2"/>
  <c r="M423" i="2"/>
  <c r="F195" i="2"/>
  <c r="E140" i="2"/>
  <c r="R417" i="2"/>
  <c r="L136" i="2"/>
  <c r="C499" i="2"/>
  <c r="E246" i="2"/>
  <c r="H499" i="2"/>
  <c r="L41" i="2"/>
  <c r="C423" i="2"/>
  <c r="D41" i="2"/>
  <c r="O48" i="2"/>
  <c r="K423" i="2"/>
  <c r="H354" i="2"/>
  <c r="E48" i="2"/>
  <c r="K195" i="2"/>
  <c r="L48" i="2"/>
  <c r="M48" i="2"/>
  <c r="K246" i="2"/>
  <c r="D417" i="2"/>
  <c r="N136" i="2"/>
  <c r="Q140" i="2"/>
  <c r="F48" i="2"/>
  <c r="E354" i="2"/>
  <c r="J136" i="2"/>
  <c r="G140" i="2"/>
  <c r="P48" i="2"/>
  <c r="C140" i="2"/>
  <c r="J354" i="2"/>
  <c r="P246" i="2"/>
  <c r="P41" i="2"/>
  <c r="I48" i="2"/>
  <c r="J140" i="2"/>
  <c r="Q246" i="2"/>
  <c r="H136" i="2"/>
  <c r="Q499" i="2"/>
  <c r="L354" i="2"/>
  <c r="H423" i="2"/>
  <c r="G136" i="2"/>
  <c r="C48" i="2"/>
  <c r="M41" i="2"/>
  <c r="P195" i="2"/>
  <c r="H417" i="2"/>
  <c r="P140" i="2"/>
  <c r="F246" i="2"/>
  <c r="C425" i="2"/>
  <c r="L327" i="2"/>
  <c r="C333" i="2"/>
  <c r="M327" i="2"/>
  <c r="P484" i="2"/>
  <c r="I445" i="2"/>
  <c r="K425" i="2"/>
  <c r="Q458" i="2"/>
  <c r="N304" i="2"/>
  <c r="P458" i="2"/>
  <c r="R425" i="2"/>
  <c r="R158" i="2"/>
  <c r="H445" i="2"/>
  <c r="K475" i="2"/>
  <c r="O327" i="2"/>
  <c r="M158" i="2"/>
  <c r="I484" i="2"/>
  <c r="K304" i="2"/>
  <c r="R304" i="2"/>
  <c r="M425" i="2"/>
  <c r="K484" i="2"/>
  <c r="G425" i="2"/>
  <c r="M304" i="2"/>
  <c r="F266" i="2"/>
  <c r="P445" i="2"/>
  <c r="G333" i="2"/>
  <c r="O266" i="2"/>
  <c r="F445" i="2"/>
  <c r="D475" i="2"/>
  <c r="E484" i="2"/>
  <c r="G445" i="2"/>
  <c r="E333" i="2"/>
  <c r="K266" i="2"/>
  <c r="Q327" i="2"/>
  <c r="Q445" i="2"/>
  <c r="G266" i="2"/>
  <c r="E458" i="2"/>
  <c r="F425" i="2"/>
  <c r="F327" i="2"/>
  <c r="P475" i="2"/>
  <c r="F458" i="2"/>
  <c r="L266" i="2"/>
  <c r="D458" i="2"/>
  <c r="C266" i="2"/>
  <c r="I158" i="2"/>
  <c r="F304" i="2"/>
  <c r="O304" i="2"/>
  <c r="E475" i="2"/>
  <c r="L445" i="2"/>
  <c r="L304" i="2"/>
  <c r="D333" i="2"/>
  <c r="R266" i="2"/>
  <c r="D266" i="2"/>
  <c r="G475" i="2"/>
  <c r="P425" i="2"/>
  <c r="M475" i="2"/>
  <c r="J484" i="2"/>
  <c r="R475" i="2"/>
  <c r="F475" i="2"/>
  <c r="M266" i="2"/>
  <c r="J266" i="2"/>
  <c r="L484" i="2"/>
  <c r="H333" i="2"/>
  <c r="M484" i="2"/>
  <c r="J475" i="2"/>
  <c r="N425" i="2"/>
  <c r="E304" i="2"/>
  <c r="D425" i="2"/>
  <c r="P266" i="2"/>
  <c r="R445" i="2"/>
  <c r="H304" i="2"/>
  <c r="L475" i="2"/>
  <c r="R333" i="2"/>
  <c r="E327" i="2"/>
  <c r="J458" i="2"/>
  <c r="K158" i="2"/>
  <c r="G158" i="2"/>
  <c r="D327" i="2"/>
  <c r="H425" i="2"/>
  <c r="O445" i="2"/>
  <c r="C327" i="2"/>
  <c r="Q158" i="2"/>
  <c r="R327" i="2"/>
  <c r="C158" i="2"/>
  <c r="N266" i="2"/>
  <c r="E425" i="2"/>
  <c r="F333" i="2"/>
  <c r="R484" i="2"/>
  <c r="G304" i="2"/>
  <c r="Q333" i="2"/>
  <c r="M445" i="2"/>
  <c r="O158" i="2"/>
  <c r="O484" i="2"/>
  <c r="N458" i="2"/>
  <c r="O475" i="2"/>
  <c r="H475" i="2"/>
  <c r="E158" i="2"/>
  <c r="R458" i="2"/>
  <c r="L425" i="2"/>
  <c r="K327" i="2"/>
  <c r="L158" i="2"/>
  <c r="D304" i="2"/>
  <c r="M333" i="2"/>
  <c r="G484" i="2"/>
  <c r="Q484" i="2"/>
  <c r="M458" i="2"/>
  <c r="D445" i="2"/>
  <c r="J158" i="2"/>
  <c r="F158" i="2"/>
  <c r="L458" i="2"/>
  <c r="N158" i="2"/>
  <c r="N484" i="2"/>
  <c r="J425" i="2"/>
  <c r="I266" i="2"/>
  <c r="C304" i="2"/>
  <c r="H458" i="2"/>
  <c r="I425" i="2"/>
  <c r="C445" i="2"/>
  <c r="N445" i="2"/>
  <c r="P333" i="2"/>
  <c r="E445" i="2"/>
  <c r="I458" i="2"/>
  <c r="G458" i="2"/>
  <c r="Q475" i="2"/>
  <c r="G327" i="2"/>
  <c r="J333" i="2"/>
  <c r="N333" i="2"/>
  <c r="P158" i="2"/>
  <c r="P304" i="2"/>
  <c r="C484" i="2"/>
  <c r="F484" i="2"/>
  <c r="J445" i="2"/>
  <c r="Q266" i="2"/>
  <c r="L333" i="2"/>
  <c r="I333" i="2"/>
  <c r="H484" i="2"/>
  <c r="I327" i="2"/>
  <c r="D158" i="2"/>
  <c r="I304" i="2"/>
  <c r="N475" i="2"/>
  <c r="H327" i="2"/>
  <c r="E266" i="2"/>
  <c r="J304" i="2"/>
  <c r="O458" i="2"/>
  <c r="J327" i="2"/>
  <c r="K458" i="2"/>
  <c r="O425" i="2"/>
  <c r="P327" i="2"/>
  <c r="K333" i="2"/>
  <c r="I475" i="2"/>
  <c r="O333" i="2"/>
  <c r="C475" i="2"/>
  <c r="Q425" i="2"/>
  <c r="H266" i="2"/>
  <c r="H158" i="2"/>
  <c r="K445" i="2"/>
  <c r="D484" i="2"/>
  <c r="Q304" i="2"/>
  <c r="N327" i="2"/>
  <c r="C458" i="2"/>
  <c r="N231" i="2"/>
  <c r="R271" i="2"/>
  <c r="M271" i="2"/>
  <c r="L115" i="2"/>
  <c r="D204" i="2"/>
  <c r="E435" i="2"/>
  <c r="E92" i="2"/>
  <c r="I231" i="2"/>
  <c r="G435" i="2"/>
  <c r="R231" i="2"/>
  <c r="H92" i="2"/>
  <c r="H204" i="2"/>
  <c r="R204" i="2"/>
  <c r="P242" i="2"/>
  <c r="E242" i="2"/>
  <c r="O115" i="2"/>
  <c r="I435" i="2"/>
  <c r="H231" i="2"/>
  <c r="P461" i="2"/>
  <c r="K231" i="2"/>
  <c r="L307" i="2"/>
  <c r="D307" i="2"/>
  <c r="Q435" i="2"/>
  <c r="H271" i="2"/>
  <c r="M204" i="2"/>
  <c r="K435" i="2"/>
  <c r="O242" i="2"/>
  <c r="D115" i="2"/>
  <c r="G290" i="2"/>
  <c r="R92" i="2"/>
  <c r="D435" i="2"/>
  <c r="L92" i="2"/>
  <c r="M307" i="2"/>
  <c r="G271" i="2"/>
  <c r="J204" i="2"/>
  <c r="J271" i="2"/>
  <c r="D242" i="2"/>
  <c r="R307" i="2"/>
  <c r="C461" i="2"/>
  <c r="I204" i="2"/>
  <c r="H290" i="2"/>
  <c r="P231" i="2"/>
  <c r="Q290" i="2"/>
  <c r="Q204" i="2"/>
  <c r="O271" i="2"/>
  <c r="N435" i="2"/>
  <c r="M242" i="2"/>
  <c r="J307" i="2"/>
  <c r="E204" i="2"/>
  <c r="F435" i="2"/>
  <c r="D92" i="2"/>
  <c r="K290" i="2"/>
  <c r="F231" i="2"/>
  <c r="K271" i="2"/>
  <c r="N271" i="2"/>
  <c r="C435" i="2"/>
  <c r="R242" i="2"/>
  <c r="Q461" i="2"/>
  <c r="M461" i="2"/>
  <c r="L435" i="2"/>
  <c r="N242" i="2"/>
  <c r="E231" i="2"/>
  <c r="I307" i="2"/>
  <c r="I115" i="2"/>
  <c r="O204" i="2"/>
  <c r="N92" i="2"/>
  <c r="P204" i="2"/>
  <c r="C271" i="2"/>
  <c r="K242" i="2"/>
  <c r="P92" i="2"/>
  <c r="E461" i="2"/>
  <c r="K307" i="2"/>
  <c r="K92" i="2"/>
  <c r="D271" i="2"/>
  <c r="N204" i="2"/>
  <c r="O461" i="2"/>
  <c r="G461" i="2"/>
  <c r="H242" i="2"/>
  <c r="C290" i="2"/>
  <c r="O231" i="2"/>
  <c r="H307" i="2"/>
  <c r="L204" i="2"/>
  <c r="Q271" i="2"/>
  <c r="O435" i="2"/>
  <c r="M231" i="2"/>
  <c r="P115" i="2"/>
  <c r="L242" i="2"/>
  <c r="C115" i="2"/>
  <c r="J435" i="2"/>
  <c r="C242" i="2"/>
  <c r="P307" i="2"/>
  <c r="N461" i="2"/>
  <c r="J461" i="2"/>
  <c r="I461" i="2"/>
  <c r="F271" i="2"/>
  <c r="M290" i="2"/>
  <c r="F204" i="2"/>
  <c r="H461" i="2"/>
  <c r="L290" i="2"/>
  <c r="O290" i="2"/>
  <c r="E271" i="2"/>
  <c r="L461" i="2"/>
  <c r="G307" i="2"/>
  <c r="L231" i="2"/>
  <c r="N307" i="2"/>
  <c r="M92" i="2"/>
  <c r="J92" i="2"/>
  <c r="E307" i="2"/>
  <c r="I92" i="2"/>
  <c r="Q115" i="2"/>
  <c r="E115" i="2"/>
  <c r="Q231" i="2"/>
  <c r="I290" i="2"/>
  <c r="L271" i="2"/>
  <c r="C92" i="2"/>
  <c r="O92" i="2"/>
  <c r="G231" i="2"/>
  <c r="N290" i="2"/>
  <c r="F92" i="2"/>
  <c r="G204" i="2"/>
  <c r="F307" i="2"/>
  <c r="H115" i="2"/>
  <c r="D461" i="2"/>
  <c r="F115" i="2"/>
  <c r="D290" i="2"/>
  <c r="C231" i="2"/>
  <c r="M115" i="2"/>
  <c r="J231" i="2"/>
  <c r="J115" i="2"/>
  <c r="C307" i="2"/>
  <c r="P435" i="2"/>
  <c r="F461" i="2"/>
  <c r="G92" i="2"/>
  <c r="G115" i="2"/>
  <c r="F242" i="2"/>
  <c r="R435" i="2"/>
  <c r="P290" i="2"/>
  <c r="G242" i="2"/>
  <c r="I242" i="2"/>
  <c r="Q307" i="2"/>
  <c r="R290" i="2"/>
  <c r="J290" i="2"/>
  <c r="J242" i="2"/>
  <c r="R461" i="2"/>
  <c r="C204" i="2"/>
  <c r="E290" i="2"/>
  <c r="N115" i="2"/>
  <c r="P271" i="2"/>
  <c r="K115" i="2"/>
  <c r="H435" i="2"/>
  <c r="Q92" i="2"/>
  <c r="M435" i="2"/>
  <c r="F290" i="2"/>
  <c r="Q242" i="2"/>
  <c r="I271" i="2"/>
  <c r="K204" i="2"/>
  <c r="K461" i="2"/>
  <c r="D231" i="2"/>
  <c r="O307" i="2"/>
  <c r="R115" i="2"/>
  <c r="E241" i="2"/>
  <c r="J165" i="2"/>
  <c r="H241" i="2"/>
  <c r="O109" i="2"/>
  <c r="I459" i="2"/>
  <c r="C362" i="2"/>
  <c r="D496" i="2"/>
  <c r="C109" i="2"/>
  <c r="D103" i="2"/>
  <c r="Q459" i="2"/>
  <c r="J103" i="2"/>
  <c r="P419" i="2"/>
  <c r="R362" i="2"/>
  <c r="L388" i="2"/>
  <c r="F459" i="2"/>
  <c r="F419" i="2"/>
  <c r="P388" i="2"/>
  <c r="D109" i="2"/>
  <c r="D362" i="2"/>
  <c r="Q103" i="2"/>
  <c r="H388" i="2"/>
  <c r="G459" i="2"/>
  <c r="N118" i="2"/>
  <c r="Q118" i="2"/>
  <c r="P459" i="2"/>
  <c r="C496" i="2"/>
  <c r="F165" i="2"/>
  <c r="G103" i="2"/>
  <c r="J241" i="2"/>
  <c r="L118" i="2"/>
  <c r="E103" i="2"/>
  <c r="J496" i="2"/>
  <c r="K496" i="2"/>
  <c r="H103" i="2"/>
  <c r="F241" i="2"/>
  <c r="E118" i="2"/>
  <c r="R165" i="2"/>
  <c r="R109" i="2"/>
  <c r="K459" i="2"/>
  <c r="R241" i="2"/>
  <c r="K419" i="2"/>
  <c r="I241" i="2"/>
  <c r="J109" i="2"/>
  <c r="L496" i="2"/>
  <c r="L459" i="2"/>
  <c r="R103" i="2"/>
  <c r="I419" i="2"/>
  <c r="C165" i="2"/>
  <c r="I109" i="2"/>
  <c r="O165" i="2"/>
  <c r="H118" i="2"/>
  <c r="P496" i="2"/>
  <c r="E419" i="2"/>
  <c r="M459" i="2"/>
  <c r="E109" i="2"/>
  <c r="E362" i="2"/>
  <c r="M165" i="2"/>
  <c r="Q362" i="2"/>
  <c r="J459" i="2"/>
  <c r="G388" i="2"/>
  <c r="K118" i="2"/>
  <c r="N388" i="2"/>
  <c r="O118" i="2"/>
  <c r="L362" i="2"/>
  <c r="P241" i="2"/>
  <c r="F362" i="2"/>
  <c r="O241" i="2"/>
  <c r="E459" i="2"/>
  <c r="G496" i="2"/>
  <c r="L109" i="2"/>
  <c r="Q109" i="2"/>
  <c r="P109" i="2"/>
  <c r="K165" i="2"/>
  <c r="D419" i="2"/>
  <c r="N362" i="2"/>
  <c r="R118" i="2"/>
  <c r="J362" i="2"/>
  <c r="K109" i="2"/>
  <c r="M388" i="2"/>
  <c r="H496" i="2"/>
  <c r="R388" i="2"/>
  <c r="I496" i="2"/>
  <c r="O496" i="2"/>
  <c r="N241" i="2"/>
  <c r="Q241" i="2"/>
  <c r="M419" i="2"/>
  <c r="H459" i="2"/>
  <c r="O103" i="2"/>
  <c r="P362" i="2"/>
  <c r="M103" i="2"/>
  <c r="G419" i="2"/>
  <c r="G165" i="2"/>
  <c r="Q419" i="2"/>
  <c r="F109" i="2"/>
  <c r="E388" i="2"/>
  <c r="D118" i="2"/>
  <c r="I118" i="2"/>
  <c r="G241" i="2"/>
  <c r="L241" i="2"/>
  <c r="I388" i="2"/>
  <c r="D459" i="2"/>
  <c r="P118" i="2"/>
  <c r="M241" i="2"/>
  <c r="N165" i="2"/>
  <c r="F118" i="2"/>
  <c r="Q388" i="2"/>
  <c r="D165" i="2"/>
  <c r="N459" i="2"/>
  <c r="C118" i="2"/>
  <c r="N496" i="2"/>
  <c r="N109" i="2"/>
  <c r="Q496" i="2"/>
  <c r="M362" i="2"/>
  <c r="P165" i="2"/>
  <c r="J118" i="2"/>
  <c r="Q165" i="2"/>
  <c r="O419" i="2"/>
  <c r="R459" i="2"/>
  <c r="H109" i="2"/>
  <c r="H165" i="2"/>
  <c r="F496" i="2"/>
  <c r="H419" i="2"/>
  <c r="K362" i="2"/>
  <c r="H362" i="2"/>
  <c r="N103" i="2"/>
  <c r="R496" i="2"/>
  <c r="F103" i="2"/>
  <c r="N419" i="2"/>
  <c r="L103" i="2"/>
  <c r="L165" i="2"/>
  <c r="M496" i="2"/>
  <c r="C459" i="2"/>
  <c r="I103" i="2"/>
  <c r="I165" i="2"/>
  <c r="C388" i="2"/>
  <c r="M118" i="2"/>
  <c r="J419" i="2"/>
  <c r="C419" i="2"/>
  <c r="K388" i="2"/>
  <c r="P103" i="2"/>
  <c r="F388" i="2"/>
  <c r="I362" i="2"/>
  <c r="M109" i="2"/>
  <c r="C241" i="2"/>
  <c r="L419" i="2"/>
  <c r="D388" i="2"/>
  <c r="G362" i="2"/>
  <c r="K103" i="2"/>
  <c r="O388" i="2"/>
  <c r="K241" i="2"/>
  <c r="D241" i="2"/>
  <c r="E496" i="2"/>
  <c r="G118" i="2"/>
  <c r="O362" i="2"/>
  <c r="C103" i="2"/>
  <c r="R419" i="2"/>
  <c r="J388" i="2"/>
  <c r="O459" i="2"/>
  <c r="E165" i="2"/>
  <c r="G109" i="2"/>
  <c r="D50" i="2"/>
  <c r="H28" i="2"/>
  <c r="Q497" i="2"/>
  <c r="Q32" i="2"/>
  <c r="D385" i="2"/>
  <c r="E50" i="2"/>
  <c r="R50" i="2"/>
  <c r="M418" i="2"/>
  <c r="P50" i="2"/>
  <c r="N50" i="2"/>
  <c r="M114" i="2"/>
  <c r="K385" i="2"/>
  <c r="C497" i="2"/>
  <c r="I504" i="2"/>
  <c r="F114" i="2"/>
  <c r="J455" i="2"/>
  <c r="M259" i="2"/>
  <c r="H259" i="2"/>
  <c r="Q50" i="2"/>
  <c r="C455" i="2"/>
  <c r="P114" i="2"/>
  <c r="N418" i="2"/>
  <c r="J418" i="2"/>
  <c r="K418" i="2"/>
  <c r="H504" i="2"/>
  <c r="E32" i="2"/>
  <c r="M497" i="2"/>
  <c r="O455" i="2"/>
  <c r="I32" i="2"/>
  <c r="C504" i="2"/>
  <c r="F455" i="2"/>
  <c r="H455" i="2"/>
  <c r="P32" i="2"/>
  <c r="R32" i="2"/>
  <c r="M32" i="2"/>
  <c r="P28" i="2"/>
  <c r="L418" i="2"/>
  <c r="N385" i="2"/>
  <c r="R385" i="2"/>
  <c r="L50" i="2"/>
  <c r="C418" i="2"/>
  <c r="P497" i="2"/>
  <c r="N259" i="2"/>
  <c r="F50" i="2"/>
  <c r="I385" i="2"/>
  <c r="O385" i="2"/>
  <c r="O32" i="2"/>
  <c r="G497" i="2"/>
  <c r="J28" i="2"/>
  <c r="G259" i="2"/>
  <c r="O114" i="2"/>
  <c r="P385" i="2"/>
  <c r="K28" i="2"/>
  <c r="Q259" i="2"/>
  <c r="J504" i="2"/>
  <c r="I114" i="2"/>
  <c r="D28" i="2"/>
  <c r="E28" i="2"/>
  <c r="N504" i="2"/>
  <c r="J50" i="2"/>
  <c r="R28" i="2"/>
  <c r="C28" i="2"/>
  <c r="E259" i="2"/>
  <c r="I50" i="2"/>
  <c r="J259" i="2"/>
  <c r="K32" i="2"/>
  <c r="F418" i="2"/>
  <c r="H385" i="2"/>
  <c r="L28" i="2"/>
  <c r="D455" i="2"/>
  <c r="Q455" i="2"/>
  <c r="D114" i="2"/>
  <c r="R259" i="2"/>
  <c r="O28" i="2"/>
  <c r="G114" i="2"/>
  <c r="C50" i="2"/>
  <c r="E114" i="2"/>
  <c r="I497" i="2"/>
  <c r="M504" i="2"/>
  <c r="O497" i="2"/>
  <c r="I28" i="2"/>
  <c r="I418" i="2"/>
  <c r="E455" i="2"/>
  <c r="H497" i="2"/>
  <c r="J385" i="2"/>
  <c r="I259" i="2"/>
  <c r="D504" i="2"/>
  <c r="K504" i="2"/>
  <c r="M28" i="2"/>
  <c r="H418" i="2"/>
  <c r="R418" i="2"/>
  <c r="Q28" i="2"/>
  <c r="Q418" i="2"/>
  <c r="G32" i="2"/>
  <c r="F385" i="2"/>
  <c r="P504" i="2"/>
  <c r="K50" i="2"/>
  <c r="O259" i="2"/>
  <c r="J32" i="2"/>
  <c r="O418" i="2"/>
  <c r="D32" i="2"/>
  <c r="C259" i="2"/>
  <c r="M385" i="2"/>
  <c r="G418" i="2"/>
  <c r="F32" i="2"/>
  <c r="D418" i="2"/>
  <c r="I455" i="2"/>
  <c r="J114" i="2"/>
  <c r="E418" i="2"/>
  <c r="Q114" i="2"/>
  <c r="C114" i="2"/>
  <c r="N28" i="2"/>
  <c r="G50" i="2"/>
  <c r="N455" i="2"/>
  <c r="L114" i="2"/>
  <c r="L497" i="2"/>
  <c r="M455" i="2"/>
  <c r="E385" i="2"/>
  <c r="G28" i="2"/>
  <c r="F497" i="2"/>
  <c r="L259" i="2"/>
  <c r="L385" i="2"/>
  <c r="O504" i="2"/>
  <c r="D497" i="2"/>
  <c r="K497" i="2"/>
  <c r="P455" i="2"/>
  <c r="N497" i="2"/>
  <c r="J497" i="2"/>
  <c r="N114" i="2"/>
  <c r="H50" i="2"/>
  <c r="L455" i="2"/>
  <c r="K114" i="2"/>
  <c r="L32" i="2"/>
  <c r="F259" i="2"/>
  <c r="R504" i="2"/>
  <c r="L504" i="2"/>
  <c r="Q504" i="2"/>
  <c r="R497" i="2"/>
  <c r="E504" i="2"/>
  <c r="P259" i="2"/>
  <c r="K259" i="2"/>
  <c r="G455" i="2"/>
  <c r="G504" i="2"/>
  <c r="N32" i="2"/>
  <c r="C32" i="2"/>
  <c r="M50" i="2"/>
  <c r="C385" i="2"/>
  <c r="Q385" i="2"/>
  <c r="K455" i="2"/>
  <c r="H114" i="2"/>
  <c r="E497" i="2"/>
  <c r="R455" i="2"/>
  <c r="O50" i="2"/>
  <c r="F28" i="2"/>
  <c r="R114" i="2"/>
  <c r="F504" i="2"/>
  <c r="D259" i="2"/>
  <c r="H32" i="2"/>
  <c r="P418" i="2"/>
  <c r="G385" i="2"/>
  <c r="O293" i="2"/>
  <c r="D365" i="2"/>
  <c r="O168" i="2"/>
  <c r="N293" i="2"/>
  <c r="N168" i="2"/>
  <c r="R314" i="2"/>
  <c r="M293" i="2"/>
  <c r="Q463" i="2"/>
  <c r="R463" i="2"/>
  <c r="O369" i="2"/>
  <c r="P225" i="2"/>
  <c r="F365" i="2"/>
  <c r="R293" i="2"/>
  <c r="G54" i="2"/>
  <c r="G463" i="2"/>
  <c r="Q314" i="2"/>
  <c r="G293" i="2"/>
  <c r="R225" i="2"/>
  <c r="M80" i="2"/>
  <c r="F80" i="2"/>
  <c r="L314" i="2"/>
  <c r="F314" i="2"/>
  <c r="Q40" i="2"/>
  <c r="F225" i="2"/>
  <c r="F293" i="2"/>
  <c r="E54" i="2"/>
  <c r="M463" i="2"/>
  <c r="N463" i="2"/>
  <c r="K40" i="2"/>
  <c r="G225" i="2"/>
  <c r="M168" i="2"/>
  <c r="R40" i="2"/>
  <c r="D463" i="2"/>
  <c r="K54" i="2"/>
  <c r="Q293" i="2"/>
  <c r="P314" i="2"/>
  <c r="P40" i="2"/>
  <c r="H293" i="2"/>
  <c r="H463" i="2"/>
  <c r="J40" i="2"/>
  <c r="M225" i="2"/>
  <c r="D369" i="2"/>
  <c r="I54" i="2"/>
  <c r="N314" i="2"/>
  <c r="M369" i="2"/>
  <c r="Q369" i="2"/>
  <c r="F54" i="2"/>
  <c r="N40" i="2"/>
  <c r="L225" i="2"/>
  <c r="P463" i="2"/>
  <c r="H80" i="2"/>
  <c r="R168" i="2"/>
  <c r="I369" i="2"/>
  <c r="L168" i="2"/>
  <c r="L54" i="2"/>
  <c r="L365" i="2"/>
  <c r="H40" i="2"/>
  <c r="I293" i="2"/>
  <c r="F369" i="2"/>
  <c r="C365" i="2"/>
  <c r="F40" i="2"/>
  <c r="O365" i="2"/>
  <c r="L80" i="2"/>
  <c r="H54" i="2"/>
  <c r="K168" i="2"/>
  <c r="E293" i="2"/>
  <c r="C54" i="2"/>
  <c r="I168" i="2"/>
  <c r="C314" i="2"/>
  <c r="G369" i="2"/>
  <c r="D168" i="2"/>
  <c r="R80" i="2"/>
  <c r="P369" i="2"/>
  <c r="N365" i="2"/>
  <c r="I40" i="2"/>
  <c r="I365" i="2"/>
  <c r="D54" i="2"/>
  <c r="P365" i="2"/>
  <c r="C369" i="2"/>
  <c r="J314" i="2"/>
  <c r="L293" i="2"/>
  <c r="E225" i="2"/>
  <c r="E463" i="2"/>
  <c r="P80" i="2"/>
  <c r="J80" i="2"/>
  <c r="G314" i="2"/>
  <c r="N54" i="2"/>
  <c r="E365" i="2"/>
  <c r="G168" i="2"/>
  <c r="D225" i="2"/>
  <c r="M365" i="2"/>
  <c r="I80" i="2"/>
  <c r="H168" i="2"/>
  <c r="J54" i="2"/>
  <c r="M40" i="2"/>
  <c r="I463" i="2"/>
  <c r="F168" i="2"/>
  <c r="E40" i="2"/>
  <c r="C80" i="2"/>
  <c r="D293" i="2"/>
  <c r="K314" i="2"/>
  <c r="K80" i="2"/>
  <c r="P54" i="2"/>
  <c r="H225" i="2"/>
  <c r="H314" i="2"/>
  <c r="D40" i="2"/>
  <c r="O40" i="2"/>
  <c r="L463" i="2"/>
  <c r="J225" i="2"/>
  <c r="C168" i="2"/>
  <c r="M54" i="2"/>
  <c r="Q168" i="2"/>
  <c r="C293" i="2"/>
  <c r="H365" i="2"/>
  <c r="Q225" i="2"/>
  <c r="O463" i="2"/>
  <c r="O225" i="2"/>
  <c r="R365" i="2"/>
  <c r="I314" i="2"/>
  <c r="G80" i="2"/>
  <c r="J463" i="2"/>
  <c r="O80" i="2"/>
  <c r="E369" i="2"/>
  <c r="D314" i="2"/>
  <c r="E80" i="2"/>
  <c r="P168" i="2"/>
  <c r="G365" i="2"/>
  <c r="Q54" i="2"/>
  <c r="Q365" i="2"/>
  <c r="J369" i="2"/>
  <c r="E314" i="2"/>
  <c r="N225" i="2"/>
  <c r="C40" i="2"/>
  <c r="Q80" i="2"/>
  <c r="K225" i="2"/>
  <c r="K365" i="2"/>
  <c r="N369" i="2"/>
  <c r="F463" i="2"/>
  <c r="O314" i="2"/>
  <c r="I225" i="2"/>
  <c r="H369" i="2"/>
  <c r="L369" i="2"/>
  <c r="P293" i="2"/>
  <c r="L40" i="2"/>
  <c r="D80" i="2"/>
  <c r="K369" i="2"/>
  <c r="J168" i="2"/>
  <c r="K463" i="2"/>
  <c r="J293" i="2"/>
  <c r="O54" i="2"/>
  <c r="R54" i="2"/>
  <c r="M314" i="2"/>
  <c r="K293" i="2"/>
  <c r="G40" i="2"/>
  <c r="R369" i="2"/>
  <c r="J365" i="2"/>
  <c r="C225" i="2"/>
  <c r="C463" i="2"/>
  <c r="E168" i="2"/>
  <c r="N80" i="2"/>
  <c r="I335" i="2"/>
  <c r="M352" i="2"/>
  <c r="K56" i="2"/>
  <c r="K416" i="2"/>
  <c r="C75" i="2"/>
  <c r="E75" i="2"/>
  <c r="E452" i="2"/>
  <c r="I331" i="2"/>
  <c r="J335" i="2"/>
  <c r="L452" i="2"/>
  <c r="C352" i="2"/>
  <c r="C416" i="2"/>
  <c r="Q56" i="2"/>
  <c r="H335" i="2"/>
  <c r="M335" i="2"/>
  <c r="O335" i="2"/>
  <c r="O352" i="2"/>
  <c r="J452" i="2"/>
  <c r="G56" i="2"/>
  <c r="O394" i="2"/>
  <c r="E351" i="2"/>
  <c r="Q352" i="2"/>
  <c r="I75" i="2"/>
  <c r="Q335" i="2"/>
  <c r="C452" i="2"/>
  <c r="J394" i="2"/>
  <c r="F351" i="2"/>
  <c r="F394" i="2"/>
  <c r="D414" i="2"/>
  <c r="N56" i="2"/>
  <c r="I414" i="2"/>
  <c r="D394" i="2"/>
  <c r="C414" i="2"/>
  <c r="R452" i="2"/>
  <c r="Q331" i="2"/>
  <c r="I394" i="2"/>
  <c r="O452" i="2"/>
  <c r="H394" i="2"/>
  <c r="F335" i="2"/>
  <c r="O351" i="2"/>
  <c r="I416" i="2"/>
  <c r="G331" i="2"/>
  <c r="D75" i="2"/>
  <c r="M416" i="2"/>
  <c r="P335" i="2"/>
  <c r="F452" i="2"/>
  <c r="P75" i="2"/>
  <c r="Q75" i="2"/>
  <c r="H331" i="2"/>
  <c r="H452" i="2"/>
  <c r="D56" i="2"/>
  <c r="N335" i="2"/>
  <c r="G351" i="2"/>
  <c r="L331" i="2"/>
  <c r="R331" i="2"/>
  <c r="D352" i="2"/>
  <c r="E394" i="2"/>
  <c r="K331" i="2"/>
  <c r="D351" i="2"/>
  <c r="O414" i="2"/>
  <c r="Q351" i="2"/>
  <c r="F416" i="2"/>
  <c r="D335" i="2"/>
  <c r="H352" i="2"/>
  <c r="L351" i="2"/>
  <c r="M351" i="2"/>
  <c r="N351" i="2"/>
  <c r="D416" i="2"/>
  <c r="G416" i="2"/>
  <c r="K75" i="2"/>
  <c r="E414" i="2"/>
  <c r="C331" i="2"/>
  <c r="N352" i="2"/>
  <c r="J416" i="2"/>
  <c r="G352" i="2"/>
  <c r="P416" i="2"/>
  <c r="P394" i="2"/>
  <c r="R351" i="2"/>
  <c r="R394" i="2"/>
  <c r="O75" i="2"/>
  <c r="F352" i="2"/>
  <c r="C335" i="2"/>
  <c r="L335" i="2"/>
  <c r="M56" i="2"/>
  <c r="N414" i="2"/>
  <c r="L75" i="2"/>
  <c r="R416" i="2"/>
  <c r="N394" i="2"/>
  <c r="J352" i="2"/>
  <c r="L352" i="2"/>
  <c r="M414" i="2"/>
  <c r="P414" i="2"/>
  <c r="R352" i="2"/>
  <c r="N452" i="2"/>
  <c r="I351" i="2"/>
  <c r="H414" i="2"/>
  <c r="E352" i="2"/>
  <c r="N331" i="2"/>
  <c r="Q414" i="2"/>
  <c r="K394" i="2"/>
  <c r="C56" i="2"/>
  <c r="C394" i="2"/>
  <c r="N416" i="2"/>
  <c r="J56" i="2"/>
  <c r="M75" i="2"/>
  <c r="H351" i="2"/>
  <c r="J331" i="2"/>
  <c r="O331" i="2"/>
  <c r="M331" i="2"/>
  <c r="E335" i="2"/>
  <c r="L414" i="2"/>
  <c r="K335" i="2"/>
  <c r="Q416" i="2"/>
  <c r="P56" i="2"/>
  <c r="M452" i="2"/>
  <c r="F414" i="2"/>
  <c r="K351" i="2"/>
  <c r="R56" i="2"/>
  <c r="D452" i="2"/>
  <c r="F75" i="2"/>
  <c r="G394" i="2"/>
  <c r="O56" i="2"/>
  <c r="J351" i="2"/>
  <c r="G414" i="2"/>
  <c r="R414" i="2"/>
  <c r="F56" i="2"/>
  <c r="E56" i="2"/>
  <c r="N75" i="2"/>
  <c r="R335" i="2"/>
  <c r="K452" i="2"/>
  <c r="P351" i="2"/>
  <c r="L416" i="2"/>
  <c r="G75" i="2"/>
  <c r="J414" i="2"/>
  <c r="K352" i="2"/>
  <c r="D331" i="2"/>
  <c r="I56" i="2"/>
  <c r="P352" i="2"/>
  <c r="H56" i="2"/>
  <c r="E331" i="2"/>
  <c r="I452" i="2"/>
  <c r="Q394" i="2"/>
  <c r="J75" i="2"/>
  <c r="H75" i="2"/>
  <c r="M394" i="2"/>
  <c r="Q452" i="2"/>
  <c r="P452" i="2"/>
  <c r="O416" i="2"/>
  <c r="F331" i="2"/>
  <c r="H416" i="2"/>
  <c r="C351" i="2"/>
  <c r="G335" i="2"/>
  <c r="E416" i="2"/>
  <c r="L56" i="2"/>
  <c r="G452" i="2"/>
  <c r="R75" i="2"/>
  <c r="P331" i="2"/>
  <c r="L394" i="2"/>
  <c r="K414" i="2"/>
  <c r="I352" i="2"/>
  <c r="J280" i="2"/>
  <c r="R323" i="2"/>
  <c r="D323" i="2"/>
  <c r="R492" i="2"/>
  <c r="E280" i="2"/>
  <c r="Q492" i="2"/>
  <c r="E492" i="2"/>
  <c r="J23" i="2"/>
  <c r="P46" i="2"/>
  <c r="F323" i="2"/>
  <c r="O95" i="2"/>
  <c r="P323" i="2"/>
  <c r="R95" i="2"/>
  <c r="L323" i="2"/>
  <c r="G323" i="2"/>
  <c r="H256" i="2"/>
  <c r="O492" i="2"/>
  <c r="F46" i="2"/>
  <c r="D280" i="2"/>
  <c r="J82" i="2"/>
  <c r="Q82" i="2"/>
  <c r="L432" i="2"/>
  <c r="K492" i="2"/>
  <c r="G432" i="2"/>
  <c r="K82" i="2"/>
  <c r="F432" i="2"/>
  <c r="G46" i="2"/>
  <c r="I323" i="2"/>
  <c r="R280" i="2"/>
  <c r="M432" i="2"/>
  <c r="L280" i="2"/>
  <c r="C46" i="2"/>
  <c r="H46" i="2"/>
  <c r="R256" i="2"/>
  <c r="R23" i="2"/>
  <c r="H373" i="2"/>
  <c r="O432" i="2"/>
  <c r="I492" i="2"/>
  <c r="Q323" i="2"/>
  <c r="M82" i="2"/>
  <c r="K373" i="2"/>
  <c r="I95" i="2"/>
  <c r="I82" i="2"/>
  <c r="P23" i="2"/>
  <c r="I256" i="2"/>
  <c r="N95" i="2"/>
  <c r="H23" i="2"/>
  <c r="H432" i="2"/>
  <c r="J373" i="2"/>
  <c r="M23" i="2"/>
  <c r="I23" i="2"/>
  <c r="D492" i="2"/>
  <c r="N492" i="2"/>
  <c r="P280" i="2"/>
  <c r="K23" i="2"/>
  <c r="N46" i="2"/>
  <c r="N23" i="2"/>
  <c r="C432" i="2"/>
  <c r="Q256" i="2"/>
  <c r="O373" i="2"/>
  <c r="G82" i="2"/>
  <c r="C492" i="2"/>
  <c r="I46" i="2"/>
  <c r="E256" i="2"/>
  <c r="F373" i="2"/>
  <c r="E23" i="2"/>
  <c r="D95" i="2"/>
  <c r="P432" i="2"/>
  <c r="N323" i="2"/>
  <c r="L95" i="2"/>
  <c r="O256" i="2"/>
  <c r="N432" i="2"/>
  <c r="Q46" i="2"/>
  <c r="P492" i="2"/>
  <c r="D23" i="2"/>
  <c r="H492" i="2"/>
  <c r="M492" i="2"/>
  <c r="G23" i="2"/>
  <c r="L492" i="2"/>
  <c r="K256" i="2"/>
  <c r="M280" i="2"/>
  <c r="H280" i="2"/>
  <c r="F256" i="2"/>
  <c r="M46" i="2"/>
  <c r="C23" i="2"/>
  <c r="J432" i="2"/>
  <c r="D256" i="2"/>
  <c r="Q95" i="2"/>
  <c r="D82" i="2"/>
  <c r="G492" i="2"/>
  <c r="K323" i="2"/>
  <c r="E432" i="2"/>
  <c r="N82" i="2"/>
  <c r="F95" i="2"/>
  <c r="C82" i="2"/>
  <c r="H95" i="2"/>
  <c r="J46" i="2"/>
  <c r="C323" i="2"/>
  <c r="I280" i="2"/>
  <c r="E373" i="2"/>
  <c r="O46" i="2"/>
  <c r="I373" i="2"/>
  <c r="K95" i="2"/>
  <c r="E323" i="2"/>
  <c r="F82" i="2"/>
  <c r="R82" i="2"/>
  <c r="L256" i="2"/>
  <c r="K46" i="2"/>
  <c r="N373" i="2"/>
  <c r="J256" i="2"/>
  <c r="H82" i="2"/>
  <c r="R373" i="2"/>
  <c r="I432" i="2"/>
  <c r="P373" i="2"/>
  <c r="K432" i="2"/>
  <c r="Q373" i="2"/>
  <c r="M373" i="2"/>
  <c r="P95" i="2"/>
  <c r="D373" i="2"/>
  <c r="M95" i="2"/>
  <c r="L23" i="2"/>
  <c r="Q280" i="2"/>
  <c r="C280" i="2"/>
  <c r="M256" i="2"/>
  <c r="M323" i="2"/>
  <c r="L46" i="2"/>
  <c r="P82" i="2"/>
  <c r="C373" i="2"/>
  <c r="R432" i="2"/>
  <c r="O280" i="2"/>
  <c r="F280" i="2"/>
  <c r="F492" i="2"/>
  <c r="G95" i="2"/>
  <c r="E46" i="2"/>
  <c r="G373" i="2"/>
  <c r="O82" i="2"/>
  <c r="O23" i="2"/>
  <c r="E95" i="2"/>
  <c r="P256" i="2"/>
  <c r="D46" i="2"/>
  <c r="C256" i="2"/>
  <c r="C95" i="2"/>
  <c r="O323" i="2"/>
  <c r="K280" i="2"/>
  <c r="G280" i="2"/>
  <c r="Q432" i="2"/>
  <c r="Q23" i="2"/>
  <c r="G256" i="2"/>
  <c r="L82" i="2"/>
  <c r="J323" i="2"/>
  <c r="L373" i="2"/>
  <c r="R46" i="2"/>
  <c r="N280" i="2"/>
  <c r="J95" i="2"/>
  <c r="F23" i="2"/>
  <c r="E82" i="2"/>
  <c r="N256" i="2"/>
  <c r="D432" i="2"/>
  <c r="J492" i="2"/>
  <c r="H323" i="2"/>
  <c r="O217" i="2"/>
  <c r="D233" i="2"/>
  <c r="H233" i="2"/>
  <c r="P70" i="2"/>
  <c r="P192" i="2"/>
  <c r="F70" i="2"/>
  <c r="K230" i="2"/>
  <c r="H218" i="2"/>
  <c r="K104" i="2"/>
  <c r="H138" i="2"/>
  <c r="E217" i="2"/>
  <c r="K218" i="2"/>
  <c r="E138" i="2"/>
  <c r="E233" i="2"/>
  <c r="O230" i="2"/>
  <c r="K192" i="2"/>
  <c r="P245" i="2"/>
  <c r="N349" i="2"/>
  <c r="R230" i="2"/>
  <c r="F192" i="2"/>
  <c r="J138" i="2"/>
  <c r="L349" i="2"/>
  <c r="K217" i="2"/>
  <c r="M217" i="2"/>
  <c r="H230" i="2"/>
  <c r="H217" i="2"/>
  <c r="R217" i="2"/>
  <c r="I245" i="2"/>
  <c r="O104" i="2"/>
  <c r="L230" i="2"/>
  <c r="O138" i="2"/>
  <c r="J218" i="2"/>
  <c r="K245" i="2"/>
  <c r="M138" i="2"/>
  <c r="H349" i="2"/>
  <c r="Q104" i="2"/>
  <c r="I192" i="2"/>
  <c r="G233" i="2"/>
  <c r="D192" i="2"/>
  <c r="C192" i="2"/>
  <c r="P233" i="2"/>
  <c r="D230" i="2"/>
  <c r="C233" i="2"/>
  <c r="K349" i="2"/>
  <c r="Q138" i="2"/>
  <c r="H192" i="2"/>
  <c r="I104" i="2"/>
  <c r="J70" i="2"/>
  <c r="J349" i="2"/>
  <c r="N192" i="2"/>
  <c r="L104" i="2"/>
  <c r="C349" i="2"/>
  <c r="R245" i="2"/>
  <c r="J245" i="2"/>
  <c r="M218" i="2"/>
  <c r="M230" i="2"/>
  <c r="H70" i="2"/>
  <c r="M70" i="2"/>
  <c r="Q233" i="2"/>
  <c r="O192" i="2"/>
  <c r="Q349" i="2"/>
  <c r="O70" i="2"/>
  <c r="P217" i="2"/>
  <c r="O245" i="2"/>
  <c r="Q230" i="2"/>
  <c r="D138" i="2"/>
  <c r="G349" i="2"/>
  <c r="G192" i="2"/>
  <c r="C104" i="2"/>
  <c r="F218" i="2"/>
  <c r="F104" i="2"/>
  <c r="R233" i="2"/>
  <c r="L245" i="2"/>
  <c r="J104" i="2"/>
  <c r="I138" i="2"/>
  <c r="G70" i="2"/>
  <c r="F349" i="2"/>
  <c r="P138" i="2"/>
  <c r="J217" i="2"/>
  <c r="R104" i="2"/>
  <c r="G217" i="2"/>
  <c r="E192" i="2"/>
  <c r="Q245" i="2"/>
  <c r="I218" i="2"/>
  <c r="H104" i="2"/>
  <c r="G104" i="2"/>
  <c r="O349" i="2"/>
  <c r="G245" i="2"/>
  <c r="D70" i="2"/>
  <c r="K233" i="2"/>
  <c r="G218" i="2"/>
  <c r="M233" i="2"/>
  <c r="N70" i="2"/>
  <c r="R192" i="2"/>
  <c r="P218" i="2"/>
  <c r="D349" i="2"/>
  <c r="C230" i="2"/>
  <c r="G230" i="2"/>
  <c r="L233" i="2"/>
  <c r="J230" i="2"/>
  <c r="I230" i="2"/>
  <c r="M245" i="2"/>
  <c r="D104" i="2"/>
  <c r="Q70" i="2"/>
  <c r="Q192" i="2"/>
  <c r="E70" i="2"/>
  <c r="M104" i="2"/>
  <c r="E218" i="2"/>
  <c r="F230" i="2"/>
  <c r="L218" i="2"/>
  <c r="D245" i="2"/>
  <c r="Q217" i="2"/>
  <c r="P230" i="2"/>
  <c r="L70" i="2"/>
  <c r="N217" i="2"/>
  <c r="O218" i="2"/>
  <c r="E245" i="2"/>
  <c r="P349" i="2"/>
  <c r="I349" i="2"/>
  <c r="N104" i="2"/>
  <c r="F217" i="2"/>
  <c r="M192" i="2"/>
  <c r="I233" i="2"/>
  <c r="J233" i="2"/>
  <c r="N233" i="2"/>
  <c r="C218" i="2"/>
  <c r="E230" i="2"/>
  <c r="C217" i="2"/>
  <c r="K70" i="2"/>
  <c r="P104" i="2"/>
  <c r="R349" i="2"/>
  <c r="R70" i="2"/>
  <c r="F138" i="2"/>
  <c r="R218" i="2"/>
  <c r="H245" i="2"/>
  <c r="R138" i="2"/>
  <c r="N218" i="2"/>
  <c r="E349" i="2"/>
  <c r="K138" i="2"/>
  <c r="L138" i="2"/>
  <c r="N138" i="2"/>
  <c r="O233" i="2"/>
  <c r="C70" i="2"/>
  <c r="N245" i="2"/>
  <c r="C245" i="2"/>
  <c r="Q218" i="2"/>
  <c r="L192" i="2"/>
  <c r="I217" i="2"/>
  <c r="L217" i="2"/>
  <c r="C138" i="2"/>
  <c r="J192" i="2"/>
  <c r="F245" i="2"/>
  <c r="M349" i="2"/>
  <c r="I70" i="2"/>
  <c r="N230" i="2"/>
  <c r="G138" i="2"/>
  <c r="E104" i="2"/>
  <c r="D217" i="2"/>
  <c r="F233" i="2"/>
  <c r="D218" i="2"/>
  <c r="D137" i="2"/>
  <c r="M443" i="2"/>
  <c r="K428" i="2"/>
  <c r="M336" i="2"/>
  <c r="M175" i="2"/>
  <c r="O159" i="2"/>
  <c r="K199" i="2"/>
  <c r="C443" i="2"/>
  <c r="E175" i="2"/>
  <c r="E25" i="2"/>
  <c r="G199" i="2"/>
  <c r="Q137" i="2"/>
  <c r="H428" i="2"/>
  <c r="F25" i="2"/>
  <c r="J428" i="2"/>
  <c r="C428" i="2"/>
  <c r="N470" i="2"/>
  <c r="D428" i="2"/>
  <c r="J336" i="2"/>
  <c r="D336" i="2"/>
  <c r="F175" i="2"/>
  <c r="E199" i="2"/>
  <c r="C25" i="2"/>
  <c r="N336" i="2"/>
  <c r="R199" i="2"/>
  <c r="E159" i="2"/>
  <c r="R159" i="2"/>
  <c r="G137" i="2"/>
  <c r="F443" i="2"/>
  <c r="N160" i="2"/>
  <c r="J470" i="2"/>
  <c r="N137" i="2"/>
  <c r="C160" i="2"/>
  <c r="L470" i="2"/>
  <c r="H336" i="2"/>
  <c r="K443" i="2"/>
  <c r="F470" i="2"/>
  <c r="O137" i="2"/>
  <c r="H159" i="2"/>
  <c r="H199" i="2"/>
  <c r="F336" i="2"/>
  <c r="D25" i="2"/>
  <c r="C175" i="2"/>
  <c r="M25" i="2"/>
  <c r="M160" i="2"/>
  <c r="O160" i="2"/>
  <c r="K137" i="2"/>
  <c r="Q199" i="2"/>
  <c r="G175" i="2"/>
  <c r="C199" i="2"/>
  <c r="K175" i="2"/>
  <c r="H175" i="2"/>
  <c r="D199" i="2"/>
  <c r="P175" i="2"/>
  <c r="J159" i="2"/>
  <c r="K160" i="2"/>
  <c r="K470" i="2"/>
  <c r="H137" i="2"/>
  <c r="O470" i="2"/>
  <c r="I199" i="2"/>
  <c r="Q159" i="2"/>
  <c r="R336" i="2"/>
  <c r="Q160" i="2"/>
  <c r="I175" i="2"/>
  <c r="R137" i="2"/>
  <c r="M470" i="2"/>
  <c r="D175" i="2"/>
  <c r="N159" i="2"/>
  <c r="K336" i="2"/>
  <c r="P160" i="2"/>
  <c r="D443" i="2"/>
  <c r="N428" i="2"/>
  <c r="H470" i="2"/>
  <c r="C137" i="2"/>
  <c r="N443" i="2"/>
  <c r="E470" i="2"/>
  <c r="O25" i="2"/>
  <c r="L160" i="2"/>
  <c r="E336" i="2"/>
  <c r="Q336" i="2"/>
  <c r="J160" i="2"/>
  <c r="H160" i="2"/>
  <c r="O175" i="2"/>
  <c r="D470" i="2"/>
  <c r="C159" i="2"/>
  <c r="H443" i="2"/>
  <c r="L159" i="2"/>
  <c r="N25" i="2"/>
  <c r="F160" i="2"/>
  <c r="K25" i="2"/>
  <c r="Q470" i="2"/>
  <c r="G443" i="2"/>
  <c r="O443" i="2"/>
  <c r="L199" i="2"/>
  <c r="O336" i="2"/>
  <c r="F159" i="2"/>
  <c r="R470" i="2"/>
  <c r="J137" i="2"/>
  <c r="E160" i="2"/>
  <c r="P443" i="2"/>
  <c r="G25" i="2"/>
  <c r="C470" i="2"/>
  <c r="J443" i="2"/>
  <c r="P137" i="2"/>
  <c r="P428" i="2"/>
  <c r="I160" i="2"/>
  <c r="M159" i="2"/>
  <c r="N175" i="2"/>
  <c r="I159" i="2"/>
  <c r="J199" i="2"/>
  <c r="P336" i="2"/>
  <c r="R25" i="2"/>
  <c r="K159" i="2"/>
  <c r="L443" i="2"/>
  <c r="G160" i="2"/>
  <c r="L25" i="2"/>
  <c r="I137" i="2"/>
  <c r="L428" i="2"/>
  <c r="R428" i="2"/>
  <c r="P159" i="2"/>
  <c r="P199" i="2"/>
  <c r="I336" i="2"/>
  <c r="Q175" i="2"/>
  <c r="E443" i="2"/>
  <c r="C336" i="2"/>
  <c r="M137" i="2"/>
  <c r="J25" i="2"/>
  <c r="R175" i="2"/>
  <c r="M428" i="2"/>
  <c r="P25" i="2"/>
  <c r="D159" i="2"/>
  <c r="I428" i="2"/>
  <c r="G428" i="2"/>
  <c r="R443" i="2"/>
  <c r="F428" i="2"/>
  <c r="M199" i="2"/>
  <c r="I25" i="2"/>
  <c r="J175" i="2"/>
  <c r="I443" i="2"/>
  <c r="I470" i="2"/>
  <c r="G470" i="2"/>
  <c r="Q428" i="2"/>
  <c r="E137" i="2"/>
  <c r="L137" i="2"/>
  <c r="O428" i="2"/>
  <c r="H25" i="2"/>
  <c r="O199" i="2"/>
  <c r="N199" i="2"/>
  <c r="L336" i="2"/>
  <c r="D160" i="2"/>
  <c r="L175" i="2"/>
  <c r="F199" i="2"/>
  <c r="R160" i="2"/>
  <c r="Q443" i="2"/>
  <c r="G159" i="2"/>
  <c r="Q25" i="2"/>
  <c r="P470" i="2"/>
  <c r="F137" i="2"/>
  <c r="G336" i="2"/>
  <c r="E428" i="2"/>
  <c r="F146" i="2"/>
  <c r="G67" i="2"/>
  <c r="I433" i="2"/>
  <c r="I67" i="2"/>
  <c r="G188" i="2"/>
  <c r="E105" i="2"/>
  <c r="H188" i="2"/>
  <c r="J154" i="2"/>
  <c r="Q467" i="2"/>
  <c r="O433" i="2"/>
  <c r="G154" i="2"/>
  <c r="Q105" i="2"/>
  <c r="E188" i="2"/>
  <c r="H154" i="2"/>
  <c r="N67" i="2"/>
  <c r="L154" i="2"/>
  <c r="G105" i="2"/>
  <c r="Q67" i="2"/>
  <c r="D67" i="2"/>
  <c r="M188" i="2"/>
  <c r="R355" i="2"/>
  <c r="K105" i="2"/>
  <c r="F188" i="2"/>
  <c r="C355" i="2"/>
  <c r="M146" i="2"/>
  <c r="M433" i="2"/>
  <c r="D154" i="2"/>
  <c r="E146" i="2"/>
  <c r="N78" i="2"/>
  <c r="C433" i="2"/>
  <c r="F355" i="2"/>
  <c r="I355" i="2"/>
  <c r="E433" i="2"/>
  <c r="N105" i="2"/>
  <c r="M105" i="2"/>
  <c r="M467" i="2"/>
  <c r="R146" i="2"/>
  <c r="L146" i="2"/>
  <c r="D146" i="2"/>
  <c r="C467" i="2"/>
  <c r="N433" i="2"/>
  <c r="P332" i="2"/>
  <c r="M67" i="2"/>
  <c r="E467" i="2"/>
  <c r="D355" i="2"/>
  <c r="J67" i="2"/>
  <c r="I78" i="2"/>
  <c r="P467" i="2"/>
  <c r="C78" i="2"/>
  <c r="O78" i="2"/>
  <c r="J467" i="2"/>
  <c r="P78" i="2"/>
  <c r="E355" i="2"/>
  <c r="K146" i="2"/>
  <c r="I467" i="2"/>
  <c r="O154" i="2"/>
  <c r="R433" i="2"/>
  <c r="L67" i="2"/>
  <c r="J332" i="2"/>
  <c r="F467" i="2"/>
  <c r="C188" i="2"/>
  <c r="M154" i="2"/>
  <c r="R332" i="2"/>
  <c r="E78" i="2"/>
  <c r="O67" i="2"/>
  <c r="J105" i="2"/>
  <c r="H433" i="2"/>
  <c r="Q355" i="2"/>
  <c r="D188" i="2"/>
  <c r="R105" i="2"/>
  <c r="H355" i="2"/>
  <c r="Q78" i="2"/>
  <c r="I146" i="2"/>
  <c r="P188" i="2"/>
  <c r="N154" i="2"/>
  <c r="D105" i="2"/>
  <c r="F433" i="2"/>
  <c r="N146" i="2"/>
  <c r="C67" i="2"/>
  <c r="P105" i="2"/>
  <c r="J146" i="2"/>
  <c r="Q332" i="2"/>
  <c r="L78" i="2"/>
  <c r="E154" i="2"/>
  <c r="N188" i="2"/>
  <c r="I154" i="2"/>
  <c r="G332" i="2"/>
  <c r="R78" i="2"/>
  <c r="H146" i="2"/>
  <c r="K467" i="2"/>
  <c r="R467" i="2"/>
  <c r="K188" i="2"/>
  <c r="K433" i="2"/>
  <c r="G467" i="2"/>
  <c r="C332" i="2"/>
  <c r="F154" i="2"/>
  <c r="O467" i="2"/>
  <c r="P146" i="2"/>
  <c r="I105" i="2"/>
  <c r="D467" i="2"/>
  <c r="I188" i="2"/>
  <c r="C154" i="2"/>
  <c r="G355" i="2"/>
  <c r="P67" i="2"/>
  <c r="K154" i="2"/>
  <c r="J355" i="2"/>
  <c r="P154" i="2"/>
  <c r="D78" i="2"/>
  <c r="D433" i="2"/>
  <c r="J188" i="2"/>
  <c r="Q146" i="2"/>
  <c r="Q154" i="2"/>
  <c r="G146" i="2"/>
  <c r="R188" i="2"/>
  <c r="N467" i="2"/>
  <c r="E332" i="2"/>
  <c r="L332" i="2"/>
  <c r="F105" i="2"/>
  <c r="O188" i="2"/>
  <c r="N332" i="2"/>
  <c r="L467" i="2"/>
  <c r="C146" i="2"/>
  <c r="G433" i="2"/>
  <c r="F332" i="2"/>
  <c r="L355" i="2"/>
  <c r="F78" i="2"/>
  <c r="Q188" i="2"/>
  <c r="I332" i="2"/>
  <c r="M78" i="2"/>
  <c r="F67" i="2"/>
  <c r="R67" i="2"/>
  <c r="M332" i="2"/>
  <c r="C105" i="2"/>
  <c r="L105" i="2"/>
  <c r="P433" i="2"/>
  <c r="M355" i="2"/>
  <c r="D332" i="2"/>
  <c r="O332" i="2"/>
  <c r="J78" i="2"/>
  <c r="P355" i="2"/>
  <c r="L433" i="2"/>
  <c r="K355" i="2"/>
  <c r="G78" i="2"/>
  <c r="H67" i="2"/>
  <c r="Q433" i="2"/>
  <c r="N355" i="2"/>
  <c r="H78" i="2"/>
  <c r="O105" i="2"/>
  <c r="K332" i="2"/>
  <c r="E67" i="2"/>
  <c r="K78" i="2"/>
  <c r="L188" i="2"/>
  <c r="K67" i="2"/>
  <c r="J433" i="2"/>
  <c r="H332" i="2"/>
  <c r="O146" i="2"/>
  <c r="O355" i="2"/>
  <c r="R154" i="2"/>
  <c r="H467" i="2"/>
  <c r="H105" i="2"/>
  <c r="J491" i="2"/>
  <c r="N376" i="2"/>
  <c r="C446" i="2"/>
  <c r="R403" i="2"/>
  <c r="M121" i="2"/>
  <c r="O143" i="2"/>
  <c r="P491" i="2"/>
  <c r="Q121" i="2"/>
  <c r="E143" i="2"/>
  <c r="Q59" i="2"/>
  <c r="R59" i="2"/>
  <c r="O446" i="2"/>
  <c r="D441" i="2"/>
  <c r="M491" i="2"/>
  <c r="L134" i="2"/>
  <c r="N403" i="2"/>
  <c r="L59" i="2"/>
  <c r="C376" i="2"/>
  <c r="I403" i="2"/>
  <c r="Q376" i="2"/>
  <c r="G59" i="2"/>
  <c r="G441" i="2"/>
  <c r="Q172" i="2"/>
  <c r="C441" i="2"/>
  <c r="R143" i="2"/>
  <c r="I172" i="2"/>
  <c r="M134" i="2"/>
  <c r="P134" i="2"/>
  <c r="Q134" i="2"/>
  <c r="R376" i="2"/>
  <c r="P446" i="2"/>
  <c r="M446" i="2"/>
  <c r="K403" i="2"/>
  <c r="R491" i="2"/>
  <c r="J121" i="2"/>
  <c r="E134" i="2"/>
  <c r="P172" i="2"/>
  <c r="C491" i="2"/>
  <c r="R172" i="2"/>
  <c r="Q143" i="2"/>
  <c r="C403" i="2"/>
  <c r="G376" i="2"/>
  <c r="O59" i="2"/>
  <c r="F172" i="2"/>
  <c r="J446" i="2"/>
  <c r="P403" i="2"/>
  <c r="D134" i="2"/>
  <c r="K59" i="2"/>
  <c r="L491" i="2"/>
  <c r="F143" i="2"/>
  <c r="P143" i="2"/>
  <c r="H143" i="2"/>
  <c r="P59" i="2"/>
  <c r="E59" i="2"/>
  <c r="H172" i="2"/>
  <c r="K134" i="2"/>
  <c r="E376" i="2"/>
  <c r="N134" i="2"/>
  <c r="O441" i="2"/>
  <c r="I134" i="2"/>
  <c r="F446" i="2"/>
  <c r="F491" i="2"/>
  <c r="P376" i="2"/>
  <c r="N446" i="2"/>
  <c r="N491" i="2"/>
  <c r="E121" i="2"/>
  <c r="R441" i="2"/>
  <c r="H403" i="2"/>
  <c r="G172" i="2"/>
  <c r="J59" i="2"/>
  <c r="H491" i="2"/>
  <c r="L441" i="2"/>
  <c r="J441" i="2"/>
  <c r="D59" i="2"/>
  <c r="R121" i="2"/>
  <c r="P121" i="2"/>
  <c r="K376" i="2"/>
  <c r="F59" i="2"/>
  <c r="G491" i="2"/>
  <c r="E403" i="2"/>
  <c r="L121" i="2"/>
  <c r="D121" i="2"/>
  <c r="G143" i="2"/>
  <c r="K491" i="2"/>
  <c r="L403" i="2"/>
  <c r="J403" i="2"/>
  <c r="I121" i="2"/>
  <c r="D143" i="2"/>
  <c r="F403" i="2"/>
  <c r="M376" i="2"/>
  <c r="H121" i="2"/>
  <c r="O134" i="2"/>
  <c r="C134" i="2"/>
  <c r="M403" i="2"/>
  <c r="C143" i="2"/>
  <c r="M143" i="2"/>
  <c r="H376" i="2"/>
  <c r="K121" i="2"/>
  <c r="E172" i="2"/>
  <c r="K143" i="2"/>
  <c r="K441" i="2"/>
  <c r="O491" i="2"/>
  <c r="H446" i="2"/>
  <c r="G121" i="2"/>
  <c r="O376" i="2"/>
  <c r="K172" i="2"/>
  <c r="K446" i="2"/>
  <c r="J134" i="2"/>
  <c r="I376" i="2"/>
  <c r="N441" i="2"/>
  <c r="C121" i="2"/>
  <c r="O121" i="2"/>
  <c r="I446" i="2"/>
  <c r="J143" i="2"/>
  <c r="H59" i="2"/>
  <c r="L172" i="2"/>
  <c r="F376" i="2"/>
  <c r="L446" i="2"/>
  <c r="N59" i="2"/>
  <c r="M441" i="2"/>
  <c r="R446" i="2"/>
  <c r="O403" i="2"/>
  <c r="H441" i="2"/>
  <c r="Q441" i="2"/>
  <c r="I491" i="2"/>
  <c r="D172" i="2"/>
  <c r="J376" i="2"/>
  <c r="H134" i="2"/>
  <c r="G403" i="2"/>
  <c r="C172" i="2"/>
  <c r="I143" i="2"/>
  <c r="I59" i="2"/>
  <c r="F134" i="2"/>
  <c r="O172" i="2"/>
  <c r="G446" i="2"/>
  <c r="F121" i="2"/>
  <c r="D403" i="2"/>
  <c r="N143" i="2"/>
  <c r="R134" i="2"/>
  <c r="C59" i="2"/>
  <c r="I441" i="2"/>
  <c r="E491" i="2"/>
  <c r="D491" i="2"/>
  <c r="L376" i="2"/>
  <c r="E441" i="2"/>
  <c r="J172" i="2"/>
  <c r="F441" i="2"/>
  <c r="M172" i="2"/>
  <c r="D446" i="2"/>
  <c r="Q446" i="2"/>
  <c r="E446" i="2"/>
  <c r="N121" i="2"/>
  <c r="M59" i="2"/>
  <c r="D376" i="2"/>
  <c r="G134" i="2"/>
  <c r="Q491" i="2"/>
  <c r="L143" i="2"/>
  <c r="P441" i="2"/>
  <c r="N172" i="2"/>
  <c r="Q403" i="2"/>
  <c r="M10" i="2"/>
  <c r="E11" i="2"/>
  <c r="D250" i="2"/>
  <c r="C11" i="2"/>
  <c r="K250" i="2"/>
  <c r="K29" i="2"/>
  <c r="M250" i="2"/>
  <c r="H166" i="2"/>
  <c r="R191" i="2"/>
  <c r="Q166" i="2"/>
  <c r="R108" i="2"/>
  <c r="G166" i="2"/>
  <c r="F29" i="2"/>
  <c r="N29" i="2"/>
  <c r="D108" i="2"/>
  <c r="N250" i="2"/>
  <c r="Q11" i="2"/>
  <c r="F250" i="2"/>
  <c r="E481" i="2"/>
  <c r="M29" i="2"/>
  <c r="C29" i="2"/>
  <c r="L191" i="2"/>
  <c r="D481" i="2"/>
  <c r="O250" i="2"/>
  <c r="R29" i="2"/>
  <c r="Q110" i="2"/>
  <c r="H110" i="2"/>
  <c r="R166" i="2"/>
  <c r="O110" i="2"/>
  <c r="E110" i="2"/>
  <c r="D110" i="2"/>
  <c r="P108" i="2"/>
  <c r="P359" i="2"/>
  <c r="N481" i="2"/>
  <c r="D11" i="2"/>
  <c r="J108" i="2"/>
  <c r="I359" i="2"/>
  <c r="P481" i="2"/>
  <c r="I250" i="2"/>
  <c r="N10" i="2"/>
  <c r="P166" i="2"/>
  <c r="J29" i="2"/>
  <c r="M359" i="2"/>
  <c r="N108" i="2"/>
  <c r="E166" i="2"/>
  <c r="F166" i="2"/>
  <c r="C359" i="2"/>
  <c r="F110" i="2"/>
  <c r="I481" i="2"/>
  <c r="P110" i="2"/>
  <c r="O29" i="2"/>
  <c r="C108" i="2"/>
  <c r="K108" i="2"/>
  <c r="P250" i="2"/>
  <c r="P11" i="2"/>
  <c r="C166" i="2"/>
  <c r="E108" i="2"/>
  <c r="H359" i="2"/>
  <c r="D10" i="2"/>
  <c r="L29" i="2"/>
  <c r="O11" i="2"/>
  <c r="K10" i="2"/>
  <c r="O108" i="2"/>
  <c r="L10" i="2"/>
  <c r="L108" i="2"/>
  <c r="P29" i="2"/>
  <c r="F11" i="2"/>
  <c r="K481" i="2"/>
  <c r="E250" i="2"/>
  <c r="Q10" i="2"/>
  <c r="I191" i="2"/>
  <c r="P10" i="2"/>
  <c r="R359" i="2"/>
  <c r="I110" i="2"/>
  <c r="O166" i="2"/>
  <c r="Q250" i="2"/>
  <c r="K191" i="2"/>
  <c r="O10" i="2"/>
  <c r="J359" i="2"/>
  <c r="I11" i="2"/>
  <c r="L110" i="2"/>
  <c r="N110" i="2"/>
  <c r="G110" i="2"/>
  <c r="N11" i="2"/>
  <c r="L359" i="2"/>
  <c r="G250" i="2"/>
  <c r="H250" i="2"/>
  <c r="M481" i="2"/>
  <c r="H10" i="2"/>
  <c r="O191" i="2"/>
  <c r="E191" i="2"/>
  <c r="I29" i="2"/>
  <c r="L481" i="2"/>
  <c r="M11" i="2"/>
  <c r="K166" i="2"/>
  <c r="J10" i="2"/>
  <c r="C191" i="2"/>
  <c r="F108" i="2"/>
  <c r="E10" i="2"/>
  <c r="G10" i="2"/>
  <c r="G359" i="2"/>
  <c r="R481" i="2"/>
  <c r="Q191" i="2"/>
  <c r="G29" i="2"/>
  <c r="N166" i="2"/>
  <c r="O359" i="2"/>
  <c r="Q29" i="2"/>
  <c r="Q481" i="2"/>
  <c r="G11" i="2"/>
  <c r="H191" i="2"/>
  <c r="M108" i="2"/>
  <c r="H481" i="2"/>
  <c r="N359" i="2"/>
  <c r="C110" i="2"/>
  <c r="G108" i="2"/>
  <c r="R10" i="2"/>
  <c r="O481" i="2"/>
  <c r="D191" i="2"/>
  <c r="M191" i="2"/>
  <c r="R250" i="2"/>
  <c r="M166" i="2"/>
  <c r="I166" i="2"/>
  <c r="H29" i="2"/>
  <c r="P191" i="2"/>
  <c r="I10" i="2"/>
  <c r="N191" i="2"/>
  <c r="F481" i="2"/>
  <c r="F359" i="2"/>
  <c r="J110" i="2"/>
  <c r="D29" i="2"/>
  <c r="L166" i="2"/>
  <c r="K110" i="2"/>
  <c r="E359" i="2"/>
  <c r="F191" i="2"/>
  <c r="C250" i="2"/>
  <c r="K359" i="2"/>
  <c r="J250" i="2"/>
  <c r="D166" i="2"/>
  <c r="Q108" i="2"/>
  <c r="R110" i="2"/>
  <c r="H11" i="2"/>
  <c r="G481" i="2"/>
  <c r="J481" i="2"/>
  <c r="G191" i="2"/>
  <c r="D359" i="2"/>
  <c r="F10" i="2"/>
  <c r="J11" i="2"/>
  <c r="I108" i="2"/>
  <c r="L11" i="2"/>
  <c r="C10" i="2"/>
  <c r="L250" i="2"/>
  <c r="M110" i="2"/>
  <c r="J166" i="2"/>
  <c r="Q359" i="2"/>
  <c r="R11" i="2"/>
  <c r="K11" i="2"/>
  <c r="E29" i="2"/>
  <c r="H108" i="2"/>
  <c r="C481" i="2"/>
  <c r="J191" i="2"/>
  <c r="C220" i="2"/>
  <c r="J422" i="2"/>
  <c r="P371" i="2"/>
  <c r="C125" i="2"/>
  <c r="K125" i="2"/>
  <c r="G422" i="2"/>
  <c r="N132" i="2"/>
  <c r="L498" i="2"/>
  <c r="H220" i="2"/>
  <c r="H251" i="2"/>
  <c r="F220" i="2"/>
  <c r="K99" i="2"/>
  <c r="E251" i="2"/>
  <c r="K498" i="2"/>
  <c r="Q498" i="2"/>
  <c r="H422" i="2"/>
  <c r="N422" i="2"/>
  <c r="E76" i="2"/>
  <c r="M371" i="2"/>
  <c r="F251" i="2"/>
  <c r="L371" i="2"/>
  <c r="N76" i="2"/>
  <c r="G99" i="2"/>
  <c r="Q371" i="2"/>
  <c r="J125" i="2"/>
  <c r="J498" i="2"/>
  <c r="E125" i="2"/>
  <c r="R371" i="2"/>
  <c r="H132" i="2"/>
  <c r="I251" i="2"/>
  <c r="G498" i="2"/>
  <c r="J99" i="2"/>
  <c r="I220" i="2"/>
  <c r="M498" i="2"/>
  <c r="M251" i="2"/>
  <c r="L132" i="2"/>
  <c r="R99" i="2"/>
  <c r="C205" i="2"/>
  <c r="P220" i="2"/>
  <c r="C132" i="2"/>
  <c r="E99" i="2"/>
  <c r="N371" i="2"/>
  <c r="I99" i="2"/>
  <c r="R422" i="2"/>
  <c r="L125" i="2"/>
  <c r="R220" i="2"/>
  <c r="D251" i="2"/>
  <c r="Q220" i="2"/>
  <c r="M205" i="2"/>
  <c r="O125" i="2"/>
  <c r="O371" i="2"/>
  <c r="H371" i="2"/>
  <c r="L251" i="2"/>
  <c r="L99" i="2"/>
  <c r="K220" i="2"/>
  <c r="F498" i="2"/>
  <c r="E205" i="2"/>
  <c r="P125" i="2"/>
  <c r="R76" i="2"/>
  <c r="C76" i="2"/>
  <c r="L220" i="2"/>
  <c r="D125" i="2"/>
  <c r="G371" i="2"/>
  <c r="P205" i="2"/>
  <c r="E132" i="2"/>
  <c r="C498" i="2"/>
  <c r="K251" i="2"/>
  <c r="D371" i="2"/>
  <c r="J371" i="2"/>
  <c r="F422" i="2"/>
  <c r="J251" i="2"/>
  <c r="M76" i="2"/>
  <c r="Q205" i="2"/>
  <c r="E220" i="2"/>
  <c r="I205" i="2"/>
  <c r="F125" i="2"/>
  <c r="N498" i="2"/>
  <c r="H76" i="2"/>
  <c r="M125" i="2"/>
  <c r="G132" i="2"/>
  <c r="H125" i="2"/>
  <c r="Q76" i="2"/>
  <c r="R132" i="2"/>
  <c r="F205" i="2"/>
  <c r="K76" i="2"/>
  <c r="D498" i="2"/>
  <c r="N251" i="2"/>
  <c r="F99" i="2"/>
  <c r="R125" i="2"/>
  <c r="I76" i="2"/>
  <c r="J205" i="2"/>
  <c r="G76" i="2"/>
  <c r="Q422" i="2"/>
  <c r="N125" i="2"/>
  <c r="H205" i="2"/>
  <c r="K371" i="2"/>
  <c r="D76" i="2"/>
  <c r="J76" i="2"/>
  <c r="I422" i="2"/>
  <c r="K205" i="2"/>
  <c r="O132" i="2"/>
  <c r="D422" i="2"/>
  <c r="M99" i="2"/>
  <c r="F371" i="2"/>
  <c r="N220" i="2"/>
  <c r="R498" i="2"/>
  <c r="L76" i="2"/>
  <c r="H99" i="2"/>
  <c r="E422" i="2"/>
  <c r="O422" i="2"/>
  <c r="O220" i="2"/>
  <c r="Q132" i="2"/>
  <c r="F76" i="2"/>
  <c r="L205" i="2"/>
  <c r="G251" i="2"/>
  <c r="G205" i="2"/>
  <c r="P132" i="2"/>
  <c r="I498" i="2"/>
  <c r="O76" i="2"/>
  <c r="I125" i="2"/>
  <c r="P251" i="2"/>
  <c r="E498" i="2"/>
  <c r="C251" i="2"/>
  <c r="P498" i="2"/>
  <c r="K132" i="2"/>
  <c r="D220" i="2"/>
  <c r="N99" i="2"/>
  <c r="J132" i="2"/>
  <c r="M422" i="2"/>
  <c r="P422" i="2"/>
  <c r="K422" i="2"/>
  <c r="M220" i="2"/>
  <c r="E371" i="2"/>
  <c r="R205" i="2"/>
  <c r="R251" i="2"/>
  <c r="O99" i="2"/>
  <c r="C371" i="2"/>
  <c r="D99" i="2"/>
  <c r="L422" i="2"/>
  <c r="N205" i="2"/>
  <c r="O205" i="2"/>
  <c r="O498" i="2"/>
  <c r="G220" i="2"/>
  <c r="F132" i="2"/>
  <c r="Q125" i="2"/>
  <c r="P99" i="2"/>
  <c r="D132" i="2"/>
  <c r="C99" i="2"/>
  <c r="M132" i="2"/>
  <c r="O251" i="2"/>
  <c r="G125" i="2"/>
  <c r="Q99" i="2"/>
  <c r="H498" i="2"/>
  <c r="D205" i="2"/>
  <c r="I371" i="2"/>
  <c r="Q251" i="2"/>
  <c r="P76" i="2"/>
  <c r="C422" i="2"/>
  <c r="J220" i="2"/>
  <c r="I132" i="2"/>
  <c r="K440" i="2"/>
  <c r="H240" i="2"/>
  <c r="I404" i="2"/>
  <c r="E19" i="2"/>
  <c r="J308" i="2"/>
  <c r="C235" i="2"/>
  <c r="G404" i="2"/>
  <c r="D240" i="2"/>
  <c r="J404" i="2"/>
  <c r="G440" i="2"/>
  <c r="O187" i="2"/>
  <c r="H282" i="2"/>
  <c r="K19" i="2"/>
  <c r="M207" i="2"/>
  <c r="Q187" i="2"/>
  <c r="H440" i="2"/>
  <c r="J240" i="2"/>
  <c r="I19" i="2"/>
  <c r="O207" i="2"/>
  <c r="P235" i="2"/>
  <c r="P440" i="2"/>
  <c r="R282" i="2"/>
  <c r="E404" i="2"/>
  <c r="H187" i="2"/>
  <c r="K207" i="2"/>
  <c r="N207" i="2"/>
  <c r="H404" i="2"/>
  <c r="D207" i="2"/>
  <c r="L57" i="2"/>
  <c r="C440" i="2"/>
  <c r="N57" i="2"/>
  <c r="F240" i="2"/>
  <c r="K240" i="2"/>
  <c r="C19" i="2"/>
  <c r="G240" i="2"/>
  <c r="O57" i="2"/>
  <c r="E308" i="2"/>
  <c r="I308" i="2"/>
  <c r="F187" i="2"/>
  <c r="I187" i="2"/>
  <c r="O282" i="2"/>
  <c r="L240" i="2"/>
  <c r="I235" i="2"/>
  <c r="N440" i="2"/>
  <c r="Q440" i="2"/>
  <c r="J282" i="2"/>
  <c r="R207" i="2"/>
  <c r="J235" i="2"/>
  <c r="F57" i="2"/>
  <c r="L187" i="2"/>
  <c r="G308" i="2"/>
  <c r="G19" i="2"/>
  <c r="G187" i="2"/>
  <c r="D282" i="2"/>
  <c r="M235" i="2"/>
  <c r="M282" i="2"/>
  <c r="G235" i="2"/>
  <c r="P207" i="2"/>
  <c r="H19" i="2"/>
  <c r="M19" i="2"/>
  <c r="P240" i="2"/>
  <c r="E235" i="2"/>
  <c r="C240" i="2"/>
  <c r="P282" i="2"/>
  <c r="D235" i="2"/>
  <c r="L404" i="2"/>
  <c r="C282" i="2"/>
  <c r="R404" i="2"/>
  <c r="F282" i="2"/>
  <c r="Q19" i="2"/>
  <c r="D440" i="2"/>
  <c r="P57" i="2"/>
  <c r="P308" i="2"/>
  <c r="Q240" i="2"/>
  <c r="E240" i="2"/>
  <c r="D19" i="2"/>
  <c r="H57" i="2"/>
  <c r="J19" i="2"/>
  <c r="R19" i="2"/>
  <c r="J440" i="2"/>
  <c r="N404" i="2"/>
  <c r="F235" i="2"/>
  <c r="N308" i="2"/>
  <c r="E207" i="2"/>
  <c r="Q207" i="2"/>
  <c r="M308" i="2"/>
  <c r="I282" i="2"/>
  <c r="L235" i="2"/>
  <c r="E187" i="2"/>
  <c r="R235" i="2"/>
  <c r="I57" i="2"/>
  <c r="Q282" i="2"/>
  <c r="D404" i="2"/>
  <c r="J207" i="2"/>
  <c r="E440" i="2"/>
  <c r="E57" i="2"/>
  <c r="K282" i="2"/>
  <c r="F440" i="2"/>
  <c r="O308" i="2"/>
  <c r="L282" i="2"/>
  <c r="R187" i="2"/>
  <c r="D308" i="2"/>
  <c r="F19" i="2"/>
  <c r="Q57" i="2"/>
  <c r="R308" i="2"/>
  <c r="M440" i="2"/>
  <c r="H207" i="2"/>
  <c r="R57" i="2"/>
  <c r="L207" i="2"/>
  <c r="F404" i="2"/>
  <c r="K308" i="2"/>
  <c r="O240" i="2"/>
  <c r="L440" i="2"/>
  <c r="K57" i="2"/>
  <c r="F207" i="2"/>
  <c r="R240" i="2"/>
  <c r="O235" i="2"/>
  <c r="G207" i="2"/>
  <c r="E282" i="2"/>
  <c r="J187" i="2"/>
  <c r="M57" i="2"/>
  <c r="C308" i="2"/>
  <c r="O440" i="2"/>
  <c r="Q235" i="2"/>
  <c r="L19" i="2"/>
  <c r="N240" i="2"/>
  <c r="N282" i="2"/>
  <c r="L308" i="2"/>
  <c r="Q308" i="2"/>
  <c r="C404" i="2"/>
  <c r="C207" i="2"/>
  <c r="H235" i="2"/>
  <c r="P404" i="2"/>
  <c r="C187" i="2"/>
  <c r="N19" i="2"/>
  <c r="M404" i="2"/>
  <c r="N187" i="2"/>
  <c r="K404" i="2"/>
  <c r="D187" i="2"/>
  <c r="J57" i="2"/>
  <c r="H308" i="2"/>
  <c r="I440" i="2"/>
  <c r="P187" i="2"/>
  <c r="P19" i="2"/>
  <c r="O404" i="2"/>
  <c r="K187" i="2"/>
  <c r="D57" i="2"/>
  <c r="K235" i="2"/>
  <c r="M240" i="2"/>
  <c r="C57" i="2"/>
  <c r="G282" i="2"/>
  <c r="O19" i="2"/>
  <c r="M187" i="2"/>
  <c r="I207" i="2"/>
  <c r="I240" i="2"/>
  <c r="N235" i="2"/>
  <c r="G57" i="2"/>
  <c r="R440" i="2"/>
  <c r="F308" i="2"/>
  <c r="Q404" i="2"/>
  <c r="J389" i="2"/>
  <c r="J36" i="2"/>
  <c r="R58" i="2"/>
  <c r="M53" i="2"/>
  <c r="P258" i="2"/>
  <c r="H79" i="2"/>
  <c r="N53" i="2"/>
  <c r="Q287" i="2"/>
  <c r="M58" i="2"/>
  <c r="R197" i="2"/>
  <c r="G36" i="2"/>
  <c r="J79" i="2"/>
  <c r="H58" i="2"/>
  <c r="R130" i="2"/>
  <c r="F197" i="2"/>
  <c r="E258" i="2"/>
  <c r="J287" i="2"/>
  <c r="L287" i="2"/>
  <c r="E58" i="2"/>
  <c r="J53" i="2"/>
  <c r="N287" i="2"/>
  <c r="E389" i="2"/>
  <c r="O36" i="2"/>
  <c r="J58" i="2"/>
  <c r="H130" i="2"/>
  <c r="R79" i="2"/>
  <c r="I258" i="2"/>
  <c r="P58" i="2"/>
  <c r="C287" i="2"/>
  <c r="K287" i="2"/>
  <c r="Q58" i="2"/>
  <c r="C389" i="2"/>
  <c r="D389" i="2"/>
  <c r="D258" i="2"/>
  <c r="L258" i="2"/>
  <c r="I130" i="2"/>
  <c r="L197" i="2"/>
  <c r="L58" i="2"/>
  <c r="I58" i="2"/>
  <c r="L36" i="2"/>
  <c r="M197" i="2"/>
  <c r="L347" i="2"/>
  <c r="I79" i="2"/>
  <c r="F36" i="2"/>
  <c r="C347" i="2"/>
  <c r="Q197" i="2"/>
  <c r="N197" i="2"/>
  <c r="Q347" i="2"/>
  <c r="O287" i="2"/>
  <c r="Q79" i="2"/>
  <c r="M258" i="2"/>
  <c r="N79" i="2"/>
  <c r="F258" i="2"/>
  <c r="L130" i="2"/>
  <c r="D197" i="2"/>
  <c r="N389" i="2"/>
  <c r="G197" i="2"/>
  <c r="L389" i="2"/>
  <c r="O258" i="2"/>
  <c r="G258" i="2"/>
  <c r="O389" i="2"/>
  <c r="I53" i="2"/>
  <c r="K347" i="2"/>
  <c r="N347" i="2"/>
  <c r="H53" i="2"/>
  <c r="K389" i="2"/>
  <c r="G130" i="2"/>
  <c r="K79" i="2"/>
  <c r="H347" i="2"/>
  <c r="K258" i="2"/>
  <c r="F53" i="2"/>
  <c r="R36" i="2"/>
  <c r="H258" i="2"/>
  <c r="L53" i="2"/>
  <c r="K197" i="2"/>
  <c r="Q130" i="2"/>
  <c r="Q258" i="2"/>
  <c r="P36" i="2"/>
  <c r="G347" i="2"/>
  <c r="D36" i="2"/>
  <c r="K130" i="2"/>
  <c r="I36" i="2"/>
  <c r="E130" i="2"/>
  <c r="C53" i="2"/>
  <c r="J197" i="2"/>
  <c r="P79" i="2"/>
  <c r="J130" i="2"/>
  <c r="M36" i="2"/>
  <c r="E287" i="2"/>
  <c r="M79" i="2"/>
  <c r="C197" i="2"/>
  <c r="R53" i="2"/>
  <c r="O53" i="2"/>
  <c r="N36" i="2"/>
  <c r="P347" i="2"/>
  <c r="C58" i="2"/>
  <c r="E347" i="2"/>
  <c r="F287" i="2"/>
  <c r="C258" i="2"/>
  <c r="O197" i="2"/>
  <c r="P389" i="2"/>
  <c r="Q36" i="2"/>
  <c r="R287" i="2"/>
  <c r="F347" i="2"/>
  <c r="H287" i="2"/>
  <c r="F389" i="2"/>
  <c r="I389" i="2"/>
  <c r="K36" i="2"/>
  <c r="H197" i="2"/>
  <c r="E79" i="2"/>
  <c r="H36" i="2"/>
  <c r="G389" i="2"/>
  <c r="N258" i="2"/>
  <c r="F58" i="2"/>
  <c r="E53" i="2"/>
  <c r="C79" i="2"/>
  <c r="M287" i="2"/>
  <c r="F79" i="2"/>
  <c r="P287" i="2"/>
  <c r="J347" i="2"/>
  <c r="N58" i="2"/>
  <c r="D287" i="2"/>
  <c r="P197" i="2"/>
  <c r="O130" i="2"/>
  <c r="G58" i="2"/>
  <c r="D130" i="2"/>
  <c r="I197" i="2"/>
  <c r="M347" i="2"/>
  <c r="M130" i="2"/>
  <c r="D53" i="2"/>
  <c r="R389" i="2"/>
  <c r="N130" i="2"/>
  <c r="L79" i="2"/>
  <c r="Q389" i="2"/>
  <c r="O79" i="2"/>
  <c r="D347" i="2"/>
  <c r="D79" i="2"/>
  <c r="D58" i="2"/>
  <c r="C130" i="2"/>
  <c r="R258" i="2"/>
  <c r="K53" i="2"/>
  <c r="I347" i="2"/>
  <c r="P130" i="2"/>
  <c r="P53" i="2"/>
  <c r="O58" i="2"/>
  <c r="H389" i="2"/>
  <c r="R347" i="2"/>
  <c r="C36" i="2"/>
  <c r="G287" i="2"/>
  <c r="G53" i="2"/>
  <c r="F130" i="2"/>
  <c r="E197" i="2"/>
  <c r="O347" i="2"/>
  <c r="Q53" i="2"/>
  <c r="E36" i="2"/>
  <c r="I287" i="2"/>
  <c r="G79" i="2"/>
  <c r="J258" i="2"/>
  <c r="M389" i="2"/>
  <c r="K58" i="2"/>
  <c r="B31" i="2"/>
  <c r="B49" i="2"/>
  <c r="B19" i="2"/>
  <c r="B7" i="2"/>
  <c r="B41" i="2"/>
  <c r="B2" i="2"/>
  <c r="B14" i="2"/>
  <c r="B26" i="2"/>
  <c r="B38" i="2"/>
  <c r="B85" i="2"/>
  <c r="B83" i="2"/>
  <c r="B138" i="2"/>
  <c r="B12" i="2"/>
  <c r="B24" i="2"/>
  <c r="B36" i="2"/>
  <c r="B107" i="2"/>
  <c r="B116" i="2"/>
  <c r="B5" i="2"/>
  <c r="B10" i="2"/>
  <c r="B22" i="2"/>
  <c r="B34" i="2"/>
  <c r="B42" i="2"/>
  <c r="B59" i="2"/>
  <c r="B73" i="2"/>
  <c r="B64" i="2"/>
  <c r="B143" i="2"/>
  <c r="B29" i="2"/>
  <c r="B3" i="2"/>
  <c r="B15" i="2"/>
  <c r="B27" i="2"/>
  <c r="B39" i="2"/>
  <c r="B61" i="2"/>
  <c r="B71" i="2"/>
  <c r="B66" i="2"/>
  <c r="B8" i="2"/>
  <c r="B20" i="2"/>
  <c r="B32" i="2"/>
  <c r="B52" i="2"/>
  <c r="B53" i="2"/>
  <c r="B88" i="2"/>
  <c r="B13" i="2"/>
  <c r="B25" i="2"/>
  <c r="B37" i="2"/>
  <c r="B46" i="2"/>
  <c r="B54" i="2"/>
  <c r="B55" i="2"/>
  <c r="B82" i="2"/>
  <c r="B97" i="2"/>
  <c r="B17" i="2"/>
  <c r="B6" i="2"/>
  <c r="B18" i="2"/>
  <c r="B30" i="2"/>
  <c r="B43" i="2"/>
  <c r="B58" i="2"/>
  <c r="B45" i="2"/>
  <c r="B11" i="2"/>
  <c r="B23" i="2"/>
  <c r="B35" i="2"/>
  <c r="B40" i="2"/>
  <c r="B47" i="2"/>
  <c r="B70" i="2"/>
  <c r="B100" i="2"/>
  <c r="B4" i="2"/>
  <c r="B16" i="2"/>
  <c r="B28" i="2"/>
  <c r="B109" i="2"/>
  <c r="B76" i="2"/>
  <c r="B9" i="2"/>
  <c r="B21" i="2"/>
  <c r="B33" i="2"/>
  <c r="B44" i="2"/>
  <c r="B48" i="2"/>
  <c r="B95" i="2"/>
  <c r="B186" i="2"/>
  <c r="B56" i="2"/>
  <c r="B68" i="2"/>
  <c r="B80" i="2"/>
  <c r="B92" i="2"/>
  <c r="B104" i="2"/>
  <c r="B126" i="2"/>
  <c r="B174" i="2"/>
  <c r="B211" i="2"/>
  <c r="B78" i="2"/>
  <c r="B90" i="2"/>
  <c r="B102" i="2"/>
  <c r="B112" i="2"/>
  <c r="B160" i="2"/>
  <c r="B155" i="2"/>
  <c r="B57" i="2"/>
  <c r="B69" i="2"/>
  <c r="B81" i="2"/>
  <c r="B93" i="2"/>
  <c r="B105" i="2"/>
  <c r="B113" i="2"/>
  <c r="B124" i="2"/>
  <c r="B172" i="2"/>
  <c r="B189" i="2"/>
  <c r="B199" i="2"/>
  <c r="B50" i="2"/>
  <c r="B62" i="2"/>
  <c r="B74" i="2"/>
  <c r="B86" i="2"/>
  <c r="B98" i="2"/>
  <c r="B110" i="2"/>
  <c r="B117" i="2"/>
  <c r="B150" i="2"/>
  <c r="B302" i="2"/>
  <c r="B67" i="2"/>
  <c r="B79" i="2"/>
  <c r="B91" i="2"/>
  <c r="B103" i="2"/>
  <c r="B118" i="2"/>
  <c r="B167" i="2"/>
  <c r="B254" i="2"/>
  <c r="B60" i="2"/>
  <c r="B72" i="2"/>
  <c r="B84" i="2"/>
  <c r="B96" i="2"/>
  <c r="B108" i="2"/>
  <c r="B136" i="2"/>
  <c r="B184" i="2"/>
  <c r="B190" i="2"/>
  <c r="B65" i="2"/>
  <c r="B77" i="2"/>
  <c r="B89" i="2"/>
  <c r="B101" i="2"/>
  <c r="B114" i="2"/>
  <c r="B119" i="2"/>
  <c r="B162" i="2"/>
  <c r="B94" i="2"/>
  <c r="B106" i="2"/>
  <c r="B111" i="2"/>
  <c r="B131" i="2"/>
  <c r="B179" i="2"/>
  <c r="B331" i="2"/>
  <c r="B51" i="2"/>
  <c r="B63" i="2"/>
  <c r="B75" i="2"/>
  <c r="B87" i="2"/>
  <c r="B99" i="2"/>
  <c r="B148" i="2"/>
  <c r="B121" i="2"/>
  <c r="B133" i="2"/>
  <c r="B145" i="2"/>
  <c r="B157" i="2"/>
  <c r="B169" i="2"/>
  <c r="B181" i="2"/>
  <c r="B194" i="2"/>
  <c r="B129" i="2"/>
  <c r="B141" i="2"/>
  <c r="B153" i="2"/>
  <c r="B165" i="2"/>
  <c r="B177" i="2"/>
  <c r="B242" i="2"/>
  <c r="B259" i="2"/>
  <c r="B122" i="2"/>
  <c r="B134" i="2"/>
  <c r="B146" i="2"/>
  <c r="B158" i="2"/>
  <c r="B170" i="2"/>
  <c r="B182" i="2"/>
  <c r="B115" i="2"/>
  <c r="B127" i="2"/>
  <c r="B163" i="2"/>
  <c r="B139" i="2"/>
  <c r="B151" i="2"/>
  <c r="B175" i="2"/>
  <c r="B187" i="2"/>
  <c r="B230" i="2"/>
  <c r="B120" i="2"/>
  <c r="B132" i="2"/>
  <c r="B144" i="2"/>
  <c r="B156" i="2"/>
  <c r="B168" i="2"/>
  <c r="B180" i="2"/>
  <c r="B247" i="2"/>
  <c r="B352" i="2"/>
  <c r="B125" i="2"/>
  <c r="B137" i="2"/>
  <c r="B149" i="2"/>
  <c r="B161" i="2"/>
  <c r="B173" i="2"/>
  <c r="B185" i="2"/>
  <c r="B218" i="2"/>
  <c r="B130" i="2"/>
  <c r="B142" i="2"/>
  <c r="B154" i="2"/>
  <c r="B166" i="2"/>
  <c r="B178" i="2"/>
  <c r="B235" i="2"/>
  <c r="B123" i="2"/>
  <c r="B135" i="2"/>
  <c r="B147" i="2"/>
  <c r="B159" i="2"/>
  <c r="B171" i="2"/>
  <c r="B183" i="2"/>
  <c r="B206" i="2"/>
  <c r="B128" i="2"/>
  <c r="B140" i="2"/>
  <c r="B152" i="2"/>
  <c r="B164" i="2"/>
  <c r="B176" i="2"/>
  <c r="B188" i="2"/>
  <c r="B223" i="2"/>
  <c r="B201" i="2"/>
  <c r="B213" i="2"/>
  <c r="B225" i="2"/>
  <c r="B237" i="2"/>
  <c r="B249" i="2"/>
  <c r="B314" i="2"/>
  <c r="B192" i="2"/>
  <c r="B204" i="2"/>
  <c r="B216" i="2"/>
  <c r="B228" i="2"/>
  <c r="B240" i="2"/>
  <c r="B252" i="2"/>
  <c r="B319" i="2"/>
  <c r="B197" i="2"/>
  <c r="B209" i="2"/>
  <c r="B221" i="2"/>
  <c r="B233" i="2"/>
  <c r="B245" i="2"/>
  <c r="B257" i="2"/>
  <c r="B290" i="2"/>
  <c r="B202" i="2"/>
  <c r="B214" i="2"/>
  <c r="B226" i="2"/>
  <c r="B238" i="2"/>
  <c r="B250" i="2"/>
  <c r="B260" i="2"/>
  <c r="B266" i="2"/>
  <c r="B307" i="2"/>
  <c r="B195" i="2"/>
  <c r="B207" i="2"/>
  <c r="B219" i="2"/>
  <c r="B231" i="2"/>
  <c r="B243" i="2"/>
  <c r="B255" i="2"/>
  <c r="B278" i="2"/>
  <c r="B200" i="2"/>
  <c r="B212" i="2"/>
  <c r="B224" i="2"/>
  <c r="B236" i="2"/>
  <c r="B248" i="2"/>
  <c r="B261" i="2"/>
  <c r="B295" i="2"/>
  <c r="B430" i="2"/>
  <c r="B193" i="2"/>
  <c r="B205" i="2"/>
  <c r="B217" i="2"/>
  <c r="B229" i="2"/>
  <c r="B241" i="2"/>
  <c r="B253" i="2"/>
  <c r="B198" i="2"/>
  <c r="B210" i="2"/>
  <c r="B222" i="2"/>
  <c r="B234" i="2"/>
  <c r="B246" i="2"/>
  <c r="B258" i="2"/>
  <c r="B264" i="2"/>
  <c r="B283" i="2"/>
  <c r="B191" i="2"/>
  <c r="B203" i="2"/>
  <c r="B215" i="2"/>
  <c r="B227" i="2"/>
  <c r="B239" i="2"/>
  <c r="B251" i="2"/>
  <c r="B262" i="2"/>
  <c r="B326" i="2"/>
  <c r="B335" i="2"/>
  <c r="B196" i="2"/>
  <c r="B465" i="2"/>
  <c r="B208" i="2"/>
  <c r="B220" i="2"/>
  <c r="B232" i="2"/>
  <c r="B244" i="2"/>
  <c r="B256" i="2"/>
  <c r="B271" i="2"/>
  <c r="B273" i="2"/>
  <c r="B285" i="2"/>
  <c r="B297" i="2"/>
  <c r="B309" i="2"/>
  <c r="B321" i="2"/>
  <c r="B338" i="2"/>
  <c r="B407" i="2"/>
  <c r="B276" i="2"/>
  <c r="B288" i="2"/>
  <c r="B300" i="2"/>
  <c r="B312" i="2"/>
  <c r="B324" i="2"/>
  <c r="B269" i="2"/>
  <c r="B281" i="2"/>
  <c r="B293" i="2"/>
  <c r="B274" i="2"/>
  <c r="B305" i="2"/>
  <c r="B317" i="2"/>
  <c r="B329" i="2"/>
  <c r="B383" i="2"/>
  <c r="B286" i="2"/>
  <c r="B298" i="2"/>
  <c r="B310" i="2"/>
  <c r="B322" i="2"/>
  <c r="B267" i="2"/>
  <c r="B279" i="2"/>
  <c r="B291" i="2"/>
  <c r="B303" i="2"/>
  <c r="B315" i="2"/>
  <c r="B327" i="2"/>
  <c r="B371" i="2"/>
  <c r="B272" i="2"/>
  <c r="B284" i="2"/>
  <c r="B296" i="2"/>
  <c r="B308" i="2"/>
  <c r="B320" i="2"/>
  <c r="B332" i="2"/>
  <c r="B388" i="2"/>
  <c r="B265" i="2"/>
  <c r="B277" i="2"/>
  <c r="B289" i="2"/>
  <c r="B301" i="2"/>
  <c r="B313" i="2"/>
  <c r="B325" i="2"/>
  <c r="B359" i="2"/>
  <c r="B270" i="2"/>
  <c r="B282" i="2"/>
  <c r="B294" i="2"/>
  <c r="B306" i="2"/>
  <c r="B318" i="2"/>
  <c r="B330" i="2"/>
  <c r="B376" i="2"/>
  <c r="B398" i="2"/>
  <c r="B263" i="2"/>
  <c r="B275" i="2"/>
  <c r="B287" i="2"/>
  <c r="B299" i="2"/>
  <c r="B311" i="2"/>
  <c r="B323" i="2"/>
  <c r="B347" i="2"/>
  <c r="B340" i="2"/>
  <c r="B268" i="2"/>
  <c r="B280" i="2"/>
  <c r="B292" i="2"/>
  <c r="B304" i="2"/>
  <c r="B316" i="2"/>
  <c r="B328" i="2"/>
  <c r="B339" i="2"/>
  <c r="B333" i="2"/>
  <c r="B364" i="2"/>
  <c r="B342" i="2"/>
  <c r="B354" i="2"/>
  <c r="B366" i="2"/>
  <c r="B378" i="2"/>
  <c r="B390" i="2"/>
  <c r="B416" i="2"/>
  <c r="B446" i="2"/>
  <c r="B345" i="2"/>
  <c r="B357" i="2"/>
  <c r="B369" i="2"/>
  <c r="B381" i="2"/>
  <c r="B393" i="2"/>
  <c r="B399" i="2"/>
  <c r="B412" i="2"/>
  <c r="B444" i="2"/>
  <c r="B350" i="2"/>
  <c r="B362" i="2"/>
  <c r="B374" i="2"/>
  <c r="B386" i="2"/>
  <c r="B400" i="2"/>
  <c r="B411" i="2"/>
  <c r="B426" i="2"/>
  <c r="B460" i="2"/>
  <c r="B343" i="2"/>
  <c r="B355" i="2"/>
  <c r="B367" i="2"/>
  <c r="B379" i="2"/>
  <c r="B391" i="2"/>
  <c r="B440" i="2"/>
  <c r="B336" i="2"/>
  <c r="B348" i="2"/>
  <c r="B360" i="2"/>
  <c r="B372" i="2"/>
  <c r="B384" i="2"/>
  <c r="B405" i="2"/>
  <c r="B341" i="2"/>
  <c r="B353" i="2"/>
  <c r="B365" i="2"/>
  <c r="B377" i="2"/>
  <c r="B389" i="2"/>
  <c r="B395" i="2"/>
  <c r="B424" i="2"/>
  <c r="B334" i="2"/>
  <c r="B346" i="2"/>
  <c r="B358" i="2"/>
  <c r="B370" i="2"/>
  <c r="B382" i="2"/>
  <c r="B409" i="2"/>
  <c r="B436" i="2"/>
  <c r="B481" i="2"/>
  <c r="B351" i="2"/>
  <c r="B363" i="2"/>
  <c r="B375" i="2"/>
  <c r="B387" i="2"/>
  <c r="B462" i="2"/>
  <c r="B344" i="2"/>
  <c r="B356" i="2"/>
  <c r="B368" i="2"/>
  <c r="B380" i="2"/>
  <c r="B392" i="2"/>
  <c r="B403" i="2"/>
  <c r="B414" i="2"/>
  <c r="B420" i="2"/>
  <c r="B496" i="2"/>
  <c r="B337" i="2"/>
  <c r="B349" i="2"/>
  <c r="B361" i="2"/>
  <c r="B373" i="2"/>
  <c r="B385" i="2"/>
  <c r="B397" i="2"/>
  <c r="B402" i="2"/>
  <c r="B434" i="2"/>
  <c r="B448" i="2"/>
  <c r="B482" i="2"/>
  <c r="B404" i="2"/>
  <c r="B423" i="2"/>
  <c r="B433" i="2"/>
  <c r="B443" i="2"/>
  <c r="B458" i="2"/>
  <c r="B468" i="2"/>
  <c r="B484" i="2"/>
  <c r="B417" i="2"/>
  <c r="B427" i="2"/>
  <c r="B463" i="2"/>
  <c r="B479" i="2"/>
  <c r="B501" i="2"/>
  <c r="B480" i="2"/>
  <c r="B489" i="2"/>
  <c r="B421" i="2"/>
  <c r="B431" i="2"/>
  <c r="B441" i="2"/>
  <c r="B450" i="2"/>
  <c r="B477" i="2"/>
  <c r="B410" i="2"/>
  <c r="B418" i="2"/>
  <c r="B428" i="2"/>
  <c r="B438" i="2"/>
  <c r="B452" i="2"/>
  <c r="B474" i="2"/>
  <c r="B494" i="2"/>
  <c r="B504" i="2"/>
  <c r="B415" i="2"/>
  <c r="B435" i="2"/>
  <c r="B445" i="2"/>
  <c r="B451" i="2"/>
  <c r="B475" i="2"/>
  <c r="B503" i="2"/>
  <c r="B396" i="2"/>
  <c r="B408" i="2"/>
  <c r="B442" i="2"/>
  <c r="B453" i="2"/>
  <c r="B472" i="2"/>
  <c r="B498" i="2"/>
  <c r="B499" i="2"/>
  <c r="B401" i="2"/>
  <c r="B413" i="2"/>
  <c r="B422" i="2"/>
  <c r="B432" i="2"/>
  <c r="B455" i="2"/>
  <c r="B469" i="2"/>
  <c r="B487" i="2"/>
  <c r="B486" i="2"/>
  <c r="B394" i="2"/>
  <c r="B406" i="2"/>
  <c r="B419" i="2"/>
  <c r="B429" i="2"/>
  <c r="B439" i="2"/>
  <c r="B457" i="2"/>
  <c r="B470" i="2"/>
  <c r="B456" i="2"/>
  <c r="B467" i="2"/>
  <c r="B491" i="2"/>
  <c r="B492" i="2"/>
  <c r="B493" i="2"/>
  <c r="B425" i="2"/>
  <c r="B437" i="2"/>
  <c r="B449" i="2"/>
  <c r="B461" i="2"/>
  <c r="B473" i="2"/>
  <c r="B485" i="2"/>
  <c r="B497" i="2"/>
  <c r="B454" i="2"/>
  <c r="B466" i="2"/>
  <c r="B478" i="2"/>
  <c r="B490" i="2"/>
  <c r="B502" i="2"/>
  <c r="B447" i="2"/>
  <c r="B459" i="2"/>
  <c r="B471" i="2"/>
  <c r="B483" i="2"/>
  <c r="B495" i="2"/>
  <c r="B464" i="2"/>
  <c r="B476" i="2"/>
  <c r="B488" i="2"/>
  <c r="B500" i="2"/>
</calcChain>
</file>

<file path=xl/sharedStrings.xml><?xml version="1.0" encoding="utf-8"?>
<sst xmlns="http://schemas.openxmlformats.org/spreadsheetml/2006/main" count="4072" uniqueCount="1879">
  <si>
    <t>代碼</t>
  </si>
  <si>
    <t>1日%</t>
  </si>
  <si>
    <t>GICS行業板塊</t>
  </si>
  <si>
    <t>名稱</t>
  </si>
  <si>
    <t>Class L4 Nm</t>
  </si>
  <si>
    <t>當地分類簡介</t>
  </si>
  <si>
    <t>市值</t>
  </si>
  <si>
    <t>年至今%</t>
  </si>
  <si>
    <t>公司簡介</t>
  </si>
  <si>
    <t>ESG評分</t>
  </si>
  <si>
    <t>MSCI ESG Rating</t>
  </si>
  <si>
    <t>Beta</t>
  </si>
  <si>
    <t>60日波動率</t>
  </si>
  <si>
    <t>流通在外股數內部人持有百分比</t>
  </si>
  <si>
    <t>內部人持股百分比變動</t>
  </si>
  <si>
    <t>風險溢價</t>
  </si>
  <si>
    <t>52週最高</t>
  </si>
  <si>
    <t>52週最低</t>
  </si>
  <si>
    <t>LYB UN</t>
  </si>
  <si>
    <t>AXP UN</t>
  </si>
  <si>
    <t>VZ UN</t>
  </si>
  <si>
    <t>TPL UN</t>
  </si>
  <si>
    <t>AVGO UW</t>
  </si>
  <si>
    <t>BA UN</t>
  </si>
  <si>
    <t>SOLV UN</t>
  </si>
  <si>
    <t>CAT UN</t>
  </si>
  <si>
    <t>JPM UN</t>
  </si>
  <si>
    <t>CVX UN</t>
  </si>
  <si>
    <t>KO UN</t>
  </si>
  <si>
    <t>ABBV UN</t>
  </si>
  <si>
    <t>DIS UN</t>
  </si>
  <si>
    <t>CPAY UN</t>
  </si>
  <si>
    <t>EXR UN</t>
  </si>
  <si>
    <t>XOM UN</t>
  </si>
  <si>
    <t>PSX UN</t>
  </si>
  <si>
    <t>GE UN</t>
  </si>
  <si>
    <t>HPQ UN</t>
  </si>
  <si>
    <t>HD UN</t>
  </si>
  <si>
    <t>MPWR UW</t>
  </si>
  <si>
    <t>IBM UN</t>
  </si>
  <si>
    <t>JNJ UN</t>
  </si>
  <si>
    <t>LULU UW</t>
  </si>
  <si>
    <t>MCD UN</t>
  </si>
  <si>
    <t>MRK UN</t>
  </si>
  <si>
    <t>MMM UN</t>
  </si>
  <si>
    <t>AWK UN</t>
  </si>
  <si>
    <t>BAC UN</t>
  </si>
  <si>
    <t>PFE UN</t>
  </si>
  <si>
    <t>PG UN</t>
  </si>
  <si>
    <t>T UN</t>
  </si>
  <si>
    <t>TRV UN</t>
  </si>
  <si>
    <t>RTX UN</t>
  </si>
  <si>
    <t>ADI UW</t>
  </si>
  <si>
    <t>WMT UN</t>
  </si>
  <si>
    <t>CSCO UW</t>
  </si>
  <si>
    <t>INTC UW</t>
  </si>
  <si>
    <t>GM UN</t>
  </si>
  <si>
    <t>MSFT UW</t>
  </si>
  <si>
    <t>DG UN</t>
  </si>
  <si>
    <t>CI UN</t>
  </si>
  <si>
    <t>KMI UN</t>
  </si>
  <si>
    <t>C UN</t>
  </si>
  <si>
    <t>AIG UN</t>
  </si>
  <si>
    <t>MO UN</t>
  </si>
  <si>
    <t>HCA UN</t>
  </si>
  <si>
    <t>IP UN</t>
  </si>
  <si>
    <t>HPE UN</t>
  </si>
  <si>
    <t>ABT UN</t>
  </si>
  <si>
    <t>AFL UN</t>
  </si>
  <si>
    <t>APD UN</t>
  </si>
  <si>
    <t>SMCI UW</t>
  </si>
  <si>
    <t>RCL UN</t>
  </si>
  <si>
    <t>LII UN</t>
  </si>
  <si>
    <t>ADM UN</t>
  </si>
  <si>
    <t>ADP UW</t>
  </si>
  <si>
    <t>VRSK UW</t>
  </si>
  <si>
    <t>AZO UN</t>
  </si>
  <si>
    <t>LIN UW</t>
  </si>
  <si>
    <t>AVY UN</t>
  </si>
  <si>
    <t>ENPH UQ</t>
  </si>
  <si>
    <t>MSCI UN</t>
  </si>
  <si>
    <t>BALL UN</t>
  </si>
  <si>
    <t>AXON UW</t>
  </si>
  <si>
    <t>DAY UN</t>
  </si>
  <si>
    <t>CARR UN</t>
  </si>
  <si>
    <t>BK UN</t>
  </si>
  <si>
    <t>OTIS UN</t>
  </si>
  <si>
    <t>BAX UN</t>
  </si>
  <si>
    <t>BDX UN</t>
  </si>
  <si>
    <t>BRK/B UN</t>
  </si>
  <si>
    <t>BBY UN</t>
  </si>
  <si>
    <t>BSX UN</t>
  </si>
  <si>
    <t>BMY UN</t>
  </si>
  <si>
    <t>BF/B UN</t>
  </si>
  <si>
    <t>CTRA UN</t>
  </si>
  <si>
    <t>HLT UN</t>
  </si>
  <si>
    <t>CCL UN</t>
  </si>
  <si>
    <t>BLDR UN</t>
  </si>
  <si>
    <t>UDR UN</t>
  </si>
  <si>
    <t>CLX UN</t>
  </si>
  <si>
    <t>PAYC UN</t>
  </si>
  <si>
    <t>CMS UN</t>
  </si>
  <si>
    <t>CL UN</t>
  </si>
  <si>
    <t>EPAM UN</t>
  </si>
  <si>
    <t>CAG UN</t>
  </si>
  <si>
    <t>ABNB UW</t>
  </si>
  <si>
    <t>ED UN</t>
  </si>
  <si>
    <t>GLW UN</t>
  </si>
  <si>
    <t>GDDY UN</t>
  </si>
  <si>
    <t>CMI UN</t>
  </si>
  <si>
    <t>CZR UW</t>
  </si>
  <si>
    <t>DHR UN</t>
  </si>
  <si>
    <t>TGT UN</t>
  </si>
  <si>
    <t>WSM UN</t>
  </si>
  <si>
    <t>DE UN</t>
  </si>
  <si>
    <t>D UN</t>
  </si>
  <si>
    <t>TTD UQ</t>
  </si>
  <si>
    <t>DOV UN</t>
  </si>
  <si>
    <t>LNT UW</t>
  </si>
  <si>
    <t>STLD UW</t>
  </si>
  <si>
    <t>DUK UN</t>
  </si>
  <si>
    <t>REG UW</t>
  </si>
  <si>
    <t>ETN UN</t>
  </si>
  <si>
    <t>ECL UN</t>
  </si>
  <si>
    <t>RVTY UN</t>
  </si>
  <si>
    <t>DELL UN</t>
  </si>
  <si>
    <t>EMR UN</t>
  </si>
  <si>
    <t>EOG UN</t>
  </si>
  <si>
    <t>AON UN</t>
  </si>
  <si>
    <t>ETR UN</t>
  </si>
  <si>
    <t>EFX UN</t>
  </si>
  <si>
    <t>EQT UN</t>
  </si>
  <si>
    <t>IQV UN</t>
  </si>
  <si>
    <t>IT UN</t>
  </si>
  <si>
    <t>FDX UN</t>
  </si>
  <si>
    <t>BRO UN</t>
  </si>
  <si>
    <t>F UN</t>
  </si>
  <si>
    <t>NEE UN</t>
  </si>
  <si>
    <t>BEN UN</t>
  </si>
  <si>
    <t>GRMN UN</t>
  </si>
  <si>
    <t>FCX UN</t>
  </si>
  <si>
    <t>EXE UW</t>
  </si>
  <si>
    <t>DXCM UW</t>
  </si>
  <si>
    <t>GD UN</t>
  </si>
  <si>
    <t>GIS UN</t>
  </si>
  <si>
    <t>GPC UN</t>
  </si>
  <si>
    <t>ATO UN</t>
  </si>
  <si>
    <t>GWW UN</t>
  </si>
  <si>
    <t>HAL UN</t>
  </si>
  <si>
    <t>LHX UN</t>
  </si>
  <si>
    <t>DOC UN</t>
  </si>
  <si>
    <t>PODD UW</t>
  </si>
  <si>
    <t>FTV UN</t>
  </si>
  <si>
    <t>HSY UN</t>
  </si>
  <si>
    <t>SYF UN</t>
  </si>
  <si>
    <t>HRL UN</t>
  </si>
  <si>
    <t>AJG UN</t>
  </si>
  <si>
    <t>MDLZ UW</t>
  </si>
  <si>
    <t>CNP UN</t>
  </si>
  <si>
    <t>HUM UN</t>
  </si>
  <si>
    <t>WTW UW</t>
  </si>
  <si>
    <t>ITW UN</t>
  </si>
  <si>
    <t>CDW UW</t>
  </si>
  <si>
    <t>TT UN</t>
  </si>
  <si>
    <t>IPG UN</t>
  </si>
  <si>
    <t>IFF UN</t>
  </si>
  <si>
    <t>GNRC UN</t>
  </si>
  <si>
    <t>NXPI UW</t>
  </si>
  <si>
    <t>K UN</t>
  </si>
  <si>
    <t>BR UN</t>
  </si>
  <si>
    <t>KIM UN</t>
  </si>
  <si>
    <t>ORCL UN</t>
  </si>
  <si>
    <t>KR UN</t>
  </si>
  <si>
    <t>LEN UN</t>
  </si>
  <si>
    <t>LLY UN</t>
  </si>
  <si>
    <t>CHTR UW</t>
  </si>
  <si>
    <t>L UN</t>
  </si>
  <si>
    <t>LOW UN</t>
  </si>
  <si>
    <t>HUBB UN</t>
  </si>
  <si>
    <t>IEX UN</t>
  </si>
  <si>
    <t>MMC UN</t>
  </si>
  <si>
    <t>MAS UN</t>
  </si>
  <si>
    <t>SPGI UN</t>
  </si>
  <si>
    <t>MDT UN</t>
  </si>
  <si>
    <t>VTRS UW</t>
  </si>
  <si>
    <t>CVS UN</t>
  </si>
  <si>
    <t>DD UN</t>
  </si>
  <si>
    <t>MU UW</t>
  </si>
  <si>
    <t>MSI UN</t>
  </si>
  <si>
    <t>CBOE UF</t>
  </si>
  <si>
    <t>NEM UN</t>
  </si>
  <si>
    <t>NKE UN</t>
  </si>
  <si>
    <t>NI UN</t>
  </si>
  <si>
    <t>NSC UN</t>
  </si>
  <si>
    <t>PFG UW</t>
  </si>
  <si>
    <t>ES UN</t>
  </si>
  <si>
    <t>NOC UN</t>
  </si>
  <si>
    <t>WFC UN</t>
  </si>
  <si>
    <t>NUE UN</t>
  </si>
  <si>
    <t>OXY UN</t>
  </si>
  <si>
    <t>OMC UN</t>
  </si>
  <si>
    <t>OKE UN</t>
  </si>
  <si>
    <t>RJF UN</t>
  </si>
  <si>
    <t>PCG UN</t>
  </si>
  <si>
    <t>PH UN</t>
  </si>
  <si>
    <t>ROL UN</t>
  </si>
  <si>
    <t>PPL UN</t>
  </si>
  <si>
    <t>APTV UN</t>
  </si>
  <si>
    <t>COP UN</t>
  </si>
  <si>
    <t>PHM UN</t>
  </si>
  <si>
    <t>PNW UN</t>
  </si>
  <si>
    <t>PNC UN</t>
  </si>
  <si>
    <t>PPG UN</t>
  </si>
  <si>
    <t>DASH UW</t>
  </si>
  <si>
    <t>PGR UN</t>
  </si>
  <si>
    <t>VLTO UN</t>
  </si>
  <si>
    <t>PEG UN</t>
  </si>
  <si>
    <t>COO UW</t>
  </si>
  <si>
    <t>EIX UN</t>
  </si>
  <si>
    <t>SLB UN</t>
  </si>
  <si>
    <t>SCHW UN</t>
  </si>
  <si>
    <t>SHW UN</t>
  </si>
  <si>
    <t>WST UN</t>
  </si>
  <si>
    <t>SJM UN</t>
  </si>
  <si>
    <t>SNA UN</t>
  </si>
  <si>
    <t>AME UN</t>
  </si>
  <si>
    <t>UBER UN</t>
  </si>
  <si>
    <t>SO UN</t>
  </si>
  <si>
    <t>TFC UN</t>
  </si>
  <si>
    <t>LUV UN</t>
  </si>
  <si>
    <t>WRB UN</t>
  </si>
  <si>
    <t>SWK UN</t>
  </si>
  <si>
    <t>PSA UN</t>
  </si>
  <si>
    <t>ANET UN</t>
  </si>
  <si>
    <t>SYY UN</t>
  </si>
  <si>
    <t>CTVA UN</t>
  </si>
  <si>
    <t>TXN UW</t>
  </si>
  <si>
    <t>TXT UN</t>
  </si>
  <si>
    <t>TMO UN</t>
  </si>
  <si>
    <t>TJX UN</t>
  </si>
  <si>
    <t>GL UN</t>
  </si>
  <si>
    <t>JCI UN</t>
  </si>
  <si>
    <t>ULTA UW</t>
  </si>
  <si>
    <t>UNP UN</t>
  </si>
  <si>
    <t>KEYS UN</t>
  </si>
  <si>
    <t>UNH UN</t>
  </si>
  <si>
    <t>BX UN</t>
  </si>
  <si>
    <t>VTR UN</t>
  </si>
  <si>
    <t>LH UN</t>
  </si>
  <si>
    <t>VMC UN</t>
  </si>
  <si>
    <t>WY UN</t>
  </si>
  <si>
    <t>WMB UN</t>
  </si>
  <si>
    <t>CEG UW</t>
  </si>
  <si>
    <t>WEC UN</t>
  </si>
  <si>
    <t>ADBE UW</t>
  </si>
  <si>
    <t>VST UN</t>
  </si>
  <si>
    <t>AES UN</t>
  </si>
  <si>
    <t>EXPD UN</t>
  </si>
  <si>
    <t>AMGN UW</t>
  </si>
  <si>
    <t>AAPL UW</t>
  </si>
  <si>
    <t>ADSK UW</t>
  </si>
  <si>
    <t>CTAS UW</t>
  </si>
  <si>
    <t>CMCSA UW</t>
  </si>
  <si>
    <t>TAP UN</t>
  </si>
  <si>
    <t>KLAC UW</t>
  </si>
  <si>
    <t>MAR UW</t>
  </si>
  <si>
    <t>FI UN</t>
  </si>
  <si>
    <t>MKC UN</t>
  </si>
  <si>
    <t>PCAR UW</t>
  </si>
  <si>
    <t>COST UW</t>
  </si>
  <si>
    <t>SYK UN</t>
  </si>
  <si>
    <t>TSN UN</t>
  </si>
  <si>
    <t>LW UN</t>
  </si>
  <si>
    <t>AMAT UW</t>
  </si>
  <si>
    <t>CAH UN</t>
  </si>
  <si>
    <t>CINF UW</t>
  </si>
  <si>
    <t>PARA UW</t>
  </si>
  <si>
    <t>DHI UN</t>
  </si>
  <si>
    <t>EA UW</t>
  </si>
  <si>
    <t>ERIE UW</t>
  </si>
  <si>
    <t>FICO UN</t>
  </si>
  <si>
    <t>FAST UW</t>
  </si>
  <si>
    <t>MTB UN</t>
  </si>
  <si>
    <t>XEL UW</t>
  </si>
  <si>
    <t>FITB UW</t>
  </si>
  <si>
    <t>GILD UW</t>
  </si>
  <si>
    <t>HAS UW</t>
  </si>
  <si>
    <t>HBAN UW</t>
  </si>
  <si>
    <t>WELL UN</t>
  </si>
  <si>
    <t>BIIB UW</t>
  </si>
  <si>
    <t>NTRS UW</t>
  </si>
  <si>
    <t>PKG UN</t>
  </si>
  <si>
    <t>PAYX UW</t>
  </si>
  <si>
    <t>QCOM UW</t>
  </si>
  <si>
    <t>ROST UW</t>
  </si>
  <si>
    <t>IDXX UW</t>
  </si>
  <si>
    <t>SBUX UW</t>
  </si>
  <si>
    <t>KEY UN</t>
  </si>
  <si>
    <t>FOXA UW</t>
  </si>
  <si>
    <t>FOX UW</t>
  </si>
  <si>
    <t>STT UN</t>
  </si>
  <si>
    <t>NCLH UN</t>
  </si>
  <si>
    <t>USB UN</t>
  </si>
  <si>
    <t>AOS UN</t>
  </si>
  <si>
    <t>GEN UW</t>
  </si>
  <si>
    <t>TROW UW</t>
  </si>
  <si>
    <t>WM UN</t>
  </si>
  <si>
    <t>STZ UN</t>
  </si>
  <si>
    <t>IVZ UN</t>
  </si>
  <si>
    <t>INTU UW</t>
  </si>
  <si>
    <t>MS UN</t>
  </si>
  <si>
    <t>MCHP UW</t>
  </si>
  <si>
    <t>CRWD UW</t>
  </si>
  <si>
    <t>CB UN</t>
  </si>
  <si>
    <t>HOLX UW</t>
  </si>
  <si>
    <t>CFG UN</t>
  </si>
  <si>
    <t>JBL UN</t>
  </si>
  <si>
    <t>ORLY UW</t>
  </si>
  <si>
    <t>ALL UN</t>
  </si>
  <si>
    <t>EQR UN</t>
  </si>
  <si>
    <t>KDP UW</t>
  </si>
  <si>
    <t>HST UW</t>
  </si>
  <si>
    <t>INCY UW</t>
  </si>
  <si>
    <t>SPG UN</t>
  </si>
  <si>
    <t>EMN UN</t>
  </si>
  <si>
    <t>AVB UN</t>
  </si>
  <si>
    <t>PRU UN</t>
  </si>
  <si>
    <t>UPS UN</t>
  </si>
  <si>
    <t>WBA UW</t>
  </si>
  <si>
    <t>STE UN</t>
  </si>
  <si>
    <t>MCK UN</t>
  </si>
  <si>
    <t>LMT UN</t>
  </si>
  <si>
    <t>COR UN</t>
  </si>
  <si>
    <t>COF UN</t>
  </si>
  <si>
    <t>CPB UW</t>
  </si>
  <si>
    <t>WAT UN</t>
  </si>
  <si>
    <t>NDSN UW</t>
  </si>
  <si>
    <t>DLTR UW</t>
  </si>
  <si>
    <t>DRI UN</t>
  </si>
  <si>
    <t>EVRG UW</t>
  </si>
  <si>
    <t>MTCH UW</t>
  </si>
  <si>
    <t>NVR UN</t>
  </si>
  <si>
    <t>NTAP UW</t>
  </si>
  <si>
    <t>ODFL UW</t>
  </si>
  <si>
    <t>DVA UN</t>
  </si>
  <si>
    <t>HIG UN</t>
  </si>
  <si>
    <t>IRM UN</t>
  </si>
  <si>
    <t>EL UN</t>
  </si>
  <si>
    <t>CDNS UW</t>
  </si>
  <si>
    <t>TYL UN</t>
  </si>
  <si>
    <t>UHS UN</t>
  </si>
  <si>
    <t>SWKS UW</t>
  </si>
  <si>
    <t>DGX UN</t>
  </si>
  <si>
    <t>ROK UN</t>
  </si>
  <si>
    <t>KHC UW</t>
  </si>
  <si>
    <t>AMT UN</t>
  </si>
  <si>
    <t>REGN UW</t>
  </si>
  <si>
    <t>AMZN UW</t>
  </si>
  <si>
    <t>JKHY UW</t>
  </si>
  <si>
    <t>RL UN</t>
  </si>
  <si>
    <t>BXP UN</t>
  </si>
  <si>
    <t>APH UN</t>
  </si>
  <si>
    <t>HWM UN</t>
  </si>
  <si>
    <t>VLO UN</t>
  </si>
  <si>
    <t>SNPS UW</t>
  </si>
  <si>
    <t>CHRW UW</t>
  </si>
  <si>
    <t>ACN UN</t>
  </si>
  <si>
    <t>TDG UN</t>
  </si>
  <si>
    <t>YUM UN</t>
  </si>
  <si>
    <t>PLD UN</t>
  </si>
  <si>
    <t>FE UN</t>
  </si>
  <si>
    <t>VRSN UW</t>
  </si>
  <si>
    <t>PWR UN</t>
  </si>
  <si>
    <t>HSIC UW</t>
  </si>
  <si>
    <t>AEE UN</t>
  </si>
  <si>
    <t>FDS UN</t>
  </si>
  <si>
    <t>NVDA UW</t>
  </si>
  <si>
    <t>CTSH UW</t>
  </si>
  <si>
    <t>ISRG UW</t>
  </si>
  <si>
    <t>TTWO UW</t>
  </si>
  <si>
    <t>RSG UN</t>
  </si>
  <si>
    <t>EBAY UW</t>
  </si>
  <si>
    <t>GS UN</t>
  </si>
  <si>
    <t>SBAC UW</t>
  </si>
  <si>
    <t>SRE UN</t>
  </si>
  <si>
    <t>MCO UN</t>
  </si>
  <si>
    <t>ON UW</t>
  </si>
  <si>
    <t>BKNG UW</t>
  </si>
  <si>
    <t>FFIV UW</t>
  </si>
  <si>
    <t>AKAM UW</t>
  </si>
  <si>
    <t>CRL UN</t>
  </si>
  <si>
    <t>MKTX UW</t>
  </si>
  <si>
    <t>DVN UN</t>
  </si>
  <si>
    <t>TECH UW</t>
  </si>
  <si>
    <t>GOOGL UW</t>
  </si>
  <si>
    <t>ALLE UN</t>
  </si>
  <si>
    <t>NFLX UW</t>
  </si>
  <si>
    <t>WBD UW</t>
  </si>
  <si>
    <t>A UN</t>
  </si>
  <si>
    <t>TRMB UW</t>
  </si>
  <si>
    <t>ELV UN</t>
  </si>
  <si>
    <t>CME UW</t>
  </si>
  <si>
    <t>DTE UN</t>
  </si>
  <si>
    <t>NDAQ UW</t>
  </si>
  <si>
    <t>PM UN</t>
  </si>
  <si>
    <t>IR UN</t>
  </si>
  <si>
    <t>CRM UN</t>
  </si>
  <si>
    <t>ROP UW</t>
  </si>
  <si>
    <t>HII UN</t>
  </si>
  <si>
    <t>MET UN</t>
  </si>
  <si>
    <t>TPR UN</t>
  </si>
  <si>
    <t>CSX UW</t>
  </si>
  <si>
    <t>EW UN</t>
  </si>
  <si>
    <t>AMP UN</t>
  </si>
  <si>
    <t>ZBRA UW</t>
  </si>
  <si>
    <t>ZBH UN</t>
  </si>
  <si>
    <t>CPT UN</t>
  </si>
  <si>
    <t>CBRE UN</t>
  </si>
  <si>
    <t>MA UN</t>
  </si>
  <si>
    <t>KMX UN</t>
  </si>
  <si>
    <t>DDOG UW</t>
  </si>
  <si>
    <t>ICE UN</t>
  </si>
  <si>
    <t>FIS UN</t>
  </si>
  <si>
    <t>SW UN</t>
  </si>
  <si>
    <t>CMG UN</t>
  </si>
  <si>
    <t>WYNN UW</t>
  </si>
  <si>
    <t>LYV UN</t>
  </si>
  <si>
    <t>AIZ UN</t>
  </si>
  <si>
    <t>NRG UN</t>
  </si>
  <si>
    <t>MNST UW</t>
  </si>
  <si>
    <t>RF UN</t>
  </si>
  <si>
    <t>BKR UW</t>
  </si>
  <si>
    <t>MOS UN</t>
  </si>
  <si>
    <t>EXPE UW</t>
  </si>
  <si>
    <t>KMB UW</t>
  </si>
  <si>
    <t>CF UN</t>
  </si>
  <si>
    <t>APA UW</t>
  </si>
  <si>
    <t>LDOS UN</t>
  </si>
  <si>
    <t>GOOG UW</t>
  </si>
  <si>
    <t>TKO UN</t>
  </si>
  <si>
    <t>FSLR UW</t>
  </si>
  <si>
    <t>V UN</t>
  </si>
  <si>
    <t>MAA UN</t>
  </si>
  <si>
    <t>XYL UN</t>
  </si>
  <si>
    <t>MPC UN</t>
  </si>
  <si>
    <t>TSCO UW</t>
  </si>
  <si>
    <t>AMD UW</t>
  </si>
  <si>
    <t>RMD UN</t>
  </si>
  <si>
    <t>MTD UN</t>
  </si>
  <si>
    <t>VICI UN</t>
  </si>
  <si>
    <t>CPRT UW</t>
  </si>
  <si>
    <t>J UN</t>
  </si>
  <si>
    <t>ALB UN</t>
  </si>
  <si>
    <t>FTNT UW</t>
  </si>
  <si>
    <t>MRNA UW</t>
  </si>
  <si>
    <t>ESS UN</t>
  </si>
  <si>
    <t>CSGP UW</t>
  </si>
  <si>
    <t>O UN</t>
  </si>
  <si>
    <t>WAB UN</t>
  </si>
  <si>
    <t>PLTR UW</t>
  </si>
  <si>
    <t>POOL UW</t>
  </si>
  <si>
    <t>WDC UW</t>
  </si>
  <si>
    <t>PEP UW</t>
  </si>
  <si>
    <t>TEL UN</t>
  </si>
  <si>
    <t>FANG UW</t>
  </si>
  <si>
    <t>PANW UW</t>
  </si>
  <si>
    <t>NOW UN</t>
  </si>
  <si>
    <t>CHD UN</t>
  </si>
  <si>
    <t>FRT UN</t>
  </si>
  <si>
    <t>MGM UN</t>
  </si>
  <si>
    <t>AEP UW</t>
  </si>
  <si>
    <t>INVH UN</t>
  </si>
  <si>
    <t>PTC UW</t>
  </si>
  <si>
    <t>JBHT UW</t>
  </si>
  <si>
    <t>LRCX UW</t>
  </si>
  <si>
    <t>MHK UN</t>
  </si>
  <si>
    <t>GEHC UW</t>
  </si>
  <si>
    <t>PNR UN</t>
  </si>
  <si>
    <t>VRTX UW</t>
  </si>
  <si>
    <t>AMCR UN</t>
  </si>
  <si>
    <t>META UW</t>
  </si>
  <si>
    <t>TMUS UW</t>
  </si>
  <si>
    <t>URI UN</t>
  </si>
  <si>
    <t>ARE UN</t>
  </si>
  <si>
    <t>HON UW</t>
  </si>
  <si>
    <t>DAL UN</t>
  </si>
  <si>
    <t>UAL UW</t>
  </si>
  <si>
    <t>STX UW</t>
  </si>
  <si>
    <t>NWS UW</t>
  </si>
  <si>
    <t>CNC UN</t>
  </si>
  <si>
    <t>XYZ UN</t>
  </si>
  <si>
    <t>APO UN</t>
  </si>
  <si>
    <t>MLM UN</t>
  </si>
  <si>
    <t>TER UW</t>
  </si>
  <si>
    <t>PYPL UW</t>
  </si>
  <si>
    <t>TSLA UW</t>
  </si>
  <si>
    <t>BLK UN</t>
  </si>
  <si>
    <t>KKR UN</t>
  </si>
  <si>
    <t>ACGL UW</t>
  </si>
  <si>
    <t>DOW UN</t>
  </si>
  <si>
    <t>EG UN</t>
  </si>
  <si>
    <t>TDY UN</t>
  </si>
  <si>
    <t>DPZ UW</t>
  </si>
  <si>
    <t>GEV UN</t>
  </si>
  <si>
    <t>NWSA UW</t>
  </si>
  <si>
    <t>EXC UW</t>
  </si>
  <si>
    <t>GPN UN</t>
  </si>
  <si>
    <t>CCI UN</t>
  </si>
  <si>
    <t>ALGN UW</t>
  </si>
  <si>
    <t>KVUE UN</t>
  </si>
  <si>
    <t>TRGP UN</t>
  </si>
  <si>
    <t>BG UN</t>
  </si>
  <si>
    <t>LKQ UW</t>
  </si>
  <si>
    <t>DECK UN</t>
  </si>
  <si>
    <t>WDAY UW</t>
  </si>
  <si>
    <t>ZTS UN</t>
  </si>
  <si>
    <t>COIN UW</t>
  </si>
  <si>
    <t>EQIX UW</t>
  </si>
  <si>
    <t>DLR UN</t>
  </si>
  <si>
    <t>MOH UN</t>
  </si>
  <si>
    <t>LVS UN</t>
  </si>
  <si>
    <t>原材料</t>
  </si>
  <si>
    <t>利安德巴塞爾工業公司</t>
  </si>
  <si>
    <t>基本及多元化學品</t>
  </si>
  <si>
    <t>烯烴</t>
  </si>
  <si>
    <t>利安德巴塞爾工業公司(LyondellBasell Industries N.V.)製造塑膠、化學及燃油產品。該公司提供的產品用於製造個人護理產品、新鮮食品包裝、輕質塑膠、建材、汽車零件、耐用紡織品、醫療用品，以及生質燃料。利安德巴塞爾工業於全球各地行銷其產品。</t>
  </si>
  <si>
    <t>A</t>
  </si>
  <si>
    <t>金融</t>
  </si>
  <si>
    <t>美國運通</t>
  </si>
  <si>
    <t>消費金融</t>
  </si>
  <si>
    <t>信用卡借貸</t>
  </si>
  <si>
    <t>美國運通(American Express)為從事全球性支付及旅行相關業務的公司。 該公司主要的產品和服務為簽帳卡和信用卡產品、及旅行相關服務予全球客戶和企業。</t>
  </si>
  <si>
    <t>AA</t>
  </si>
  <si>
    <t>通訊服務</t>
  </si>
  <si>
    <t>威瑞森電信公司</t>
  </si>
  <si>
    <t>無線通訊服務</t>
  </si>
  <si>
    <t>威瑞森電信公司(Verizon Communications Inc.)為一家電信公司。該公司提供有線語音、資料服務、無線服務，以及網路服務。威瑞森電信服務美國的客戶。</t>
  </si>
  <si>
    <t>能源</t>
  </si>
  <si>
    <t>德州太平洋土地公司</t>
  </si>
  <si>
    <t>探勘及生產</t>
  </si>
  <si>
    <t>權利金收入-油氣</t>
  </si>
  <si>
    <t>德州太平洋土地公司(Texas Pacific Land Corporation)擁有德州大片地產，其先前為德州和太平洋鐵路公司(Texas and Pacific Railway Company)的房地產。該信託發行的可轉讓憑證，乃按照持有德州和太平洋鐵路公司特定債務證券的持有人，比例分配專有權益。德州的收入來自土地銷售、石油與天然氣採礦權、牧場租賃，以及利息。</t>
  </si>
  <si>
    <t>資訊技術</t>
  </si>
  <si>
    <t>博通公司</t>
  </si>
  <si>
    <t>半導體元件</t>
  </si>
  <si>
    <t>特殊用途通訊</t>
  </si>
  <si>
    <t>博通公司（Broadcom Inc.）設計、開發及供應半導體及基礎設施軟體解決方案。該公司提供存儲配接器、控制器、網路處理器、運動控制編碼器與光學感應器，以及基礎設施和安全軟體，以實現複雜混合環境的現代化、最佳化和安全。博通服務全球客戶。</t>
  </si>
  <si>
    <t>工業</t>
  </si>
  <si>
    <t>波音公司</t>
  </si>
  <si>
    <t>飛機及零件</t>
  </si>
  <si>
    <t>飛機</t>
  </si>
  <si>
    <t>波音公司（The Boeing Company）為一家航太公司。該公司開發、製造，並服務商用飛機、國防產品，以及太空系統。波音服務全球客戶。</t>
  </si>
  <si>
    <t>BB</t>
  </si>
  <si>
    <t>醫療保健</t>
  </si>
  <si>
    <t>Solventum公司</t>
  </si>
  <si>
    <t>醫療保健用品</t>
  </si>
  <si>
    <t>Solventum公司(Solventum Corporation)為一家醫療保健解決方案公司。該公司利用材料與數據科學、臨床研究，以及數位能力，從事開發、製造，並商業化各種解決方案。Solventum經營分離與純化、健康資訊、醫療解決方案、醫療裝置元件，以及口腔護理市場。</t>
  </si>
  <si>
    <t>#N/A Field Not Applicable</t>
  </si>
  <si>
    <t>N.S.</t>
  </si>
  <si>
    <t>#N/A N/A</t>
  </si>
  <si>
    <t>卡特彼勒公司</t>
  </si>
  <si>
    <t>營建及礦業機械</t>
  </si>
  <si>
    <t>營建業機械</t>
  </si>
  <si>
    <t>卡特彼勒公司（Caterpillar Inc.）製造施工與採礦設備，提供反剷與滑向裝載機、推土機、引擎、挖掘機、發電機以及平地機，亦提供天然氣引擎、渦輪和柴油機車，服務全球客戶。</t>
  </si>
  <si>
    <t>摩根大通銀行</t>
  </si>
  <si>
    <t>多元化銀行</t>
  </si>
  <si>
    <t>摩根大通銀行 (JPMorgan Chase &amp; Co.) 提供全球金融服務及消費銀行服務。該公司的業務範圍包括：投資銀行、公債及其他證券服務、資產管理、私人銀行、信用卡會員服務、商業銀行及房屋貸款。主要客戶則為企業、機構及個人。</t>
  </si>
  <si>
    <t>雪佛龍公司</t>
  </si>
  <si>
    <t>綜合性石油業</t>
  </si>
  <si>
    <t>雪佛龍公司（Chevron Corporation）為一家能源公司。該公司製造原油及天然氣，包括運輸燃料、潤滑油、石化產品及添加劑。雪佛龍服務全球的客戶。</t>
  </si>
  <si>
    <t>核心消費</t>
  </si>
  <si>
    <t>可口可樂公司</t>
  </si>
  <si>
    <t>非酒精飲料</t>
  </si>
  <si>
    <t>非酒類飲料</t>
  </si>
  <si>
    <t>可口可樂公司(Coca-Cola Company)製造、銷售，並經銷軟性飲料濃縮液及糖漿。該公司亦經銷並銷售果汁及果汁飲料產品。可口可樂為全球各地的零售商和批發商，經銷其產品。</t>
  </si>
  <si>
    <t>艾伯維公司</t>
  </si>
  <si>
    <t>大型製藥業</t>
  </si>
  <si>
    <t>艾伯維公司（AbbVie Inc.）為一家研究型生物製藥公司。該公司探索並開發解決免疫學、腫瘤、醫美、神經科學，以及眼部護理健康問題的藥物和療法。艾伯維服務全球病患。</t>
  </si>
  <si>
    <t>華特迪士尼公司</t>
  </si>
  <si>
    <t>影片及電視</t>
  </si>
  <si>
    <t>電視媒體網路</t>
  </si>
  <si>
    <t>華特迪士尼公司(The Walt Disney Company)為娛樂及媒體企業公司。該公司的商業部門包括：媒體網路、公園與度假村、影業娛樂、消費產品，以及互動媒體。華特迪士尼服務全球客戶。</t>
  </si>
  <si>
    <t>BBB</t>
  </si>
  <si>
    <t>Corpay公司</t>
  </si>
  <si>
    <t>其它金融服務</t>
  </si>
  <si>
    <t>金融交易處理服務</t>
  </si>
  <si>
    <t>Corpay公司(Corpay, Inc.)為一家商業支付公司。該公司提供全球支付、貨幣風險管理，以及發票自動化解決方案，幫助企業控制、簡化，並確保支付車輛相關費用、一般應付款、通行費、保險，以及住宿費用。Corpay服務全球客戶。</t>
  </si>
  <si>
    <t>房地產</t>
  </si>
  <si>
    <t>額外空間倉儲公司</t>
  </si>
  <si>
    <t>自助倉儲 REIT</t>
  </si>
  <si>
    <t>額外空間倉儲公司(Extra Space Storage Inc.)為一家完全整合、自行經營，以及自行管理的不動產投資信託。該公司擁有、經營、收購、開發，並重新開發專業管理的自助倉儲物業。額外空間倉儲服務美國的客戶。</t>
  </si>
  <si>
    <t>埃克森美孚公司</t>
  </si>
  <si>
    <t>埃克森美孚公司(Exxon Mobil Corporation)為一家石油與天然氣生產公司。該公司針對汽車、卡車、航空，以及航運產業，提供探勘與生產整合燃料、潤滑劑、化學品，以及精煉產品，以減少溫室氣體排放量。埃克森美孚服務全球客戶。</t>
  </si>
  <si>
    <t>菲利普66</t>
  </si>
  <si>
    <t>提煉及行銷</t>
  </si>
  <si>
    <t>加油站</t>
  </si>
  <si>
    <t>菲利普66（Phillips 66）為一家下游能源供應商。該公司製造、運輸並銷售燃料、化 學物品、中游能源及新興能源產品與服務。菲利普66服務全球客戶。</t>
  </si>
  <si>
    <t>奇異公司</t>
  </si>
  <si>
    <t>飛機引擎及引擎零件</t>
  </si>
  <si>
    <t>奇異公司（GE Electric Co）（以「奇異航太」(GE Aerospace)執行業務）為一家飛機引擎供應商公司。該公司提供噴射與渦輪螺旋槳引擎，以及商業、軍事、企業，與通用航空飛機的整合系統。奇異航太服務全球客戶。</t>
  </si>
  <si>
    <t>惠普公司</t>
  </si>
  <si>
    <t>電腦硬體及儲存體</t>
  </si>
  <si>
    <t>個人電腦</t>
  </si>
  <si>
    <t>惠普公司(HP Inc.)針對商業和家庭，提供計算、影像與列印系統、行動裝置、解決方案，以及服務。該公司提供的產品包括：雷射與噴墨式印表機、掃描器、影印機與傳真機、個人電腦、工作站、儲存解決方案、計算，以及列印系統。惠普於全球各地銷售其產品。</t>
  </si>
  <si>
    <t>非核心消費</t>
  </si>
  <si>
    <t>家得寶公司</t>
  </si>
  <si>
    <t>家居產品店</t>
  </si>
  <si>
    <t>家居用品中心</t>
  </si>
  <si>
    <t>家得寶公司(The Home Depot, Inc.)為家居修繕零售商。該公司提供各種建築材料、家居修繕、草坪和園藝產品，並提供DIY想法、安裝、維修，以及其它服務。家得寶服務全球客戶。</t>
  </si>
  <si>
    <t>芯源系統有限公司</t>
  </si>
  <si>
    <t>電源管理</t>
  </si>
  <si>
    <t>芯源系統有限公司(Monolithic Power Systems, Inc.)提供半導體電力電子解決方案。該公司提供電源管理IC、隔離式閘極驅動器、電源模組、電池和充電器、負載開關、電感器、類比輸入裝置、感測器、馬達驅動器和控制器以及電子元件。芯源系統服務全球的客戶。</t>
  </si>
  <si>
    <t>國際商業機器公司</t>
  </si>
  <si>
    <t>資訊科技服務</t>
  </si>
  <si>
    <t>資訊科技服務 - 商業</t>
  </si>
  <si>
    <t>國際商業機器公司（International Business Machines Corp）為一家資訊科技服務及諮詢公司。該公司透過其平台，提供分析、資訊科技基礎設施、雲端、商業營運及自動化、網路安全、資料儲存、應用程式開發、資產管理、區塊鏈、軟體及諮詢解決方案。國際商業機器服務全球客戶。</t>
  </si>
  <si>
    <t>嬌生公司</t>
  </si>
  <si>
    <t>嬌生公司(Johnson &amp; Johnson)製造醫療保健產品，並提供相關服務予消費者、製藥和醫療器材及診斷市場。該公司於全球各國銷售產品，例如：護膚與護髮產品、乙醯胺酚產品、藥品、診斷設備及手術器材。</t>
  </si>
  <si>
    <t>露露檸檬公司</t>
  </si>
  <si>
    <t>特殊服飾商店</t>
  </si>
  <si>
    <t>家庭服裝店</t>
  </si>
  <si>
    <t>露露檸檬公司(Lululemon Athletica Inc.)設計並零售運動服裝產品。該公司針對瑜珈、舞蹈、跑步，和一般健身，生產健身褲、短褲，上衣，以及夾克。露露檸檬服務全球客戶。</t>
  </si>
  <si>
    <t>麥當勞公司</t>
  </si>
  <si>
    <t>餐廳</t>
  </si>
  <si>
    <t>速食餐廳</t>
  </si>
  <si>
    <t>麥當勞公司(McDonald's Corporation)加盟並經營速食連鎖。該公司提供各種食物產品與軟性飲料，以及非酒精飲料。麥當勞服務全球客戶。</t>
  </si>
  <si>
    <t>默克藥廠</t>
  </si>
  <si>
    <t>默克公司(Merck &amp; Co., Inc)是一家全球醫療保健公司，透過其處方藥、疫苗、生物療法、動物保健、及消費者保健產品，提供健康解決方案，將產品直接及透過其合資企業銷售。該公司業務涵蓋製藥、動物保健，以及消費者醫療保健。</t>
  </si>
  <si>
    <t>3M</t>
  </si>
  <si>
    <t>多元化工業</t>
  </si>
  <si>
    <t>3M公司(3M Company)跨足經營電子、電信、工業、消費性及辦公室用品、醫療保健、安全，及其他市場範疇。該公司各事業體分享技術、製造營運、行銷通路，及其他資源。3M服務全球客戶。</t>
  </si>
  <si>
    <t>AAA</t>
  </si>
  <si>
    <t>公用事業</t>
  </si>
  <si>
    <t>美國水處理公司</t>
  </si>
  <si>
    <t>配水網</t>
  </si>
  <si>
    <t>供水網</t>
  </si>
  <si>
    <t>美國水處理公司(American Water Works Co., Inc.)於美國數州和加拿大安大略省，提供飲用水、廢水及其他水相關服務。該公司主要業務為管制水及廢水公用事業的所有權，提供水及廢水服務予住宅、商業及工業客戶。</t>
  </si>
  <si>
    <t>美國銀行</t>
  </si>
  <si>
    <t>美國銀行(Bank of America Corporation)為一家金融控股公司。該公司提供儲蓄帳戶、存款、抵押與建築貸款、現金與財富管理、定存單、投資基金、信用卡與轉帳卡、保險、行動及網路銀行服務。美國銀行服務全球客戶。</t>
  </si>
  <si>
    <t>輝瑞大藥廠股份有限公司</t>
  </si>
  <si>
    <t>輝瑞大藥廠股份有限公司(Pfizer Inc.)為製藥公司。 該公司提供腫瘤、炎症、心血管及其他治療領域所需的藥品、疫苗、醫療裝置，以及消費者醫療保健產品。 輝瑞大藥廠服務全球客戶。</t>
  </si>
  <si>
    <t>寶僑公司</t>
  </si>
  <si>
    <t>個人保健用品</t>
  </si>
  <si>
    <t>寶僑公司(Procter &amp; Gamble Company)製造並銷售消費性產品。該公司提供的產品包括：洗衣與清潔產品、紙類、美容護理、食物與飲料，以及醫療保健類。寶僑的產品服務全球客戶。</t>
  </si>
  <si>
    <t>AT&amp;T公司</t>
  </si>
  <si>
    <t>AT&amp;T公司(AT&amp;T Inc.)為一家通訊控股公司。該公司透過旗下子公司及關係企業，提供市內與長途電話、無線與資料通訊、網際網路存取與簡訊、IP與衛星電視、電信設備，以及目錄廣告與出版服務。</t>
  </si>
  <si>
    <t>旅行者保險公司</t>
  </si>
  <si>
    <t>產物及意外保險</t>
  </si>
  <si>
    <t>產物意外險保費</t>
  </si>
  <si>
    <t>旅行者保險公司(The Travelers Companies, Inc.)為一家保險公司。該公司為企業、政府單位、機關團體，及個人，提供商業及個人產物及意外保險等產品及服務。</t>
  </si>
  <si>
    <t>雷神科技公司</t>
  </si>
  <si>
    <t>國防</t>
  </si>
  <si>
    <t>雷神科技公司（RTX Corporation）為一家航太和國防公司。該公司提供航空電子系統、航空系統、通訊與導航設備、飛機內外照明、飛機座位、環境控制系統、飛行控制系統，以及引擎元件。雷神科技服務全球各地的商業、軍事，以及政府客戶。</t>
  </si>
  <si>
    <t>亞德諾公司</t>
  </si>
  <si>
    <t>類比IC</t>
  </si>
  <si>
    <t>亞德諾公司(Analog Devices, Inc.)設計、製造、及行銷用於類比與數位信號處理的積體電路。該公司的產品主要用於通信、電腦、工業、儀器、軍事、航太、汽車，以及高性能消費電子產品。亞德諾在全球各地銷售其產品。</t>
  </si>
  <si>
    <t>沃爾瑪公司</t>
  </si>
  <si>
    <t>量販店</t>
  </si>
  <si>
    <t>超級購物中心</t>
  </si>
  <si>
    <t>沃爾瑪公司(Walmart Inc.)經營折扣商店、超級購物中心，以及鄰里市場。該公司提供的商品例如：服飾、家居用品、小型家電、電子產品、樂器、書籍、家居裝飾、鞋子、珠寶、童裝、遊戲、家庭必需品、寵物、藥品、派對用品，以及汽車工具。沃爾瑪服務全球客戶。</t>
  </si>
  <si>
    <t>思科</t>
  </si>
  <si>
    <t>通訊設備</t>
  </si>
  <si>
    <t>數據網路設備</t>
  </si>
  <si>
    <t>思科系統公司(Cisco Systems, Inc.)提供資訊科技及網路服務。該公司提供企業網路安全、軟體開發、資料合作、雲端計算，以及其他相關服務。思科系統服務美國的客戶。</t>
  </si>
  <si>
    <t>英特爾</t>
  </si>
  <si>
    <t>邏輯/處理器/特殊應用IC</t>
  </si>
  <si>
    <t>英特爾公司(Intel Corporation)設計、製造，並銷售電腦組件與相關產品。 該公司主要產品包括：微處理器、晶片組、內嵌處理及微控器、快閃記憶體、圖像產品、網路及通訊產品、系統管理軟體、視訊會議產品，以及數位影像產品。</t>
  </si>
  <si>
    <t>通用汽車公司</t>
  </si>
  <si>
    <t>汽車</t>
  </si>
  <si>
    <t>車輛-化石燃料</t>
  </si>
  <si>
    <t>通用汽車公司(General Motors Company)設計、製造和銷售汽車、卡車、跨界休旅車及汽車零件。該公司提供車輛保護、零件、配件、維護、衛星廣播及汽車融資服務。通用汽車公司於全球各地提供產品及服務。</t>
  </si>
  <si>
    <t>微軟</t>
  </si>
  <si>
    <t>基礎建設軟體</t>
  </si>
  <si>
    <t>微軟公司(Microsoft Corporation)為一家軟體公司。該公司提供應用程式、額外收費的雲端儲存，以及先進安全解決方案。微軟服務全球客戶。</t>
  </si>
  <si>
    <t>達樂公司</t>
  </si>
  <si>
    <t>一元商店</t>
  </si>
  <si>
    <t>達樂公司(Dollar General Corporation)經營連鎖折扣零售商店。該公司提供種類眾多的商品，包括：消費性產品(例如：食物、紙張、清潔產品、健康、美容，和寵物用品)，以及非消費性產品(例如：季節性商品)。達樂服務美國的客戶。</t>
  </si>
  <si>
    <t>信諾集團</t>
  </si>
  <si>
    <t>管理式醫療</t>
  </si>
  <si>
    <t>信諾集團（Cigna Group）為一家全球健康公司。該公司提供整合行為、醫療，以及藥房管理解決方案，並提供人壽、意外、殘疾、補充、醫療，以及牙科等保險產品與服務。信諾集團服務全球各地的個人、家庭，以及企業。</t>
  </si>
  <si>
    <t>金德摩根公司(德拉瓦州)</t>
  </si>
  <si>
    <t>中游石油及天然氣業</t>
  </si>
  <si>
    <t>天然氣運輸</t>
  </si>
  <si>
    <t>金德摩根公司(德拉瓦州)(Kinder Morgan, Inc. of Delaware)為管線運輸及能源儲存公司。 該公司擁有並經營輸送天然氣、汽油、原油、二氧化碳及其他產品的管線；其輸油站用來儲存石油產品及化學品，並處理如煤及石油焦等散裝材料。</t>
  </si>
  <si>
    <t>花旗集團</t>
  </si>
  <si>
    <t>花旗集團(Citigroup Inc.)為多元化的金融服務控股公司，其提供多樣化的消費金融及企業金融服務。該公司的服務內容包括：投資銀行、證券零售經紀、企業金融，及現金管理等產品服務。花旗集團提供服務予全球客戶。</t>
  </si>
  <si>
    <t>美國國際集團</t>
  </si>
  <si>
    <t>美國國際集團(American International Group, Inc.)為一家國際性保險機構，服務企業、機構及個人客戶。美國國際集團提供產物意外保險、人壽保險及退休服務。</t>
  </si>
  <si>
    <t>高特利集團</t>
  </si>
  <si>
    <t>菸草</t>
  </si>
  <si>
    <t>菸草品</t>
  </si>
  <si>
    <t>高特利集團(Altria Group, Inc.)為控股公司。該公司透過子公司製造及銷售香菸及其他菸草產品，包括雪茄及煙絲。此外，高特利擁有一家啤酒釀造公司的股份。</t>
  </si>
  <si>
    <t>HCA醫療保健公司</t>
  </si>
  <si>
    <t>醫療保健設施</t>
  </si>
  <si>
    <t>醫院</t>
  </si>
  <si>
    <t>HCA醫療保健公司(HCA Healthcare, Inc.)提供醫療保健服務。該醫院提供診斷、治療、諮詢、護理、手術等服務，以及醫療教育、醫師資源中心與培訓課程。HCA醫療保健服務美國的病患。</t>
  </si>
  <si>
    <t>國際紙業</t>
  </si>
  <si>
    <t>容器與包裝</t>
  </si>
  <si>
    <t>瓦楞紙包裝材料</t>
  </si>
  <si>
    <t>國際紙業公司(International Paper Company)生產並經銷紙類產品。該公司提供非塗佈印刷及書寫用紙、紙漿以及纖維包裝產品。國際紙業服務全球客戶。</t>
  </si>
  <si>
    <t>慧與企業公司</t>
  </si>
  <si>
    <t>伺服器</t>
  </si>
  <si>
    <t>慧與企業公司（Hewlett Packard Enterprise Company）提供資訊科技解決方案。該公司提供企業安全、分析及資料管理、應用程式開發與測試、資料中心維護、雲端諮詢及業務處理服務。慧與企業服務全球的客戶。</t>
  </si>
  <si>
    <t>亞培</t>
  </si>
  <si>
    <t>醫療裝置</t>
  </si>
  <si>
    <t>心血管器材</t>
  </si>
  <si>
    <t>亞培公司(Abbott Laboratories)研發、製造、及銷售多種保健產品及服務。 產品內容包括藥品、檢驗試劑、醫療設備、及營養品。公司並透過旗下附屬機構及經銷商，行銷產品遍及全球。</t>
  </si>
  <si>
    <t>美國家庭人壽保險公司</t>
  </si>
  <si>
    <t>人壽保險</t>
  </si>
  <si>
    <t>美國家庭人壽保險公司(Aflac, Inc.)為綜合商業控股公司。該公司透過旗下子公司，提供美國及日本市場個人的附加保險。該公司的產品包括：意外及失能險、防癌險、短期失能險、疾病住院補償保險，加護病房保險，以及定給付牙科保險。</t>
  </si>
  <si>
    <t>氣體產品與化學</t>
  </si>
  <si>
    <t>工業用氣體</t>
  </si>
  <si>
    <t>氣體產品與化學公司(Air Products and Chemicals, Inc.)生產工業常壓及特殊用途氣體、機能材料與設備。該公司的產品包括：氧氣、氮氣、氬氣、氦氣、特殊界面活性劑及胺、聚氨酯、環氧硫化劑及樹脂。氣體產品與化學公司的產品主要用於飲料、健康及半導體領域。</t>
  </si>
  <si>
    <t>超微電腦公司</t>
  </si>
  <si>
    <t>超微電腦公司(Super Micro Computer, Inc.)基於模組和開放標準架構，設計、開發、製造並銷售伺服器解決方案。該公司提供伺服器、主機板、機殼及零件。超微電腦於全球行銷其產品。</t>
  </si>
  <si>
    <t>B</t>
  </si>
  <si>
    <t>皇家加勒比國際遊輪有限公司</t>
  </si>
  <si>
    <t>郵輪</t>
  </si>
  <si>
    <t>皇家加勒比國際遊輪有限公司(Royal Caribbean Cruises Ltd.)為一家經營渡假郵輪船隊的全球性郵輪公司。該公司旗下品牌主要服務對象為渡假性郵輪產業的現代、高級及豪華層級，亦包括經濟型及豪華精緻類型。</t>
  </si>
  <si>
    <t>Lennox International Inc</t>
  </si>
  <si>
    <t>商業住宅建築設備及系統</t>
  </si>
  <si>
    <t>冷暖氣及冷凍設備</t>
  </si>
  <si>
    <t>Lennox國際公司(Lennox International Inc.)提供溫度控制解決方案。該公司設計、製造及行銷暖氣、通風、冷氣及冷凍設備。Lennox的產品行銷全球。</t>
  </si>
  <si>
    <t>Archer-Daniels-Midland Co</t>
  </si>
  <si>
    <t>農產品批發</t>
  </si>
  <si>
    <t>Archer-Daniels-Midland公司(Archer-Daniels-Midland Company)採購、運送、儲存並銷售農業商品及產品。該公司加工處理油籽、玉米、高粱、燕麥、大麥、花生及小麥。Archer-Daniels-Midland亦加工處理生產產品，其主要供最終使用，包括食品或飼料原料。</t>
  </si>
  <si>
    <t>自動資料處理公司</t>
  </si>
  <si>
    <t>專業服務</t>
  </si>
  <si>
    <t>其它專業服務</t>
  </si>
  <si>
    <t>自動資料處理公司（Automatic Data Processing, Inc.）為一家全球業務外包解決方案的供應商，服務包括各項人力資源、薪資支付、稅務及福利管理解決方案，服務全球客戶。</t>
  </si>
  <si>
    <t>Verisk Analytics Inc</t>
  </si>
  <si>
    <t>資料及分析</t>
  </si>
  <si>
    <t>Verisk Analytics, Inc.從事風險評估服務與決策分析。該公司提供資料、統計及精算服務、標準化保險計劃、承保資訊及完善性評估工具。VeriskAnalytics提供資料及軟體資訊服務，予美國的產險、意外險及抵押貸款相關領域使用。</t>
  </si>
  <si>
    <t>汽車地帶公司</t>
  </si>
  <si>
    <t>汽車零售商</t>
  </si>
  <si>
    <t>汽車零件及配件店</t>
  </si>
  <si>
    <t>汽車地帶公司(AutoZone, Inc.)為一家汽車替換零件及配件的零售商。該公司提供汽車、運動休旅車、箱型車，和輕型卡車的大規模產品線，包括全新與改製的汽車五金零件、維修物件、 配件，以及非汽車產品。汽車地帶服務美國、波多黎各、巴西，以及墨西哥的客戶。</t>
  </si>
  <si>
    <t>林德公開有限公司</t>
  </si>
  <si>
    <t>林德公開有限公司(Linde PLC)為一家工業氣體與工程公司。該公司提供工業氣體、技術，以及氣體處理解決方案，用於生產用於能源轉型的清潔氫氣和碳捕獲系統、醫用氧氣和電子特殊氣體。林德服務全球各地的客戶。</t>
  </si>
  <si>
    <t>艾利丹尼森</t>
  </si>
  <si>
    <t>特用化學品</t>
  </si>
  <si>
    <t>黏著劑及密封劑</t>
  </si>
  <si>
    <t>艾利丹尼森公司(Avery Dennison Corporation)生產感壓材料及各式票卡、標籤與其他加工品。該公司的感壓產品用於標籤、裝飾及特殊用途。艾利丹尼森的非感壓產品包含零售商、服飾製造商及品牌商使用的票卡、標籤、無線射頻(RFID)嵌片與服務。</t>
  </si>
  <si>
    <t>Enphase能源公司</t>
  </si>
  <si>
    <t>可再生能源設備</t>
  </si>
  <si>
    <t>太陽能變頻器</t>
  </si>
  <si>
    <t>Enphase能源公司(Enphase Energy, Inc.)製造太陽能設備。該公司提供家用及商用太陽能及儲存解決方案。Enphase能源公司服務美國的客戶。</t>
  </si>
  <si>
    <t>MSCI 明晟</t>
  </si>
  <si>
    <t>金融資訊服務</t>
  </si>
  <si>
    <t>MSCI 明晟(MSCI Inc.)提供投資決策支援工具予全球各地的投資機構。該公司製作指數及風險與報酬投資組合分析工具，以運用於管理投資組合。</t>
  </si>
  <si>
    <t>包爾公司</t>
  </si>
  <si>
    <t>金屬容器</t>
  </si>
  <si>
    <t>包爾公司(Ball Corporation)提供金屬包裝，予飲料、食品，及家用產品之用。該公司亦提供航太及其他技術服務，予商業及政府部門客戶。包爾公司服務全球各地的客戶。</t>
  </si>
  <si>
    <t>泰瑟國際公司</t>
  </si>
  <si>
    <t>軍火彈藥及小型武器製造</t>
  </si>
  <si>
    <t>泰瑟國際公司(Axon Enterprise, Inc.)為一家公共安全技術公司。該公司提供執法、軍事，以及自衛解決方案。泰瑟國際服務全球客戶。</t>
  </si>
  <si>
    <t>Dayforce公司</t>
  </si>
  <si>
    <t>應用軟體</t>
  </si>
  <si>
    <t>Dayforce公司(Dayforce, Inc.)提供技術解決方案。該公司提供人才與人力管理、人力資源、福利，以及薪資服務的平台，可幫助管理從招募到入職，到支付薪資的整個員工生命週期。Dayforce服務全球客戶。</t>
  </si>
  <si>
    <t>開利全球公司</t>
  </si>
  <si>
    <t>開利全球公司製造空調(HVAC)設備。該公司提供暖氣、空調及製冷解決方案。開利全球服務全球客戶。</t>
  </si>
  <si>
    <t>紐約梅隆銀行</t>
  </si>
  <si>
    <t>機構信託活動</t>
  </si>
  <si>
    <t>紐約梅隆銀行公司（The Bank of New York Mellon Corporation）為一家銀行和金融控股公司。該公司透過旗下子公司，提供投資與財富管理、證券及市場服務，並為金融機構、公司及個人投資者管理與服務資產。紐約梅隆銀行服務全球客戶。</t>
  </si>
  <si>
    <t>奧的斯電梯公司</t>
  </si>
  <si>
    <t>電梯及手扶梯</t>
  </si>
  <si>
    <t>奧的斯電梯公司(Otis Worlding Corporation)製造、安裝及服務建築系統。該公司提供電梯、電扶梯，以及其他移動產品。奧的斯電梯公司服務全球各地的客戶。</t>
  </si>
  <si>
    <t>百特醫療產品有限公司</t>
  </si>
  <si>
    <t>外科用器具及用品</t>
  </si>
  <si>
    <t>百特醫療產品有限公司(Baxter International Inc.)開發、製造及銷售與血友病、免疫力失調、傳染性疾病、腎臟疾病、創傷及其他慢性及急性醫療狀況相關之產品與科技。該公司的產品用於醫院、洗腎中心、護理之家、復健中心、診所及研究實驗室。</t>
  </si>
  <si>
    <t>碧迪醫療器械有限公司</t>
  </si>
  <si>
    <t>醫療設備</t>
  </si>
  <si>
    <t>藥物管制與投藥</t>
  </si>
  <si>
    <t>碧迪醫療器械有限公司(Becton, Dickinson and Company)為一家醫療科技公司。該公司提供的解決方案有助於推進醫學研究和基因組學、加強傳染病和癌症的診斷、改善藥物管理，並促進感染預防。碧迪醫療器械有限公司服務全球客戶。</t>
  </si>
  <si>
    <t>波克夏海瑟威公司</t>
  </si>
  <si>
    <t>波克夏海瑟威公司(Berkshire Hathaway Inc.)為一家控股公司，旗下多家子公司經營不同產業。該公司的主要經營項目為保險業務，在全國各地從事基礎保險服務，並在全球各地從事再保險服務。柏克夏的其他經營項目包括：鐵路公司、特殊化學品公司，以及多元化事業的國際聯盟。</t>
  </si>
  <si>
    <t>百思買公司</t>
  </si>
  <si>
    <t>消費電子及家電品店</t>
  </si>
  <si>
    <t>百思買公司(Best Buy Co., Inc.)透過其零售商店和網站，零售消費型電子產品、家用辦公室用品、娛樂軟體、電器，以及相關服務。該公司亦透過零售商店，零售預錄家庭娛樂產品。百思買於美國及加拿大經營業務。</t>
  </si>
  <si>
    <t>波士頓科學公司</t>
  </si>
  <si>
    <t>波士頓科學公司(Boston Scientific Corporation)開發、製造，及行銷微創醫療裝置。該公司的產品主要用於侵入性心臟科、心律調整、周邊侵入治療、電生理學、神經血管侵入治療、內視鏡檢查、泌尿科、婦科，及神經調節等。</t>
  </si>
  <si>
    <t>必治妥施貴寶公司</t>
  </si>
  <si>
    <t>必治妥施貴寶公司(Bristol-Myers Squibb Company)為一家全球性的生物製藥公司。該公司開發、授權、製造、行銷，並銷售醫藥與營養產品。必治妥施貴寶的產品和實驗性治療領域包括： 癌症、心臟病、HIV與愛滋病、糖尿病、類風濕性關節炎、肝炎、器官移植排斥反應、以及精神疾病。</t>
  </si>
  <si>
    <t>百富門公司</t>
  </si>
  <si>
    <t>酒精飲料</t>
  </si>
  <si>
    <t>蒸餾酒</t>
  </si>
  <si>
    <t>百富門公司(Brown-Forman Corporation)製造、裝瓶、進口、出口及行銷各式各樣的酒精飲料品牌。該公司的產品包括知名的威士忌、伏特加、葡萄酒、龍舌蘭酒、波本酒及琴酒。</t>
  </si>
  <si>
    <t>科特拉能源公司</t>
  </si>
  <si>
    <t>原油及天然氣探勘與生產</t>
  </si>
  <si>
    <t>科特拉能源公司(Coterra Energy Inc.)為一家多元化能源公司。該公司開發石油與天然氣，並著重於保護空氣品質、水資源，以及其經營的土地。科特拉能源服務美國的客戶。</t>
  </si>
  <si>
    <t>希爾頓全球控股公司</t>
  </si>
  <si>
    <t>住宿</t>
  </si>
  <si>
    <t>飯店及汽車旅館(賭場飯店除外)</t>
  </si>
  <si>
    <t>希爾頓全球控股公司(Hilton Worldwide Holdings Inc.)為控股公司。該公司透過旗下子公司，提供餐旅服務。希爾頓全球控股在全球各地擁有並管理飯店、度假村，以及分時度假房地產。</t>
  </si>
  <si>
    <t>嘉年華公司</t>
  </si>
  <si>
    <t>嘉年華公司（Carnival Corporation）擁有及經營郵輪公司。該公司提供假期、飯店，以及住宿服務的旅遊。嘉年華服務全球的客戶。</t>
  </si>
  <si>
    <t>Builders FirstSource Inc</t>
  </si>
  <si>
    <t>建材經銷商</t>
  </si>
  <si>
    <t>Builders FirstSource, Inc.為專業住宅建商製造並經銷建築產品。</t>
  </si>
  <si>
    <t>UDR公司</t>
  </si>
  <si>
    <t>住宅不動產投資信託</t>
  </si>
  <si>
    <t>公寓REIT</t>
  </si>
  <si>
    <t>UDR公司(UDR, Inc.)為自行管理的不動產投資信託公司。該公司擁有、經營並開發美國各地的公寓社區。</t>
  </si>
  <si>
    <t>高樂氏公司</t>
  </si>
  <si>
    <t>家居產品</t>
  </si>
  <si>
    <t>高樂氏公司(Clorox Company)主要透過雜貨店和其他零售商店，製造並銷售消費性產品。該公司主要產品包括：家用清潔與漂白產品、木炭、貓砂、調味料與醬汁、天然個人護理，以及垃圾袋。高樂士於北美，以及拉丁美洲國家，銷售其大部分產品。</t>
  </si>
  <si>
    <t>Paycom軟體公司</t>
  </si>
  <si>
    <t>企業軟體</t>
  </si>
  <si>
    <t>Paycom軟體公司(Paycom Software, Inc.)設計並開發軟體解決方案。該公司提供資料分析軟體產品，以管理人員招聘至退休的就業生命週期。Paycom軟體服務美國的客戶。</t>
  </si>
  <si>
    <t>CMS能源</t>
  </si>
  <si>
    <t>整合型公用事業</t>
  </si>
  <si>
    <t>CMS能源公司(CMS Energy Corporation)為能源公司。該公司透過旗下子公司，提供電力及天然氣予其客戶。CMS能源亦於美國及海外地區，投資並經營非公用事業發電廠。</t>
  </si>
  <si>
    <t>高露潔-棕欖公司</t>
  </si>
  <si>
    <t>高露潔-棕欖公司(Colgate-Palmolive Company)為消費性產品公司，在全球各地行銷其產品。該公司產品包含牙膏、牙刷、洗髮精、體香劑、香皂與沐浴乳、洗碗精與洗衣產品，以及貓狗用的寵物營養產品。</t>
  </si>
  <si>
    <t>億磐系統公司</t>
  </si>
  <si>
    <t>資訊科技外包</t>
  </si>
  <si>
    <t>億磐系統公司(EPAM Systems, Inc.)提供資訊科技服務。 該公司提供軟體開發、外包服務、電子商務、企業關係管理，以及內容管理等解決方案。 億磐系統服務美國的客戶。</t>
  </si>
  <si>
    <t>康尼格拉品牌公司</t>
  </si>
  <si>
    <t>包裝食品製造業</t>
  </si>
  <si>
    <t>新鮮調理食品</t>
  </si>
  <si>
    <t>康尼格拉品牌公司(Conagra Brands, Inc.)針對零售消費者、餐廳，以及機構，製造並銷售包裝食品。該公司提供餐點、主菜、調味料、配菜、零食、特殊馬鈴薯製品、榖類研磨原料、脫水蔬菜，和佐料，以及混合物與香料。康尼格拉服務美國的客戶。</t>
  </si>
  <si>
    <t>愛彼迎公司</t>
  </si>
  <si>
    <t>網路媒體及服務</t>
  </si>
  <si>
    <t>旅遊資訊及預約網站</t>
  </si>
  <si>
    <t>愛彼迎公司(Airbnb, Inc)為一家旅遊資訊與訂票服務的網路市集。該公司透過網站與行動應用程式，提供住宿、寄宿家庭，以及旅遊服務。愛彼迎服務全球客戶。</t>
  </si>
  <si>
    <t>聯合愛迪生</t>
  </si>
  <si>
    <t>電力網</t>
  </si>
  <si>
    <t>配電</t>
  </si>
  <si>
    <t>聯合愛迪生公司(Consolidated Edison, Inc.)透過其子公司提供多元的能源相關產品及服務。 該公司在紐約州、新澤西州部份地區、以及賓州提供電力服務，並提供電力予躉售客戶。</t>
  </si>
  <si>
    <t>康寧公司</t>
  </si>
  <si>
    <t>光纖電信設備</t>
  </si>
  <si>
    <t>康寧公司(Corning Incorporated)為全球科技公司。該公司為電信產業生產光纖、電纜和光電產品，並為資訊顯示產業製造玻璃面板、玻璃罩、液晶顯示玻璃及投影鏡頭組件。</t>
  </si>
  <si>
    <t>GoDaddy公司</t>
  </si>
  <si>
    <t>網域註冊商</t>
  </si>
  <si>
    <t>高達帝公司（GoDaddy Inc.）為一家雲端網域註冊、網域註冊及網路託管公司。該公司提供設置網站的平台，以利公司行號連接客戶、管理業務，並提升網路曝光度。高達帝服務全球的客戶。</t>
  </si>
  <si>
    <t>康明斯公司</t>
  </si>
  <si>
    <t>商用車</t>
  </si>
  <si>
    <t>商用車輛零件及服務</t>
  </si>
  <si>
    <t>康明斯公司(Cummins Inc)設計、製造、經銷並提供柴油及天然氣引擎的服務。該公司亦生產發電系統與引擎相關組件，包括過濾與排氣後處理、燃油系統、遙控裝置與空調主機。</t>
  </si>
  <si>
    <t>凱撒娛樂公司</t>
  </si>
  <si>
    <t>賭場及博弈</t>
  </si>
  <si>
    <t>賭場(賭場飯店除外)</t>
  </si>
  <si>
    <t>凱撒娛樂公司(Caesars Entertainment, Inc.)擁有並經營連鎖渡假村。該公司提供賭場、撲克牌、輪盤，以及其它博弈設施，並提供食物和飲料服務。凱撒娛樂服務美國的客戶。</t>
  </si>
  <si>
    <t>丹納赫集團</t>
  </si>
  <si>
    <t>生命科學設備</t>
  </si>
  <si>
    <t>丹納赫集團(Danaher Corporation)設計、製造並行銷專業、醫療、工商業產品及服務，於測試與衡量、環保、生命科學、牙科、及工業科技等領域。</t>
  </si>
  <si>
    <t>目標百貨公司</t>
  </si>
  <si>
    <t>目標百貨公司(Target Corporation)經營一般商品折扣店。該公司專注於商品營業活動，包括：一般商品及食品折扣商店，與完全整合的線上業務。目標百貨亦透過其品牌專屬信用卡，提供信貸予合格的申請者。</t>
  </si>
  <si>
    <t>威廉所諾馬公司</t>
  </si>
  <si>
    <t>家飾品店</t>
  </si>
  <si>
    <t>威廉所諾馬公司(Williams-Sonoma, Inc.)為一家家居佈置商店。該公司透過零售店、郵購目錄和電子商務零售烹飪和服務設備、家居佈置和家居配件。威廉所諾馬服務美國的客戶。</t>
  </si>
  <si>
    <t>迪爾</t>
  </si>
  <si>
    <t>農業機械</t>
  </si>
  <si>
    <t>農業機械設備</t>
  </si>
  <si>
    <t>迪爾公司(Deere&amp;Company)製造並經銷一系列的農業、建築業、林業、商業及消費設備。該公司為自身和其他廠商的產品，提供替換零件。此外，迪爾公司亦提供產品及零件的融資服務。迪爾公司的服務及產品遍及全球。</t>
  </si>
  <si>
    <t>道明尼能源公司</t>
  </si>
  <si>
    <t>道明尼能源公司(Dominion Energy, Inc.)生產並傳輸能源產品。該公司提供天然氣與電力能源傳輸、收集，以及儲存的解決方案。道明尼能源服務美國的客戶。</t>
  </si>
  <si>
    <t>交易台公司</t>
  </si>
  <si>
    <t>廣告及行銷</t>
  </si>
  <si>
    <t>交易台公司(The Trade Desk, Inc. )為廣告科技公司 。 該公司提供線上廣告平台，其管理展覽、社交媒體、行動裝置，以及影音的廣告宣傳活動。 交易台服務全球各地的客戶。</t>
  </si>
  <si>
    <t>多佛公司</t>
  </si>
  <si>
    <t>多佛公司(Dover Corporation)製造工業產品及製造業設備。該公司的產品包括：印刷、識別、標記與編碼系統、廢棄物處理、工業設備、製冷系統、顯示器外殼、工業泵、燃油分裝機、噴嘴、管道系統，以及電子儲罐計設備。多佛服務全球客戶。</t>
  </si>
  <si>
    <t>聯合能源公司</t>
  </si>
  <si>
    <t>聯合能源公司(Alliant Energy Corporation)提供公用事業服務。該公司供應住宅及商業用戶電力、天然氣及水。聯合能源服務伊利諾州、愛荷華州、明尼蘇達州及威斯康辛州的客戶。</t>
  </si>
  <si>
    <t>鋼鐵動態公司</t>
  </si>
  <si>
    <t>鋼製造業</t>
  </si>
  <si>
    <t>鋼鐵動態公司(Steel Dynamics, Inc.)為美國的多元化碳鋼生產商及金屬回收商。該公司的業務領域包括：鋼鐵營運、金屬回收、鐵資源營運，及鋼鐵加工營運。鋼鐵動態公司的產品包括：平軋鋼片、工程鋼條特殊強化鋼材，及結構鋼樑。</t>
  </si>
  <si>
    <t>杜克能源公司</t>
  </si>
  <si>
    <t>杜克能源公司(Duke Energy Corporation)為一家能源公司，主要位於美洲，其擁有整合的能源資產網。該公司於美國及拉丁美洲，管理天然氣與電力的供應、運輸、及交易等業務。</t>
  </si>
  <si>
    <t>Regency Centers公司</t>
  </si>
  <si>
    <t>零售不動產投資信託</t>
  </si>
  <si>
    <t>購物中心REIT</t>
  </si>
  <si>
    <t>Regency Centers公司(Regency Centers Corporation)為自行管理的不動產投資信託公司，擁有並經營社區型日用品零售中心。該公司目前於美國數州擁有並經營房地產。</t>
  </si>
  <si>
    <t>伊頓公開有限公司</t>
  </si>
  <si>
    <t>電力設備</t>
  </si>
  <si>
    <t>輸配電設備</t>
  </si>
  <si>
    <t>伊頓公開有限公司（Eaton Corporation Public Limited Company）為一家電力管理公司。該公司提供致動器、離合器、剎車及流體連接器、工業控制、感應器、馬達、發電機、泵浦、閥門、引擎，以及傳動系統。伊頓服務全球各地的工業、汽車、建築、商業以及航太市場。</t>
  </si>
  <si>
    <t>藝康集團</t>
  </si>
  <si>
    <t>藝康股份有限公司(Ecolab Inc.)為一家針對食物、醫療保健、觀光餐旅、工業和石油與天然氣市場客戶，提供水、衛生，以及感染預防解決方案的全球供應商。該公司的服務包括：食品安全、衛生、優化水和能源的使用，以及改善經營效率與永續性。</t>
  </si>
  <si>
    <t>Revvity公司</t>
  </si>
  <si>
    <t>Revvity公司(Revvity, Inc.)提供健康科學解決方案、技術、專業知識，以及服務。該公司著重於提供轉譯多組學技術、生物標誌識別、成像、預測、篩選、檢測和診斷、資訊學，以及其它領域。Revvity服務全球各地的醫藥與生物科技、臨床實驗室、學術界，以及政府。</t>
  </si>
  <si>
    <t>戴爾科技公司</t>
  </si>
  <si>
    <t>戴爾科技公司(Dell Technologies Inc.)提供電腦產品。該公司提供筆記型電腦、桌上型電腦、平板電腦、工作站、伺服器、螢幕、印表機、閘道器、軟體、儲存設備，以及網路產品。戴爾科技服務全球客戶。</t>
  </si>
  <si>
    <t>艾默生電氣</t>
  </si>
  <si>
    <t>艾默生電器公司(Emerson Electric Co.)設計及製造電子及電機設備、軟體、系統及服務。該公司透過其電力網、過程管理、工業自動化、氣候技術，以及商業與住宅解決方案部門，為全球的工業、商業及消費市場提供其產品。</t>
  </si>
  <si>
    <t>依歐格資源</t>
  </si>
  <si>
    <t>依歐格資源公司(EOG Resources, Inc.)探勘、開發、生產、及行銷天然氣與原油。該公司於美國、加拿大、千里達、英國北海地區、及中國等地的主要生產沉降帶都有營運據點；此外，偶而會選擇其他國際地區從事開發活動。</t>
  </si>
  <si>
    <t>怡安公開有限公司</t>
  </si>
  <si>
    <t>保險經紀商及服務</t>
  </si>
  <si>
    <t>怡安公開有限公司（Aon Public Limited Company）提供保險經紀服務。該公司從事為客戶管理風險，與其他營運商協商並轉移保險風險，並為客戶提供健康與福利、退休、薪酬、策略人力資本，以及人力資源外包相關的建議。怡安服務全球客戶。</t>
  </si>
  <si>
    <t>安特吉公司</t>
  </si>
  <si>
    <t>安特吉公司(Entergy Corporation)為整合能源公司，主要致力於電力生產及零售電力配銷的業務。該公司於阿肯色州、路易斯安那州、密西西比州及德州提供電力予公用事業客戶。安特吉亦於美國北部擁有並經營核能電廠。</t>
  </si>
  <si>
    <t>易速傳真公司</t>
  </si>
  <si>
    <t>信用機構</t>
  </si>
  <si>
    <t>易速傳真公司(Equifax Inc.)為一家消費者信用報告機構。該公司透過資訊管理、交易處理、直接行銷以及客戶關係管理事業，撮合買家及賣家。Equifax服務美國的金融、零售、信用卡、電信、公用事業、運輸，以及資訊技術行業。</t>
  </si>
  <si>
    <t>EQT公司</t>
  </si>
  <si>
    <t>EQT公司(EQT Corporation)為整合能源公司，業務重心為阿帕拉契山地區的天然氣供應、傳輸及配送。該公司透過子公司，提供天然氣產品予批發商及零售客戶。</t>
  </si>
  <si>
    <t>艾昆緯控股公司</t>
  </si>
  <si>
    <t>醫療保健服務</t>
  </si>
  <si>
    <t>合約研究</t>
  </si>
  <si>
    <t>艾昆緯控股公司(IQVIA Holdings Inc.)致力於技術解決方案及合約研究服務。該公司提供廣泛的解決方案，包括臨床開發策略、治療專門知識、預測及規範分析，以及病人保留服務。 艾昆緯控股提供服務予全球消費者健康、生物製藥及醫療科技產業。</t>
  </si>
  <si>
    <t>高德納公司</t>
  </si>
  <si>
    <t>高德納公司(Gartner, Inc.)提供電腦硬體、軟體、通訊及相關資訊科技產業的研究報告及分析。該公司的業務範圍包括研究、諮詢、測量、活動及執行計畫。</t>
  </si>
  <si>
    <t>聯邦快遞公司</t>
  </si>
  <si>
    <t>快遞服務</t>
  </si>
  <si>
    <t>聯邦快遞公司(FedEx Corporation)透過整合全球網路，遞送包裹及貨物至多個國家及領土。該公司提供全球快遞與貨運運輸、地面小型包裹、拼車貨、供應鏈管理、海關經紀服務、報關服務、貿易便利化，以及電子商務解決方案。</t>
  </si>
  <si>
    <t>Brown &amp; Brown Inc</t>
  </si>
  <si>
    <t>Brown &amp; Brown公司(Brown &amp; Brown, Inc.)及旗下子公司提供各式保險及再保險產品與服務。該公司亦提供風險管理、員工服務管理，以及管理醫療保健服務。Brown &amp; Brown的經營據點遍及全美。</t>
  </si>
  <si>
    <t>福特汽車公司</t>
  </si>
  <si>
    <t>福特汽車公司(Ford Motor Company)從事汽車及貨車的設計、製造及服務。該公司亦透過旗下子公司，提供汽車相關的融資、租賃及保險。</t>
  </si>
  <si>
    <t>新紀元能源公司</t>
  </si>
  <si>
    <t>新紀元能源公司（NextEra Energy, Inc.）為一家清潔能源公司。該公司透過來自風力與太陽的可再生能源，生產並銷售電力，以及提供電池儲存解決方案。新紀元能源服務佛羅裡達州客戶。</t>
  </si>
  <si>
    <t>富蘭克林資源公司</t>
  </si>
  <si>
    <t>投資管理</t>
  </si>
  <si>
    <t>富蘭克林資源公司(Franklin Resources, Inc.)提供投資諮詢服務予共同基金、退休戶、法人及個別帳戶投資人。該公司管理多種資產級別，包括：全球股票，全球機構與地方固定收益、貨幣基金、另類投資，及避險基金。</t>
  </si>
  <si>
    <t>國際航電股份有限公司</t>
  </si>
  <si>
    <t>消費性電子</t>
  </si>
  <si>
    <t>GPS設備</t>
  </si>
  <si>
    <t>國際航電股份有限公司(Garmin Ltd.)提供導航、通訊，以及資訊裝置。該公司設計、開發、製造，並銷售手持、可攜式，以及固定式安裝GPS嵌入的產品。國際航電服務全球各地的汽車、航空、海洋、戶外，以及健身市場。</t>
  </si>
  <si>
    <t>自由港麥克莫蘭銅金公司</t>
  </si>
  <si>
    <t>基本金屬</t>
  </si>
  <si>
    <t>銅</t>
  </si>
  <si>
    <t>自由港麥克莫蘭銅金公司(Freeport-McMoRan Inc.)為國際天然資源公司。該公司經營大型長期的地區多元化資產，包含豐富的銅、金、鉬、鈷、石油及天然氣等蘊藏。</t>
  </si>
  <si>
    <t>Expand能源公司</t>
  </si>
  <si>
    <t>Expand能源公司（Expand Energy Corporation）為一家探勘公司。該公司著重於探索、開發，並收購傳統與非傳統的天然氣、石油，以及液化天然氣蘊藏。Expand能源服務美國的客戶。</t>
  </si>
  <si>
    <t>德康醫療公司</t>
  </si>
  <si>
    <t>德康醫療公司(Dexcom, Inc.)為一家醫療裝置公司，著重於設計並開發糖尿病人的連續血糖監測系統。該公司開發連續測量皮膚下皮組織葡萄糖值的植入式小裝置，以及在指定時間間隔發送葡萄糖值的小型外部傳感器。</t>
  </si>
  <si>
    <t>通用動力公司</t>
  </si>
  <si>
    <t>通用動力公司(General Dynamics Corporation)為多元化防禦公司。該公司提供多種類型的產品及服務，包括：商用航空、戰鬥車輛、武器系統、彈藥、造船設計和營造、資訊系統及科技。</t>
  </si>
  <si>
    <t>通用磨坊公司</t>
  </si>
  <si>
    <t>通用磨坊公司(General Mills, Inc.)為一家食品公司。該公司製造並銷售透過零售商店銷售的品牌加工消費食品。通用磨坊服務全球各地的客戶。</t>
  </si>
  <si>
    <t>純正零件公司</t>
  </si>
  <si>
    <t>純正零件公司(Genuine Parts Company)為一家汽車商店。該公司經銷汽車替換零件、工業替換零件、辦公室產品及電機和電子材料。純正零件服務美國、加拿大，以及墨西哥的客戶。</t>
  </si>
  <si>
    <t>Atmos能源公司</t>
  </si>
  <si>
    <t>天然氣公用事業</t>
  </si>
  <si>
    <t>天然氣配送</t>
  </si>
  <si>
    <t>Atmos能源公司(Atmos Energy Corporation)經銷天然氣。該公司為大型客戶提供天然氣行銷和採購服務，並管理儲存和管道資產。Atmos能源公司服務美國的客戶。</t>
  </si>
  <si>
    <t>格雷杰公司</t>
  </si>
  <si>
    <t>工業經銷及出租</t>
  </si>
  <si>
    <t>工業設備/用品經銷商</t>
  </si>
  <si>
    <t>固安捷公司(W.W. Grainger, Inc.)為北美的商業、工業、承包，和機構市場，經銷保養、維修，和經營用品，以及相關資訊。該公司的產品包括：馬達、冷暖空調設備、照明、手動與電動工具、幫浦、包裝、材料處理、粘合劑、安全、清潔、電氣，以及金屬加工設備。</t>
  </si>
  <si>
    <t>哈里伯頓公司</t>
  </si>
  <si>
    <t>油田服務及設備製造</t>
  </si>
  <si>
    <t>境內油田服務</t>
  </si>
  <si>
    <t>哈里伯頓公司(Halliburton Company)提供能源、工程與營建服務，並製造能源產業用的產品。該公司為從事探勘、開發及生產石油及天然氣的客戶，提供服務、產品及整合解決方案。</t>
  </si>
  <si>
    <t>L3哈里斯科技公司</t>
  </si>
  <si>
    <t>電子及作戰任務系統</t>
  </si>
  <si>
    <t>L3哈里斯科技公司(L3Harris Technologies, Inc.)為一家航空與國防技術創新商。該公司設計、開發，並製造無線電通訊與系統，包括：單頻道地面與空中傳播無線電系統。L3哈里斯科技提供跨越天空、陸地、海洋、太空及網路領域的先進國防與商業技術。</t>
  </si>
  <si>
    <t>Healthpeak Properties Inc</t>
  </si>
  <si>
    <t>醫療保健REIT</t>
  </si>
  <si>
    <t>Healthpeak不動產臨時公司(Healthpeak Properties Interim, Inc.)為一家不動產投資信託。該信託投資於醫療保健相關的不動產物業，例如：高齡者住宅、生命科學、醫療辦公室、醫院，以及專業護理之家。Healthpeak不動產臨時服務美國的客戶。</t>
  </si>
  <si>
    <t>Insulet公司</t>
  </si>
  <si>
    <t>Insulet公司(Insulet Corporation)為醫療器材公司。該公司針對胰島素依賴型糖尿病患者，開發、製造及行銷胰島素注射系統。Insulet於英國、加拿大及美國銷售其產品。</t>
  </si>
  <si>
    <t>Fortive公司</t>
  </si>
  <si>
    <t>測量儀</t>
  </si>
  <si>
    <t>Fortive公司(Fortive Corporation)為一家多元化工業成長公司。 該公司著重於專業儀器、自動化、遙感，以及運輸技術。 Fortive服務全球客戶。</t>
  </si>
  <si>
    <t>好時公司</t>
  </si>
  <si>
    <t>零食及糖果</t>
  </si>
  <si>
    <t>好時公司(Hershey Company)生產巧克力及糖果甜點。該公司主要產品包括巧克力及糖果甜點、口香糖與薄荷口氣清新產品，以及廚房用品，例如烘培材料、配料和飲料。</t>
  </si>
  <si>
    <t>同步金融</t>
  </si>
  <si>
    <t>同步金融(Synchrony Financial)為一家消費性金融服務公司。該公司透過與不同國家和地區的零售商、當地商人、製造商、採購團體、產業協會，以及醫療保健服務供應商建立的計劃，提供一系列的信貸產品。同步金融服務美國的客戶。</t>
  </si>
  <si>
    <t>霍梅爾食品</t>
  </si>
  <si>
    <t>醃漬及煙燻肉品</t>
  </si>
  <si>
    <t>霍梅爾食品公司(Hormel Foods Corporation)生產並行銷消費品牌肉類及食品。該公司加工處理肉類及禽鳥肉品，並生產多種調理食品。霍梅爾以多種品牌行銷全球。</t>
  </si>
  <si>
    <t>Arthur J Gallagher &amp; Co</t>
  </si>
  <si>
    <t>Arthur J. Gallagher &amp; Co.及子公司提供保險經紀、風險管理、員工福利及其他相關服務，予美國及海外地區客戶。該公司的主要活動，係替客戶協商及安排保險。Gallagher亦專精於風險管理服務。</t>
  </si>
  <si>
    <t>億滋國際</t>
  </si>
  <si>
    <t>糖果</t>
  </si>
  <si>
    <t>億滋國際公司(Mondelez International, Inc.)為一家食品及飲料公司。該公司製造並銷售包裝食物產品，包括：零食、飲料、起士、簡便食品，以及其它包裝雜貨產品。億滋國際於全球各地銷售其產品。</t>
  </si>
  <si>
    <t>Centerpoint能源</t>
  </si>
  <si>
    <t>中心點電力公司(CenterPoint Energy, Inc.)是一家公用事業控股公司。公司透過其子公司，從事電力傳輸與配送、天然氣配銷、州際輸油管道和收集運作、及位於德州的發電業務。</t>
  </si>
  <si>
    <t>哈門那公司</t>
  </si>
  <si>
    <t>管理式醫療聯邦醫療保險</t>
  </si>
  <si>
    <t>哈門那公司(Humana Inc.)為一家管理醫療保健公司。該公司透過健康維護組織、服務點計劃，以及行政服務產品，提供協調性醫療保健。哈門那為雇員團體、政府贊助計劃，以及個人，提供其產品。</t>
  </si>
  <si>
    <t>威利斯韜睿惠悅公司</t>
  </si>
  <si>
    <t>威利斯韜睿惠悅公司(Willis Towers Watson Public Limited Company)為提供顧問、經紀及解決方案的公司。該公司提供一系列的保險經紀、再保險及風險管理顧問服務。威利斯韜睿惠悅服務對象遍及全球各地。</t>
  </si>
  <si>
    <t>伊利諾工具公司</t>
  </si>
  <si>
    <t>伊利諾工具公司(Illinois Tool Works Inc.)設計並製造扣件、零組件、設備、消耗系統，以及多種專門產品與設備。該公司提供工業用液體和黏著劑、專用工具、焊接產品，以及品質測量設備與系統。伊利諾工具公司服務全球客戶。</t>
  </si>
  <si>
    <t>CDW Corp/DE</t>
  </si>
  <si>
    <t>CDW Corporation of Delaware提供資訊科技產品與服務。該公司提供硬體、軟體、電腦周邊設備、雲端計算、行動設備、網絡通訊，以及安全解決方案。CDW提供服務予全美洲的企業、政府、教育及醫療保健客戶。</t>
  </si>
  <si>
    <t>特靈科技公開有限公司</t>
  </si>
  <si>
    <t>特靈科技公開有限公司(Trane Technologies Public Limited Company)製造工業設備。該公司提供中央暖氣、空調、電動車輛、空氣清淨機，以及流體處理產品。特靈科技服務全球客戶。</t>
  </si>
  <si>
    <t>埃培智集團</t>
  </si>
  <si>
    <t>廣告代理及服務</t>
  </si>
  <si>
    <t>埃培智集團(The Interpublic Group of Companies, Inc.)為匯集了廣告代理商及行銷服務公司的機構。該公司在全球從事廣告業務、獨立媒體購買、直銷、健康保健通訊、互動諮詢服務、行銷研究、促銷、體驗及運動行銷，以及公共關係。</t>
  </si>
  <si>
    <t>國際香料香精</t>
  </si>
  <si>
    <t>香精及香料</t>
  </si>
  <si>
    <t>國際香料香精公司(International Flavors &amp; Fragrances Inc.)開發、製造並供應香料及香精，予食品、飲料、個人保養品及家用產品等產業。該公司的香料與香精，係用於多數原料的個別原料及化合物，用來調配、混合並互相作用，以製作獨家配方。</t>
  </si>
  <si>
    <t>基內瑞克控股公司</t>
  </si>
  <si>
    <t>發電設備</t>
  </si>
  <si>
    <t>基內瑞克控股公司(Generac Holdings, Inc.)製造自動、固定式備用，以及攜帶型發電機。該公司提供發電機以服務住宅、商業、工業，與電信市場。基內瑞克控股於全球各地行銷其產品。</t>
  </si>
  <si>
    <t>恩智浦半導體股份有限公司</t>
  </si>
  <si>
    <t>恩智浦半導體股份有限公司( NXP Semiconductors NV)為全球性的半導體公司。該公司在行動通訊、消費性電器、安全應用、汽車娛樂及網路等領域設計半導體及軟體。恩智浦半導體股份有限公司提供產品予汽車、辨識、無線基礎設施、照明、行動裝置及電腦應用程式。</t>
  </si>
  <si>
    <t>家樂氏</t>
  </si>
  <si>
    <t>零食</t>
  </si>
  <si>
    <t>家樂氏(Kellanova)為一家零食與早餐食品製造公司。該公司提供零食產品(例如：零食、穀類、麵條、植物性食物，和冷凍早餐)，以及網路配送服務。家樂氏服務全球客戶。</t>
  </si>
  <si>
    <t>Broadridge財務解決方案公司</t>
  </si>
  <si>
    <t>布羅德里奇金融解決方案公司(Broadridge Financial Solutions, Inc.)提供技術外包解決方案予金融服務業。該公司提供廣泛的解決方案，協助客戶服務其交易前、交易中及交易後程序的整個投資週期內的零售與機構客戶。</t>
  </si>
  <si>
    <t>KRC臨時公司</t>
  </si>
  <si>
    <t>金克不動產公司(Kimco Realty Corporation)為一家不動產投資信託(REIT)。該公司持有並管理露天雜貨購物中心，以及不斷成長的混合用途資產投資組合。金克不動產服務美國的客戶。</t>
  </si>
  <si>
    <t>甲骨文公司</t>
  </si>
  <si>
    <t>甲骨文公司(Oracle)為企業資訊管理提供電腦軟體產品。該公司主要提供資料庫與關聯式伺服器、應用軟體開發、決策支援工具以及企業業務應用軟體等。 甲骨文軟體可以支援網路電腦、個人數位助理(PDA)、用戶終端產品、個人電腦、工作站、迷你電腦、大型電腦以及多量平行處理電腦等。</t>
  </si>
  <si>
    <t>克羅格公司</t>
  </si>
  <si>
    <t>食品及藥品商店</t>
  </si>
  <si>
    <t>超級市場</t>
  </si>
  <si>
    <t>克羅格公司(Kroger Co.)為一家超級市場。該公司提供肉類、海鮮、烘焙、乳製品、冷凍、清潔、廚房、飲料、健康、電子、玩具、蔬菜、水果、美容，以及家用產品。克羅格服務美國的客戶。</t>
  </si>
  <si>
    <t>萊納房屋公司</t>
  </si>
  <si>
    <t>住宅營建</t>
  </si>
  <si>
    <t>萊納房屋公司(Lennar Corporation)建造並銷售單戶連棟及獨棟住宅，並買賣住宅用地。該公司也提供抵押融資、產權保險、商業不動產、投資管理及其它金融服務。萊納房屋服務美國的客戶。</t>
  </si>
  <si>
    <t>禮來公司</t>
  </si>
  <si>
    <t>禮來公司(Eli Lilly and Company)研發、開發、製造及銷售人用與動物用藥。該公司的產品行銷世界各國。禮來產品內容包括：神經科學用藥、內分泌藥物、抗感染藥、心血管用藥、抗癌藥、及動物保健產品。</t>
  </si>
  <si>
    <t>特許通訊公司</t>
  </si>
  <si>
    <t>有線及衛星電視</t>
  </si>
  <si>
    <t>特許通訊公司(Charter Communications, Inc.)為一家有線電信公司。該公司提供有線廣播、網際網路、語音，以及大眾媒體服務。特許通訊服務美國的客戶。</t>
  </si>
  <si>
    <t>洛斯公司</t>
  </si>
  <si>
    <t>洛斯公司(Loews Corporation)為一家控股公司。該公司透過旗下子公司，提供商業房地產和意外保險服務、天然氣和天然氣液體的運輸與儲存，並經營連鎖飯店。洛斯服務美國的客戶。</t>
  </si>
  <si>
    <t>羅威公司</t>
  </si>
  <si>
    <t>羅威公司(Lowe's Companies, Inc.)為一家居的居家修繕商店。該公司提供工具、電器、建築用品、地毯、浴室，以及照明產品。羅威服務美國的客戶。</t>
  </si>
  <si>
    <t>安柏</t>
  </si>
  <si>
    <t>電機零件</t>
  </si>
  <si>
    <t>安柏公司(Hubbell Incorporated)為商業、工業、公用事業及電信市場，製造電器及電子產品。該公司產品包括火星塞、插座、連接器、照明燈具、高壓測試及測量設備，及語音與資料訊號處理組件。安柏在美國及海外均有營運據點。</t>
  </si>
  <si>
    <t>IDEX公司</t>
  </si>
  <si>
    <t>流量控制設備</t>
  </si>
  <si>
    <t>IDEX公司(IDEX Corporation)設計、製造及行銷幫浦、分配設備及其他工程產品。 該公司提供產品，包括工業用幫浦、潤滑系統、綁紮和夾緊裝置，以及救援工具工具。 IDEX服務全球的客戶。</t>
  </si>
  <si>
    <t>馬什麥克倫南</t>
  </si>
  <si>
    <t>馬什麥克倫南集團公司(Marsh &amp; McLennan Companies, Inc.)是一家專業服務公司，提供關於風險、策略及人力資本方面的建議及解決方案。馬什麥克倫南集團為全球客戶提供分析、建議和交易業務。</t>
  </si>
  <si>
    <t>馬斯可</t>
  </si>
  <si>
    <t>居家修繕</t>
  </si>
  <si>
    <t>配管產品</t>
  </si>
  <si>
    <t>馬斯可公司(Masco Corporation)製造並銷售居家修繕及建築產品。該公司產品包括水龍頭、廚房衛浴櫥櫃、建築塗料以及建商硬體產品。馬斯可透過大型量販商、家用品中心、硬體商店以及其他批發零售商店，銷售其產品予消費者及承包商。</t>
  </si>
  <si>
    <t>標準普爾全球公司</t>
  </si>
  <si>
    <t>標準普爾全球公司(S&amp;P Global Inc.)提供客戶財經資訊服務。該公司提供全球資本及商品市場的評等、基準、分析的相關資訊。標準普爾全球公司的經營範圍遍及全球各地。</t>
  </si>
  <si>
    <t>美敦力公司</t>
  </si>
  <si>
    <t>美敦力公開有限公司(Medtronic, PLC.)開發治療用及診斷用醫療產品。該公司的主要產品包括：心搏過緩調整、心速管理、心房心室纖維顫動管理、心臟衰竭處理、心瓣換置、惡性與非惡性疼痛，以及行動失序醫療等。美敦力的產品行銷全球。</t>
  </si>
  <si>
    <t>暉致公司</t>
  </si>
  <si>
    <t>製藥</t>
  </si>
  <si>
    <t>學名藥品</t>
  </si>
  <si>
    <t>暉致公司(Viatris Inc.)為製藥公司。該公司針對涵蓋非傳染性疾病和傳染性疾病的主要治療領域的廣泛患者生產藥物。暉致服務全球客戶。</t>
  </si>
  <si>
    <t>CVS保健公司</t>
  </si>
  <si>
    <t>醫療保健供應鏈</t>
  </si>
  <si>
    <t>PBM</t>
  </si>
  <si>
    <t>西維斯健康公司(CVS Health Corporation)提供醫療保健及零售藥房服務。該公司提供處方藥、美容、個人護理、化妝品，和醫療保健產品，以及藥房福利管理、疾病管理，與行政服務。西維斯健康公司於美國及波多黎各經營業務。</t>
  </si>
  <si>
    <t>新杜邦公司</t>
  </si>
  <si>
    <t>新杜邦公司(DuPont de Nemours, Inc.)提供技術材料及解決方案。該公司提供各種產品，例如：建設材料、黏合劑、電子產品、紡織品、纖維、家庭花園、醫療設備、樹脂、印刷，以及消費性產品。新杜邦服務全球的能源、汽車、建設、政府、軍事、安全，以及包裝產業。</t>
  </si>
  <si>
    <t>美光科技公司</t>
  </si>
  <si>
    <t>記憶體IC</t>
  </si>
  <si>
    <t>美光科技公司(Micron Technology, Inc., )透過旗下子公司，製造並銷售動態隨機存取記憶體晶片(DRAM)、靜態隨機存取記憶體晶片(SRAM)、快閃記憶體、半導體零組件及記憶體模組。</t>
  </si>
  <si>
    <t>摩托羅拉系統公司</t>
  </si>
  <si>
    <t>行動無線電通訊設備</t>
  </si>
  <si>
    <t>摩托羅拉系統公司(Motorola Solutions, Inc.)為資料通訊及電信設備提供者。該公司開發資料擷取、無線、基礎設施、條碼掃描、雙向對講機以及無線寬頻網路。摩托羅拉亦生產公共安全及政府產品、語音及資料通信產品和系統，以及無線LAN安全。</t>
  </si>
  <si>
    <t>芝加哥選擇權交易所全球市場公</t>
  </si>
  <si>
    <t>證券及商品交易所</t>
  </si>
  <si>
    <t>芝加哥選擇權交易所全球市場公司(Cboe Global Markets, Inc.)為交易所控股公司。該公司透過旗下子公司，經營金融選擇權交易平台，提供尖端的交易及投資解決方案，包括股票、外匯、指數、資料與分析，以及交易申報解決方案。Cboe全球市場公司服務全球客戶。</t>
  </si>
  <si>
    <t>紐蒙特公司</t>
  </si>
  <si>
    <t>貴金屬礦業</t>
  </si>
  <si>
    <t>黃金</t>
  </si>
  <si>
    <t>紐蒙特公司(Newmont Corporation)收購、探勘，並開發礦產。該公司生產並銷售黃金、銅、白銀、鋅，以及鉛。紐蒙特服務全球客戶。</t>
  </si>
  <si>
    <t>耐吉公司</t>
  </si>
  <si>
    <t>服飾、鞋類及配件設計</t>
  </si>
  <si>
    <t>運動鞋</t>
  </si>
  <si>
    <t>耐吉公司(NIKE, Inc.)為男士、女士及兒童設計、開發及行銷運動鞋、服飾、設備及飾品。該公司透過旗下商店、子公司和經銷商銷售其產品。耐吉服務全球客戶。</t>
  </si>
  <si>
    <t>NiSource公司</t>
  </si>
  <si>
    <t>NiSource公司(NiSource Inc.)為能源控股公司。其子公司提供天然氣、電力及其他產品服務，予墨西哥灣沿中西部至新英格蘭的客戶。</t>
  </si>
  <si>
    <t>諾福克南方公司</t>
  </si>
  <si>
    <t>鐵路貨運</t>
  </si>
  <si>
    <t>諾福克南方公司(Norfolk Southern Corporation)提供鐵路運輸服務。該公司主要於東南部、東部，和中西部運輸原材料、中間產品，以及成品，並透過與鐵路運輸公司的轉乘往返於美國其它地區。諾福克南方公司亦透過幾個大西洋和墨西哥灣的數個港口，從事海外貨物運輸。</t>
  </si>
  <si>
    <t>信安金融保險集團</t>
  </si>
  <si>
    <t>信安金融集團公司(Principal Financial Group, Inc.)提供企業、個人及機構客戶各式各樣的金融產品及服務。該公司提供退休計畫方案、人壽及健康保險、保健計畫以及投資和銀行產品。</t>
  </si>
  <si>
    <t>Eversource能源</t>
  </si>
  <si>
    <t>Eversource能源(Eversource Energy)為公共事業的控股公司。該公司透過旗下子公司，提供電力服務予康乃狄克州、新罕布夏州，及麻州西部等地的客戶。Eversource能源亦於康乃狄克州從事天然氣分銷的業務。</t>
  </si>
  <si>
    <t>諾斯洛普格拉曼</t>
  </si>
  <si>
    <t>諾斯洛普格拉曼公司(Northrop Grumman Corporation)為全球性保全公司。該公司提供航太、電子、資訊系統、及技術服務所需之系統、產品及解決方案，予全球的政府和商業客戶使用。</t>
  </si>
  <si>
    <t>富國銀行</t>
  </si>
  <si>
    <t>銀行</t>
  </si>
  <si>
    <t>富國銀行公司(Wells Fargo &amp; Company)經營多元化的金融服務。該公司提供銀行、保險、投資、抵押、租賃、信用卡，以及消費性金融。富國銀行公司服務全球各地的實體商店、網際網路，以及其他經銷通道。</t>
  </si>
  <si>
    <t>諾可公司</t>
  </si>
  <si>
    <t>諾可公司(Nucor Corporation)為一家製造鋼鐵產品公司。該公司的產品包括碳及合金鋼、鋼接頭、鋼承板、冷軋鋼、研磨鋼球、軸承鋼及金屬建築系統。諾可亦代理含鐵與非鐵金屬、生鐵與HBI/DRI、提供鐵合金、並處理含鐵與非鐵的廢金屬。</t>
  </si>
  <si>
    <t>西方石油</t>
  </si>
  <si>
    <t>西方石油公司(Occidental Petroleum Corporation)探勘、開發、生產及行銷原油與天然氣。該公司亦製造及行銷多種基本化學原料、乙烯基及特用化學品。西方石油亦收集、處理、加工、運輸、儲存、交易及行銷原油、天然氣、天然氣凝結油、凝析油及二氧化碳(CO2)，及電力生產與行銷。</t>
  </si>
  <si>
    <t>奧姆尼康集團</t>
  </si>
  <si>
    <t>奧姆尼康集團(Omnicom Group Inc.)提供廣告、行銷與企業溝通服務。該公司的機構於全球主要市場營運，其提供多方面的服務包括：傳統媒體廣告、顧客關係管理(CRM)、公共關係，以及與特殊通信。</t>
  </si>
  <si>
    <t>ONEOK Inc</t>
  </si>
  <si>
    <t>ONEOK公司為一多元化的能源公司。該公司在美國境內從事天然氣及液化天然氣的業務。</t>
  </si>
  <si>
    <t>Raymond James Financial Inc</t>
  </si>
  <si>
    <t>財富管理</t>
  </si>
  <si>
    <t>Raymond James金融公司透過旗下投資子公司，提供金融服務予個人、公司、和地方政府。該公司經營據點遍及美國、加拿大、和海外等地。</t>
  </si>
  <si>
    <t>太平洋電力瓦斯公司</t>
  </si>
  <si>
    <t>太平洋電力瓦斯公司（PG&amp;E Corporation）為一家控股公司。該公司透過旗下子公司，提供電力與天然氣配送業務、發電，以及天然氣傳輸與儲存服務。太平洋電力瓦斯服務加州北部和中部地區的電力及天然氣零售客戶。</t>
  </si>
  <si>
    <t>派克漢尼汾公司</t>
  </si>
  <si>
    <t>派克漢尼汾公司(Parker-Hannifin Corporation)設計並製造多元工業及航太系統。該公司針對工業市場提供移動控制和液體系統與元件，並針對航空航天市場提供飛行控制、液壓、液體運輸、熱能管理、充氣，以及潤滑系統與元件。派克漢尼汾服務全球客戶。</t>
  </si>
  <si>
    <t>羅林斯公司</t>
  </si>
  <si>
    <t>建築維護保養服務</t>
  </si>
  <si>
    <t>病蟲防治服務</t>
  </si>
  <si>
    <t>羅林斯公司(Rollins, Inc.)為控股公司。該公司透過旗下子公司，提供基本的除蟲服務，包括：白蟻危害、囓齒動物及昆蟲防治。羅林斯為全球商業和住宅客戶提供服務。</t>
  </si>
  <si>
    <t>PPL公司</t>
  </si>
  <si>
    <t>PPL公司(PPL Corporation)為一家能源及公用事業控股公司。該公司透過旗下子公司，以發電廠發電，並銷售批發與零售能源和天然氣。PPL服務美國的電力及天然氣行業。</t>
  </si>
  <si>
    <t>安波福控股有限公司</t>
  </si>
  <si>
    <t>汽車零件</t>
  </si>
  <si>
    <t>其它電機設備製造</t>
  </si>
  <si>
    <t>安波福公開有限公司（Aptiv PLC）為一家控股公司。該公司透過旗下子公司，設計、開發並製造軟體解決方案，協助汽車原始設備生產商製造具有先進安全功能、電氣化架構及智慧連接功能的車輛。安波福服務全球的客戶。</t>
  </si>
  <si>
    <t>康菲石油</t>
  </si>
  <si>
    <t>原油產量</t>
  </si>
  <si>
    <t>康菲石油(ConocoPhillips)開採、生產、運輸及行銷原油、天然氣、天然氣凝結油、液化天然氣遍及全球。</t>
  </si>
  <si>
    <t>普得集團公司</t>
  </si>
  <si>
    <t>單戶住宅建築</t>
  </si>
  <si>
    <t>普得集團公司(PulteGroup Inc.)銷售及建造住屋，並購買、開發及銷售住宅用地，及開發活躍成人社區。該公司亦為購屋者，提供抵押融資、產權保險及其他服務。其經營範圍分布於美國，及波多黎各等不同市場。</t>
  </si>
  <si>
    <t>皮那可資本公司</t>
  </si>
  <si>
    <t>皮那可資本公司(Pinnacle West Capital Corporation)為公用事業控股公司。該公司透過子公司，提供零售及批發電力服務予亞利桑那州大部分地區。皮那可亦透過子公司從事美國西部不動產開發。</t>
  </si>
  <si>
    <t>PNC金融服務集團</t>
  </si>
  <si>
    <t>PNC金融服務集團(PNC Financial Services Group, Inc.)為多元化金融服務公司。該公司在全美及主要地區市場，提供地區銀行、批發銀行和資產管理服務。</t>
  </si>
  <si>
    <t>匹茲堡工業</t>
  </si>
  <si>
    <t>塗料及塗膜</t>
  </si>
  <si>
    <t>匹茲堡工業(PPG Industries, Inc.)供應產品給全球的製造業、營建業、汽車業、化學處理業，及其他產業。該公司製作保護及裝飾塗料、平面玻璃、玻璃製品、連續纖維原絲玻璃製品，及特用化學品。</t>
  </si>
  <si>
    <t>DoorDash公司</t>
  </si>
  <si>
    <t>線上食品外送服務</t>
  </si>
  <si>
    <t>DoorDash公司(DoorDash, Inc.)提供餐飲外送服務。該公司研發的科技，關注於經由隨選餐飲外送應用程式連結顧客及商戶。DoorDash服務美國的客戶。</t>
  </si>
  <si>
    <t>先進公司</t>
  </si>
  <si>
    <t>產物及意外個人保險</t>
  </si>
  <si>
    <t>先進公司(The Progressive Corporation)為一家保險控股公司。該公司透過旗下子公司，提供個人和商業汽車保險，以及其它專業財產意外保險和相關服務。先進服務美國的客戶。</t>
  </si>
  <si>
    <t>Veralto公司</t>
  </si>
  <si>
    <t>污染控制設備</t>
  </si>
  <si>
    <t>水濾淨設備製造</t>
  </si>
  <si>
    <t>Veralto公司(Veralto Corporation)提供技術解決方案。該公司提供產品品質控制系統及水淨化設備。Veralto服務全球各地的客戶。</t>
  </si>
  <si>
    <t>大眾服務企業集團公司</t>
  </si>
  <si>
    <t>大眾服務企業集團公司（Public Service Enterprise Group Incorporated (PSEG)）為一家大眾公用事業控股公司。該公司透過旗下子公司，提供傳輸並配送電力及天然氣，且透過整合其商業核能發電資產的營運來提供能源。大眾服務企業集團服務紐澤西州與長島的客戶。</t>
  </si>
  <si>
    <t>Cooper Cos Inc/The</t>
  </si>
  <si>
    <t>眼科用產品</t>
  </si>
  <si>
    <t>The Cooper Companies公司透過旗下子公司，開發、製造、及行銷特殊保健產品。該公司的產品包括：視力保健市場的隱形眼鏡、及婦產科使用的診斷產品、手術器材、及配件等。</t>
  </si>
  <si>
    <t>愛迪生國際</t>
  </si>
  <si>
    <t>愛迪生國際(Edison International)透過其子公司在全球各地開發、收購、擁有並經營電力發電設施。該公司亦提供資金及金融服務予能源及基礎建設計劃，並管理及銷售不動產。愛迪生國際提供整合配套能源服 務、公用事業外包及消費性產品。</t>
  </si>
  <si>
    <t>斯倫貝謝公眾有限公司</t>
  </si>
  <si>
    <t>斯倫貝謝國家有限公司(Schlumberger N.V.)為一家油田服務公司。該公司提供大規模新能源系統、大規模提供數位化、石油與天然氣創新，以及脫碳工業產品與服務，並提供地熱能源、企業資料績效，以及甲烷消除解決方案。SLB服務全球各地的客戶。</t>
  </si>
  <si>
    <t>嘉信理財公司</t>
  </si>
  <si>
    <t>零售證券經紀</t>
  </si>
  <si>
    <t>嘉信理財公司(The Charles Schwab Corporation)為一家金融服務公司。該公司提供財富與資產管理、證券經紀、銀行、交易與研究、託管，以及金融顧問服務。嘉信理財服務全球客戶。</t>
  </si>
  <si>
    <t>薛文威廉公司</t>
  </si>
  <si>
    <t>薛文威廉公司(Sherwin-Williams Company)製造、經銷，並銷售油漆、塗料，以及相關產品。該公司的產品銷售予北美洲及南美洲的專業、工業、商業，以及零售客戶。薛文威廉在加勒比海地區、歐洲，以及亞洲亦有其它經營的業務。</t>
  </si>
  <si>
    <t>West Pharmaceutical Services</t>
  </si>
  <si>
    <t>West Pharmaceutical Services, Inc.為新型藥物療法與醫療保健產品提供附加價值，助其打入全球市場。該公司具備包裝組件設計/製造與藥物傳遞系統研發之相關技術，並提供合約實驗室等各種服務。</t>
  </si>
  <si>
    <t>J M Smucker Co/The</t>
  </si>
  <si>
    <t>The J. M. Smucker Company於全球生產及行銷食品。該公司的主要產品包括花生醬、酥油及油脂、果醬、罐裝牛奶、烘培包及霜狀白糖、現成品麵粉及烘培材料、果汁及飲料、冷凍三明治、甜點佐料、糖漿、腌黃瓜、調味品以及馬鈴薯配菜。</t>
  </si>
  <si>
    <t>實耐寶公司</t>
  </si>
  <si>
    <t>工業機械</t>
  </si>
  <si>
    <t>手工工具</t>
  </si>
  <si>
    <t>實耐寶公司(Snap-on Incorporated)於全球各地開發、製造，並經銷工具及設備解決方案。該公司產品針對汽車服務業，提供手動與電動工具、診斷與修理場設備、工具箱產品、檢測軟體，以及其它解決方案。實耐寶服務美國的客戶。</t>
  </si>
  <si>
    <t>阿美特克公司</t>
  </si>
  <si>
    <t>量測及控制設備</t>
  </si>
  <si>
    <t>阿美特克公司(AMETEK, Inc.)為一家電子儀器和機電裝置製造公司。該公司製造處理、航太、動力及工業市場用的進階工具，並供應電子接線、特殊金屬、馬達與系統，以及地板保養和及特殊馬達。阿美特克服務全球各地的客戶。</t>
  </si>
  <si>
    <t>優步科技公司</t>
  </si>
  <si>
    <t>共乘服務</t>
  </si>
  <si>
    <t>優步科技公司(Uber Technologies Inc)提供叫車服務。該公司針對道路運輸、導航、共乘，以及支付處理解決方案，開發應用程式。優步科技服務全球各地的客戶。</t>
  </si>
  <si>
    <t>南方公司</t>
  </si>
  <si>
    <t>南方公司（The Southern Company）為公共事業的控股公司。該公司透過旗下子公司，開發、建造、收購、擁有，並管理發電資產，包括可再生能源專案，於批發市場銷售電力，以及經銷天然氣產品。南方公司服務美國的客戶。</t>
  </si>
  <si>
    <t>Truist金融公司</t>
  </si>
  <si>
    <t>Truist金融公司(Truist Financial Corporation)提供金融服務。該公司提供廣泛的服務，包括：零售、小型企業及商業銀行、資產管理、資本市場、商業不動產、公司與機構銀行、保險、抵押、付款，以及專用貸款及財富管理解決方案。</t>
  </si>
  <si>
    <t>西南航空</t>
  </si>
  <si>
    <t>航空</t>
  </si>
  <si>
    <t>主要航線-廉價</t>
  </si>
  <si>
    <t>西南航空(Southwest Airlines Co.)為一國內航空公司，主要提供短程、高頻率、點對點的航班服務。該公司在美國各地提供航班服務。</t>
  </si>
  <si>
    <t>W.R.柏克利公司</t>
  </si>
  <si>
    <t>W.R.柏克利公司為(W. R. Berkley Corporation)為保險代理商。該公司提供產物意外保險及再保險產品。W.R.柏克利服務全球客戶。</t>
  </si>
  <si>
    <t>史丹利百得公司</t>
  </si>
  <si>
    <t>工具</t>
  </si>
  <si>
    <t>史丹利百得公司(Stanley Black &amp; Decker, Inc.)為多元化的全球供應商，產品包括：手動工具、電動工具及相關配件、機械門禁及電子保全解決方案、醫療保健解決方案、工程緊固系統等。該公司提供陸上和海上管道建設和檢測服務。</t>
  </si>
  <si>
    <t>公共存儲公司</t>
  </si>
  <si>
    <t>公共存儲公司(Public Storage)為一家不動產投資信託。該公司收購、開發、擁有，並管理管理自助倉儲設施，出租自助倉儲空間供個人和商業用途。公共存儲服務全球客戶。</t>
  </si>
  <si>
    <t>Arista網路公司</t>
  </si>
  <si>
    <t>Arista網路公司（Arista Networks, Inc.）為一家雲端網路公司。該公司透過針對大型資料中心、人工智慧、園區，與路由環境的先進自動化、分析，以及安全功能，整個資料中心和園區提供產品，包括用於監控與網路檢測的路由和軟體解決方案。Arista網路服務全球客戶。</t>
  </si>
  <si>
    <t>西斯柯公司</t>
  </si>
  <si>
    <t>食品批發商</t>
  </si>
  <si>
    <t>西斯柯公司(Sysco Corporation)主要配銷食品及相關產品予食品服務業。該公司亦經銷旅客個人保養用品、客房日常用品、房間飾品，及紡織品等予旅館業者。西斯柯服務美國的客戶。</t>
  </si>
  <si>
    <t>科迪華公司</t>
  </si>
  <si>
    <t>農業化學品</t>
  </si>
  <si>
    <t>種子及農業生物科技</t>
  </si>
  <si>
    <t>科迪華公司(Corteva, Inc.)提供農業產品。該公司提供種子及作物保護產品，以及軟體解決方案及數位服務。科迪華服務全球各地的客戶。</t>
  </si>
  <si>
    <t>德州儀器公司</t>
  </si>
  <si>
    <t>德州儀器(Texas Instruments Incorporated)為半導體設計及製造公司。該公司研發類比積體電路及內嵌處理。德州儀器服務全球客戶。</t>
  </si>
  <si>
    <t>德事隆公司</t>
  </si>
  <si>
    <t>德事隆公司(Textron Inc.)為多產業公司，經營飛機、國防、工業產品及財務。該公司提供飛機、直升飛機、武器和汽車產品。德事隆的財務部門提供資產基礎放款、航空、配銷、高爾夫及度假村融資，以及結構型資本。</t>
  </si>
  <si>
    <t>賽默飛世爾科技有限公司</t>
  </si>
  <si>
    <t>分析用實驗設備</t>
  </si>
  <si>
    <t>賽默飛世爾科技有限公司(Thermo Fisher Scientific, Inc.)製造科學儀器、耗材與化學品。該公司提供製藥與生物科技公司、醫院、臨床實驗室、大學、研院和政府機構等單位，有關的分析儀器、實驗室設備、軟體、服務、耗材、試劑、化學品及用品。</t>
  </si>
  <si>
    <t>TJX公司</t>
  </si>
  <si>
    <t>廉價服飾</t>
  </si>
  <si>
    <t>TJX公司(The TJX Companies, Inc.)在美國及全球為折扣服飾及居家生活用品的零售商。該公司於美國、加拿大，及歐洲經營折扣零售概念商店及電子商務網站，提供多樣品牌及設計師商品。</t>
  </si>
  <si>
    <t>環球人壽公司</t>
  </si>
  <si>
    <t>環球人壽公司(Globe Life Inc.)為一家保險公司。該公司提供定期、終身，與兒童的人壽保險，以及意外福利、抵押保護，和醫療輔助計劃。環球人壽於德州經營業務。</t>
  </si>
  <si>
    <t>江森自控國際公司</t>
  </si>
  <si>
    <t>通風/冷暖氣建築物產品</t>
  </si>
  <si>
    <t>江森自控國際公司(Johnson Controls International plc (JCI))提供建築產品及技術解決方案。該公司提供空調系統、建築管理、冷暖氣控制、保全，以及火災安全解決方案。JCI服務全球客戶。</t>
  </si>
  <si>
    <t>猶他美容公司</t>
  </si>
  <si>
    <t>其它特殊品零售-非必需品</t>
  </si>
  <si>
    <t>化妝品及美容用品店</t>
  </si>
  <si>
    <t>猶他美容公司(Ulta Beauty, Inc.)經營美容連鎖商店。該公司提供化妝品、香水、護膚與護髮產品，以及美容沙龍服務。猶他美容服務全美各地的客戶。</t>
  </si>
  <si>
    <t>聯合太平洋公司</t>
  </si>
  <si>
    <t>總商品-鐵路</t>
  </si>
  <si>
    <t>聯合太平洋公司(Union Pacific Corporation)是一家鐵路運輸公司。該公司的鐵路拖運各種商品，包括農產品、汽車及化工產品。聯合太平洋提供西岸與墨西哥灣主要港口至東閘道之間的長途拖運，以及加拿大鐵路系統的連結，與墨西哥主要閘道的服務。</t>
  </si>
  <si>
    <t>是德科技公司</t>
  </si>
  <si>
    <t>電機檢測儀器</t>
  </si>
  <si>
    <t>是德科技公司(Keysight Technologies, Inc.)提供利用無線模組及軟體解決方案的電子測量服務。</t>
  </si>
  <si>
    <t>聯合健康集團公司</t>
  </si>
  <si>
    <t>聯合健康集團公司(UnitedHealth Group Incorporated)擁有並管理團體組織健康保險系統。該公司提供雇主規劃及管理員工福利計劃的產品與資源。聯合健康集團服務全球客戶。</t>
  </si>
  <si>
    <t>黑石公司</t>
  </si>
  <si>
    <t>私募股權</t>
  </si>
  <si>
    <t>黑石公司(Blackstone Inc.)為一家投資公司。該公司著重於不動產、對沖基金、私募股權、槓桿貸款、優先債務，以及救助融資。黑石服務全球客戶。</t>
  </si>
  <si>
    <t>Ventas公司</t>
  </si>
  <si>
    <t>Ventas公司(Ventas, Inc.)為一家不動產投資信託公司。該信託在美國及加拿大擁有老人住宅社區、專業護理設施、醫院，以及醫療辦公室建築。</t>
  </si>
  <si>
    <t>徠博科控股公司</t>
  </si>
  <si>
    <t>臨床實驗室</t>
  </si>
  <si>
    <t>徠博科控股公司(Labcorp Holdings Inc)為一家控股公司。該公司透過旗下其子公司，專門提供過敏、遺傳學和基因組學、大腸癌、糖尿病、慢性腎臟病和懷孕的臨床實驗室測試，以及腫瘤學和COVID-19的臨床試驗。徠博科控股服務全球各地的病患、生物製藥、健康系統，以及組織。</t>
  </si>
  <si>
    <t>瓦爾坎材料公司</t>
  </si>
  <si>
    <t>水泥及骨材</t>
  </si>
  <si>
    <t>骨材</t>
  </si>
  <si>
    <t>瓦爾坎材料公司(Vulcan Materials Company)生產建築骨料。該公司的主要產品線包括：骨料、瀝青混合、混凝土及水泥。瓦爾坎材料服務美國的客戶。</t>
  </si>
  <si>
    <t>惠好公司</t>
  </si>
  <si>
    <t>木材REIT</t>
  </si>
  <si>
    <t>惠好公司(Weyerhaeuser Company)為全球性的整合性森林產品公司，其辦公室及經營據 點遍及全球。該公司主要活動為培育與收成樹木、開發與建造不動產、以及生產多種林木產品。惠好也歸類為不動產投資信託公司。</t>
  </si>
  <si>
    <t>威廉斯公司</t>
  </si>
  <si>
    <t>威廉斯公司(The Williams Companies, Inc.)為能源基礎建設公司，致力於連結北美的碳氫化合物資源至天然氣、天然氣凝結油(NGL)及烯烴等成長市場。該公司擁有並經營中游採集與加工處理資產，及跨州天然氣管線。</t>
  </si>
  <si>
    <t>星座能源公司</t>
  </si>
  <si>
    <t>發電業</t>
  </si>
  <si>
    <t>核能發電</t>
  </si>
  <si>
    <t>星座能源公司(Constellation Energy Corporation)生產無碳能源，以及永續解決方案。該公司生產並配送核能、水力、風能，以及太陽能解決方案。星座能源服務美國的房屋、機構客戶、公共部門、社區集合，以及企業。</t>
  </si>
  <si>
    <t>WEC能源集團公司</t>
  </si>
  <si>
    <t>WEC能源集團公司(WEC Energy Group, Inc.)為電力與天然氣傳輸公司。該公司管理電力與天然氣配銷及傳輸線，以及電力廠。WEC能源集團服務威斯康辛州、伊利諾州、密西根州及明尼蘇達州的客戶。</t>
  </si>
  <si>
    <t>奧多比系統公司</t>
  </si>
  <si>
    <t>內容管理軟體(CMS)</t>
  </si>
  <si>
    <t>奧多比系統公司(Adobe Inc.)開發、銷售，並支援電腦軟體產品與技術。該公司的產品允許用戶透過所有列印及電子媒體，來表達及使用資訊。奧多比針對創造、發布、與管理資訊，提供一系列應用軟體產品、字體產品，以及內容。奧多比系統服務全球客戶。</t>
  </si>
  <si>
    <t>維斯達能源公司</t>
  </si>
  <si>
    <t>化石發電-解除管制</t>
  </si>
  <si>
    <t>維斯達公司(Vistra Corp.)提供公用事業服務。該公司生產電力。維斯達公司服務全球客戶。</t>
  </si>
  <si>
    <t>愛伊斯公司</t>
  </si>
  <si>
    <t>愛伊斯公司(The AES Corporation)為一家電力配送公司。該公司收購、開發、擁有並經營可再生能源發電廠。愛伊斯服務全球客戶。TEST</t>
  </si>
  <si>
    <t>Expeditors International of</t>
  </si>
  <si>
    <t>物流服務</t>
  </si>
  <si>
    <t>貨運轉運服務</t>
  </si>
  <si>
    <t>Expeditors華盛頓國際公司(Expeditors International of Washington, Inc.)為一全球性物流公司。該公司提供空運和海運轉運、供應商整合、報關、海運保險、配送、及其他國際物流服務。</t>
  </si>
  <si>
    <t>安進公司</t>
  </si>
  <si>
    <t>生物科技</t>
  </si>
  <si>
    <t>安進公司(Amgen Inc.)為一家探索、開發、製造，並銷售重症藥物的獨立生技醫藥公司。該公司著重於人類治療，並專注於細胞和分子生物為基礎的新藥創新。</t>
  </si>
  <si>
    <t>蘋果公司</t>
  </si>
  <si>
    <t>行動手機</t>
  </si>
  <si>
    <t>蘋果公司(Apple Inc.)設計、製造，並銷售智慧手機、個人電腦、平板電腦、穿戴式裝置與配件，並銷售各種相關配件。該公司亦提供支付、數位內容、雲端，以及廣告服務。蘋果公司的客戶主要為全球各地的消費者、中小型公司、教育、企業，以及政府市場。</t>
  </si>
  <si>
    <t>歐特克</t>
  </si>
  <si>
    <t>工程軟體</t>
  </si>
  <si>
    <t>歐特克供應個人電腦軟體及多媒體工具。該公司的平面及立體產品均被各行業廣泛地應用於居家建築設計、機械設計、地理資訊系統及地圖與顯像應用工具上。歐特克軟體產品透過批發商及經銷商銷售到全球各地。</t>
  </si>
  <si>
    <t>信達思公司</t>
  </si>
  <si>
    <t>其它商業服務</t>
  </si>
  <si>
    <t>制服出租</t>
  </si>
  <si>
    <t>信達思公司(Cintas Corporation)設計、製造並執行公司形象統一計畫。該公司提供制服與工作服，以及入口墊、洗手間用品、促銷產品、文件管理、消防，以及急救與安全服務。</t>
  </si>
  <si>
    <t>康卡斯特公司</t>
  </si>
  <si>
    <t>康卡斯特公司(Comcast Corporation)提供媒體及電視傳播服務。該公司提供影音串流、電視節目、高速網路、有線電視，及通訊服務。康卡斯特的服務對象遍及全球各地。</t>
  </si>
  <si>
    <t>摩紳庫爾斯飲料公司</t>
  </si>
  <si>
    <t>釀酒商</t>
  </si>
  <si>
    <t>摩紳庫爾斯飲料公司(Molson Coors Beverage Company)為一家飲料公司。該公司釀造並生產啤酒。摩紳庫爾斯服務全球客戶。</t>
  </si>
  <si>
    <t>科磊公司</t>
  </si>
  <si>
    <t>半導體製造</t>
  </si>
  <si>
    <t>前端資本設備</t>
  </si>
  <si>
    <t>科磊公司(KLA Corporation)生產並經銷半導體。該公司提供表面輪廓儀、奈米機械測試儀、晶片及半導體組裝解決方案。科磊於美國行銷其產品。</t>
  </si>
  <si>
    <t>萬豪國際集團(馬里蘭)</t>
  </si>
  <si>
    <t>房租收入-飯店</t>
  </si>
  <si>
    <t>萬豪國際集團(馬里蘭)(Marriott International, Inc. of Maryland)為一家飯店。該公司提供住宿、住宿、餐飲、水療、婚禮、會議、活動，以及娛樂設施。萬豪國際服務全球客戶。</t>
  </si>
  <si>
    <t>Fiserv公司</t>
  </si>
  <si>
    <t>Fiserv公司（Fiserv, Inc.）提供金融科技解決方案。該公司提供平台，使企業接受支付、追蹤績效表現，並推動銷售。Fiserv服務全球各地的企業與公共部門、商人、銀行、信用合作社，以及其他金融機構。</t>
  </si>
  <si>
    <t>麥科明克公司(馬里蘭州)</t>
  </si>
  <si>
    <t>香料與香精</t>
  </si>
  <si>
    <t>麥科明克公司(馬里蘭州)(McCormick &amp; Company, Incorporated of Maryland)為食品業製造、銷售，並經銷香料產品，包括：香料、草本香料、萃取物、調味料與醬料，以及其他專用食物產品。該公司銷售其產品予零售商店、食品製造商，以及食品服務業。</t>
  </si>
  <si>
    <t>帕卡公司</t>
  </si>
  <si>
    <t>帕卡公司(PACCAR Inc)設計、開發、製造及經銷輕型、中型及重型卡車，並且經銷相關售後市場零件。該公司亦提供金融服務與租賃服務予其客戶及經銷商。</t>
  </si>
  <si>
    <t>好市多公司</t>
  </si>
  <si>
    <t>倉儲式俱樂部</t>
  </si>
  <si>
    <t>好市多公司(Costco Wholesale Corporation)為一家會員制倉儲俱樂部。該公司銷售多種食品、汽車用品、玩具、五金、體育用品、珠寶、電子產品、服飾、健康及美容保養品，及其它用品。好市多服務全球的客戶。</t>
  </si>
  <si>
    <t>史賽克</t>
  </si>
  <si>
    <t>史賽克公司(Stryker Corporation)開發、製造及行銷專門用於手術與醫療的產品。該公司的產品包括植入物、生物製品、手術、神經、耳鼻喉產品與及介入性疼痛設備、內視鏡、手術導航、通訊及數位影像系統，以及病人處理與緊急醫療設備。</t>
  </si>
  <si>
    <t>泰森食品</t>
  </si>
  <si>
    <t>肉類產品</t>
  </si>
  <si>
    <t>泰森食品公司(Tyson Foods, Inc.)生產、經銷並銷售雞肉、牛肉、豬肉、調理食品及相關產品。該公司產品的行銷及銷售對象，為全國及地方的雜貨零售商、區域雜貨批發商、肉品經銷商、大賣場、軍營超市，以及工業食品加工公司。</t>
  </si>
  <si>
    <t>藍威斯頓控股公司</t>
  </si>
  <si>
    <t>冷凍食品</t>
  </si>
  <si>
    <t>藍威斯頓控股公司(Lamb Weston Holdings, Inc.)為一家控股公司。該公司透過旗下子公司生產及供應冷凍馬鈴薯產品。藍威斯頓提供薯條、烤馬鈴薯、薯球、薯片，以及馬鈴薯調理產品。</t>
  </si>
  <si>
    <t>應用材料</t>
  </si>
  <si>
    <t>應用材料公司(Applied Materials, Inc.)開發、製造、行銷，及服務全球半導體產業，所需的半導體晶圓製程設備及相關備用零件。該公司客戶包括半導體晶圓與積體電路製造商、平面液晶顯示器、太陽能電池與模組，及其他電子設備製造商。</t>
  </si>
  <si>
    <t>嘉德諾健康集團</t>
  </si>
  <si>
    <t>製藥/專門品經銷</t>
  </si>
  <si>
    <t>嘉德諾健康集團(Cardinal Health, Inc.)提供輔助產品及服務予醫療業者及製造商。該公司 服務包括藥品經銷、醫療產品製造、經銷及諮詢服務、給藥系統開發、藥品包裝、自動處方箋系統製造，及零售特約藥局加盟。</t>
  </si>
  <si>
    <t>辛辛那提金融公司</t>
  </si>
  <si>
    <t>辛辛那提金融公司(Cincinnati Financial Corporation)透過子公司，提供產險、意外險及壽險。該公司行銷各式保險產品，並提供租賃及融資服務。</t>
  </si>
  <si>
    <t>派拉蒙全球</t>
  </si>
  <si>
    <t>其它收入-有線網路</t>
  </si>
  <si>
    <t>派拉蒙全球(Paramount Global)為一家媒體公司。該公司透過工作室、網路、串流服務、現場活動，以及商品，生產並配送娛樂內容。派拉蒙全球服務全球客戶。</t>
  </si>
  <si>
    <t>D.R. Horton公司</t>
  </si>
  <si>
    <t>D.R. Horton公司(D.R. Horton, Inc.)主要建造並銷售單戶住宅予入門及高級市場。該公司的經營據點位於美國中西部、大西洋中部、東南部、西南部及西部。D.R. Horton亦透過其金融服務業務，提供抵押貸款融資及仲介服務予購屋者。</t>
  </si>
  <si>
    <t>美商藝電公司</t>
  </si>
  <si>
    <t>電玩遊戲軟體</t>
  </si>
  <si>
    <t>套裝遊戲</t>
  </si>
  <si>
    <t>美商藝電公司(Electronic Arts Inc.)於全球開發、出品並配銷品牌互動式娛樂軟體，用於電玩主機、個人電腦、掌機及手機。該公司亦提供線上遊戲相關服務。</t>
  </si>
  <si>
    <t>伊利賠償公司</t>
  </si>
  <si>
    <t>伊利賠償公司(Erie Indemnity Company)為「伊利保險交換」(Erie Insurance Exchange)的管理公司。該公司亦透過旗下完全控股子公司，以及透過其「旗艦城市保險公司」(Flagship City Insurance Company)的管理，從事產物和意外保險業務。伊利賠償公司於美國銷售汽車、住宅、人壽，以及商業保險。</t>
  </si>
  <si>
    <t>Fair Isaac公司</t>
  </si>
  <si>
    <t>Fair Isaac公司(Fair Isaac Corporation)提供分析軟體、解決方案，以及服務。該公司提供用於管理風險、打擊詐欺、建立更有經濟效益的客戶關係、優化營運，以及符合嚴格政府法規的工具。Fair Isaac服務全球銀行、收款機構、能源、政府、保險、醫療保健，以及運輸產業。</t>
  </si>
  <si>
    <t>快扣有限公司</t>
  </si>
  <si>
    <t>快扣有限公司(Fastenal Company)銷售工業及建築材料產品。該公司提供緊固件、切割工具、金屬加工、升降、五金、管道、潤滑劑，以及其它相關產品。快扣有限公司服務全球焊接到長度的帶鋸條、訂製吊索製造、檢查、訂製包裝、校準、工具維修，以及訂製徽標計劃。</t>
  </si>
  <si>
    <t>M&amp;T銀行公司</t>
  </si>
  <si>
    <t>M&amp;T銀行公司(M&amp;T Bank Corporation)為銀行控股公司。該公司透過旗下銀行子公司，為其客戶提供各種商業銀行、抵押融資、信託、財富管理，以及投資服務。M&amp;T銀行於美國經營分支機構。</t>
  </si>
  <si>
    <t>Xcel 能源</t>
  </si>
  <si>
    <t>Xcel能源公司(Xcel Energy, Inc.)提供電力及天然氣服務。 該公司於全美各地提供多樣化能源相關服務，包括發電、傳輸及配送電力及天然氣。 Xcel能源為科羅拉多州、密西根州、明尼蘇達州、新墨西哥州、北達科達州、南達科達州、德州及威斯康辛州部分地區的客戶，提供服務。</t>
  </si>
  <si>
    <t>五三銀行</t>
  </si>
  <si>
    <t>五三銀行公司(Fifth Third Bancorp)為多元化的金融服務公司，於美國中西部及東南部經營銀行中心。該公司主要業務包括零售銀行、商業銀行、投資諮詢及資料處理。</t>
  </si>
  <si>
    <t>吉利德科學公司</t>
  </si>
  <si>
    <t>吉利德科學公司(Gilead Sciences, Inc.)為以研究為主的生物製藥公司，致力於加強照護重症疾病患者療法的探索、開發並商業化。該公司主要的專精領域包括人類免疫不全病毒(HIV)、愛滋病、肝臟疾病，及心血管與呼吸系統重症。</t>
  </si>
  <si>
    <t>孩之寶公司</t>
  </si>
  <si>
    <t>玩具及遊戲</t>
  </si>
  <si>
    <t>孩之寶公司(Hasbro, Inc.)設計、製造，並銷售玩具、遊戲、互動式軟體、拼圖，以及嬰兒產品。該公司的產品包含各式遊戲，包括：傳統紙板、紙牌、手持電子、集換式卡片、角色扮演，和DVD遊戲、以及電子學習輔助與拼圖。孩之寶服務美國的客戶。</t>
  </si>
  <si>
    <t>杭庭頓銀行公司(俄亥俄州)</t>
  </si>
  <si>
    <t>杭庭頓銀行公司(俄亥俄州)(Huntington Bancshares Incorporated of Ohio)為一家跨州的銀行控股公司。該公司透過旗下子公司，提供商業和消費性銀行、抵押銀行、汽車融資、設備租賃、投資管理、信託、經紀、客製化保險計劃，以及其它金融產品與服務。</t>
  </si>
  <si>
    <t>威爾塔公司</t>
  </si>
  <si>
    <t>威爾塔公司（Welltower Inc.）為一家不動產投資信託。該公司投資於老年住房、急性後期社區及門診醫療房地產，以擴大護理服務模式，並改善人們的健康及整體醫療保健。威爾塔於美國、加拿大及英國經營業務。</t>
  </si>
  <si>
    <t>百健公司</t>
  </si>
  <si>
    <t>百健公司(Biogen Inc.)開發、製造、並商業推廣用於精神、腫瘤及免疫系統疾病的治療。該公司產品針對的疾病包括多發性硬化症、非何杰金氏淋巴瘤、類風濕性關節炎、克隆氏症，及乾癬症。</t>
  </si>
  <si>
    <t>北方信託公司</t>
  </si>
  <si>
    <t>北方信託公司(Northern Trust Corporation)為金融控股公司，提供投資管理、資產及基金管理、信託及銀行解決方案，予公司、機構和富豪。北方信託的銀行業務為其主要業務。</t>
  </si>
  <si>
    <t>美國包裝公司</t>
  </si>
  <si>
    <t>美國包裝公司(Packaging Corporation of America)生產專門用於保護運送中產品的容器用紙及瓦楞紙等包裝產品。 該公司亦生產多重顏色箱子及陳列品，及盛裝肉類和塗蠟箱子供農業使用。</t>
  </si>
  <si>
    <t>Paychex公司</t>
  </si>
  <si>
    <t>Paychex公司(Paychex, Inc.)為美國中小型企業提供綜合薪資、整合性人力資源、及員工福利外包解決方案等服務。該公司的服務範圍包括：計算薪資與申報稅款，以及管理退休計畫與員工報酬。</t>
  </si>
  <si>
    <t>高通公司</t>
  </si>
  <si>
    <t>高通公司(Qualcomm Incorporated)為一家跨國的半導體與電信設備公司。該公司開發並提供以「分碼多重進接」(CDMA)數位科技為基礎的數位無線通訊產品與服務。高通服務全球客戶。</t>
  </si>
  <si>
    <t>羅斯百貨公司</t>
  </si>
  <si>
    <t>羅斯百貨公司(Ross Stores, Inc.)經營兩種品牌的折扣零售服裝，以及家居飾品商店。羅斯百貨以折扣價格提供名牌與設計師服裝、飾品、鞋類，以及家居時裝。羅斯百貨服務美國的客戶。</t>
  </si>
  <si>
    <t>IDEXX實驗室公司</t>
  </si>
  <si>
    <t>體外診斷</t>
  </si>
  <si>
    <t>IDEXX實驗室公司(IDEXX Laboratories, Inc,)提供診斷、偵測及資訊系統予獸醫、食品及水測試行業。該公司亦經營國際級的獸醫實驗室網絡。IDEXX向全球客戶提供產品。</t>
  </si>
  <si>
    <t>星巴克</t>
  </si>
  <si>
    <t>咖啡及零食</t>
  </si>
  <si>
    <t>星巴克公司(Starbucks Corporation)為一家專業咖啡的主要烘培商、銷售商，以及零售商。該公司提供包裝和單杯的咖啡與茶、飲料相關配料，與即飲飲料，並生產且銷售瓶裝咖啡飲料，以及一系列的冰淇淋。星巴克服務全球客戶。</t>
  </si>
  <si>
    <t>科凱國際集團</t>
  </si>
  <si>
    <t>科凱國際集團(KeyCorp)為一家控股公司。該公司透過旗下子公司，為個人、企業和機構客戶提供零售與商業銀行、商業租賃、投資管理、消費金融，以及投資銀行產品和服務。</t>
  </si>
  <si>
    <t>福斯公司</t>
  </si>
  <si>
    <t>福斯公司(Fox Corporation)為一家娛樂公司。該司製作及授權新聞、體育及娛樂內容，並透過有線電視系統、直接廣播衛星營運商、電信公司及線上視頻播放商進行播放。福斯亦管理廣播工作室、劇場、編輯室、錄音棚及其他製作設備。</t>
  </si>
  <si>
    <t>道富銀行</t>
  </si>
  <si>
    <t>道富集團(State Street Corporation)在全球為機構投資者提供服務並管理金融資產。該公司的產品與服務包括：託管、會計、管理、每日定價、外匯服務、現金管理、金融資產管理、證券拆借，以及投資諮詢服務。</t>
  </si>
  <si>
    <t>挪威郵輪控股有限公司</t>
  </si>
  <si>
    <t>挪威郵輪控股有限公司(Norwegian Cruise Line Holdings Ltd)為經營旅客郵輪船隊。該公司提供一系列的郵輪行程及主題郵輪，並透過各種經銷管道銷售其服務，包括零售與旅行社、國際銷售與獎勵銷售，以及消費者直接服務。挪威郵輪控股服務全球各地的客戶。</t>
  </si>
  <si>
    <t>美國合眾銀行</t>
  </si>
  <si>
    <t>零售銀行</t>
  </si>
  <si>
    <t>美國合眾銀行(U.S. Bancorp )為一家多元化金融服務公司，提供存/放款業務、現金管理、外幣兌換、信託及投資理財等服務。該公司亦提供信用卡服務、抵押貸款銀行業務、保險、經紀，及租賃業務等。美國合眾銀行主要據點集中在美國中西部及西部。</t>
  </si>
  <si>
    <t>A.O.史密斯公司</t>
  </si>
  <si>
    <t>A.O.史密斯公司(A.O. Smith Corporation)製造住用及商業用熱水，及水處理設備。該公司在全球各地配銷其產品。</t>
  </si>
  <si>
    <t>數位世代公司</t>
  </si>
  <si>
    <t>安全軟體</t>
  </si>
  <si>
    <t>數位世代公司(Gen Digital Inc.)提供消費性網路安全解決方案。該公司提供解決方案使消 費者能夠保護其設備、網路隱私、身份，以及家庭網路。數位世代服務全球客戶。</t>
  </si>
  <si>
    <t>普徠仕集團公司</t>
  </si>
  <si>
    <t>普徠仕集團公司(T. Rowe Price Group Inc.) 為一家金融服務控股公司。該公司透過旗下子公司，提供投資顧問服務予個人及機構投資者。普萊斯管理多種美國及國際股票、混合資產、債券、及貨幣市場共同基金與其他投資組合。</t>
  </si>
  <si>
    <t>廢棄物管理</t>
  </si>
  <si>
    <t>固態廢棄物收集/處理</t>
  </si>
  <si>
    <t>廢棄物管理公司(Waste Management, Inc.)提供廢棄物管理服務，包括收集、運送、再利用、資源回收與清除服務，及經營垃圾變能源設備。該公司在北美各地提供地方政府、商業、工業及住宅民眾服務。</t>
  </si>
  <si>
    <t>星座品牌公司</t>
  </si>
  <si>
    <t>星座品牌公司(Constellation Brands, Inc.)為一家飲料公司。該公司生產並銷售啤酒、紅酒，以及烈酒。星座品牌服務全球客戶。</t>
  </si>
  <si>
    <t>景順有限公司</t>
  </si>
  <si>
    <t>景順有限公司(Invesco Limited)提供投資管理服務。該公司提供股票、固定收益、分離帳戶、交易所交易、集體，以及平衡型共同基金。景順服務全球客戶。</t>
  </si>
  <si>
    <t>直覺公司</t>
  </si>
  <si>
    <t>直覺電腦軟體公司(Intuit Inc.)針對中小型企業、金融機構、消費者，及會計專業人員，開發並銷售企業和金融管理軟體解決方案。該公司提供商業管理與薪資處理、個人金融，以及稅務準備與歸檔軟體解決方案。直覺電腦軟體公司服務全球客戶。</t>
  </si>
  <si>
    <t>摩根士丹利</t>
  </si>
  <si>
    <t>機構經紀</t>
  </si>
  <si>
    <t>摩根士丹利（Morgan Stanley）為一家銀行控股公司，於全球各地提供多元化金融服務。該公司全球證券業務的服務對象包括個人、機構投資者及投資銀行客戶。摩根士丹利亦從事全球資產管理業務。</t>
  </si>
  <si>
    <t>超捷國際股份有限公司</t>
  </si>
  <si>
    <t>超捷國際股份有限公司（Microchip Technology Incorporated）為一家半導體製造公司。該公司提供用於各種應用的混合訊號微控制器、微處理器、類比、快閃IP積體電路，以及記憶體產品。超捷國際服務美國的工業、汽車、消費者、航太與國防、通訊，以及計算市場。</t>
  </si>
  <si>
    <t>Crowdstrike控股公司</t>
  </si>
  <si>
    <t>CrowdStrike控股公司(CrowdStrike Holdings, Inc.)提供網路安全產品與服務，以杜絕違規行為。該公司提供跨端點、雲端工作負載、身份與資料的雲端傳遞保護，以及領先威脅情報、受控安全服務、IT營運服務、威脅搜捕、零信任保護，以及日誌管理。Crowdstrike服務全球客戶。</t>
  </si>
  <si>
    <t>丘博有限公司</t>
  </si>
  <si>
    <t>產物意外商業保險</t>
  </si>
  <si>
    <t>丘博有限公司(Chubb Limited)經營產險和意外保險的公司。該公司提供商業及個人產險、意外險及個人意外與補充健康保險、再保險及壽險予客戶。</t>
  </si>
  <si>
    <t>Hologic公司</t>
  </si>
  <si>
    <t>Hologic公司(Hologic, Inc.)開發、製造並供應高級診斷產品、醫療影像系統及外科產品。該公司的核心事業單位致力於診斷、乳房健康、婦科外科及骨骼健康。</t>
  </si>
  <si>
    <t>公民金融集團公司</t>
  </si>
  <si>
    <t>公民金融集團公司（Citizens Financial Group, Inc.）提供全方位的商業銀行服務。該銀行提供消費與商業貸款、抵押融資、存款產品、零售與商業銀行、資產管理，以及信託服務。公民金融集團服務美國的個人、小型企業、中間市場公司、公司企業，以及機構。</t>
  </si>
  <si>
    <t>捷普公司</t>
  </si>
  <si>
    <t>EMS/ODM</t>
  </si>
  <si>
    <t>捷普公司(Jabil Inc.)為一家製造服務公司。該公司提供數位原型設計、印刷電子、裝置整合、電路設計，以及音量面板組裝服務。捷普服務全球各地的汽車、消費性醫療保健、資料中心、能源，以及國防與航太產業。</t>
  </si>
  <si>
    <t>奧賴利汽車公司</t>
  </si>
  <si>
    <t>奧賴利汽車公司(O'Reilly Automotive, Inc.)零售及供應汽車售後市場零件、工具、供應、設備，及配件。該公司銷售其產品予自助式客戶、專業技師，以及服務技師。奧賴利汽車經營據點遍及全美。</t>
  </si>
  <si>
    <t>好事達保險公司</t>
  </si>
  <si>
    <t>好事達保險公司(Allstate Corporation)提供房地產責任保險解決方案。該公司透過獨立和專業經紀人，銷售個人載客用汽車和自有住宅保險，並透過代理商，銷售人壽保險、年金，以及團體退休金產品。好事達保險服務美國及加拿大的客戶。</t>
  </si>
  <si>
    <t>公平住屋公司</t>
  </si>
  <si>
    <t>公平住屋公司(Equity Residential)為一家不動產投資信託公司。該信託收購、開發並管理美國的複合式公寓。</t>
  </si>
  <si>
    <t>克里格胡椒博士公司</t>
  </si>
  <si>
    <t>克里格胡椒博士公司(Keurig Dr Pepper Inc.)製造並經銷非酒精性飲料。該公司提供軟性飲料、果汁、茶飲、混合飲料、水，以及其它飲料。克里格胡椒博士服務美國、加拿大及墨西哥的客戶。</t>
  </si>
  <si>
    <t>Host旅館及度假村公司</t>
  </si>
  <si>
    <t>飯店所有權REIT</t>
  </si>
  <si>
    <t>Host旅館及度假村公司(Host Hotels &amp; Resorts Inc.)為不動產信託公司。該信託公司擁有或持有高級豪華全方位服務的飯店主要股權，地點位於華盛頓特區、加拿大多倫多與卡加利、墨西哥市、智利聖地牙哥，以及義大利、西班牙、波蘭、比利時、荷蘭及英國。</t>
  </si>
  <si>
    <t>英賽德公司</t>
  </si>
  <si>
    <t>英賽德公司(Incyte Corporation)為生物製藥公司。該公司研發、開發及商業化專屬的小分子藥物，主要用於腫瘤科。</t>
  </si>
  <si>
    <t>賽門物業集團</t>
  </si>
  <si>
    <t>地區購物中心REIT</t>
  </si>
  <si>
    <t>賽門物業集團公司(Simon Property Group, Inc.)為自行管理的不動產投資信託。該公司擁有、開發並管理零售不動產物業，包括地區購物中心、暢貨中心、社區/生活時尚中心，以及國際物業。賽門物業集團服務印第安那州的客戶。</t>
  </si>
  <si>
    <t>伊士曼化學有限公司</t>
  </si>
  <si>
    <t>伊士曼化學有限公司(Eastman Chemical Company)為國際級化學公司，生產化學品、纖維及塑膠。該公司業務包括塗料、接著劑、特殊聚合體、墨水、纖維、高效能化學品和中間物、高效能聚合體以及特殊塑膠。</t>
  </si>
  <si>
    <t>AvalonBay Communities Inc</t>
  </si>
  <si>
    <t>AvalonBay社區公司(AvalonBay Communities, Inc.)為不動產投資信託公司。該公司於美國開發、再開發、收購、擁有並經營集合式住宅社區。</t>
  </si>
  <si>
    <t>保德信金融</t>
  </si>
  <si>
    <t>保德信金融公司(Prudential Financial, Inc.)提供金融服務遍及全美和全球多個國家。該公司提供多種產品及服務，包括人壽保險、共同基金、年金、退休金與退休相關服務，以及管理與資產管理。</t>
  </si>
  <si>
    <t>聯合包裹服務公司</t>
  </si>
  <si>
    <t>聯合包裹服務公司(United Parcel Service, Inc. (UPS))運送包裹與文件。該公司提供全球供應鏈服務與散裝貨運，主要的事業包括整合型空運及陸運取貨與運送網。聯合包裹服務公司服務全球客戶。</t>
  </si>
  <si>
    <t>沃博聯公司</t>
  </si>
  <si>
    <t>美妝藥局</t>
  </si>
  <si>
    <t>沃博聯公司(Walgreens Boots Alliance, Inc.)經營零售藥店。該公司提供各種處方藥與非處方藥，以及初級與急症護理、健康、配藥，和疾病管理服務，及健康與健身。沃博聯服務美國的客戶。</t>
  </si>
  <si>
    <t>STERIS公開有限公司</t>
  </si>
  <si>
    <t>STERIS公開有限公司(STERIS Public Limited Company)為提供感染預防及其它程序性產品和服務的公司。該公司提供消毒器及洗滌器、手術台、照明及設備管理系統，以及內視鏡配件。STERIS服務醫療、醫藥，以及醫療設備產業。</t>
  </si>
  <si>
    <t>麥卡遜</t>
  </si>
  <si>
    <t>麥卡遜公司(McKesson Corporation)在北美各地配銷藥品、醫療手術用品、及保健和美容保養產品。該公司亦開發、安裝、及支援輔助整合健保機構資料的軟體。此外，麥卡遜提供分析、照護管理與病人的解決方案。</t>
  </si>
  <si>
    <t>洛克希德馬丁</t>
  </si>
  <si>
    <t>洛克希德馬丁公司(Lockheed Martin Corporation)為全球性保全公司，其主要從事研發、設計、開發、製造及整合先進科技產品及服務。該公司的業務範圍跨足太空、電信、電子、資訊及服務、航空、能源，及系統整合等領域。洛克希德馬丁經營範圍遍及全球各地。</t>
  </si>
  <si>
    <t>森科拉公司</t>
  </si>
  <si>
    <t>藥物經銷</t>
  </si>
  <si>
    <t>森科拉公司(Cencora, Inc.)為一家製藥公司。該公司為醫療保健提供商提供端到端藥品商業化解決方案、非處方醫療保健產品、家庭醫療保健用品和設備，以及相關服務。森科拉在全球各地經銷其產品。</t>
  </si>
  <si>
    <t>第一資本金融公司</t>
  </si>
  <si>
    <t>第一資本金融公司(Capital One Financial Corporation)提供商業銀行服務。該銀行承做存款，並提供個人信用卡、投資產品、貸款及網路銀行服務。第一資本服務維吉尼亞州的客戶。</t>
  </si>
  <si>
    <t>金寶公司</t>
  </si>
  <si>
    <t>金寶公司（The Campbell's Company）生產並銷售品牌便利食品。該公司提供湯品、餐食、罐頭食品、烘焙食品、飲料，以及零食。金寶服務全球客戶。</t>
  </si>
  <si>
    <t>沃特斯公司</t>
  </si>
  <si>
    <t>沃特斯公司(Waters Corporation)提供高效液相色譜儀產品及服務。該公司經銷產品遍及全球，並廣泛應用於各工業，例如：製藥業、化工業及環保檢測。沃特斯亦設計、製造、銷售及服務熱分析、測定器與熱量計工具與相關軟體產品。</t>
  </si>
  <si>
    <t>諾信公司</t>
  </si>
  <si>
    <t>通用機械</t>
  </si>
  <si>
    <t>諾信公司(Nordson Corporation)設計、製造及行銷用黏著劑、密封劑，及塗料加工系統，可用於消費性及工業產品的製造過程。該公司的產品包括客製化的精密材料應用及熟化材料的電子控制系統，以符合客戶的需求。諾信業務遍及全球。</t>
  </si>
  <si>
    <t>錢樹商店公司</t>
  </si>
  <si>
    <t>錢樹商店公司(Dollar Tree, Inc.)經營不同類型的折扣連鎖店。該公司銷售各式各樣日用產品，並提供廚房與餐飲用品、玩具、書籍、工藝品、清潔、個人保健、眼鏡、食品容器、禮品，以及其它家用產品。錢樹商店服務美國的客戶。</t>
  </si>
  <si>
    <t>達登餐廳公司</t>
  </si>
  <si>
    <t>休閒家庭式餐廳-直營</t>
  </si>
  <si>
    <t>達登餐廳公司(Darden Restaurants, Inc.)為一家全方位服務餐廳公司。該公司以各種不同品牌名稱擁有並經營各種海鮮及義大利餐廳。達登餐廳服務美國及加拿大的客戶。</t>
  </si>
  <si>
    <t>Evergy公司</t>
  </si>
  <si>
    <t>Evergy公司(Evergy, Inc.)提供發電、輸電，以及配電服務。該公司於美國提供其服務。</t>
  </si>
  <si>
    <t>Match Group Inc</t>
  </si>
  <si>
    <t>交友服務網站</t>
  </si>
  <si>
    <t>配對集團公司(Match Group, Inc.)為一家約會服務供應商。該公司提供應用程式與服務的各種組合，其連結橫跨各年齡、種族、性別、性取向，以及背景的交友平台。配對集團服務全球客戶。</t>
  </si>
  <si>
    <t>NVR Inc</t>
  </si>
  <si>
    <t>NVR公司(NVR, Inc.)建造及銷售房屋，並從事抵押貸款銀行業務。該公司建造單一獨棟住屋、連棟屋及公寓住宅，旗下品牌計有：Ryan Homes、NVHomes、及其他品牌名稱。NVR透過其抵押貸款銀行業務，提供多種抵押貸款相關的服務予其建商客戶。</t>
  </si>
  <si>
    <t>網路應用公司</t>
  </si>
  <si>
    <t>網路儲存及光纖</t>
  </si>
  <si>
    <t>網路應用公司(NetApp, Inc.)提供儲存和資料管理解決方案。該公司的儲存解決方案包括專用硬體、軟體及服務，為公共網路環境提供儲存管理。網路應用公司為全球企業、政府機構及大學提供服務。</t>
  </si>
  <si>
    <t>Old Dominion Freight Line公</t>
  </si>
  <si>
    <t>卡車運輸</t>
  </si>
  <si>
    <t>零擔貨運運輸</t>
  </si>
  <si>
    <t>Old Dominion Freight Line公司(Old Dominion Freight Line, Inc.)為一家區域內和跨區域的運輸公司。該公司主要從事一般商品的零擔貨運，如消費品、紡織品和資本財的運輸。Old Dominion Freight Line服務全美各地的區域市場。</t>
  </si>
  <si>
    <t>德維特公司</t>
  </si>
  <si>
    <t>腎透析中心</t>
  </si>
  <si>
    <t>德維特公司(DaVita Inc.)提供多種醫療保健服務，遍及全美及海外地區。該公司管理腎臟保健及洗腎服務。此外，德維特保健亦管理及經營醫療團隊，一般醫療科醫師、急診救護中心及門診手術中心網絡。</t>
  </si>
  <si>
    <t>哈特福德保險集團公司</t>
  </si>
  <si>
    <t>哈特福德保險集團公司（The Hartford Insurance Group, Inc.）提供一系列保險產品，包括財產與意外傷害保險、團體福利及共同基金，於美國經營業務。</t>
  </si>
  <si>
    <t>鐵山公司</t>
  </si>
  <si>
    <t>特殊及其它REIT</t>
  </si>
  <si>
    <t>鐵山公司(Iron Mountain Incorporated)為資料儲存及資訊管理公司。該公司提供紀錄管理、資料管理解決方案，以及資訊銷毀服務。鐵山服務全球各地的銀行、能源、娛樂、醫療保健、保險、律師公司、生命科學、零售，以及製藥產業。</t>
  </si>
  <si>
    <t>雅詩蘭黛</t>
  </si>
  <si>
    <t>化妝品</t>
  </si>
  <si>
    <t>雅詩蘭黛公司(The Estee Lauder Companies Inc.)製造及行銷保養品、彩妝、香水及護髮等各類產品。該公司的產品行銷世界各地。</t>
  </si>
  <si>
    <t>Cadence設計系統公司</t>
  </si>
  <si>
    <t>Cadence設計系統公司(Cadence Design Systems, Inc.)提供軟體科技、設計與顧問服務和技術 。該公司從事電子設計自動化軟體科技的授權許可，並提供多種專業服務。Cadence的設計實踐解決方案主要用於設計和開發複雜晶片、及電子化系統，包括半導體等。</t>
  </si>
  <si>
    <t>Tyler Technologies Inc</t>
  </si>
  <si>
    <t>Tyler Technologies, Inc.為地方政府提供端對端資訊管理解決方案與服務。該公司的客戶為美國、加拿大、波多黎各及英國等地的政府機關。</t>
  </si>
  <si>
    <t>環球健康服務公司</t>
  </si>
  <si>
    <t>環球健康服務公司(Universal Health Services, Inc.)為一家醫療保健管理公司。該公司提供急症照護醫院、行為健康中心及手術中心。環球健康提供的服務遍及美國、英國及波多黎各，服務包括：一般手術、內科、放射科及兒科。</t>
  </si>
  <si>
    <t>CCC</t>
  </si>
  <si>
    <t>思佳訊半導體有限公司</t>
  </si>
  <si>
    <t>思佳訊半導體有限公司(Skyworks Solutions, Inc.)為無線半導體公司，設計並製造行動通訊用的無線射頻及完整半導體系統解決方案。該公司提供前端模組、無線射頻子系統以及系統解決方案，予全球的無線手機及基礎設施客戶。</t>
  </si>
  <si>
    <t>奎斯特診斷公司</t>
  </si>
  <si>
    <t>奎斯特診斷公司(Quest Diagnostics Incorporated)提供診斷測試、資訊及服務。該公司經營全方位實驗室全國性網絡、緊急應變實驗室及病人服務中心。奎斯特診斷提供隱密的檢驗、一般醫療檢驗、濫用藥物檢查及非醫院體系的解剖病理學檢驗。</t>
  </si>
  <si>
    <t>洛克威爾自動化公司</t>
  </si>
  <si>
    <t>工業自動控制</t>
  </si>
  <si>
    <t>洛克威爾自動化(Rockwell Automation, Inc.)生產工業自動化產品。 該公司提供的產品如：控制系統、汽車控制裝置、感應器及工業控制看板。洛克威爾在全球各地行銷其產品。</t>
  </si>
  <si>
    <t>卡夫亨氏公司</t>
  </si>
  <si>
    <t>卡夫亨氏公司(The Kraft Heinz Company)生產食品。該公司經銷乳製品、醬料、調味奶粉及其他產品。卡夫亨氏服務全球客戶。</t>
  </si>
  <si>
    <t>美國電塔</t>
  </si>
  <si>
    <t>基礎設施REIT</t>
  </si>
  <si>
    <t>美國電塔公司(American Tower Corporation)為不動產投資信託公司，在美國擁有、經營並開發無線通訊及廣播塔。該公司出租多重租戶電塔天線據點予各種無線通訊產業，包括個人通訊服務、傳呼、及行動電話。</t>
  </si>
  <si>
    <t>Regeneron Pharmaceuticals In</t>
  </si>
  <si>
    <t>Regeneron Pharmaceuticals, Inc.為生物製藥公司，專門研究開發治療重大疾病的藥品，並加以商業化。該公司有多種進入臨床試驗的實驗性藥物，可望用於治療癌症、眼疾及炎症，並進行其他疾病和失調症狀的臨床前研究。</t>
  </si>
  <si>
    <t>亞馬遜公司</t>
  </si>
  <si>
    <t>網路市場</t>
  </si>
  <si>
    <t>亞馬遜公司(Amazon.com, Inc.)為一家提供多元化產品的線上零售商。該公司的產品包括：書籍、音樂、電腦、電子產品，以及許多其它產品。亞馬遜提供個人化購物服務、網上信用卡付款，以及送貨到府服務。亞馬遜亦經營雲端平台，於全球各地提供服務。</t>
  </si>
  <si>
    <t>Jack Henry &amp; Associates公司</t>
  </si>
  <si>
    <t>Jack Henry &amp; Associates公司(Jack Henry &amp; Associates, Inc.)從事整合式電腦系統之開也會就其系統建置執行資料轉換、軟體安裝及客製化，並為客戶提供持續的維護服務。</t>
  </si>
  <si>
    <t>雷夫羅倫公司</t>
  </si>
  <si>
    <t>服飾設計</t>
  </si>
  <si>
    <t>雷夫羅倫公司(Ralph Lauren Corporation)設計衣服與配件。該公司銷售並經銷男性、女士，和兒童的服飾、配件、香水，以及家飾。雷夫羅倫服務美國的客戶。</t>
  </si>
  <si>
    <t>波士頓地產公司</t>
  </si>
  <si>
    <t>辦公室不動產投資信託</t>
  </si>
  <si>
    <t>波士頓地產公司(BXP, Inc.)為房地產投資信託。該公司擁有、開發，並管理工作場所和辦公室房地產。波士頓地產服務美國的客戶。</t>
  </si>
  <si>
    <t>安費諾</t>
  </si>
  <si>
    <t>電子連接器</t>
  </si>
  <si>
    <t>安費諾公司(Amphenol Corporation)設計、製造及行銷電子、電動、與光纖連接器、互聯系統，以及同軸與排線電纜。該公司的產品應用的多種產業包括：電話、無線、和資料傳輸系統、有線電視系統，以及商用與軍用航太電子產品。</t>
  </si>
  <si>
    <t>Howmet航太公司</t>
  </si>
  <si>
    <t>飛機零件</t>
  </si>
  <si>
    <t>Howmet航太公司(Howmet Aerospace Inc.)提供工程金屬產品。該公司提供引擎、緊固件及結構，以及鍛造車輪。Howmet航太服務航太及商業運輸產業。</t>
  </si>
  <si>
    <t>瓦勒羅能源</t>
  </si>
  <si>
    <t>石油煉製</t>
  </si>
  <si>
    <t>瓦勒羅能源公司(Valero Energy Corporation)是一家獨立的石油精煉及行銷公司，在美國、加拿大和阿魯巴等地擁有及經營煉油廠。該公司生產傳統汽油、蒸餾油、航空燃油、柏油、石化產品、潤滑油及其他提煉產品，並提供柴油、低硫與超低硫柴油、及加氧產品。</t>
  </si>
  <si>
    <t>新思科技公司</t>
  </si>
  <si>
    <t>新思科技公司(Synopsys, Inc.)提供電子設計自動化解決方案予全球電子市場。該公司提供設計技術予高等積體電路、電子系統及晶片系統設計商。新思亦提供諮詢服務和支援服務予客戶，以簡化整體設計過程，並加速問市時間。</t>
  </si>
  <si>
    <t>羅賓昇國際聯運股份有限公司</t>
  </si>
  <si>
    <t>經紀</t>
  </si>
  <si>
    <t>羅賓昇國際聯運股份有限公司(C.H. Robinson Worldwide, Inc.)為一家物流公司。該公司提供貨運、供應鏈，以及物流服務。羅賓昇國際聯運服務全球客戶。</t>
  </si>
  <si>
    <t>埃森哲有限公司</t>
  </si>
  <si>
    <t>埃森哲公開有限公司(Accenture PLC)提供管理和技術諮詢服務與解決方案。 該公司提供多方位的專門能力及解決方案予全球各產業客戶。 埃森哲的商業網絡提供諮詢、技術、外包及結盟服務。</t>
  </si>
  <si>
    <t>TransDigm集團公司</t>
  </si>
  <si>
    <t>航太結構及設備</t>
  </si>
  <si>
    <t>TransDigm集團公司(TransDigm Group Incorporated)為一家航太製造公司。該公司為幾乎所有目前在役的飛機設計、生產和供應高度工程化的航太系統、子系統和零部件。TransDigm集團服務全球各地的航太和國防產業。</t>
  </si>
  <si>
    <t>百勝餐飲</t>
  </si>
  <si>
    <t>百勝餐飲集團公司(YUM! Brands, Inc.)擁有並加盟速食服務餐廳。該公司開發、經營、加盟和授權一個全球性的餐廳系統，該系統負責準備、包裝和銷售食品菜單。百勝餐飲集團服務全球客戶。</t>
  </si>
  <si>
    <t>普洛斯</t>
  </si>
  <si>
    <t>工業REIT</t>
  </si>
  <si>
    <t>散裝倉庫REIT</t>
  </si>
  <si>
    <t>普洛斯(ProLogis, Inc.)為一家工業房地產的擁有者、經營商及開發商，重點開發美洲、歐洲及亞洲的全球及地區市場。該公司亦租賃現代物流設施予客戶，包括：製造商、零售商、運輸公司、第三方物流公司，及其他企業。</t>
  </si>
  <si>
    <t>第一能源公司</t>
  </si>
  <si>
    <t>第一能源公司(FirstEnergy Corp.)為公用事業控股公司。 該公司透過旗下子公司，發電、輸電與配電，並提供天然氣的探勘、生產，以及配銷。 第一能源公司提供能源管理及其他能源相關服務。</t>
  </si>
  <si>
    <t>維聖公司</t>
  </si>
  <si>
    <t>維聖公司(VeriSign, Inc.)為一家網域名稱註冊服務及網路基礎設施供應商。該公司提供安全、穩定及彈性的網路基礎設施與服務，並提供根域維護商服務。維聖服務全球客戶。</t>
  </si>
  <si>
    <t>廣達服務公司</t>
  </si>
  <si>
    <t>基礎建設營造</t>
  </si>
  <si>
    <t>電廠營建</t>
  </si>
  <si>
    <t>廣達服務公司(Quanta Services, Inc.)提供專門承包服務予電力事業、電信、有線電視業者，以及政府組織。 該公司也從事運輸控制和照明系統安裝，並提供工業和商業客戶專門電力和通訊服務。 廣達經營遍及北美洲各地的專案。</t>
  </si>
  <si>
    <t>漢瑞祥公司</t>
  </si>
  <si>
    <t>醫療保健經銷</t>
  </si>
  <si>
    <t>漢瑞祥公司(Henry Schein, Inc.)經銷醫療保健產品與服務。該公司提供商店用品，與牙科和醫療解決方案與服務，以改善經營成功率與臨床結果。漢瑞祥著重於世界各地的病患、牙科實驗室、政府及機構診所、醫療保健專業人員，以及護理場所。</t>
  </si>
  <si>
    <t>阿莫林公司</t>
  </si>
  <si>
    <t>阿莫林公司(Ameren Corporation)為公共事業控股公司。該公司透過子公司發電、傳輸電力，並配銷天然氣予密蘇里及伊利諾州客戶。</t>
  </si>
  <si>
    <t>FactSet Research Systems Inc</t>
  </si>
  <si>
    <t>FactSet研究系統公司(FactSet Research Systems Inc.)提供全球經濟和金融資料予分析師、投資銀行家、及其他金融專業人員。該公司整合多種供應商的資料庫，化為資訊與分析的單一線上資料來源，其包括財務基本資料。</t>
  </si>
  <si>
    <t>輝達</t>
  </si>
  <si>
    <t>特殊用途多媒體</t>
  </si>
  <si>
    <t>輝達公司（NVIDIA Corporation）為一家科技公司。該公司開發科學運算、人工智慧、資料科學、自動駕駛汽車、機器人、元資料及3D網際網路應用程式平台，並著重於PC圖形。輝達服務全球的客戶。</t>
  </si>
  <si>
    <t>高知特科技公司</t>
  </si>
  <si>
    <t>高知特科技公司（Cognizant Technology Solutions Corporation）提供客製化資訊科技（IT）諮詢服務。該公司提供人工智慧、業務處理解決方案、雲端服務、核心現代化、網路安全、數位策略、企業平台及基礎設施服務。高知特科技解決方案服務全球客戶。</t>
  </si>
  <si>
    <t>直覺外科公司</t>
  </si>
  <si>
    <t>外科及醫療器材</t>
  </si>
  <si>
    <t>直覺外科公司(Intuitive Surgical Inc.)設計、製造並行銷外科手術系統。該公司提供手術過程中所需要的呼吸道內視鏡、鈍型或尖型內視鏡攝影、波刀、鉗/夾子、持針器、內視鏡撐開器、手術電刀、超音波手術刀與輔助物等。直覺外科經營範圍遍及全球各地。</t>
  </si>
  <si>
    <t>Take-Two互動軟體公司</t>
  </si>
  <si>
    <t>Take-Two互動軟體公司(Take-Two Interactive Software, Inc.)開發、行銷、經銷，並出版互動式娛樂軟體遊戲及配件。該公司產品用於遊戲主機、掌上型遊戲機與個人電腦，並透過實體零售、數位下載、線上，以及雲端串流服務傳送。</t>
  </si>
  <si>
    <t>共和服務公司</t>
  </si>
  <si>
    <t>固態廢棄物收集</t>
  </si>
  <si>
    <t>共和服務公司(Republic Services, Inc.)在美國提供非危險性固態廢棄物蒐集及處理服務。該公司提供固態廢棄物回收服務予商業、工業、地方政府和住宅客戶。共和服務公司亦經營轉運站、掩埋及回收設施。</t>
  </si>
  <si>
    <t>電子灣拍賣網站公司</t>
  </si>
  <si>
    <t>億貝公司（eBay Inc.）為一家電子商務公司。該公司著重於電子產品、汽車、服裝及收藏品的買賣。電子灣拍賣網站服務全球的客戶。</t>
  </si>
  <si>
    <t>高盛集團</t>
  </si>
  <si>
    <t>交易及自營投資</t>
  </si>
  <si>
    <t>高盛集團(Goldman Sachs Group, Inc.)為銀行控股公司，屬於全球投資銀行及證券公司，專門從事投資銀行業務、交易與自營投資、資產管理與證券服務。該公司服務對象包括公司、金融機構、政府及金字塔頂端個人。</t>
  </si>
  <si>
    <t>SBA通訊公司</t>
  </si>
  <si>
    <t>SBS通訊公司(SBAS Communications Corporation)擁有並經營美國無線通訊基礎設施。 該公司提供場地租賃及開發、建設，以及諮詢服務。 SBS通訊將其多租戶大樓內的天線場地，長期租賃予各樣的無線服務供應 商。</t>
  </si>
  <si>
    <t>桑普拉</t>
  </si>
  <si>
    <t>桑普拉(Sempra)為一家能源基礎設施公司。該公司著重於為消費者提供永續能源，以及投資於開發，並經營傳輸與配送基礎設施。桑普拉服務北美的客戶。</t>
  </si>
  <si>
    <t>穆迪</t>
  </si>
  <si>
    <t>穆迪(Moody's Corporation)為一家專營信用評等、研究及風險分析的公司。該公司提供信用評等與相關研究、資料與分析工具、計量信用風險衡量、風險評分軟體，以及信用投資組合管理解決方案、證券定價軟體，與評價模型。</t>
  </si>
  <si>
    <t>安森美半導體</t>
  </si>
  <si>
    <t>特殊應用類比</t>
  </si>
  <si>
    <t>安森美半導體有限公司(ON Semiconductor Corporation)供應類比、標準邏輯和分離式半導體予資料及電源管理。 該公司提供的產品包括積體電路及類比IC。 安森美半導體亦供應多種表面黏著及標準套裝的分離式半導體。</t>
  </si>
  <si>
    <t>繽客控股公司</t>
  </si>
  <si>
    <t>其它-旅遊資訊及預約網站</t>
  </si>
  <si>
    <t>繽客控股公司(Booking Holdings Inc.)為一家線上旅遊公司。該公司提供一個平台，可進行旅遊預訂，以及住宿預訂、租車、機票與度假套裝產品。繽客控股服務全球客戶。</t>
  </si>
  <si>
    <t>F5公司</t>
  </si>
  <si>
    <t>有線數據網路設備</t>
  </si>
  <si>
    <t>F5公司(F5, Inc.)提供整合網路流量管理解決方案。該公司提供軟體解決方案，並管理、控制、最佳化網路流量及內容。F5亦提供服務供應商及電子商務自動傳送網路內容的解決方案。F5服務全球各地的客戶。</t>
  </si>
  <si>
    <t>Akamai科技公司</t>
  </si>
  <si>
    <t>Akamai科技公司(Akamai Technologies, Inc.)提供的服務可加速並改善內容及應用程式透過網路的傳輸，涵蓋即時及隨選串流視訊、傳統網站內容，以及協助交易業務和拓展客源的工具。</t>
  </si>
  <si>
    <t>查爾斯河實驗室國際公司</t>
  </si>
  <si>
    <t>查爾斯河實驗室國際公司(Charles River Laboratories International, Inc.)提供開發新藥所需的研究工具和支援服務。 該公司提供研究開發新藥物、設備和療法所需的動物研究模型。 查爾斯河實驗室國際為全球的製藥與生物技術公司、醫院與學術機構提供服務。</t>
  </si>
  <si>
    <t>MarketAxess控股公司</t>
  </si>
  <si>
    <t>MarketAxess控股公司(MarketAxess Holdings, Inc.)經營電子多經銷商的客戶端平台，對象為美國和歐洲的高階企業和新興市場債券交易。 該公司為機構和經紀交易商的客戶，開發提供價格發現和交易執行服務的技術。</t>
  </si>
  <si>
    <t>戴文能源</t>
  </si>
  <si>
    <t>戴文能源公司(Devon Energy Corporation)為獨立的能源公司，主要從事石油和天然氣的探勘、開發、及生產；石油、天然氣和液化天然氣(NGL)的運輸；以及天然氣的處理。 該公司也有以北美洲為主，涵蓋天然氣、原油和液化天然氣的行銷及中游事業。</t>
  </si>
  <si>
    <t>Bio-Techne Corp</t>
  </si>
  <si>
    <t>Bio-Techne公司開發、製造及銷售生物科技產品及臨床診斷控制。該公司專精於蛋白質、細胞激素、生長因子、免疫測定及小分子。</t>
  </si>
  <si>
    <t>Alphabet公司</t>
  </si>
  <si>
    <t>廣告收入-網路</t>
  </si>
  <si>
    <t>Alphabet公司(Alphabet Inc.)為一家控股公司。該公司透過其子公司，提供網路搜尋、廣告、地圖、軟體應用程式、行動作業系統、消費者內容、企業解決方案、商業及硬體產品。</t>
  </si>
  <si>
    <t>安朗杰有限公司</t>
  </si>
  <si>
    <t>安全系統</t>
  </si>
  <si>
    <t>安朗杰公開有限公司(Allegion PLC)提供安全產品及解決方案。該公司提供機械和電子安全產品、服務和系統，以確保人員和場所安全。安朗杰服務美洲、歐洲、中東、印度、非洲及亞太地區的企業、機構及住宅客戶。</t>
  </si>
  <si>
    <t>網飛公司</t>
  </si>
  <si>
    <t>線上影片及電視串流</t>
  </si>
  <si>
    <t>網飛公司(Netflix, Inc.)為一家訂閱串流服務和製作公司。該公司於網際網路連接裝置上，提供各種電視節目、電影、動漫，以及紀錄片。網飛服務全球客戶。</t>
  </si>
  <si>
    <t>華納兄弟探索公司</t>
  </si>
  <si>
    <t>有線網路</t>
  </si>
  <si>
    <t>華納兄弟探索公司(Warner Bros. Discovery, Inc.)經營媒體及娛樂公司。該公司在電視、電影、串流媒體和遊戲領域提供完整的內容、品牌和特許經營組合。</t>
  </si>
  <si>
    <t>安捷倫科技公司</t>
  </si>
  <si>
    <t>安捷倫科技公司(Agilent Technologies, Inc.)提供核心生物分析及電子測量解決方案，予通訊、電子、生命科學及化學分析產業。該公司提供電子與生物分析測量、半導體及板測試。</t>
  </si>
  <si>
    <t>天寶公司</t>
  </si>
  <si>
    <t>天寶公司(Trimble Inc.)提供進階定位軟體解決方案。該公司結合其GPS的定位專門技術、雷射、光學及慣性技術，與應用軟體、無線通訊及服務等，以提供完整的商業解決方案。天寶於全球各地經營。</t>
  </si>
  <si>
    <t>Elevance健康公司</t>
  </si>
  <si>
    <t>Elevance健康公司(Elevance Health, Inc.)為一家健康保險供應商。該公司提供醫療保健、牙科、眼科、藥品福利、人壽保險及失能保險福利。Elevance健康提供網路型管理護理方案予大型和小型僱主、個人、醫療，以及醫療市場。</t>
  </si>
  <si>
    <t>芝加哥商品期貨交易所集團</t>
  </si>
  <si>
    <t>芝加哥商品期貨交易所集團(CME Group Inc.)為經營衍生性商品的交易所，交易商品包括期貨合約，以及期貨、利率、股票指數、外匯及商品選擇權。 該公司匯集衍生性商品買賣雙方，透過交易廳、電子交易平台及私下磋商來進行交易與結算。</t>
  </si>
  <si>
    <t>DTE能源</t>
  </si>
  <si>
    <t>DTE能源公司(DTE Energy Company)為多元化能源公司，於全美開發及管理能源相關事業及服務。該公司透過其子公司在密西根東南部發電、採購、傳輸、配送及銷售電力能源。DTE亦從事天然氣管線及儲存，非傳統天然氣探勘、開發與生產。</t>
  </si>
  <si>
    <t>那斯達克有限公司</t>
  </si>
  <si>
    <t>那斯達克公司(Nasdaq, Inc.)經營股票交易所。 該公司提供交易、結算、交易科技、監管、證券上市、分析、投資工具與指導、金融，以及資訊服務。 那斯達克的服務範圍遍及全球各地。</t>
  </si>
  <si>
    <t>菲利浦莫里斯國際公司</t>
  </si>
  <si>
    <t>香菸</t>
  </si>
  <si>
    <t>菲利浦莫里斯國際公司(Philip Morris International Inc. (PMI))為一家菸草公司，致力於提供無煙的未來，並長期進化其投資組合，包括：菸草及尼古丁行業以外的產品。該公司提供香菸、電子菸，以及口服無煙產品。菲利普莫里斯國際服務全球客戶。</t>
  </si>
  <si>
    <t>英格索蘭公司</t>
  </si>
  <si>
    <t>流體傳動活閥</t>
  </si>
  <si>
    <t>英格索蘭公司(Ingersoll Rand Inc.)製造流量控制設備。該公司提供真空系統、塑料瓶鼓風機、幫浦，以及空氣壓縮機。英格索蘭服務全球客戶。</t>
  </si>
  <si>
    <t>賽富時公司</t>
  </si>
  <si>
    <t>賽富時公司(Salesforce, Inc.)為一家雲端軟體公司。該公司開發客戶關係管理軟體與應用程式，著重於銷售、客戶服務、行銷自動化、分析，以及應用程式開發。賽富時服務全球客戶。</t>
  </si>
  <si>
    <t>Roper科技公司</t>
  </si>
  <si>
    <t>Roper科技公司(Roper Technologies, Inc.)製造並經銷工業設備。該公司提供工業控制、流體處理、幫浦、醫療及科學裝置、分析儀器產品、無線射頻辨識(RFID)通訊科技，以及軟體解決方案。</t>
  </si>
  <si>
    <t>Huntington Ingalls Industrie</t>
  </si>
  <si>
    <t>軍艦營造</t>
  </si>
  <si>
    <t>Huntington Ingalls Industries, Inc. (HII)為美國海軍及美國海岸警衛隊設計、建造並維護核能/非核能船艦。該公司也為世界各國軍艦提供售後服務。HII包含兩個主要業務單位，分別為Newport News Shipbuilding與Ingalls Shipbuilding。</t>
  </si>
  <si>
    <t>大都會人壽</t>
  </si>
  <si>
    <t>大都會保險公司(MetLife, Inc.)提供個人保險、員工福利及金融服務，其業務遍及美國、拉丁美洲、歐洲，及亞太地區。該公司的產品包括壽險、年金、汽車及房屋保險、零售銀行業務，及其他個人與團體保險的金融服務。</t>
  </si>
  <si>
    <t>掛毯公司</t>
  </si>
  <si>
    <t>手提包及皮包</t>
  </si>
  <si>
    <t>掛毯公司(Tapestry, Inc.)設計及行銷服飾及配件。該公司提供手提袋、皮革製品、鞋類、香水、珠寶、外出服、成衣、圍巾、太陽眼鏡、旅遊配件及手錶。掛毯服務全球客戶。</t>
  </si>
  <si>
    <t>CSX Corp</t>
  </si>
  <si>
    <t>CSX公司(CSX Corporation)為一家國際貨運公司。該公司在全球提供鐵路、複合運輸、國內貨櫃裝運、駁船運輸及合約物流服務。其鐵路運輸服務範圍主要集中於美國東半部。</t>
  </si>
  <si>
    <t>愛德華生命科學</t>
  </si>
  <si>
    <t>介入性心臟學</t>
  </si>
  <si>
    <t>愛德華生命科學公司(Edwards Lifesciences Corporation)設計、開發、製造，並銷售用於治療晚期心血管疾病的產品和服務。該公司提供的產品包括：組織置換心臟瓣膜、心臟瓣膜修復、血液動力學監測裝置、血管內視鏡設備、充氧器，以及藥品。愛德華生命科學於全球各地供應其產品。</t>
  </si>
  <si>
    <t>阿默普萊斯金融公司</t>
  </si>
  <si>
    <t>阿默普萊斯金融公司(Ameriprise Financial, Inc.)為財務規劃及服務公司。 該公司提供財務規劃、產品及服務作為解決方案，滿足客戶的現金及流動性、資產累積、收入、保護及財產移轉的需求。</t>
  </si>
  <si>
    <t>斑馬科技公司</t>
  </si>
  <si>
    <t>商用印表機及掃描機</t>
  </si>
  <si>
    <t>斑馬科技公司(Zebra Technologies Corporation)提供電子產品。該公司提供行動電腦、印表機、條碼掃描器、無線射頻辨識系統、定位系統硬體、軟體、互動式資訊服務站、印刷用品，以及配件。斑馬科技服務全球客戶。</t>
  </si>
  <si>
    <t>捷邁邦美控股公司</t>
  </si>
  <si>
    <t>重建移植</t>
  </si>
  <si>
    <t>捷邁邦美控股公司(Zimmer Biomet Holdings, Inc.)設計、開發、製造，並行銷醫療設備。該公司提供骨科、牙科，和脊椎重建植入物，以及骨水泥與相關手術產品。捷邁邦美控股服務全球病患。</t>
  </si>
  <si>
    <t>卡姆登房地產信託</t>
  </si>
  <si>
    <t>卡姆登房地產信託(Camden Property Trust)為自行管理的不動產投資信託公司。該公司擁有並經營多戶公寓社群。卡姆登房地產信託服務全美各地的客戶。</t>
  </si>
  <si>
    <t>世邦魏理仕集團公司</t>
  </si>
  <si>
    <t>不動產服務</t>
  </si>
  <si>
    <t>商業不動產管理</t>
  </si>
  <si>
    <t>世邦魏理仕集團公司（CBRE Group, Inc.）提供不動產服務。該公司提供房地產管理、估價、不動產投資，以及諮詢服務。世邦魏理仕集團經營辦公室、資料中心、多戶家庭、飯店、博弈，以及零售行業。世邦魏理仕集團服務全球各地的資料中心、生命科學、銀行、媒體，以及醫療保健行業。</t>
  </si>
  <si>
    <t>萬事達卡</t>
  </si>
  <si>
    <t>萬事達卡公司(Mastercard Incorporated)提供金融交易處理服務。該公司提供信用卡和轉帳卡、電子現金、自動提款機，和旅行支票等付款處理服務。萬事達卡服務全球的客戶。</t>
  </si>
  <si>
    <t>車美仕公司</t>
  </si>
  <si>
    <t>汽車經銷商</t>
  </si>
  <si>
    <t>車美仕公司(CarMax, Inc.)零售汽車。該公司提供二手車、箱型車、電動車，以及輕型卡車，並提供租賃、維護、保固期後維修、機械與油漆工程、診斷保險、估價，和安全服務。車美仕服務美國的客戶。</t>
  </si>
  <si>
    <t>數據狗公司</t>
  </si>
  <si>
    <t>數據狗公司(Datadog, Inc.)提供軟體解決方案。該公司提供雲端的監控與分析平台，其整合並自動化基礎設施監測、應用程式性能監測，以及用於客戶的即時觀察紀錄管理。數據狗於全球各地經營業務。</t>
  </si>
  <si>
    <t>洲際交易所</t>
  </si>
  <si>
    <t>洲際交易所集團公司(Intercontinental Exchange, Inc.)經營全球商品及金融產品市場。該公司也經營電子能源市場，及軟性商品交易所。ICE提供進入原油及煉油製品、天然氣、電力及排放量，以及農業商品為主合約的途徑，其中農業商品並包括：可可、咖啡、棉花、凍橘汁及糖。</t>
  </si>
  <si>
    <t>富達全國資訊服務</t>
  </si>
  <si>
    <t>富達全國資訊服務公司(Fidelity National Information Services, Inc.)為一支付服務的提供商。該公司提供金融機構與商業機構信用卡及轉帳卡處理、電子化銀行服務、支票風險管理、支票兌現、特約商店卡處理服務。</t>
  </si>
  <si>
    <t>斯默菲特韋斯特洛克公開有限公</t>
  </si>
  <si>
    <t>紙容器及包裝品</t>
  </si>
  <si>
    <t>斯默菲特韋斯特洛克公開有限公司(Smurfit WestRock Public Limited Company)為一家包裝公司。該公司製造並供應紙張包裝，以用於包裝、推廣，並保護產品。斯默菲特韋斯特洛克服務全球客戶。</t>
  </si>
  <si>
    <t>奇波雷墨西哥燒烤公司</t>
  </si>
  <si>
    <t>速食休閒餐廳 - 直營</t>
  </si>
  <si>
    <t>奇波雷墨西哥燒烤公司(Chipotle Mexican Grill, Inc.)持有並經營墨西哥餐廳。該公司提供墨西哥捲餅、墨西哥捲餅碗、墨西哥芝士餡餅、墨西哥煎玉米捲，以及沙拉。奇波雷墨西哥燒烤公司服務美國的客戶。</t>
  </si>
  <si>
    <t>永利度假村有限公司</t>
  </si>
  <si>
    <t>永利度假村有限公司(Wynn Resorts, Limited)擁有並經營飯店及賭場度假村。該公司提供的設施包括客房和套房、餐廳、高爾夫球場、水療中心、酒吧、會議空間、夜總會，以及娛樂和休閒設施。永利度假村服務內華達州的客戶。</t>
  </si>
  <si>
    <t>理想國演藝股份有限公司</t>
  </si>
  <si>
    <t>娛樂設施</t>
  </si>
  <si>
    <t>自有設備活動推廣機構</t>
  </si>
  <si>
    <t>理想國演藝股份有限公司(Live Nation Entertainment, Inc.)提供現場音樂會，並透過網際網路銷售該些活動的門票。該公司針對領先的競技場、體育館、專業體育加盟和聯盟、大學運動隊、表演藝術場所、博物館，以及戲院，提供票券服務。理想國演藝服務全球客戶。</t>
  </si>
  <si>
    <t>安信龍公司</t>
  </si>
  <si>
    <t>亞瑟朗公司(Assurant, Inc.)提供支援、保護，以及連接主要消費性購買的住宅與生活方式解決方案。該公司提供行動裝置解決方案、延長服務合約，和車輛保護，以及生前契約、承租人，與放款人配售的屋主保險。亞瑟朗服務全球客戶。</t>
  </si>
  <si>
    <t>NRG Energy Inc</t>
  </si>
  <si>
    <t>NRG能源公司(NRG Energy, Inc.)主要於美國擁有及經營多元化組合的發電設施。 該公司提供能源和共同發電設施、熱能發電，以及能源回收設施。</t>
  </si>
  <si>
    <t>怪獸飲料公司</t>
  </si>
  <si>
    <t>運動及能量飲料</t>
  </si>
  <si>
    <t>怪獸飲料公司(Monster Beverage Corporation)為控股公司。該公司透過旗下子公司，行銷並配銷能量飲料。怪獸飲料服務全球客戶。</t>
  </si>
  <si>
    <t>區域金融公司</t>
  </si>
  <si>
    <t>區域金融公司(Regions Financial Corporation)為多重銀行控股區域公司。該公司提供消費者與商業銀行、財富管理、信用人壽保險、租賃、商業應收帳款保理、專業抵押融資，以及證券經紀服務。區域金融服務美國的客戶。</t>
  </si>
  <si>
    <t>貝克休斯公司</t>
  </si>
  <si>
    <t>貝克休斯公司(Baker Hughes Company)為一家能源科技公司。該公司提供鑽井、井干預、退役、表面壓力控制、陸上複合管、油藏技術，以及整合井服務。貝克休斯服務全球客戶。</t>
  </si>
  <si>
    <t>美盛公司</t>
  </si>
  <si>
    <t>肥料</t>
  </si>
  <si>
    <t>美盛公司(The Mosaic Company)生產並配銷農作物營養劑予農業社區。該公司提供飼料成分、農作物營養劑、工業產品、濃縮磷酸鹽，以及鉀肥。美盛服務全球客戶。</t>
  </si>
  <si>
    <t>智遊網集團公司</t>
  </si>
  <si>
    <t>智遊網集團公司(Expedia, Inc.)提供線上旅遊服務予休閒及商業旅行人士。 該公司提供各式旅遊訂購及預約服務，另提供班機、旅館與租車公司的即時行程表、價格及空位資訊。智遊網集團服務全球各地的客戶。</t>
  </si>
  <si>
    <t>金百利克拉克</t>
  </si>
  <si>
    <t>衛生紙產品</t>
  </si>
  <si>
    <t>金百利克拉克公司(Kimberly-Clark Corporation)為全球的健康及衛生用品公司，製造並提供消費性產品。該公司的產品包括：尿布、面紙、紙巾、成人紙尿布產品、手術袍，及單次使用型面膜。金百利克拉克的產品行銷全球。</t>
  </si>
  <si>
    <t>CF工業控股公司</t>
  </si>
  <si>
    <t>氮肥</t>
  </si>
  <si>
    <t>CF工業控股公司(CF Industries Holdings, Inc.)提供清潔能源，以永續性方式為世界提供飼料和燃料。CF工業控股公司服務全球客戶。</t>
  </si>
  <si>
    <t>阿帕奇公司</t>
  </si>
  <si>
    <t>阿帕奇公司(APA Corporation)為一家石油及天然氣公司。該公司專精於石油與天然氣資源的探勘及生產。阿帕奇服務全球的客戶。</t>
  </si>
  <si>
    <t>雷多斯控股公司</t>
  </si>
  <si>
    <t>資訊科技服務 - 政府</t>
  </si>
  <si>
    <t>雷多斯控股公司(Leidos Holdings, Inc.)提供科學、工程、系統整合及技術服務與解決方案。 該公司提供的服務, 包含國家安全、工程及醫療保健等領域。</t>
  </si>
  <si>
    <t>TKO Group Holdings Inc</t>
  </si>
  <si>
    <t>職業體育及相關活動</t>
  </si>
  <si>
    <t>TKO集團控股公司（TKO Group Holdings, Inc.）為一家控股公司。該公司透過旗下子公司，提供體育娛樂服務，並著重於組織現場活動。TKO集團控股服務全球客戶。</t>
  </si>
  <si>
    <t>第一太陽能</t>
  </si>
  <si>
    <t>薄膜模組</t>
  </si>
  <si>
    <t>第一太陽能公司(First Solar, Inc.)設計及生產太陽能模組。該公司利用薄膜半導體技術以製造太陽能發電模組。</t>
  </si>
  <si>
    <t>威士卡</t>
  </si>
  <si>
    <t>威士卡(Visa Inc.)經營零售電子支付網路及管理全球金融服務。 該公司亦透過金融機構、企業、消費者、商業和政府機構之間的價值與資訊移轉，來提供全球商務。</t>
  </si>
  <si>
    <t>Mid-America Apartment Commun</t>
  </si>
  <si>
    <t>Mid-America Apartment Communities公司(Mid-America Apartment Communities, Inc.)為自管型不動產投資信託，其擁有、收購並經營美國東南部、中西部及德州的多戶公寓社區。此外，該公司也透過其服務公司，經營第三方房地產管理、開發及建設活動。</t>
  </si>
  <si>
    <t>Xylem公司</t>
  </si>
  <si>
    <t>幫浦及抽唧設備</t>
  </si>
  <si>
    <t>Xylem公司(Xylem, Inc.)為水和廢水處理的設計、製造、設備及服務商，解決從集水、分配、利用至回歸自然的全套水循環問題。該公司產品包括水及廢水幫浦、處理及測試設備、工業用幫浦、閥、熱交換器及分裝設備。</t>
  </si>
  <si>
    <t>馬拉松石油公司</t>
  </si>
  <si>
    <t>馬拉松石油公司(Marathon Petroleum Corporation)為一家下游能源公司。該公司精煉、供應、行銷及運輸石油產品。馬拉松石油服務美國的客戶。</t>
  </si>
  <si>
    <t>曳引車供應公司</t>
  </si>
  <si>
    <t>苗圃及園藝中心</t>
  </si>
  <si>
    <t>曳引車供應公司(Tractor Supply Inc)於美國經營零售農業商店連鎖。該公司提供農場維護、動物、一般維護、草皮與園藝、輕型卡車設備、工作服，以及其它產品。曳引車供應公司服務牧場主、嗜好家、兼職，與全職農民，以及農村客戶、承包商，和零售商。</t>
  </si>
  <si>
    <t>超微半導體公司</t>
  </si>
  <si>
    <t>超微半導體公司(Advanced Micro Devices, Inc. (AMD))生產半導體產品與裝置。該公司提供產品例如：微處理器、嵌入式微處理器、晶片、圖形、影音，以及多媒體產品，並將其提供予第三方代工廠，亦提供組裝、測試，和包裝服務。超微半導體服務全球客戶。</t>
  </si>
  <si>
    <t>瑞斯邁股份有限公司</t>
  </si>
  <si>
    <t>瑞斯邁股份有限公司(ResMed Inc.)研發、製造並行銷治療睡眠呼吸障礙的醫療設備。該公司透過子公司和獨立經銷商，販售診斷和治療設備至多個國家。</t>
  </si>
  <si>
    <t>Mettler-Toledo國際公司</t>
  </si>
  <si>
    <t>Mettler-Toledo國際公司(Mettler-Toledo International Inc.)生產並行銷實驗室、工業和食品零售用途的秤重工具。該公司亦提供數種相關分析與衡量科技。Mettler-Toledo服務全球客戶。</t>
  </si>
  <si>
    <t>VICI房地產公司</t>
  </si>
  <si>
    <t>博奕REIT</t>
  </si>
  <si>
    <t>VICI房地產公司(VICI Properties Inc.)為一家體驗式不動產投資信託，其擁有市場領先的博弈、飯店，以及娛樂目的地的最大投資組合之一，包括世界著名的凱撒宮殿。VICI房地產的策略為創造全國最高品質和最具生產力的體驗式不動產投資組合。</t>
  </si>
  <si>
    <t>科派特公司</t>
  </si>
  <si>
    <t>汽車總經銷</t>
  </si>
  <si>
    <t>汽車批發商</t>
  </si>
  <si>
    <t>科派特公司(Copart, Inc.)為車輛供應商，主要是保險公司，提供各種服務，透過拍賣處理並銷售報廢車輛。該公司提供的報廢車輛，主要銷售予有牌照的拆解商、修車商，以及中古車經銷商。科派特服務全球客戶。</t>
  </si>
  <si>
    <t>雅各布解決方案公司</t>
  </si>
  <si>
    <t>工程服務</t>
  </si>
  <si>
    <t>雅各布解決方案公司(Jacobs Solutions Inc)提供技術專業服務。該公司為各種客戶，包括公司、組織，以及政府機構，提供工程與建設服務，以及科學與專業諮詢。雅各布解決方案服務全球客戶。</t>
  </si>
  <si>
    <t>雅保公司</t>
  </si>
  <si>
    <t>雅寶公司(Albemarle Corporation)針對移動、能源、連接，以及健康解決方案，生產特殊化學品。該公司提供用於電網儲存、汽車、航空、傳統能源、電子、建築、農業與食品、製藥，以及醫療裝置的關鍵成分。雅寶服務全球各地的客戶。</t>
  </si>
  <si>
    <t>防特網公司</t>
  </si>
  <si>
    <t>防特網公司(Fortinet, Inc.)提供網路安全解決方案。該公司提供網路安全設備、軟體，以及訂閱服務。防特網的系統整合了業界中最齊全的安全技術，包括：防火牆、虛擬私人網路(VPN) 、防毒、入侵偵測(IPS)、網站篩選、反垃圾郵件，以及流量整形。</t>
  </si>
  <si>
    <t>莫德納公司</t>
  </si>
  <si>
    <t>莫德納公司(Moderna, Inc.)為一家生物科技公司 。該公司著重於發現並開發信使核糖核酸治療與疫苗。莫德納開發用於傳染病、免疫腫瘤學，以及心血管疾病的信使核糖核酸藥物。</t>
  </si>
  <si>
    <t>埃塞克斯不動產信託公司</t>
  </si>
  <si>
    <t>埃塞克斯不動產信託公司(Essex Property Trust, Inc.)為自行管理及行政的不動產投資信託公司。該公司專門收購、開發並管理多戶住宅房地產。埃塞克斯擁有加州及華盛頓州的住宅及商用房地產。</t>
  </si>
  <si>
    <t>科斯塔集團公司</t>
  </si>
  <si>
    <t>科斯塔集團公司（CoStar Group, Inc.）提供線上市場服務、資訊，以及分析。該公司提供商業不動產情報訂閱的整合平台，包括：商業不動產、待售房地產、同店銷售、租戶、可租賃空間、產業新聞，以及市場狀況的資訊。</t>
  </si>
  <si>
    <t>Realty Income Corp</t>
  </si>
  <si>
    <t>單一租客REIT</t>
  </si>
  <si>
    <t>Realty Income Corporation擁有並管理位於美國各地的商用房地產投資組合。該公司的業務焦點為收購單一住戶的零售據點，再簽訂長期淨租賃合約，出租給地區性及全國性連鎖商店。</t>
  </si>
  <si>
    <t>西屋空氣制動技術公司</t>
  </si>
  <si>
    <t>軌道車輛及車廂</t>
  </si>
  <si>
    <t>西屋空氣制動技術公司(Westinghouse Air Brake Technologies Corporation)以「西屋制動公司」(Wabtec Corporation)執行業務，為全球各地的鐵路行業，提供技術產品與服務。該公司製造一系列用於火車頭、貨運車，以及客運列車的產品。西屋空氣制動技術亦建造全新列車，並提供售後服務。</t>
  </si>
  <si>
    <t>帕蘭提爾科技公司</t>
  </si>
  <si>
    <t>帕蘭提爾科技公司（Palantir Technologies Inc.）提供軟體解決方案。該公司提供的平台，可整合、管理並保護資料，以利人工驅動搭配機器輔助的互動式分析。帕蘭提爾科技服務全球的客戶。</t>
  </si>
  <si>
    <t>普爾公司</t>
  </si>
  <si>
    <t>其它批發</t>
  </si>
  <si>
    <t>普爾公司(Pool Corporation)經銷游泳池供應、設備，以及相關產品。該公司提供從建材、替換零件，以及圍牆到泳池照護產品和水療中心的各種產品。普爾服務全球客戶。</t>
  </si>
  <si>
    <t>威騰電子公司</t>
  </si>
  <si>
    <t>硬碟機</t>
  </si>
  <si>
    <t>威騰電子公司(Western Digital Corporation)為全球性解決方案供應商，提供數位內容的收集 、儲存、管理、保護和使用，包括語音與影像的解決方案。該公司的產品包括硬碟、固態硬碟，以及家庭娛樂和網絡產品。</t>
  </si>
  <si>
    <t>百事可樂公司</t>
  </si>
  <si>
    <t>百事可樂公司(PepsiCo, Inc.)經營食品及飲料業務。該公司製造、行銷及銷售各式榖類點心、碳酸及非碳酸飲料，以及食物。百事可樂服務全球的客戶。</t>
  </si>
  <si>
    <t>TE Connectivity PLC</t>
  </si>
  <si>
    <t>泰科電子公開有限公司（TE Connectivity Public Limited Company）提供工業技術解決方案。該公司提供各種連接和感應器解決方案，針對運輸、可再生能源、資料中心、醫療技術，以及自動化工廠，啟用電力、信號，和資料的配送。泰科電子服務全球客戶。</t>
  </si>
  <si>
    <t>響尾蛇能源公司</t>
  </si>
  <si>
    <t>響尾蛇能源公司(Diamondback Energy Inc.)為獨立的石油和天然氣公司，目前專注收購、開發、探勘及開採西德州二疊紀盆地(Permian Basin)內的非傳統陸上石油及天然氣。</t>
  </si>
  <si>
    <t>Palo Alto Networks Inc</t>
  </si>
  <si>
    <t>Palo Alto Networks, Inc.提供網路安全解決方案。該公司提供的防火牆，可辨識並控制應用程式、掃描內容具威脅性的內容、避免資料外洩、整合應用程式、用戶及內容能見度。Palo Alto Networks服務全球客戶。</t>
  </si>
  <si>
    <t>ServiceNow公司</t>
  </si>
  <si>
    <t>ServiceNow公司(ServiceNow, Inc.)提供企業資訊科技(IT)管理軟體。該公司設計、開發，並銷售雲端計算平台，幫助公司管理企業營運的數位工作流程。ServiceNow服務全球各地的客戶。</t>
  </si>
  <si>
    <t>丘奇及德懷特公司</t>
  </si>
  <si>
    <t>家庭清潔用品</t>
  </si>
  <si>
    <t>丘奇及德懷特公司(Church &amp; Dwight Co., Inc.)開發、製造及經銷家用、個人保健及特殊產品。該公司提供避孕藥、洗衣及洗碗清潔劑、牙刷、洗髮精、維他命、懷孕試劑及脫毛產品。丘奇及德懷特服務全球客戶。</t>
  </si>
  <si>
    <t>聯邦不動產投資信託</t>
  </si>
  <si>
    <t>聯邦不動產投資信託(Federal Realty Investment Trust)為自行管理的不動產投資信託公司。該公司專精於持有、管理、開發，及再開發主要社區，及其鄰近的購物中心。聯邦不動產投資信託服務美國的客戶。</t>
  </si>
  <si>
    <t>美高梅度假村國際</t>
  </si>
  <si>
    <t>美高梅度假村國際(MGM Resorts International)經營博奕、餐旅及娛樂度假村。該公司提供住宿、餐飲、會議、展覽及餐旅管理服務予賭場及非賭場房地產。美高梅度假村國際服務全球客戶。</t>
  </si>
  <si>
    <t>美國電力公司</t>
  </si>
  <si>
    <t>美國電力公司(American Electric Power Company, Inc.，簡稱AEP)為公共事業控股公司。該公司發電、輸電、配電及銷售電力予住宅及商業客戶。AEP服務美國客戶。</t>
  </si>
  <si>
    <t>邀請回家公司</t>
  </si>
  <si>
    <t>單戶住宅REIT</t>
  </si>
  <si>
    <t>邀請回家公司(Invitation Homes Inc)提供不動產服務。 該公司擁有並經營單戶住宅租賃，並提供收購的承銷與執行、預付資本投資及翻新、持續租賃及維修營運，以及處置服務。 邀請回家公司服務美國的客戶。</t>
  </si>
  <si>
    <t>參數科技公司</t>
  </si>
  <si>
    <t>參數科技公司(PTC Inc.)開發並提供軟體及服務的科技解決方案。該公司的技術主要由非連續製造商使用，來設計、經營及維護複雜產品。參數科技公司的技術亦被用於連結產品及網路，目的在於擷取及分析來自網路的資訊。</t>
  </si>
  <si>
    <t>JB Hunt Transport Services I</t>
  </si>
  <si>
    <t>J.B. Hunt運輸服務公司(J.B. Hunt Transport Services, Inc.)提供物流服務。該公司運送多種產品，包括：汽車零件、百貨公司商品、紙及木製產品、食品及飲料、塑膠、化學品，以及製造業材料與原料。</t>
  </si>
  <si>
    <t>科林研發股份有限公司</t>
  </si>
  <si>
    <t>科林研發股份有限公司(Lam Research Corporation)製造、行銷並服務積體電路生產時所使用的半導體製程設備。 該公司產品用來讓特殊薄膜附著至矽晶圓，並蝕刻各薄膜的部份，以創造電路設計。 科林研發(Lam Research Corporation)的產品行銷全球各地。</t>
  </si>
  <si>
    <t>Mohawk工業公司</t>
  </si>
  <si>
    <t>地板鋪設</t>
  </si>
  <si>
    <t>Mohawk工業公司(Mohawk Industries, Inc.)設計、製造、提供、經銷並行銷住宅及商用地板。該公司提供地毯、瓷磚、層壓板、木材、石頭、塑膠及踏墊。Mohawk在美國行銷住宅及商用地板，並在歐洲銷售住宅用地板。</t>
  </si>
  <si>
    <t>奇異醫療保健科技公司</t>
  </si>
  <si>
    <t>影像設備</t>
  </si>
  <si>
    <t>奇異醫療保健科技公司(GE HealthCare Technologies Inc.)提供醫療技術、藥物診斷，以及數位解決方案。該公司提供影像、超音波、孕產婦、呼吸器，和病患監測設備，以及績效管理、網路安全、技術培訓、場地規劃、整合資產優化，以及臨床網路解決方案。</t>
  </si>
  <si>
    <t>濱特爾公開有限公司</t>
  </si>
  <si>
    <t>液壓氣動幫浦及馬達</t>
  </si>
  <si>
    <t>濱特爾公開有限公司(Pentair PLC)為全球性水務公司，針對住宅、商業、工業、基礎設施及農業應用，提供一系列智慧、可持續的供水解決方案。該公司的解決方案使人們、企業及工業能夠獲得潔淨、安全的水、減少用水量，並回收和再利用。</t>
  </si>
  <si>
    <t>福泰製藥公司</t>
  </si>
  <si>
    <t>福泰製藥公司(Vertex Pharmaceuticals Incorporated)探索、開發，並商業化製藥產品。該公司開發用於治療囊性纖維化、癌症、發炎性腸道、自身免疫性疾病，以及神經系統疾病的藥物。福泰製藥服務全球的醫療保健行業。</t>
  </si>
  <si>
    <t>安姆科公開有限公司</t>
  </si>
  <si>
    <t>塑膠包裝膜/片</t>
  </si>
  <si>
    <t>安姆科公開有限公司（Amcor PLC）為一家包裝公司。該公司為居家與個人護理、食品、飲料、製藥及醫療業，提供硬質包裝、特殊紙盒、封蓋及相關服務。安姆科為全球客戶服務。</t>
  </si>
  <si>
    <t>Meta平台公司</t>
  </si>
  <si>
    <t>廣告收入-社交網站</t>
  </si>
  <si>
    <t>Meta平台公司(Meta Platforms, Inc.)為一家社群科技公司。該公司開發的應用程式與技術可幫助人們建立聯繫、尋找社群，以及發展業務。Meta平台亦從事廣告、擴增，以及虛擬實境業務。</t>
  </si>
  <si>
    <t>T-Mobile美國公司</t>
  </si>
  <si>
    <t>T-Mobile美國公司(T-Mobile US, Inc.)為一家無線網路經營商。該公司提供無線語音、訊息，以及資料服務。T-Mobile美國服務美國的客戶。</t>
  </si>
  <si>
    <t>聯合租賃公司</t>
  </si>
  <si>
    <t>一般設備出租服務</t>
  </si>
  <si>
    <t>聯合租賃公司(United Rentals, Inc.)為一家設備租賃公司，其透過旗下子公司，在美國及加拿大的網絡地點經營設備出租業務。該公司的服務對象包括：營建業、工商業公司、住屋擁有人、及其他個人。</t>
  </si>
  <si>
    <t>亞歷山卓不動產股份公司</t>
  </si>
  <si>
    <t>亞歷山卓不動產股份公司(Alexandria Real Estate Equities, Inc.)收購、管理、拓展並開發辦公室與實驗室空間的房地產。該公司出租不動產予製藥、生物科技、診斷及個人保健產品公司、研究機構及相關政府機構。亞歷山卓不動產服務美國加州的客戶。</t>
  </si>
  <si>
    <t>漢威聯合國際公司</t>
  </si>
  <si>
    <t>漢威聯合國際公司(Honeywell International Inc.)為全球技術及製造公司。該公司提供航太產品與服務、商業建築控制、感應及安全技術、安全和生產率解決方案 、特殊化學品、先進材料、精煉與石化產品處理技術，以及節能產品和解決方案。</t>
  </si>
  <si>
    <t>達美航空</t>
  </si>
  <si>
    <t>全方位航空</t>
  </si>
  <si>
    <t>達美航空公司(Delta Air Lines, Inc.)透過航線網絡，提供乘客、貨物及郵件定期航空運輸服務。該公司提供航班狀態資訊、預訂、行李處理，以及其他相關服務。達美航空服務全球客戶。</t>
  </si>
  <si>
    <t>聯合航空控股公司</t>
  </si>
  <si>
    <t>聯合航空控股公司(United Airlines Holdings, Inc.)為一家控股公司。該公司透過旗下子公司，持有並管理運送人員和貨物的航空公司。聯合航空控股服務全球客戶。</t>
  </si>
  <si>
    <t>希捷科技控股公開有限公司</t>
  </si>
  <si>
    <t>希捷科技控股公開有限公司(Seagate Technology Holdings Public Limited Company)提供電腦硬體產品。該公司設計、製造，並銷售用於企業與客戶電腦應用程式、個人資料備份、攜帶型外接儲存，以及數位媒體系統的硬碟驅動程式。希捷科技控股服務全球客戶。</t>
  </si>
  <si>
    <t>新聞集團</t>
  </si>
  <si>
    <t>出版業</t>
  </si>
  <si>
    <t>報紙出版</t>
  </si>
  <si>
    <t>新聞公司(News Corporation)為媒體及資訊服務公司。該公司的業務包括：新聞及資訊、書籍出版、數位不動產，及有線網路節目服務。新聞公司服務全球的客戶。</t>
  </si>
  <si>
    <t>聖丁公司</t>
  </si>
  <si>
    <t>管理醫療聯邦醫療保險(XIX章)</t>
  </si>
  <si>
    <t>聖丁公司(Centene Corporation)針對所有州及國際各地的個人，提供多線醫療保健解決方案。聖丁的專業服務包括：醫療補助和醫療保險健康計劃、治療遵從性，以及護士分診。</t>
  </si>
  <si>
    <t>布洛克公司</t>
  </si>
  <si>
    <t>布洛克公司(Block, Inc.)經營金融服務及數位支付公司。該公司開發一個針對中小型企業的支付平台，允許他們接受信用卡支付，並使用平板電腦作為銷售點系統的支付註冊。布洛克亦提供金融與行銷服務。</t>
  </si>
  <si>
    <t>阿波羅全球管理公司</t>
  </si>
  <si>
    <t>混合資產</t>
  </si>
  <si>
    <t>阿波羅全球管理公司(Apollo Global Management, Inc.)為一家資產管理公司。該公司著重於投資於殖利率、混合，以及股票市場，以產生退休和投資收益。阿波羅全球管理公司服務全球各地的企業及個人。</t>
  </si>
  <si>
    <t>Martin Marietta Materials In</t>
  </si>
  <si>
    <t>Martin Marietta材料公司(Martin Marietta Materials, Inc.)生產混凝土粒料予包括高速公路、基礎建設、商業建築、和住宅建築等營建業者。該公司也生產和行銷氧化鎂相關產品，包括：抗高溫耐火產品予鋼鐵業、化學品予工業及環保業使用、及苦土石灰等。</t>
  </si>
  <si>
    <t>泰瑞達公司</t>
  </si>
  <si>
    <t>後端資本設備</t>
  </si>
  <si>
    <t>泰瑞達公司(Teradyne, Inc.)於全球設計、製造、銷售並支援半導體測試產品及服務。該公司的測試設備產品與服務包括半導體測試系統、軍事航太測試儀器、電路板測試、檢查系統、汽車診斷及測試系統。</t>
  </si>
  <si>
    <t>Paypal控股有限公司</t>
  </si>
  <si>
    <t>Paypal控股有限公司(PayPal Holdings, Inc.)為一家控股公司。該公司透過旗下子公司，提供技術平台，做為消費和商家之間的橋梁，執行數位與行動支付。該公司提供線上付款解決方案。PayPal控股服務對象遍及全球。</t>
  </si>
  <si>
    <t>特斯拉公司</t>
  </si>
  <si>
    <t>車輛-電力</t>
  </si>
  <si>
    <t>特斯拉公司(Tesla Inc.)為一家跨國汽車及清潔能源公司。該公司設計並製造電動車、從家庭到電網規模的電池儲能、太陽能面板和太陽能屋頂瓦片，以及相關產品和服務。特斯拉持有其銷售與服務網路，並向其它汽車製造商，銷售電力傳動系統元件。</t>
  </si>
  <si>
    <t>貝萊德公司</t>
  </si>
  <si>
    <t>貝萊德公司（BlackRock, Inc.）提供投資管理服務。該公司提供投資、諮詢，以及風險管理服務。貝萊德為全球各地的個人、家庭、教育機構、政府、保險公司及非營利組織提供服務。</t>
  </si>
  <si>
    <t>科爾伯格-克拉維斯-羅伯茨公司</t>
  </si>
  <si>
    <t>科爾伯格-克拉維斯-羅伯茨公司（KKR &amp; Co. Inc.）為一家投資公司。該公司投資於私募股權、信貸、資本市場、基礎設施、保險、能源、醫療保健、公用事業，以及不動產公司。科爾伯格-克拉維斯-羅伯茨服務全球客戶。</t>
  </si>
  <si>
    <t>艾奇資本集團有限公司</t>
  </si>
  <si>
    <t>艾奇資本集團有限公司(Arch Capital Group Ltd.)提供金融服務。該公司提供人壽、健康，和產物保險與再保險產品，以及抵押保險。艾奇資本集團服務全球客戶。</t>
  </si>
  <si>
    <t>陶氏</t>
  </si>
  <si>
    <t>陶氏公司(Dow Inc.)生產並配銷化學產品。該公司製造並供應化學品予液態注入成型、建築產製、皮革、紡織品、汽車、橡膠消費品，以及食品產業。陶氏服務全球各地的客戶。</t>
  </si>
  <si>
    <t>Everest集團有限公司</t>
  </si>
  <si>
    <t>再保</t>
  </si>
  <si>
    <t>產物意外再保險</t>
  </si>
  <si>
    <t>Everest集團有限公司(Everest Group Ltd)提供再保險和保險服務。該公司提供財產、意外傷害和專業再保險與保險解決方案，以及理賠管理與支援服務。Everest集團服務全球客戶。</t>
  </si>
  <si>
    <t>得立達科技公司</t>
  </si>
  <si>
    <t>其它硬體</t>
  </si>
  <si>
    <t>光學儀器及鏡片</t>
  </si>
  <si>
    <t>得立達科技公司(Teledyne Technologies Inc.)提供電子子系統及儀器。該公司提供航太及國防電子產品、數位影像產品及軟體、海洋及環境應用的監控儀器、嚴酷環境互連產品及衛星通訊子系統。得立達亦提供工程系統。</t>
  </si>
  <si>
    <t>達美樂披薩股份有限公司</t>
  </si>
  <si>
    <t>小型餐飲店</t>
  </si>
  <si>
    <t>達美樂披薩股份有限公司(Domino's Pizza, Inc.)經營達美樂披薩直營店與加盟店，版圖遍及全美與世界各國。該公司也在美國本土與海外各地，經營麵團製作與配送中心。</t>
  </si>
  <si>
    <t>奇異維諾瓦公司</t>
  </si>
  <si>
    <t>奇異維諾瓦公司（GE Vernova Inc.）為一家電力公司。該公司設計、製造，並配送生產、傳輸、協調、轉換，以及儲存電力的電力系統和服務。奇異維諾瓦服務全球客戶。</t>
  </si>
  <si>
    <t>愛克斯龍公司</t>
  </si>
  <si>
    <t>愛克斯龍公司(Exelon Corporation)為一家公用事業服務的控股公司。該公司透過旗下子公司，配送電力至伊利諾州及賓州的客戶。愛克斯龍亦向費城地區的客戶配送天然氣。</t>
  </si>
  <si>
    <t>環匯公司</t>
  </si>
  <si>
    <t>環匯公司(Global Payments Inc.)提供電子交易處理、資訊系統，以及服務。該公司服務全球各地的金融、企業、政府，以及商業界。環匯提供資金轉移、商業銀行、會計、網際網路，以及其他服務。</t>
  </si>
  <si>
    <t>皇冠城堡公司</t>
  </si>
  <si>
    <t>皇冠城堡公司(Crown Castle Inc)為一家不動產投資信託。該公司持有、經營，並租賃無線通訊的塔台，以及其它基礎設施。皇冠城堡於美國和澳洲管理並提供無線通訊覆蓋與基礎設施站台。</t>
  </si>
  <si>
    <t>艾利科技公司</t>
  </si>
  <si>
    <t>艾利科技公司(Align Technology, Inc.)為一家全球醫療裝置公司。該公司設計、製造，並銷售用於牙科的透明矯正器與口內掃描器，以及針對牙科實驗室與牙科醫生的電腦輔助設計與製造軟體。艾利科技服務全球客戶。</t>
  </si>
  <si>
    <t>Kenvue公司</t>
  </si>
  <si>
    <t>消費者醫療保健產品</t>
  </si>
  <si>
    <t>Kenvue公司(Kenvue Inc.)為一家消費者健康公司。該公司提供自我保健、皮膚健康與美容，以及基本保健產品等消費者健康產品組合。Kenvue服務全球客戶。</t>
  </si>
  <si>
    <t>Targa資源公司</t>
  </si>
  <si>
    <t>天然氣凝結油管線及服務</t>
  </si>
  <si>
    <t>Targa資源公司(Targa Resources Corp)擁有有限合夥企業的一般及有限合夥利益，該企業提供中游天然氣及 液化天然氣服務。 該公司收集、壓縮、處理、加工並銷售天然氣。 Targa資源亦儲存、分餾、處理、運輸並銷售液化天然氣及相關產品。</t>
  </si>
  <si>
    <t>邦吉全球有限責任公司</t>
  </si>
  <si>
    <t>邦吉全球有限責任公司(Bunge Global S.A.)為一家農業綜合企業與食品公司。該公司生產並供應植物性油、脂肪，以及蛋白質。邦吉全球的產品用於各種用途，例如：動物飼料、食用油和麵粉，以及麵包店和糖果、乳脂替代品、植物性肉類，以及嬰兒營養品。</t>
  </si>
  <si>
    <t>LKQ公司</t>
  </si>
  <si>
    <t>汽車用品批發商</t>
  </si>
  <si>
    <t>LKQ公司(LKQ Corporation)提供汽車產品及服務。該公司針對汽車與輕、中，和重型卡車的維修，提供替代性碰撞替換零件、回收引擎、變速箱、替換系統、元件，以及零件。LKQ服務全球客戶。</t>
  </si>
  <si>
    <t>德克斯戶外用品公司</t>
  </si>
  <si>
    <t>德克斯戶外用品公司(Deckers Outdoor Corporation)設計並銷售鞋類及配件。該公司提供男士、女士，以及孩童鞋類。德克斯公司銷售其產品，包括例如：手提包、頭飾，以及外套的配件。德克斯戶外用品公司服務美國的客戶。</t>
  </si>
  <si>
    <t>Workday公司</t>
  </si>
  <si>
    <t>Workday公司(Workday, Inc.)提供企業雲端應用程式。該公司提供人力資本、支出及財務管理，以及薪資、政策及高等教育解決方案。Workday服務全球金融、醫療保健、製造、教育及科技產業。</t>
  </si>
  <si>
    <t>碩騰股份有限公司</t>
  </si>
  <si>
    <t>特殊製藥</t>
  </si>
  <si>
    <t>碩騰股份有限公司(Zoetis Inc)探索、研發、製造並商業化動物藥品及疫苗，主要針對牲畜及寵物。 該公司於北美、歐洲、非洲、亞洲、澳洲及拉丁美洲市場銷售其產品。</t>
  </si>
  <si>
    <t>比特幣基地全球公司</t>
  </si>
  <si>
    <t>比特幣基地全球公司(Coinbase Global, Inc.)提供金融解決方案。該公司提供買賣加密貨幣的平台。比特幣基地全球服務全球客戶。</t>
  </si>
  <si>
    <t>Equinix公司</t>
  </si>
  <si>
    <t>資料中心REIT</t>
  </si>
  <si>
    <t>Equinix公司(Equinix, Inc.)為不動產投資信託公司。該公司投資於互連資料中心。Equinix主要開發網絡及雲端中立資料中心平台，應用於雲端及資訊科技、企業、網絡及手機服務供應商，以及金融公司。</t>
  </si>
  <si>
    <t>數位不動產信託公司</t>
  </si>
  <si>
    <t>數位不動產信託公司(Digital Realty Trust, Inc.)擁有、收購、變換並管理科技相關不動產。該公司的房產包括對科技業租戶及企業資料中心租戶重要的每日業務應用及業務。數位不動產公司的房產遍及全美和英國。</t>
  </si>
  <si>
    <t>莫利納醫療保健公司</t>
  </si>
  <si>
    <t>莫利納醫療保健公司(Molina Healthcare, Inc.)為一家管理護理組織。該公司為符合醫療保健計畫的低收入家庭與個人，安排提供醫療保健服務。莫利納於加州、華盛頓州、猶他州與密西根州，以及加州南北部的基層醫療診所，提供醫療計畫。</t>
  </si>
  <si>
    <t>拉斯維加斯金沙集團</t>
  </si>
  <si>
    <t>拉斯維加斯金沙公司（Las Vegas Sands Corp.）擁有並經營賭場度假村及會議中心。該公司提供一系列的博弈和娛樂，以及過夜住宿，其展覽會館則舉辦各種娛樂表演、博覽會，以及其它活動。拉斯維加斯金沙服務美國的客戶。</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</si>
</sst>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新細明體"/>
      <family val="2"/>
      <scheme val="minor"/>
    </font>
    <font>
      <b/>
      <sz val="11"/>
      <color indexed="9"/>
      <name val="Calibri"/>
      <family val="2"/>
    </font>
    <font>
      <sz val="11"/>
      <color theme="1"/>
      <name val="新細明體"/>
      <family val="2"/>
      <scheme val="minor"/>
    </font>
    <font>
      <b/>
      <sz val="18"/>
      <color theme="3"/>
      <name val="新細明體"/>
      <family val="2"/>
      <scheme val="major"/>
    </font>
    <font>
      <b/>
      <sz val="15"/>
      <color theme="3"/>
      <name val="新細明體"/>
      <family val="2"/>
      <scheme val="minor"/>
    </font>
    <font>
      <b/>
      <sz val="13"/>
      <color theme="3"/>
      <name val="新細明體"/>
      <family val="2"/>
      <scheme val="minor"/>
    </font>
    <font>
      <b/>
      <sz val="11"/>
      <color theme="3"/>
      <name val="新細明體"/>
      <family val="2"/>
      <scheme val="minor"/>
    </font>
    <font>
      <sz val="11"/>
      <color rgb="FF006100"/>
      <name val="新細明體"/>
      <family val="2"/>
      <scheme val="minor"/>
    </font>
    <font>
      <sz val="11"/>
      <color rgb="FF9C0006"/>
      <name val="新細明體"/>
      <family val="2"/>
      <scheme val="minor"/>
    </font>
    <font>
      <sz val="11"/>
      <color rgb="FF9C6500"/>
      <name val="新細明體"/>
      <family val="2"/>
      <scheme val="minor"/>
    </font>
    <font>
      <sz val="11"/>
      <color rgb="FF3F3F76"/>
      <name val="新細明體"/>
      <family val="2"/>
      <scheme val="minor"/>
    </font>
    <font>
      <b/>
      <sz val="11"/>
      <color rgb="FF3F3F3F"/>
      <name val="新細明體"/>
      <family val="2"/>
      <scheme val="minor"/>
    </font>
    <font>
      <b/>
      <sz val="11"/>
      <color rgb="FFFA7D00"/>
      <name val="新細明體"/>
      <family val="2"/>
      <scheme val="minor"/>
    </font>
    <font>
      <sz val="11"/>
      <color rgb="FFFA7D00"/>
      <name val="新細明體"/>
      <family val="2"/>
      <scheme val="minor"/>
    </font>
    <font>
      <b/>
      <sz val="11"/>
      <color theme="0"/>
      <name val="新細明體"/>
      <family val="2"/>
      <scheme val="minor"/>
    </font>
    <font>
      <sz val="11"/>
      <color rgb="FFFF0000"/>
      <name val="新細明體"/>
      <family val="2"/>
      <scheme val="minor"/>
    </font>
    <font>
      <i/>
      <sz val="11"/>
      <color rgb="FF7F7F7F"/>
      <name val="新細明體"/>
      <family val="2"/>
      <scheme val="minor"/>
    </font>
    <font>
      <b/>
      <sz val="11"/>
      <color theme="1"/>
      <name val="新細明體"/>
      <family val="2"/>
      <scheme val="minor"/>
    </font>
    <font>
      <sz val="11"/>
      <color theme="0"/>
      <name val="新細明體"/>
      <family val="2"/>
      <scheme val="minor"/>
    </font>
    <font>
      <sz val="9"/>
      <name val="新細明體"/>
      <family val="3"/>
      <charset val="136"/>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F81BD"/>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10" borderId="0" applyNumberFormat="0" applyBorder="0" applyAlignment="0" applyProtection="0"/>
    <xf numFmtId="0" fontId="2" fillId="14" borderId="0" applyNumberFormat="0" applyBorder="0" applyAlignment="0" applyProtection="0"/>
    <xf numFmtId="0" fontId="2" fillId="18" borderId="0" applyNumberFormat="0" applyBorder="0" applyAlignment="0" applyProtection="0"/>
    <xf numFmtId="0" fontId="2" fillId="22" borderId="0" applyNumberFormat="0" applyBorder="0" applyAlignment="0" applyProtection="0"/>
    <xf numFmtId="0" fontId="2" fillId="26" borderId="0" applyNumberFormat="0" applyBorder="0" applyAlignment="0" applyProtection="0"/>
    <xf numFmtId="0" fontId="2" fillId="30"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18" fillId="12" borderId="0" applyNumberFormat="0" applyBorder="0" applyAlignment="0" applyProtection="0"/>
    <xf numFmtId="0" fontId="18" fillId="16" borderId="0" applyNumberFormat="0" applyBorder="0" applyAlignment="0" applyProtection="0"/>
    <xf numFmtId="0" fontId="18" fillId="20" borderId="0" applyNumberFormat="0" applyBorder="0" applyAlignment="0" applyProtection="0"/>
    <xf numFmtId="0" fontId="18" fillId="24" borderId="0" applyNumberFormat="0" applyBorder="0" applyAlignment="0" applyProtection="0"/>
    <xf numFmtId="0" fontId="18" fillId="28" borderId="0" applyNumberFormat="0" applyBorder="0" applyAlignment="0" applyProtection="0"/>
    <xf numFmtId="0" fontId="18" fillId="32" borderId="0" applyNumberFormat="0" applyBorder="0" applyAlignment="0" applyProtection="0"/>
    <xf numFmtId="0" fontId="18" fillId="9" borderId="0" applyNumberFormat="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8" fillId="3" borderId="0" applyNumberFormat="0" applyBorder="0" applyAlignment="0" applyProtection="0"/>
    <xf numFmtId="0" fontId="1" fillId="33" borderId="0"/>
    <xf numFmtId="0" fontId="12" fillId="6" borderId="4" applyNumberFormat="0" applyAlignment="0" applyProtection="0"/>
    <xf numFmtId="0" fontId="14" fillId="7" borderId="7" applyNumberFormat="0" applyAlignment="0" applyProtection="0"/>
    <xf numFmtId="0" fontId="16" fillId="0" borderId="0" applyNumberFormat="0" applyFill="0" applyBorder="0" applyAlignment="0" applyProtection="0"/>
    <xf numFmtId="0" fontId="7" fillId="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10" fillId="5" borderId="4" applyNumberFormat="0" applyAlignment="0" applyProtection="0"/>
    <xf numFmtId="0" fontId="13" fillId="0" borderId="6" applyNumberFormat="0" applyFill="0" applyAlignment="0" applyProtection="0"/>
    <xf numFmtId="0" fontId="9" fillId="4" borderId="0" applyNumberFormat="0" applyBorder="0" applyAlignment="0" applyProtection="0"/>
    <xf numFmtId="0" fontId="2" fillId="8" borderId="8" applyNumberFormat="0" applyFont="0" applyAlignment="0" applyProtection="0"/>
    <xf numFmtId="0" fontId="11" fillId="6" borderId="5" applyNumberFormat="0" applyAlignment="0" applyProtection="0"/>
    <xf numFmtId="0" fontId="3" fillId="0" borderId="0" applyNumberFormat="0" applyFill="0" applyBorder="0" applyAlignment="0" applyProtection="0"/>
    <xf numFmtId="0" fontId="17" fillId="0" borderId="9" applyNumberFormat="0" applyFill="0" applyAlignment="0" applyProtection="0"/>
    <xf numFmtId="0" fontId="15" fillId="0" borderId="0" applyNumberFormat="0" applyFill="0" applyBorder="0" applyAlignment="0" applyProtection="0"/>
  </cellStyleXfs>
  <cellXfs count="2">
    <xf numFmtId="0" fontId="0" fillId="0" borderId="0" xfId="0"/>
    <xf numFmtId="0" fontId="1" fillId="33" borderId="0" xfId="26" applyNumberFormat="1" applyFont="1" applyFill="1" applyBorder="1" applyAlignment="1" applyProtection="1"/>
  </cellXfs>
  <cellStyles count="43">
    <cellStyle name="20% - 輔色1" xfId="1" builtinId="30" customBuiltin="1"/>
    <cellStyle name="20% - 輔色2" xfId="2" builtinId="34" customBuiltin="1"/>
    <cellStyle name="20% - 輔色3" xfId="3" builtinId="38" customBuiltin="1"/>
    <cellStyle name="20% - 輔色4" xfId="4" builtinId="42" customBuiltin="1"/>
    <cellStyle name="20% - 輔色5" xfId="5" builtinId="46" customBuiltin="1"/>
    <cellStyle name="20% - 輔色6" xfId="6" builtinId="50" customBuiltin="1"/>
    <cellStyle name="40% - 輔色1" xfId="7" builtinId="31" customBuiltin="1"/>
    <cellStyle name="40% - 輔色2" xfId="8" builtinId="35" customBuiltin="1"/>
    <cellStyle name="40% - 輔色3" xfId="9" builtinId="39" customBuiltin="1"/>
    <cellStyle name="40% - 輔色4" xfId="10" builtinId="43" customBuiltin="1"/>
    <cellStyle name="40% - 輔色5" xfId="11" builtinId="47" customBuiltin="1"/>
    <cellStyle name="40% - 輔色6" xfId="12" builtinId="51" customBuiltin="1"/>
    <cellStyle name="60% - 輔色1" xfId="13" builtinId="32" customBuiltin="1"/>
    <cellStyle name="60% - 輔色2" xfId="14" builtinId="36" customBuiltin="1"/>
    <cellStyle name="60% - 輔色3" xfId="15" builtinId="40" customBuiltin="1"/>
    <cellStyle name="60% - 輔色4" xfId="16" builtinId="44" customBuiltin="1"/>
    <cellStyle name="60% - 輔色5" xfId="17" builtinId="48" customBuiltin="1"/>
    <cellStyle name="60% - 輔色6" xfId="18" builtinId="52" customBuiltin="1"/>
    <cellStyle name="blp_column_header" xfId="26" xr:uid="{00000000-0005-0000-0000-000019000000}"/>
    <cellStyle name="一般" xfId="0" builtinId="0"/>
    <cellStyle name="中等" xfId="37" builtinId="28" customBuiltin="1"/>
    <cellStyle name="合計" xfId="41" builtinId="25" customBuiltin="1"/>
    <cellStyle name="好" xfId="30" builtinId="26" customBuiltin="1"/>
    <cellStyle name="計算方式" xfId="27" builtinId="22" customBuiltin="1"/>
    <cellStyle name="連結的儲存格" xfId="36" builtinId="24" customBuiltin="1"/>
    <cellStyle name="備註" xfId="38" builtinId="10" customBuiltin="1"/>
    <cellStyle name="說明文字" xfId="29" builtinId="53" customBuiltin="1"/>
    <cellStyle name="輔色1" xfId="19" builtinId="29" customBuiltin="1"/>
    <cellStyle name="輔色2" xfId="20" builtinId="33" customBuiltin="1"/>
    <cellStyle name="輔色3" xfId="21" builtinId="37" customBuiltin="1"/>
    <cellStyle name="輔色4" xfId="22" builtinId="41" customBuiltin="1"/>
    <cellStyle name="輔色5" xfId="23" builtinId="45" customBuiltin="1"/>
    <cellStyle name="輔色6" xfId="24" builtinId="49" customBuiltin="1"/>
    <cellStyle name="標題" xfId="40" builtinId="15" customBuiltin="1"/>
    <cellStyle name="標題 1" xfId="31" builtinId="16" customBuiltin="1"/>
    <cellStyle name="標題 2" xfId="32" builtinId="17" customBuiltin="1"/>
    <cellStyle name="標題 3" xfId="33" builtinId="18" customBuiltin="1"/>
    <cellStyle name="標題 4" xfId="34" builtinId="19" customBuiltin="1"/>
    <cellStyle name="輸入" xfId="35" builtinId="20" customBuiltin="1"/>
    <cellStyle name="輸出" xfId="39" builtinId="21" customBuiltin="1"/>
    <cellStyle name="檢查儲存格" xfId="28" builtinId="23" customBuiltin="1"/>
    <cellStyle name="壞" xfId="25" builtinId="27" customBuiltin="1"/>
    <cellStyle name="警告文字"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bofaddin.rtdserver">
      <tp>
        <v>1.3741999864578247</v>
        <stp/>
        <stp>BDP|241041023778492346|22</stp>
        <stp>CNP UN Equity</stp>
        <stp>RT_PX_CHG_PCT_1D</stp>
        <tr r="B142" s="2"/>
      </tp>
      <tp>
        <v>3.1110999584197998</v>
        <stp/>
        <stp>BDP|823173390236281746|22</stp>
        <stp>NUE UN Equity</stp>
        <stp>RT_PX_CHG_PCT_1D</stp>
        <tr r="B182" s="2"/>
      </tp>
      <tp>
        <v>0.85000002384185791</v>
        <stp/>
        <stp>BDP|198247195701363672|22</stp>
        <stp>AIZ UN Equity</stp>
        <stp>RT_PX_CHG_PCT_1D</stp>
        <tr r="B411" s="2"/>
      </tp>
      <tp>
        <v>0.22360000014305115</v>
        <stp/>
        <stp>BDP|171095620838478651|22</stp>
        <stp>PNR UN Equity</stp>
        <stp>RT_PX_CHG_PCT_1D</stp>
        <tr r="B461" s="2"/>
      </tp>
      <tp>
        <v>0.42849999666213989</v>
        <stp/>
        <stp>BDP|720425700373682483|22</stp>
        <stp>DHI UN Equity</stp>
        <stp>RT_PX_CHG_PCT_1D</stp>
        <tr r="B261" s="2"/>
      </tp>
      <tp>
        <v>-8.2999996840953827E-2</v>
        <stp/>
        <stp>BDP|106444934664849688|22</stp>
        <stp>TPR UN Equity</stp>
        <stp>RT_PX_CHG_PCT_1D</stp>
        <tr r="B394" s="2"/>
      </tp>
      <tp>
        <v>0.99309998750686646</v>
        <stp/>
        <stp>BDP|182999349934532992|22</stp>
        <stp>DAY UN Equity</stp>
        <stp>RT_PX_CHG_PCT_1D</stp>
        <tr r="B67" s="2"/>
      </tp>
      <tp>
        <v>1.7551000118255615</v>
        <stp/>
        <stp>BDP|581289076949664225|22</stp>
        <stp>DOW UN Equity</stp>
        <stp>RT_PX_CHG_PCT_1D</stp>
        <tr r="B483" s="2"/>
      </tp>
      <tp>
        <v>4.5400001108646393E-2</v>
        <stp/>
        <stp>BDP|508051974910858656|22</stp>
        <stp>NVR UN Equity</stp>
        <stp>RT_PX_CHG_PCT_1D</stp>
        <tr r="B325" s="2"/>
      </tp>
      <tp>
        <v>0.57709997892379761</v>
        <stp/>
        <stp>BDP|889185439920070199|22</stp>
        <stp>IRM UN Equity</stp>
        <stp>RT_PX_CHG_PCT_1D</stp>
        <tr r="B330" s="2"/>
      </tp>
      <tp>
        <v>1.7510000467300415</v>
        <stp/>
        <stp>BDP|300250511909070274|22</stp>
        <stp>HSY UN Equity</stp>
        <stp>RT_PX_CHG_PCT_1D</stp>
        <tr r="B137" s="2"/>
      </tp>
      <tp>
        <v>0.69539999961853027</v>
        <stp/>
        <stp>BDP|609003004457439191|22</stp>
        <stp>FCX UN Equity</stp>
        <stp>RT_PX_CHG_PCT_1D</stp>
        <tr r="B124" s="2"/>
      </tp>
      <tp>
        <v>0.72180002927780151</v>
        <stp/>
        <stp>BDP|873683715122123173|22</stp>
        <stp>BKR UW Equity</stp>
        <stp>RT_PX_CHG_PCT_1D</stp>
        <tr r="B415" s="2"/>
      </tp>
      <tp>
        <v>-0.82160001993179321</v>
        <stp/>
        <stp>BDP|159563479007407382|22</stp>
        <stp>IQV UN Equity</stp>
        <stp>RT_PX_CHG_PCT_1D</stp>
        <tr r="B116" s="2"/>
      </tp>
      <tp>
        <v>-6.9700002670288086E-2</v>
        <stp/>
        <stp>BDP|242995401087245871|22</stp>
        <stp>DOV UN Equity</stp>
        <stp>RT_PX_CHG_PCT_1D</stp>
        <tr r="B101" s="2"/>
      </tp>
      <tp>
        <v>-0.55159997940063477</v>
        <stp/>
        <stp>BDP|651431750641929807|22</stp>
        <stp>ATO UN Equity</stp>
        <stp>RT_PX_CHG_PCT_1D</stp>
        <tr r="B130" s="2"/>
      </tp>
      <tp>
        <v>0.67159998416900635</v>
        <stp/>
        <stp>BDP|276632902241462337|22</stp>
        <stp>MDT UN Equity</stp>
        <stp>RT_PX_CHG_PCT_1D</stp>
        <tr r="B167" s="2"/>
      </tp>
      <tp>
        <v>0.78039997816085815</v>
        <stp/>
        <stp>BDP|192052327961927856|22</stp>
        <stp>ADP UW Equity</stp>
        <stp>RT_PX_CHG_PCT_1D</stp>
        <tr r="B58" s="2"/>
      </tp>
      <tp>
        <v>-2.749500036239624</v>
        <stp/>
        <stp>BDP|752294940270368464|22</stp>
        <stp>NOW UN Equity</stp>
        <stp>RT_PX_CHG_PCT_1D</stp>
        <tr r="B450" s="2"/>
      </tp>
      <tp>
        <v>3.2630999088287354</v>
        <stp/>
        <stp>BDP|500827773168116927|22</stp>
        <stp>GPN UN Equity</stp>
        <stp>RT_PX_CHG_PCT_1D</stp>
        <tr r="B490" s="2"/>
      </tp>
      <tp>
        <v>-1.5829999446868896</v>
        <stp/>
        <stp>BDP|528061181703872323|22</stp>
        <stp>WMB UN Equity</stp>
        <stp>RT_PX_CHG_PCT_1D</stp>
        <tr r="B235" s="2"/>
      </tp>
      <tp>
        <v>7.9400002956390381E-2</v>
        <stp/>
        <stp>BDP|140771055875786856|22</stp>
        <stp>AVB UN Equity</stp>
        <stp>RT_PX_CHG_PCT_1D</stp>
        <tr r="B309" s="2"/>
      </tp>
      <tp>
        <v>0.65659999847412109</v>
        <stp/>
        <stp>BDP|812399022977733491|22</stp>
        <stp>WRB UN Equity</stp>
        <stp>RT_PX_CHG_PCT_1D</stp>
        <tr r="B214" s="2"/>
      </tp>
      <tp>
        <v>-0.16670000553131104</v>
        <stp/>
        <stp>BDP|461441213540241774|22</stp>
        <stp>NEE UN Equity</stp>
        <stp>RT_PX_CHG_PCT_1D</stp>
        <tr r="B121" s="2"/>
      </tp>
      <tp>
        <v>-0.8937000036239624</v>
        <stp/>
        <stp>BDP|134517151343132956|22</stp>
        <stp>KDP UW Equity</stp>
        <stp>RT_PX_CHG_PCT_1D</stp>
        <tr r="B304" s="2"/>
      </tp>
      <tp t="s">
        <v>#N/A N/A</v>
        <stp/>
        <stp>BDP|15172809419514416251</stp>
        <tr r="H504" s="2"/>
      </tp>
      <tp t="s">
        <v>#N/A N/A</v>
        <stp/>
        <stp>BDP|14487057699783892498</stp>
        <tr r="R107" s="2"/>
      </tp>
      <tp t="s">
        <v>#N/A N/A</v>
        <stp/>
        <stp>BDP|13948734577478600129</stp>
        <tr r="L476" s="2"/>
      </tp>
      <tp t="s">
        <v>#N/A N/A</v>
        <stp/>
        <stp>BDP|13378285467804519906</stp>
        <tr r="F172" s="2"/>
      </tp>
      <tp t="s">
        <v>#N/A N/A</v>
        <stp/>
        <stp>BDP|16184588487043567226</stp>
        <tr r="H24" s="2"/>
      </tp>
      <tp t="s">
        <v>#N/A N/A</v>
        <stp/>
        <stp>BDP|14692882901291087764</stp>
        <tr r="I116" s="2"/>
      </tp>
      <tp t="s">
        <v>#N/A N/A</v>
        <stp/>
        <stp>BDP|10008139861705835839</stp>
        <tr r="R257" s="2"/>
      </tp>
      <tp t="s">
        <v>#N/A N/A</v>
        <stp/>
        <stp>BDP|11874880266547934265</stp>
        <tr r="R375" s="2"/>
      </tp>
      <tp t="s">
        <v>#N/A N/A</v>
        <stp/>
        <stp>BDP|16078910156414616499</stp>
        <tr r="K264" s="2"/>
      </tp>
      <tp t="s">
        <v>#N/A N/A</v>
        <stp/>
        <stp>BDP|12953122665847468826</stp>
        <tr r="L500" s="2"/>
      </tp>
      <tp t="s">
        <v>#N/A N/A</v>
        <stp/>
        <stp>BDP|18234174906207290491</stp>
        <tr r="M150" s="2"/>
      </tp>
      <tp t="s">
        <v>#N/A N/A</v>
        <stp/>
        <stp>BDP|16796817979903793003</stp>
        <tr r="N76" s="2"/>
      </tp>
      <tp t="s">
        <v>#N/A N/A</v>
        <stp/>
        <stp>BDP|11364062484807027493</stp>
        <tr r="L421" s="2"/>
      </tp>
      <tp t="s">
        <v>#N/A N/A</v>
        <stp/>
        <stp>BDP|15535483086864342700</stp>
        <tr r="D309" s="2"/>
      </tp>
      <tp t="s">
        <v>#N/A N/A</v>
        <stp/>
        <stp>BDP|12929220216113698836</stp>
        <tr r="P403" s="2"/>
      </tp>
      <tp t="s">
        <v>#N/A N/A</v>
        <stp/>
        <stp>BDP|17236822750303878306</stp>
        <tr r="E35" s="2"/>
      </tp>
      <tp t="s">
        <v>#N/A N/A</v>
        <stp/>
        <stp>BDP|11006385323309259311</stp>
        <tr r="H55" s="2"/>
      </tp>
      <tp t="s">
        <v>#N/A N/A</v>
        <stp/>
        <stp>BDP|16877464612189704033</stp>
        <tr r="H107" s="2"/>
      </tp>
      <tp t="s">
        <v>#N/A N/A</v>
        <stp/>
        <stp>BDP|16853853556759754845</stp>
        <tr r="R346" s="2"/>
      </tp>
      <tp t="s">
        <v>#N/A N/A</v>
        <stp/>
        <stp>BDP|13558398582410693200</stp>
        <tr r="C163" s="2"/>
      </tp>
      <tp t="s">
        <v>#N/A N/A</v>
        <stp/>
        <stp>BDP|18147595725690722525</stp>
        <tr r="G83" s="2"/>
      </tp>
      <tp t="s">
        <v>#N/A N/A</v>
        <stp/>
        <stp>BDP|14679980761775428432</stp>
        <tr r="F315" s="2"/>
      </tp>
      <tp t="s">
        <v>#N/A N/A</v>
        <stp/>
        <stp>BDP|14490105099870727626</stp>
        <tr r="K373" s="2"/>
      </tp>
      <tp t="s">
        <v>#N/A N/A</v>
        <stp/>
        <stp>BDP|13964542661472111856</stp>
        <tr r="Q221" s="2"/>
      </tp>
      <tp t="s">
        <v>#N/A N/A</v>
        <stp/>
        <stp>BDP|14431967812046196099</stp>
        <tr r="P23" s="2"/>
      </tp>
      <tp t="s">
        <v>#N/A N/A</v>
        <stp/>
        <stp>BDP|15893863076548061832</stp>
        <tr r="R79" s="2"/>
      </tp>
      <tp t="s">
        <v>#N/A N/A</v>
        <stp/>
        <stp>BDP|13787001788541307077</stp>
        <tr r="O74" s="2"/>
      </tp>
      <tp t="s">
        <v>#N/A N/A</v>
        <stp/>
        <stp>BDP|10558314688450394146</stp>
        <tr r="K6" s="2"/>
      </tp>
      <tp t="s">
        <v>#N/A N/A</v>
        <stp/>
        <stp>BDP|11051783281900523477</stp>
        <tr r="C78" s="2"/>
      </tp>
      <tp t="s">
        <v>#N/A N/A</v>
        <stp/>
        <stp>BDP|16372981247299154868</stp>
        <tr r="P462" s="2"/>
      </tp>
      <tp t="s">
        <v>#N/A N/A</v>
        <stp/>
        <stp>BDP|11979539213247161833</stp>
        <tr r="P408" s="2"/>
      </tp>
      <tp t="s">
        <v>#N/A N/A</v>
        <stp/>
        <stp>BDP|14984319376822363867</stp>
        <tr r="G103" s="2"/>
      </tp>
      <tp t="s">
        <v>#N/A N/A</v>
        <stp/>
        <stp>BDP|12129773947933891829</stp>
        <tr r="Q369" s="2"/>
      </tp>
      <tp t="s">
        <v>#N/A N/A</v>
        <stp/>
        <stp>BDP|15815799501349366185</stp>
        <tr r="O183" s="2"/>
      </tp>
      <tp t="s">
        <v>#N/A N/A</v>
        <stp/>
        <stp>BDP|15267792121323839998</stp>
        <tr r="R466" s="2"/>
      </tp>
      <tp t="s">
        <v>#N/A N/A</v>
        <stp/>
        <stp>BDP|18331295931325643662</stp>
        <tr r="G133" s="2"/>
      </tp>
      <tp t="s">
        <v>#N/A N/A</v>
        <stp/>
        <stp>BDP|16895635619822041993</stp>
        <tr r="R362" s="2"/>
      </tp>
      <tp t="s">
        <v>#N/A N/A</v>
        <stp/>
        <stp>BDP|11024557402807998954</stp>
        <tr r="K464" s="2"/>
      </tp>
      <tp t="s">
        <v>#N/A N/A</v>
        <stp/>
        <stp>BDP|16607633641517897979</stp>
        <tr r="E232" s="2"/>
      </tp>
      <tp t="s">
        <v>#N/A N/A</v>
        <stp/>
        <stp>BDP|14978007404608006663</stp>
        <tr r="C485" s="2"/>
      </tp>
      <tp t="s">
        <v>#N/A N/A</v>
        <stp/>
        <stp>BDP|15614348969543440952</stp>
        <tr r="G432" s="2"/>
      </tp>
      <tp t="s">
        <v>#N/A N/A</v>
        <stp/>
        <stp>BDP|14648448344817881946</stp>
        <tr r="K245" s="2"/>
      </tp>
      <tp t="s">
        <v>#N/A N/A</v>
        <stp/>
        <stp>BDP|14205965759454402633</stp>
        <tr r="E415" s="2"/>
      </tp>
      <tp t="s">
        <v>#N/A N/A</v>
        <stp/>
        <stp>BDP|15268355188531072550</stp>
        <tr r="N43" s="2"/>
      </tp>
      <tp t="s">
        <v>#N/A N/A</v>
        <stp/>
        <stp>BDP|17980338684094004241</stp>
        <tr r="J22" s="2"/>
      </tp>
      <tp t="s">
        <v>#N/A N/A</v>
        <stp/>
        <stp>BDP|10722374327878976349</stp>
        <tr r="E394" s="2"/>
      </tp>
      <tp t="s">
        <v>#N/A N/A</v>
        <stp/>
        <stp>BDP|10327919744832879542</stp>
        <tr r="F398" s="2"/>
      </tp>
      <tp t="s">
        <v>#N/A N/A</v>
        <stp/>
        <stp>BDP|12597811338235581634</stp>
        <tr r="G187" s="2"/>
      </tp>
      <tp t="s">
        <v>#N/A N/A</v>
        <stp/>
        <stp>BDP|11786332096791012089</stp>
        <tr r="D185" s="2"/>
      </tp>
      <tp t="s">
        <v>#N/A N/A</v>
        <stp/>
        <stp>BDP|17797070529596506916</stp>
        <tr r="K425" s="2"/>
      </tp>
      <tp t="s">
        <v>#N/A N/A</v>
        <stp/>
        <stp>BDP|13027690125655158809</stp>
        <tr r="R286" s="2"/>
      </tp>
      <tp t="s">
        <v>#N/A N/A</v>
        <stp/>
        <stp>BDP|14375272785332894647</stp>
        <tr r="R491" s="2"/>
      </tp>
      <tp t="s">
        <v>#N/A N/A</v>
        <stp/>
        <stp>BDP|18271896318883771893</stp>
        <tr r="E366" s="2"/>
      </tp>
      <tp t="s">
        <v>#N/A N/A</v>
        <stp/>
        <stp>BDP|14996468383177992585</stp>
        <tr r="F300" s="2"/>
      </tp>
      <tp t="s">
        <v>#N/A N/A</v>
        <stp/>
        <stp>BDP|12717980351183000733</stp>
        <tr r="Q267" s="2"/>
      </tp>
      <tp t="s">
        <v>#N/A N/A</v>
        <stp/>
        <stp>BDP|11351254549874685942</stp>
        <tr r="I78" s="2"/>
      </tp>
      <tp t="s">
        <v>#N/A N/A</v>
        <stp/>
        <stp>BDP|11307587633044456911</stp>
        <tr r="O271" s="2"/>
      </tp>
      <tp t="s">
        <v>#N/A N/A</v>
        <stp/>
        <stp>BDP|13142154206928722089</stp>
        <tr r="P69" s="2"/>
      </tp>
      <tp t="s">
        <v>#N/A N/A</v>
        <stp/>
        <stp>BDP|17310369420984930812</stp>
        <tr r="M434" s="2"/>
      </tp>
      <tp t="s">
        <v>#N/A N/A</v>
        <stp/>
        <stp>BDP|17339910740718945866</stp>
        <tr r="G360" s="2"/>
      </tp>
      <tp t="s">
        <v>#N/A N/A</v>
        <stp/>
        <stp>BDP|15235741499233535275</stp>
        <tr r="H196" s="2"/>
      </tp>
      <tp t="s">
        <v>#N/A N/A</v>
        <stp/>
        <stp>BDP|16427538533863933907</stp>
        <tr r="F46" s="2"/>
      </tp>
      <tp t="s">
        <v>#N/A N/A</v>
        <stp/>
        <stp>BDP|16923523887796989795</stp>
        <tr r="F421" s="2"/>
      </tp>
      <tp t="s">
        <v>#N/A N/A</v>
        <stp/>
        <stp>BDP|13524352491073526089</stp>
        <tr r="G339" s="2"/>
      </tp>
      <tp t="s">
        <v>#N/A N/A</v>
        <stp/>
        <stp>BDP|12575833916810412187</stp>
        <tr r="R76" s="2"/>
      </tp>
      <tp t="s">
        <v>#N/A N/A</v>
        <stp/>
        <stp>BDP|16889331972538415017</stp>
        <tr r="E211" s="2"/>
      </tp>
      <tp t="s">
        <v>#N/A N/A</v>
        <stp/>
        <stp>BDP|11513129161309391598</stp>
        <tr r="N142" s="2"/>
      </tp>
      <tp t="s">
        <v>#N/A N/A</v>
        <stp/>
        <stp>BDP|10177922621271708098</stp>
        <tr r="P124" s="2"/>
      </tp>
      <tp t="s">
        <v>#N/A N/A</v>
        <stp/>
        <stp>BDP|18093585423121564427</stp>
        <tr r="I459" s="2"/>
      </tp>
      <tp t="s">
        <v>#N/A N/A</v>
        <stp/>
        <stp>BDP|10873744393621273511</stp>
        <tr r="F112" s="2"/>
      </tp>
      <tp t="s">
        <v>#N/A N/A</v>
        <stp/>
        <stp>BDP|11485829105082925161</stp>
        <tr r="P378" s="2"/>
      </tp>
      <tp t="s">
        <v>#N/A N/A</v>
        <stp/>
        <stp>BDP|15838016958289526384</stp>
        <tr r="E481" s="2"/>
      </tp>
      <tp t="s">
        <v>#N/A N/A</v>
        <stp/>
        <stp>BDP|10233354933428100292</stp>
        <tr r="P379" s="2"/>
      </tp>
      <tp t="s">
        <v>#N/A N/A</v>
        <stp/>
        <stp>BDP|10209890892422234970</stp>
        <tr r="J147" s="2"/>
      </tp>
      <tp t="s">
        <v>#N/A N/A</v>
        <stp/>
        <stp>BDP|14128603488320566002</stp>
        <tr r="O93" s="2"/>
      </tp>
      <tp t="s">
        <v>#N/A N/A</v>
        <stp/>
        <stp>BDP|14223732818819342169</stp>
        <tr r="C38" s="2"/>
      </tp>
      <tp t="s">
        <v>#N/A N/A</v>
        <stp/>
        <stp>BDP|13211412989051607406</stp>
        <tr r="K7" s="2"/>
      </tp>
      <tp t="s">
        <v>#N/A N/A</v>
        <stp/>
        <stp>BDP|16592649289223102156</stp>
        <tr r="G323" s="2"/>
      </tp>
      <tp t="s">
        <v>#N/A N/A</v>
        <stp/>
        <stp>BDP|17039891982088075548</stp>
        <tr r="N502" s="2"/>
      </tp>
      <tp t="s">
        <v>#N/A N/A</v>
        <stp/>
        <stp>BDP|14230757808780961999</stp>
        <tr r="Q278" s="2"/>
      </tp>
      <tp t="s">
        <v>#N/A N/A</v>
        <stp/>
        <stp>BDP|10451291310138760150</stp>
        <tr r="Q260" s="2"/>
      </tp>
      <tp t="s">
        <v>#N/A N/A</v>
        <stp/>
        <stp>BDP|11079100866128165482</stp>
        <tr r="F282" s="2"/>
      </tp>
      <tp t="s">
        <v>#N/A N/A</v>
        <stp/>
        <stp>BDP|13909351882921492351</stp>
        <tr r="H199" s="2"/>
      </tp>
      <tp t="s">
        <v>#N/A N/A</v>
        <stp/>
        <stp>BDP|12110937853704706096</stp>
        <tr r="F54" s="2"/>
      </tp>
      <tp t="s">
        <v>#N/A N/A</v>
        <stp/>
        <stp>BDP|10848923450772745421</stp>
        <tr r="N159" s="2"/>
      </tp>
      <tp t="s">
        <v>#N/A N/A</v>
        <stp/>
        <stp>BDP|11290161450656928929</stp>
        <tr r="L49" s="2"/>
      </tp>
      <tp t="s">
        <v>#N/A N/A</v>
        <stp/>
        <stp>BDP|14361123282390451786</stp>
        <tr r="M488" s="2"/>
      </tp>
      <tp t="s">
        <v>#N/A N/A</v>
        <stp/>
        <stp>BDP|13963980037874192783</stp>
        <tr r="M32" s="2"/>
      </tp>
      <tp t="s">
        <v>#N/A N/A</v>
        <stp/>
        <stp>BDP|14558476306232859830</stp>
        <tr r="I492" s="2"/>
      </tp>
      <tp t="s">
        <v>#N/A N/A</v>
        <stp/>
        <stp>BDP|17076715982091889351</stp>
        <tr r="H21" s="2"/>
      </tp>
      <tp t="s">
        <v>#N/A N/A</v>
        <stp/>
        <stp>BDP|14863019080265447330</stp>
        <tr r="H393" s="2"/>
      </tp>
      <tp t="s">
        <v>#N/A N/A</v>
        <stp/>
        <stp>BDP|14446796405441092867</stp>
        <tr r="O201" s="2"/>
      </tp>
      <tp t="s">
        <v>#N/A N/A</v>
        <stp/>
        <stp>BDP|11922898425782379382</stp>
        <tr r="D377" s="2"/>
      </tp>
      <tp t="s">
        <v>#N/A N/A</v>
        <stp/>
        <stp>BDP|11191872729909830899</stp>
        <tr r="N432" s="2"/>
      </tp>
      <tp t="s">
        <v>#N/A N/A</v>
        <stp/>
        <stp>BDP|14553494281223391105</stp>
        <tr r="L344" s="2"/>
      </tp>
      <tp t="s">
        <v>#N/A N/A</v>
        <stp/>
        <stp>BDP|16857485486628839809</stp>
        <tr r="P248" s="2"/>
      </tp>
      <tp t="s">
        <v>#N/A N/A</v>
        <stp/>
        <stp>BDP|17980507084645730546</stp>
        <tr r="K212" s="2"/>
      </tp>
      <tp t="s">
        <v>#N/A N/A</v>
        <stp/>
        <stp>BDP|10809160977845799902</stp>
        <tr r="E355" s="2"/>
      </tp>
      <tp t="s">
        <v>#N/A N/A</v>
        <stp/>
        <stp>BDP|15712432427798565183</stp>
        <tr r="K447" s="2"/>
      </tp>
      <tp t="s">
        <v>#N/A N/A</v>
        <stp/>
        <stp>BDP|10568177891806511488</stp>
        <tr r="K84" s="2"/>
      </tp>
      <tp t="s">
        <v>#N/A N/A</v>
        <stp/>
        <stp>BDP|14036222865379935306</stp>
        <tr r="C491" s="2"/>
      </tp>
      <tp t="s">
        <v>#N/A N/A</v>
        <stp/>
        <stp>BDP|17286861958225275509</stp>
        <tr r="F397" s="2"/>
      </tp>
      <tp t="s">
        <v>#N/A N/A</v>
        <stp/>
        <stp>BDP|15228718295479213855</stp>
        <tr r="P311" s="2"/>
      </tp>
      <tp t="s">
        <v>#N/A N/A</v>
        <stp/>
        <stp>BDP|17309661868188827548</stp>
        <tr r="J103" s="2"/>
      </tp>
      <tp t="s">
        <v>#N/A N/A</v>
        <stp/>
        <stp>BDP|12796752022605752862</stp>
        <tr r="N128" s="2"/>
      </tp>
      <tp t="s">
        <v>#N/A N/A</v>
        <stp/>
        <stp>BDP|11441512701598184645</stp>
        <tr r="F326" s="2"/>
      </tp>
      <tp t="s">
        <v>#N/A N/A</v>
        <stp/>
        <stp>BDP|13356651215426772859</stp>
        <tr r="I158" s="2"/>
      </tp>
      <tp t="s">
        <v>#N/A N/A</v>
        <stp/>
        <stp>BDP|11513565506998281668</stp>
        <tr r="M161" s="2"/>
      </tp>
      <tp t="s">
        <v>#N/A N/A</v>
        <stp/>
        <stp>BDP|12528322756029923791</stp>
        <tr r="F483" s="2"/>
      </tp>
      <tp t="s">
        <v>#N/A N/A</v>
        <stp/>
        <stp>BDP|17613933536991026629</stp>
        <tr r="P458" s="2"/>
      </tp>
      <tp t="s">
        <v>#N/A N/A</v>
        <stp/>
        <stp>BDP|10665753797004254070</stp>
        <tr r="R378" s="2"/>
      </tp>
      <tp t="s">
        <v>#N/A N/A</v>
        <stp/>
        <stp>BDP|12765420191185123042</stp>
        <tr r="L89" s="2"/>
      </tp>
      <tp t="s">
        <v>#N/A N/A</v>
        <stp/>
        <stp>BDP|16924280828539074587</stp>
        <tr r="G366" s="2"/>
      </tp>
      <tp t="s">
        <v>#N/A N/A</v>
        <stp/>
        <stp>BDP|13956976144715851137</stp>
        <tr r="Q100" s="2"/>
      </tp>
      <tp t="s">
        <v>#N/A N/A</v>
        <stp/>
        <stp>BDP|15224410198745862725</stp>
        <tr r="G494" s="2"/>
      </tp>
      <tp t="s">
        <v>#N/A N/A</v>
        <stp/>
        <stp>BDP|18234941525621524872</stp>
        <tr r="H356" s="2"/>
      </tp>
      <tp t="s">
        <v>#N/A N/A</v>
        <stp/>
        <stp>BDP|11043549881292716424</stp>
        <tr r="R212" s="2"/>
      </tp>
      <tp t="s">
        <v>#N/A N/A</v>
        <stp/>
        <stp>BDP|13172188024338461290</stp>
        <tr r="P62" s="2"/>
      </tp>
      <tp t="s">
        <v>#N/A N/A</v>
        <stp/>
        <stp>BDP|15643638015338012007</stp>
        <tr r="G333" s="2"/>
      </tp>
      <tp t="s">
        <v>#N/A N/A</v>
        <stp/>
        <stp>BDP|12426958837754678602</stp>
        <tr r="C227" s="2"/>
      </tp>
      <tp t="s">
        <v>#N/A N/A</v>
        <stp/>
        <stp>BDP|16897235092884037399</stp>
        <tr r="H138" s="2"/>
      </tp>
      <tp t="s">
        <v>#N/A N/A</v>
        <stp/>
        <stp>BDP|12661627066768621049</stp>
        <tr r="D503" s="2"/>
      </tp>
      <tp t="s">
        <v>#N/A N/A</v>
        <stp/>
        <stp>BDP|11830184240707758979</stp>
        <tr r="M31" s="2"/>
      </tp>
      <tp t="s">
        <v>#N/A N/A</v>
        <stp/>
        <stp>BDP|13658573039189812601</stp>
        <tr r="M267" s="2"/>
      </tp>
      <tp t="s">
        <v>#N/A N/A</v>
        <stp/>
        <stp>BDP|11956807879041001504</stp>
        <tr r="Q310" s="2"/>
      </tp>
      <tp t="s">
        <v>#N/A N/A</v>
        <stp/>
        <stp>BDP|12366071081365170545</stp>
        <tr r="G475" s="2"/>
      </tp>
      <tp t="s">
        <v>#N/A N/A</v>
        <stp/>
        <stp>BDP|16738349534749584520</stp>
        <tr r="I274" s="2"/>
      </tp>
      <tp t="s">
        <v>#N/A N/A</v>
        <stp/>
        <stp>BDP|12168472656650563951</stp>
        <tr r="G22" s="2"/>
      </tp>
      <tp t="s">
        <v>#N/A N/A</v>
        <stp/>
        <stp>BDP|14700894406906802008</stp>
        <tr r="F21" s="2"/>
      </tp>
      <tp t="s">
        <v>#N/A N/A</v>
        <stp/>
        <stp>BDP|10538571172470585864</stp>
        <tr r="P160" s="2"/>
      </tp>
      <tp t="s">
        <v>#N/A N/A</v>
        <stp/>
        <stp>BDP|17361967622933542516</stp>
        <tr r="R231" s="2"/>
      </tp>
      <tp t="s">
        <v>#N/A N/A</v>
        <stp/>
        <stp>BDP|15756234731837288948</stp>
        <tr r="F80" s="2"/>
      </tp>
      <tp t="s">
        <v>#N/A N/A</v>
        <stp/>
        <stp>BDP|17825799391350564367</stp>
        <tr r="F247" s="2"/>
      </tp>
      <tp t="s">
        <v>#N/A N/A</v>
        <stp/>
        <stp>BDP|14879096182520053609</stp>
        <tr r="I277" s="2"/>
      </tp>
      <tp t="s">
        <v>#N/A N/A</v>
        <stp/>
        <stp>BDP|13329417633357484960</stp>
        <tr r="O339" s="2"/>
      </tp>
      <tp t="s">
        <v>#N/A N/A</v>
        <stp/>
        <stp>BDP|11165710692827159205</stp>
        <tr r="M393" s="2"/>
      </tp>
      <tp t="s">
        <v>#N/A N/A</v>
        <stp/>
        <stp>BDP|16684931479640737281</stp>
        <tr r="L413" s="2"/>
      </tp>
      <tp t="s">
        <v>#N/A N/A</v>
        <stp/>
        <stp>BDP|12433147633448677264</stp>
        <tr r="K137" s="2"/>
      </tp>
      <tp t="s">
        <v>#N/A N/A</v>
        <stp/>
        <stp>BDP|13283760169518695087</stp>
        <tr r="I334" s="2"/>
      </tp>
      <tp t="s">
        <v>#N/A N/A</v>
        <stp/>
        <stp>BDP|11292370760749595735</stp>
        <tr r="G296" s="2"/>
      </tp>
      <tp t="s">
        <v>#N/A N/A</v>
        <stp/>
        <stp>BDP|13697606699860836645</stp>
        <tr r="E433" s="2"/>
      </tp>
      <tp t="s">
        <v>#N/A N/A</v>
        <stp/>
        <stp>BDP|14711832815247749052</stp>
        <tr r="F382" s="2"/>
      </tp>
      <tp t="s">
        <v>#N/A N/A</v>
        <stp/>
        <stp>BDP|18157753226121073617</stp>
        <tr r="P371" s="2"/>
      </tp>
      <tp t="s">
        <v>#N/A N/A</v>
        <stp/>
        <stp>BDP|17002517702069750174</stp>
        <tr r="K104" s="2"/>
      </tp>
      <tp t="s">
        <v>#N/A N/A</v>
        <stp/>
        <stp>BDP|10432440684651759705</stp>
        <tr r="R433" s="2"/>
      </tp>
      <tp t="s">
        <v>#N/A N/A</v>
        <stp/>
        <stp>BDP|14563110090927351153</stp>
        <tr r="K496" s="2"/>
      </tp>
      <tp t="s">
        <v>#N/A N/A</v>
        <stp/>
        <stp>BDP|14108879952321007262</stp>
        <tr r="C381" s="2"/>
      </tp>
      <tp t="s">
        <v>#N/A N/A</v>
        <stp/>
        <stp>BDP|17849940461765970766</stp>
        <tr r="Q45" s="2"/>
      </tp>
      <tp t="s">
        <v>#N/A N/A</v>
        <stp/>
        <stp>BDP|11590302142704454818</stp>
        <tr r="O142" s="2"/>
      </tp>
      <tp t="s">
        <v>#N/A N/A</v>
        <stp/>
        <stp>BDP|17659724182981705339</stp>
        <tr r="C97" s="2"/>
      </tp>
      <tp t="s">
        <v>#N/A N/A</v>
        <stp/>
        <stp>BDP|11085163610502397976</stp>
        <tr r="L362" s="2"/>
      </tp>
      <tp t="s">
        <v>#N/A N/A</v>
        <stp/>
        <stp>BDP|15024455862455254876</stp>
        <tr r="O104" s="2"/>
      </tp>
      <tp t="s">
        <v>#N/A N/A</v>
        <stp/>
        <stp>BDP|12796989058321612532</stp>
        <tr r="L197" s="2"/>
      </tp>
      <tp t="s">
        <v>#N/A N/A</v>
        <stp/>
        <stp>BDP|16995804735044933379</stp>
        <tr r="Q52" s="2"/>
      </tp>
      <tp t="s">
        <v>#N/A N/A</v>
        <stp/>
        <stp>BDP|13144737167709441136</stp>
        <tr r="I130" s="2"/>
      </tp>
      <tp t="s">
        <v>#N/A N/A</v>
        <stp/>
        <stp>BDP|12494704268291162882</stp>
        <tr r="E419" s="2"/>
      </tp>
      <tp t="s">
        <v>#N/A N/A</v>
        <stp/>
        <stp>BDP|12211176983286267719</stp>
        <tr r="D75" s="2"/>
      </tp>
      <tp t="s">
        <v>#N/A N/A</v>
        <stp/>
        <stp>BDP|15017576674238481524</stp>
        <tr r="R402" s="2"/>
      </tp>
      <tp t="s">
        <v>#N/A N/A</v>
        <stp/>
        <stp>BDP|12401858233000270351</stp>
        <tr r="R266" s="2"/>
      </tp>
      <tp t="s">
        <v>#N/A N/A</v>
        <stp/>
        <stp>BDP|10385950725752453329</stp>
        <tr r="Q205" s="2"/>
      </tp>
      <tp t="s">
        <v>#N/A N/A</v>
        <stp/>
        <stp>BDP|13165523897210518546</stp>
        <tr r="J40" s="2"/>
      </tp>
      <tp t="s">
        <v>#N/A N/A</v>
        <stp/>
        <stp>BDP|10135985133000822073</stp>
        <tr r="D35" s="2"/>
      </tp>
      <tp t="s">
        <v>#N/A N/A</v>
        <stp/>
        <stp>BDP|15803841944010818356</stp>
        <tr r="L226" s="2"/>
      </tp>
      <tp t="s">
        <v>#N/A N/A</v>
        <stp/>
        <stp>BDP|15153374696287458213</stp>
        <tr r="M299" s="2"/>
      </tp>
      <tp t="s">
        <v>#N/A N/A</v>
        <stp/>
        <stp>BDP|11293821865907707275</stp>
        <tr r="G84" s="2"/>
      </tp>
      <tp t="s">
        <v>#N/A N/A</v>
        <stp/>
        <stp>BDP|13442817890018082010</stp>
        <tr r="C174" s="2"/>
      </tp>
      <tp t="s">
        <v>#N/A N/A</v>
        <stp/>
        <stp>BDP|10749846014020490370</stp>
        <tr r="K14" s="2"/>
      </tp>
      <tp t="s">
        <v>#N/A N/A</v>
        <stp/>
        <stp>BDP|13290827192478490029</stp>
        <tr r="E215" s="2"/>
      </tp>
      <tp t="s">
        <v>#N/A N/A</v>
        <stp/>
        <stp>BDP|11027982734826942716</stp>
        <tr r="L168" s="2"/>
      </tp>
      <tp t="s">
        <v>#N/A N/A</v>
        <stp/>
        <stp>BDP|11947032584512277189</stp>
        <tr r="P335" s="2"/>
      </tp>
      <tp t="s">
        <v>#N/A N/A</v>
        <stp/>
        <stp>BDP|16955922726040172782</stp>
        <tr r="C302" s="2"/>
      </tp>
      <tp t="s">
        <v>#N/A N/A</v>
        <stp/>
        <stp>BDP|13222169140885335930</stp>
        <tr r="J47" s="2"/>
      </tp>
      <tp t="s">
        <v>#N/A N/A</v>
        <stp/>
        <stp>BDP|16932289435495886886</stp>
        <tr r="G66" s="2"/>
      </tp>
      <tp t="s">
        <v>#N/A N/A</v>
        <stp/>
        <stp>BDP|10460582599580062611</stp>
        <tr r="R126" s="2"/>
      </tp>
      <tp t="s">
        <v>#N/A N/A</v>
        <stp/>
        <stp>BDP|15014643909521997808</stp>
        <tr r="N120" s="2"/>
      </tp>
      <tp t="s">
        <v>#N/A N/A</v>
        <stp/>
        <stp>BDP|14903552290225015784</stp>
        <tr r="H341" s="2"/>
      </tp>
      <tp t="s">
        <v>#N/A N/A</v>
        <stp/>
        <stp>BDP|10167850636293398259</stp>
        <tr r="Q461" s="2"/>
      </tp>
      <tp t="s">
        <v>#N/A N/A</v>
        <stp/>
        <stp>BDP|11730975472562309768</stp>
        <tr r="M370" s="2"/>
      </tp>
      <tp t="s">
        <v>#N/A N/A</v>
        <stp/>
        <stp>BDP|16451498348058362410</stp>
        <tr r="M9" s="2"/>
      </tp>
      <tp t="s">
        <v>#N/A N/A</v>
        <stp/>
        <stp>BDP|11961484933928023453</stp>
        <tr r="N40" s="2"/>
      </tp>
      <tp t="s">
        <v>#N/A N/A</v>
        <stp/>
        <stp>BDP|12054205267694288824</stp>
        <tr r="O405" s="2"/>
      </tp>
      <tp t="s">
        <v>#N/A N/A</v>
        <stp/>
        <stp>BDP|17718719250178791769</stp>
        <tr r="G390" s="2"/>
      </tp>
      <tp t="s">
        <v>#N/A N/A</v>
        <stp/>
        <stp>BDP|11613736985830773407</stp>
        <tr r="C252" s="2"/>
      </tp>
      <tp t="s">
        <v>#N/A N/A</v>
        <stp/>
        <stp>BDP|16781474658284790989</stp>
        <tr r="C113" s="2"/>
      </tp>
      <tp t="s">
        <v>#N/A N/A</v>
        <stp/>
        <stp>BDP|16957984583598235579</stp>
        <tr r="Q429" s="2"/>
      </tp>
      <tp t="s">
        <v>#N/A N/A</v>
        <stp/>
        <stp>BDP|14474203992513354629</stp>
        <tr r="H103" s="2"/>
      </tp>
      <tp t="s">
        <v>#N/A N/A</v>
        <stp/>
        <stp>BDP|16174916978850929266</stp>
        <tr r="G326" s="2"/>
      </tp>
      <tp t="s">
        <v>#N/A N/A</v>
        <stp/>
        <stp>BDP|14941201932067805844</stp>
        <tr r="F486" s="2"/>
      </tp>
      <tp t="s">
        <v>#N/A N/A</v>
        <stp/>
        <stp>BDP|13090850114952361256</stp>
        <tr r="E277" s="2"/>
      </tp>
      <tp t="s">
        <v>#N/A N/A</v>
        <stp/>
        <stp>BDP|14089066905818471601</stp>
        <tr r="P42" s="2"/>
      </tp>
      <tp t="s">
        <v>#N/A N/A</v>
        <stp/>
        <stp>BDP|12959505208279010464</stp>
        <tr r="J442" s="2"/>
      </tp>
      <tp t="s">
        <v>#N/A N/A</v>
        <stp/>
        <stp>BDP|12866633294256838103</stp>
        <tr r="D134" s="2"/>
      </tp>
      <tp t="s">
        <v>#N/A N/A</v>
        <stp/>
        <stp>BDP|11135916959381943674</stp>
        <tr r="F148" s="2"/>
      </tp>
      <tp t="s">
        <v>#N/A N/A</v>
        <stp/>
        <stp>BDP|15991476559777781976</stp>
        <tr r="L55" s="2"/>
      </tp>
      <tp t="s">
        <v>#N/A N/A</v>
        <stp/>
        <stp>BDP|16591869916441033423</stp>
        <tr r="O115" s="2"/>
      </tp>
      <tp t="s">
        <v>#N/A N/A</v>
        <stp/>
        <stp>BDP|10578604401915108930</stp>
        <tr r="I489" s="2"/>
      </tp>
      <tp t="s">
        <v>#N/A N/A</v>
        <stp/>
        <stp>BDP|17180529695145315438</stp>
        <tr r="L69" s="2"/>
      </tp>
      <tp t="s">
        <v>#N/A N/A</v>
        <stp/>
        <stp>BDP|13702967164457194124</stp>
        <tr r="F450" s="2"/>
      </tp>
      <tp t="s">
        <v>#N/A N/A</v>
        <stp/>
        <stp>BDP|18429930243059333612</stp>
        <tr r="N283" s="2"/>
      </tp>
      <tp t="s">
        <v>#N/A N/A</v>
        <stp/>
        <stp>BDP|16804883960323058166</stp>
        <tr r="O30" s="2"/>
      </tp>
      <tp t="s">
        <v>#N/A N/A</v>
        <stp/>
        <stp>BDP|18011751409241379494</stp>
        <tr r="P192" s="2"/>
      </tp>
      <tp t="s">
        <v>#N/A N/A</v>
        <stp/>
        <stp>BDP|10764974436610584059</stp>
        <tr r="O312" s="2"/>
      </tp>
      <tp t="s">
        <v>#N/A N/A</v>
        <stp/>
        <stp>BDP|14715944950132419010</stp>
        <tr r="P431" s="2"/>
      </tp>
      <tp t="s">
        <v>#N/A N/A</v>
        <stp/>
        <stp>BDP|14695661507191988985</stp>
        <tr r="F334" s="2"/>
      </tp>
      <tp t="s">
        <v>#N/A N/A</v>
        <stp/>
        <stp>BDP|12755758212507108883</stp>
        <tr r="H394" s="2"/>
      </tp>
      <tp t="s">
        <v>#N/A N/A</v>
        <stp/>
        <stp>BDP|10485642508395643877</stp>
        <tr r="J14" s="2"/>
      </tp>
      <tp t="s">
        <v>#N/A N/A</v>
        <stp/>
        <stp>BDP|11649086222879249177</stp>
        <tr r="E294" s="2"/>
      </tp>
      <tp t="s">
        <v>#N/A N/A</v>
        <stp/>
        <stp>BDP|11301343897661806117</stp>
        <tr r="E224" s="2"/>
      </tp>
      <tp t="s">
        <v>#N/A N/A</v>
        <stp/>
        <stp>BDP|11280478054478072381</stp>
        <tr r="J21" s="2"/>
      </tp>
      <tp t="s">
        <v>#N/A N/A</v>
        <stp/>
        <stp>BDP|18114297143624466164</stp>
        <tr r="E244" s="2"/>
      </tp>
      <tp t="s">
        <v>#N/A N/A</v>
        <stp/>
        <stp>BDP|16612756600259834326</stp>
        <tr r="D96" s="2"/>
      </tp>
      <tp t="s">
        <v>#N/A N/A</v>
        <stp/>
        <stp>BDP|15302848199988576721</stp>
        <tr r="H370" s="2"/>
      </tp>
      <tp t="s">
        <v>#N/A N/A</v>
        <stp/>
        <stp>BDP|11235725586196799388</stp>
        <tr r="Q156" s="2"/>
      </tp>
      <tp t="s">
        <v>#N/A N/A</v>
        <stp/>
        <stp>BDP|14605011485987846027</stp>
        <tr r="P65" s="2"/>
      </tp>
      <tp t="s">
        <v>#N/A N/A</v>
        <stp/>
        <stp>BDP|15591443381383865107</stp>
        <tr r="N9" s="2"/>
      </tp>
      <tp t="s">
        <v>#N/A N/A</v>
        <stp/>
        <stp>BDP|13620953739586151439</stp>
        <tr r="D387" s="2"/>
      </tp>
      <tp t="s">
        <v>#N/A N/A</v>
        <stp/>
        <stp>BDP|15175216489967808395</stp>
        <tr r="D107" s="2"/>
      </tp>
      <tp t="s">
        <v>#N/A N/A</v>
        <stp/>
        <stp>BDP|13242893605203111379</stp>
        <tr r="H490" s="2"/>
      </tp>
      <tp t="s">
        <v>#N/A N/A</v>
        <stp/>
        <stp>BDP|12166934504856651683</stp>
        <tr r="K196" s="2"/>
      </tp>
      <tp t="s">
        <v>#N/A N/A</v>
        <stp/>
        <stp>BDP|15930806147607020562</stp>
        <tr r="J58" s="2"/>
      </tp>
      <tp t="s">
        <v>#N/A N/A</v>
        <stp/>
        <stp>BDP|13909885766772708480</stp>
        <tr r="Q476" s="2"/>
      </tp>
      <tp t="s">
        <v>#N/A N/A</v>
        <stp/>
        <stp>BDP|15632798524218382300</stp>
        <tr r="K217" s="2"/>
      </tp>
      <tp t="s">
        <v>#N/A N/A</v>
        <stp/>
        <stp>BDP|12333692564499258041</stp>
        <tr r="O500" s="2"/>
      </tp>
      <tp t="s">
        <v>#N/A N/A</v>
        <stp/>
        <stp>BDP|11933537482313936495</stp>
        <tr r="R405" s="2"/>
      </tp>
      <tp t="s">
        <v>#N/A N/A</v>
        <stp/>
        <stp>BDP|11651494936115555840</stp>
        <tr r="K160" s="2"/>
      </tp>
      <tp t="s">
        <v>#N/A N/A</v>
        <stp/>
        <stp>BDP|14852452720878770113</stp>
        <tr r="Q410" s="2"/>
      </tp>
      <tp t="s">
        <v>#N/A N/A</v>
        <stp/>
        <stp>BDP|12819965032066080575</stp>
        <tr r="C432" s="2"/>
      </tp>
      <tp t="s">
        <v>#N/A N/A</v>
        <stp/>
        <stp>BDP|13931154316891203936</stp>
        <tr r="E469" s="2"/>
      </tp>
      <tp t="s">
        <v>#N/A N/A</v>
        <stp/>
        <stp>BDP|18094693456117133750</stp>
        <tr r="H79" s="2"/>
      </tp>
      <tp t="s">
        <v>#N/A N/A</v>
        <stp/>
        <stp>BDP|11225073384476387493</stp>
        <tr r="N387" s="2"/>
      </tp>
      <tp t="s">
        <v>#N/A N/A</v>
        <stp/>
        <stp>BDP|15055468233419647083</stp>
        <tr r="M253" s="2"/>
      </tp>
      <tp t="s">
        <v>#N/A N/A</v>
        <stp/>
        <stp>BDP|13093963477107373191</stp>
        <tr r="K23" s="2"/>
      </tp>
      <tp t="s">
        <v>#N/A N/A</v>
        <stp/>
        <stp>BDP|17817616924748111073</stp>
        <tr r="R403" s="2"/>
      </tp>
      <tp t="s">
        <v>#N/A N/A</v>
        <stp/>
        <stp>BDP|10906529462931631941</stp>
        <tr r="E28" s="2"/>
      </tp>
      <tp t="s">
        <v>#N/A N/A</v>
        <stp/>
        <stp>BDP|11825849139921841066</stp>
        <tr r="J8" s="2"/>
      </tp>
      <tp t="s">
        <v>#N/A N/A</v>
        <stp/>
        <stp>BDP|12642396781070775225</stp>
        <tr r="N493" s="2"/>
      </tp>
      <tp t="s">
        <v>#N/A N/A</v>
        <stp/>
        <stp>BDP|16858767047767621942</stp>
        <tr r="F273" s="2"/>
      </tp>
      <tp t="s">
        <v>#N/A N/A</v>
        <stp/>
        <stp>BDP|11536241282190865000</stp>
        <tr r="D112" s="2"/>
      </tp>
      <tp t="s">
        <v>#N/A N/A</v>
        <stp/>
        <stp>BDP|13263009219869009003</stp>
        <tr r="Q487" s="2"/>
      </tp>
      <tp t="s">
        <v>#N/A N/A</v>
        <stp/>
        <stp>BDP|12570386810812531920</stp>
        <tr r="H118" s="2"/>
      </tp>
      <tp t="s">
        <v>#N/A N/A</v>
        <stp/>
        <stp>BDP|10089087573785903982</stp>
        <tr r="Q63" s="2"/>
      </tp>
      <tp t="s">
        <v>#N/A N/A</v>
        <stp/>
        <stp>BDP|13223622013688080797</stp>
        <tr r="L12" s="2"/>
      </tp>
      <tp t="s">
        <v>#N/A N/A</v>
        <stp/>
        <stp>BDP|12595933369571394768</stp>
        <tr r="M322" s="2"/>
      </tp>
      <tp t="s">
        <v>#N/A N/A</v>
        <stp/>
        <stp>BDP|13052549191086932263</stp>
        <tr r="N244" s="2"/>
      </tp>
      <tp t="s">
        <v>#N/A N/A</v>
        <stp/>
        <stp>BDP|12857574097151503470</stp>
        <tr r="N344" s="2"/>
      </tp>
      <tp t="s">
        <v>#N/A N/A</v>
        <stp/>
        <stp>BDP|11287487306056489820</stp>
        <tr r="H324" s="2"/>
      </tp>
      <tp t="s">
        <v>#N/A N/A</v>
        <stp/>
        <stp>BDP|11889339325769309271</stp>
        <tr r="Q391" s="2"/>
      </tp>
      <tp t="s">
        <v>#N/A N/A</v>
        <stp/>
        <stp>BDP|14613190794623243436</stp>
        <tr r="K291" s="2"/>
      </tp>
      <tp t="s">
        <v>#N/A N/A</v>
        <stp/>
        <stp>BDP|17714969412343833763</stp>
        <tr r="R272" s="2"/>
      </tp>
      <tp t="s">
        <v>#N/A N/A</v>
        <stp/>
        <stp>BDP|10528955121537589793</stp>
        <tr r="N334" s="2"/>
      </tp>
      <tp t="s">
        <v>#N/A N/A</v>
        <stp/>
        <stp>BDP|12639719798303510470</stp>
        <tr r="D252" s="2"/>
      </tp>
      <tp t="s">
        <v>#N/A N/A</v>
        <stp/>
        <stp>BDP|16464634888112190137</stp>
        <tr r="E254" s="2"/>
      </tp>
      <tp t="s">
        <v>#N/A N/A</v>
        <stp/>
        <stp>BDP|15153978121034987138</stp>
        <tr r="H265" s="2"/>
      </tp>
      <tp t="s">
        <v>#N/A N/A</v>
        <stp/>
        <stp>BDP|14139672073687049980</stp>
        <tr r="Q474" s="2"/>
      </tp>
      <tp t="s">
        <v>#N/A N/A</v>
        <stp/>
        <stp>BDP|11061496692166454127</stp>
        <tr r="D451" s="2"/>
      </tp>
      <tp t="s">
        <v>#N/A N/A</v>
        <stp/>
        <stp>BDP|17526762093162428091</stp>
        <tr r="G279" s="2"/>
      </tp>
      <tp t="s">
        <v>#N/A N/A</v>
        <stp/>
        <stp>BDP|10800652167832203958</stp>
        <tr r="P420" s="2"/>
      </tp>
      <tp t="s">
        <v>#N/A N/A</v>
        <stp/>
        <stp>BDP|10352129387414983620</stp>
        <tr r="I319" s="2"/>
      </tp>
      <tp t="s">
        <v>#N/A N/A</v>
        <stp/>
        <stp>BDP|17852425717251866881</stp>
        <tr r="R144" s="2"/>
      </tp>
      <tp t="s">
        <v>#N/A N/A</v>
        <stp/>
        <stp>BDP|18423817847728876771</stp>
        <tr r="H229" s="2"/>
      </tp>
      <tp t="s">
        <v>#N/A N/A</v>
        <stp/>
        <stp>BDP|12204699250628582233</stp>
        <tr r="L363" s="2"/>
      </tp>
      <tp t="s">
        <v>#N/A N/A</v>
        <stp/>
        <stp>BDP|13972276467385586901</stp>
        <tr r="R269" s="2"/>
      </tp>
      <tp t="s">
        <v>#N/A N/A</v>
        <stp/>
        <stp>BDP|13675796274930201853</stp>
        <tr r="H398" s="2"/>
      </tp>
      <tp t="s">
        <v>#N/A N/A</v>
        <stp/>
        <stp>BDP|10320228793694836465</stp>
        <tr r="E487" s="2"/>
      </tp>
      <tp t="s">
        <v>#N/A N/A</v>
        <stp/>
        <stp>BDP|18178350645482999643</stp>
        <tr r="P96" s="2"/>
      </tp>
      <tp t="s">
        <v>#N/A N/A</v>
        <stp/>
        <stp>BDP|13661493245891343950</stp>
        <tr r="K459" s="2"/>
      </tp>
      <tp t="s">
        <v>#N/A N/A</v>
        <stp/>
        <stp>BDP|17746398212638872684</stp>
        <tr r="G301" s="2"/>
      </tp>
      <tp t="s">
        <v>#N/A N/A</v>
        <stp/>
        <stp>BDP|18271095896719849398</stp>
        <tr r="D367" s="2"/>
      </tp>
      <tp t="s">
        <v>#N/A N/A</v>
        <stp/>
        <stp>BDP|10137854315872864051</stp>
        <tr r="L144" s="2"/>
      </tp>
      <tp t="s">
        <v>#N/A N/A</v>
        <stp/>
        <stp>BDP|17366372273121387985</stp>
        <tr r="L4" s="2"/>
      </tp>
      <tp t="s">
        <v>#N/A N/A</v>
        <stp/>
        <stp>BDP|14297868318465695362</stp>
        <tr r="G56" s="2"/>
      </tp>
      <tp t="s">
        <v>#N/A N/A</v>
        <stp/>
        <stp>BDP|13915527593115481102</stp>
        <tr r="P28" s="2"/>
      </tp>
      <tp t="s">
        <v>#N/A N/A</v>
        <stp/>
        <stp>BDP|10872015184254145708</stp>
        <tr r="D440" s="2"/>
      </tp>
      <tp t="s">
        <v>#N/A N/A</v>
        <stp/>
        <stp>BDP|12555349169969767535</stp>
        <tr r="H390" s="2"/>
      </tp>
      <tp t="s">
        <v>#N/A N/A</v>
        <stp/>
        <stp>BDP|10826826532784534414</stp>
        <tr r="G351" s="2"/>
      </tp>
      <tp t="s">
        <v>#N/A N/A</v>
        <stp/>
        <stp>BDP|11870315989680682197</stp>
        <tr r="M350" s="2"/>
      </tp>
      <tp t="s">
        <v>#N/A N/A</v>
        <stp/>
        <stp>BDP|18325149847324754287</stp>
        <tr r="J36" s="2"/>
      </tp>
      <tp t="s">
        <v>#N/A N/A</v>
        <stp/>
        <stp>BDP|13014489814998382501</stp>
        <tr r="G149" s="2"/>
      </tp>
      <tp t="s">
        <v>#N/A N/A</v>
        <stp/>
        <stp>BDP|15795897418322974507</stp>
        <tr r="O72" s="2"/>
      </tp>
      <tp t="s">
        <v>#N/A N/A</v>
        <stp/>
        <stp>BDP|16093831419172027657</stp>
        <tr r="Q361" s="2"/>
      </tp>
      <tp t="s">
        <v>#N/A N/A</v>
        <stp/>
        <stp>BDP|15431036141828801211</stp>
        <tr r="K273" s="2"/>
      </tp>
      <tp t="s">
        <v>#N/A N/A</v>
        <stp/>
        <stp>BDP|13967634423494760813</stp>
        <tr r="R40" s="2"/>
      </tp>
      <tp t="s">
        <v>#N/A N/A</v>
        <stp/>
        <stp>BDP|15713915289299312635</stp>
        <tr r="L349" s="2"/>
      </tp>
      <tp t="s">
        <v>#N/A N/A</v>
        <stp/>
        <stp>BDP|13750355575275946917</stp>
        <tr r="R311" s="2"/>
      </tp>
      <tp t="s">
        <v>#N/A N/A</v>
        <stp/>
        <stp>BDP|12044713699992361548</stp>
        <tr r="J28" s="2"/>
      </tp>
      <tp t="s">
        <v>#N/A N/A</v>
        <stp/>
        <stp>BDP|10967021644158078707</stp>
        <tr r="R262" s="2"/>
      </tp>
      <tp t="s">
        <v>#N/A N/A</v>
        <stp/>
        <stp>BDP|17490700118358758249</stp>
        <tr r="D71" s="2"/>
      </tp>
      <tp t="s">
        <v>#N/A N/A</v>
        <stp/>
        <stp>BDP|10885883678884165063</stp>
        <tr r="C104" s="2"/>
      </tp>
      <tp t="s">
        <v>#N/A N/A</v>
        <stp/>
        <stp>BDP|16425265189521230665</stp>
        <tr r="J125" s="2"/>
      </tp>
      <tp t="s">
        <v>#N/A N/A</v>
        <stp/>
        <stp>BDP|12845585007138012498</stp>
        <tr r="E226" s="2"/>
      </tp>
      <tp t="s">
        <v>#N/A N/A</v>
        <stp/>
        <stp>BDP|16804961777443143068</stp>
        <tr r="G8" s="2"/>
      </tp>
      <tp t="s">
        <v>#N/A N/A</v>
        <stp/>
        <stp>BDP|15673847776392985334</stp>
        <tr r="H489" s="2"/>
      </tp>
      <tp t="s">
        <v>#N/A N/A</v>
        <stp/>
        <stp>BDP|17648295450638317328</stp>
        <tr r="N291" s="2"/>
      </tp>
      <tp t="s">
        <v>#N/A N/A</v>
        <stp/>
        <stp>BDP|12886218109748796392</stp>
        <tr r="I104" s="2"/>
      </tp>
      <tp t="s">
        <v>#N/A N/A</v>
        <stp/>
        <stp>BDP|12860097092706833659</stp>
        <tr r="L219" s="2"/>
      </tp>
      <tp t="s">
        <v>#N/A N/A</v>
        <stp/>
        <stp>BDP|11336886934407310622</stp>
        <tr r="Q290" s="2"/>
      </tp>
      <tp t="s">
        <v>#N/A N/A</v>
        <stp/>
        <stp>BDP|14923499247737134876</stp>
        <tr r="L338" s="2"/>
      </tp>
      <tp t="s">
        <v>#N/A N/A</v>
        <stp/>
        <stp>BDP|10583957837152317357</stp>
        <tr r="D412" s="2"/>
      </tp>
      <tp t="s">
        <v>#N/A N/A</v>
        <stp/>
        <stp>BDP|11255019517298510300</stp>
        <tr r="D138" s="2"/>
      </tp>
      <tp t="s">
        <v>#N/A N/A</v>
        <stp/>
        <stp>BDP|14255869596048212613</stp>
        <tr r="K436" s="2"/>
      </tp>
      <tp t="s">
        <v>#N/A N/A</v>
        <stp/>
        <stp>BDP|16629020171198043249</stp>
        <tr r="F459" s="2"/>
      </tp>
      <tp t="s">
        <v>#N/A N/A</v>
        <stp/>
        <stp>BDP|14528592047877804925</stp>
        <tr r="L473" s="2"/>
      </tp>
      <tp t="s">
        <v>#N/A N/A</v>
        <stp/>
        <stp>BDP|13493214375318191505</stp>
        <tr r="F390" s="2"/>
      </tp>
      <tp t="s">
        <v>#N/A N/A</v>
        <stp/>
        <stp>BDP|11952184960108604561</stp>
        <tr r="P59" s="2"/>
      </tp>
      <tp t="s">
        <v>#N/A N/A</v>
        <stp/>
        <stp>BDP|14564129277980151907</stp>
        <tr r="P493" s="2"/>
      </tp>
      <tp t="s">
        <v>#N/A N/A</v>
        <stp/>
        <stp>BDP|12549217406772128922</stp>
        <tr r="C281" s="2"/>
      </tp>
      <tp t="s">
        <v>#N/A N/A</v>
        <stp/>
        <stp>BDP|13504778773361744964</stp>
        <tr r="H151" s="2"/>
      </tp>
      <tp t="s">
        <v>#N/A N/A</v>
        <stp/>
        <stp>BDP|10109364996978550942</stp>
        <tr r="N284" s="2"/>
      </tp>
      <tp t="s">
        <v>#N/A N/A</v>
        <stp/>
        <stp>BDP|12132844666837078031</stp>
        <tr r="P143" s="2"/>
      </tp>
      <tp t="s">
        <v>#N/A N/A</v>
        <stp/>
        <stp>BDP|18286215004660747106</stp>
        <tr r="J491" s="2"/>
      </tp>
      <tp t="s">
        <v>#N/A N/A</v>
        <stp/>
        <stp>BDP|10341842032046498610</stp>
        <tr r="D405" s="2"/>
      </tp>
      <tp t="s">
        <v>#N/A N/A</v>
        <stp/>
        <stp>BDP|10322906336589656837</stp>
        <tr r="H304" s="2"/>
      </tp>
      <tp t="s">
        <v>#N/A N/A</v>
        <stp/>
        <stp>BDP|12302343598534711785</stp>
        <tr r="Q460" s="2"/>
      </tp>
      <tp t="s">
        <v>#N/A N/A</v>
        <stp/>
        <stp>BDP|14611341219515928827</stp>
        <tr r="D298" s="2"/>
      </tp>
      <tp t="s">
        <v>#N/A N/A</v>
        <stp/>
        <stp>BDP|16944507427302749893</stp>
        <tr r="D254" s="2"/>
      </tp>
      <tp t="s">
        <v>#N/A N/A</v>
        <stp/>
        <stp>BDP|15889221399814784171</stp>
        <tr r="G190" s="2"/>
      </tp>
      <tp t="s">
        <v>#N/A N/A</v>
        <stp/>
        <stp>BDP|14207481695870893248</stp>
        <tr r="N481" s="2"/>
      </tp>
      <tp t="s">
        <v>#N/A N/A</v>
        <stp/>
        <stp>BDP|17694899242717826769</stp>
        <tr r="O31" s="2"/>
      </tp>
      <tp t="s">
        <v>#N/A N/A</v>
        <stp/>
        <stp>BDP|14546139881307084145</stp>
        <tr r="C454" s="2"/>
      </tp>
      <tp t="s">
        <v>#N/A N/A</v>
        <stp/>
        <stp>BDP|11123162194942999092</stp>
        <tr r="H333" s="2"/>
      </tp>
      <tp t="s">
        <v>#N/A N/A</v>
        <stp/>
        <stp>BDP|11754455690400713764</stp>
        <tr r="O356" s="2"/>
      </tp>
      <tp t="s">
        <v>#N/A N/A</v>
        <stp/>
        <stp>BDP|15506997839033660701</stp>
        <tr r="I398" s="2"/>
      </tp>
      <tp t="s">
        <v>#N/A N/A</v>
        <stp/>
        <stp>BDP|16300266617417579945</stp>
        <tr r="I19" s="2"/>
      </tp>
      <tp t="s">
        <v>#N/A N/A</v>
        <stp/>
        <stp>BDP|15156127305757330866</stp>
        <tr r="N460" s="2"/>
      </tp>
      <tp t="s">
        <v>#N/A N/A</v>
        <stp/>
        <stp>BDP|15298503899982014084</stp>
        <tr r="L264" s="2"/>
      </tp>
      <tp t="s">
        <v>#N/A N/A</v>
        <stp/>
        <stp>BDP|13169863594639452042</stp>
        <tr r="L396" s="2"/>
      </tp>
      <tp t="s">
        <v>#N/A N/A</v>
        <stp/>
        <stp>BDP|13488658652753724871</stp>
        <tr r="N116" s="2"/>
      </tp>
      <tp t="s">
        <v>#N/A N/A</v>
        <stp/>
        <stp>BDP|15163032862848709048</stp>
        <tr r="M486" s="2"/>
      </tp>
      <tp t="s">
        <v>#N/A N/A</v>
        <stp/>
        <stp>BDP|17778031746500997891</stp>
        <tr r="I73" s="2"/>
      </tp>
      <tp t="s">
        <v>#N/A N/A</v>
        <stp/>
        <stp>BDP|17970922755397883744</stp>
        <tr r="J5" s="2"/>
      </tp>
      <tp t="s">
        <v>#N/A N/A</v>
        <stp/>
        <stp>BDP|10057804427304599501</stp>
        <tr r="F40" s="2"/>
      </tp>
      <tp t="s">
        <v>#N/A N/A</v>
        <stp/>
        <stp>BDP|12392931107135231572</stp>
        <tr r="C278" s="2"/>
      </tp>
      <tp t="s">
        <v>#N/A N/A</v>
        <stp/>
        <stp>BDP|16053439015178631021</stp>
        <tr r="N13" s="2"/>
      </tp>
      <tp t="s">
        <v>#N/A N/A</v>
        <stp/>
        <stp>BDP|10245342487690098036</stp>
        <tr r="F400" s="2"/>
      </tp>
      <tp t="s">
        <v>#N/A N/A</v>
        <stp/>
        <stp>BDP|18229882476984934874</stp>
        <tr r="M352" s="2"/>
      </tp>
      <tp t="s">
        <v>#N/A N/A</v>
        <stp/>
        <stp>BDP|16462420503710549928</stp>
        <tr r="E58" s="2"/>
      </tp>
      <tp t="s">
        <v>#N/A N/A</v>
        <stp/>
        <stp>BDP|13748949340221110403</stp>
        <tr r="C297" s="2"/>
      </tp>
      <tp t="s">
        <v>#N/A N/A</v>
        <stp/>
        <stp>BDP|16242502027509399346</stp>
        <tr r="I476" s="2"/>
      </tp>
      <tp t="s">
        <v>#N/A N/A</v>
        <stp/>
        <stp>BDP|10399014898111093389</stp>
        <tr r="M258" s="2"/>
      </tp>
      <tp t="s">
        <v>#N/A N/A</v>
        <stp/>
        <stp>BDP|15104676679056578980</stp>
        <tr r="O73" s="2"/>
      </tp>
      <tp t="s">
        <v>#N/A N/A</v>
        <stp/>
        <stp>BDP|13648916823141702212</stp>
        <tr r="R241" s="2"/>
      </tp>
      <tp t="s">
        <v>#N/A N/A</v>
        <stp/>
        <stp>BDP|10285086392885911730</stp>
        <tr r="O200" s="2"/>
      </tp>
      <tp t="s">
        <v>#N/A N/A</v>
        <stp/>
        <stp>BDP|17760203133794557930</stp>
        <tr r="Q492" s="2"/>
      </tp>
      <tp t="s">
        <v>#N/A N/A</v>
        <stp/>
        <stp>BDP|12905707759309408263</stp>
        <tr r="N46" s="2"/>
      </tp>
      <tp t="s">
        <v>#N/A N/A</v>
        <stp/>
        <stp>BDP|10711410766271654840</stp>
        <tr r="R284" s="2"/>
      </tp>
      <tp t="s">
        <v>#N/A N/A</v>
        <stp/>
        <stp>BDP|15306623762616636870</stp>
        <tr r="G46" s="2"/>
      </tp>
      <tp t="s">
        <v>#N/A N/A</v>
        <stp/>
        <stp>BDP|13400403531506145967</stp>
        <tr r="M142" s="2"/>
      </tp>
      <tp t="s">
        <v>#N/A N/A</v>
        <stp/>
        <stp>BDP|12931579288831713536</stp>
        <tr r="R329" s="2"/>
      </tp>
      <tp t="s">
        <v>#N/A N/A</v>
        <stp/>
        <stp>BDP|16365169640210839885</stp>
        <tr r="F66" s="2"/>
      </tp>
      <tp t="s">
        <v>#N/A N/A</v>
        <stp/>
        <stp>BDP|11769848858633611482</stp>
        <tr r="L171" s="2"/>
      </tp>
      <tp t="s">
        <v>#N/A N/A</v>
        <stp/>
        <stp>BDP|17434088989572716676</stp>
        <tr r="J122" s="2"/>
      </tp>
      <tp t="s">
        <v>#N/A N/A</v>
        <stp/>
        <stp>BDP|14009897875525892514</stp>
        <tr r="C17" s="2"/>
      </tp>
      <tp t="s">
        <v>#N/A N/A</v>
        <stp/>
        <stp>BDP|18213672147936132764</stp>
        <tr r="G9" s="2"/>
      </tp>
      <tp t="s">
        <v>#N/A N/A</v>
        <stp/>
        <stp>BDP|15387939411201337772</stp>
        <tr r="N198" s="2"/>
      </tp>
      <tp t="s">
        <v>#N/A N/A</v>
        <stp/>
        <stp>BDP|13560826927740691239</stp>
        <tr r="P186" s="2"/>
      </tp>
      <tp t="s">
        <v>#N/A N/A</v>
        <stp/>
        <stp>BDP|17479752737209566165</stp>
        <tr r="H112" s="2"/>
      </tp>
      <tp t="s">
        <v>#N/A N/A</v>
        <stp/>
        <stp>BDP|14771168106427783948</stp>
        <tr r="D390" s="2"/>
      </tp>
      <tp t="s">
        <v>#N/A N/A</v>
        <stp/>
        <stp>BDP|15180556496102301055</stp>
        <tr r="P380" s="2"/>
      </tp>
      <tp t="s">
        <v>#N/A N/A</v>
        <stp/>
        <stp>BDP|14027002423919340445</stp>
        <tr r="E462" s="2"/>
      </tp>
      <tp t="s">
        <v>#N/A N/A</v>
        <stp/>
        <stp>BDP|12115108176467668854</stp>
        <tr r="J245" s="2"/>
      </tp>
      <tp t="s">
        <v>#N/A N/A</v>
        <stp/>
        <stp>BDP|14587869123842431705</stp>
        <tr r="L44" s="2"/>
      </tp>
      <tp t="s">
        <v>#N/A N/A</v>
        <stp/>
        <stp>BDP|13530868623002441002</stp>
        <tr r="L170" s="2"/>
      </tp>
      <tp t="s">
        <v>#N/A N/A</v>
        <stp/>
        <stp>BDP|17433110876992151862</stp>
        <tr r="N179" s="2"/>
      </tp>
      <tp t="s">
        <v>#N/A N/A</v>
        <stp/>
        <stp>BDP|18246677617061395557</stp>
        <tr r="F146" s="2"/>
      </tp>
      <tp t="s">
        <v>#N/A N/A</v>
        <stp/>
        <stp>BDP|18159397616036339792</stp>
        <tr r="G67" s="2"/>
      </tp>
      <tp t="s">
        <v>#N/A N/A</v>
        <stp/>
        <stp>BDP|15205858660232080230</stp>
        <tr r="O400" s="2"/>
      </tp>
      <tp t="s">
        <v>#N/A N/A</v>
        <stp/>
        <stp>BDP|10053845213337703542</stp>
        <tr r="J253" s="2"/>
      </tp>
      <tp t="s">
        <v>#N/A N/A</v>
        <stp/>
        <stp>BDP|16217321142308667205</stp>
        <tr r="O289" s="2"/>
      </tp>
      <tp t="s">
        <v>#N/A N/A</v>
        <stp/>
        <stp>BDP|13497875182688482015</stp>
        <tr r="E144" s="2"/>
      </tp>
      <tp t="s">
        <v>#N/A N/A</v>
        <stp/>
        <stp>BDP|14723470235281934985</stp>
        <tr r="O352" s="2"/>
      </tp>
      <tp t="s">
        <v>#N/A N/A</v>
        <stp/>
        <stp>BDP|10591458952952088866</stp>
        <tr r="F274" s="2"/>
      </tp>
      <tp t="s">
        <v>#N/A N/A</v>
        <stp/>
        <stp>BDP|15811197476271277915</stp>
        <tr r="Q118" s="2"/>
      </tp>
      <tp t="s">
        <v>#N/A N/A</v>
        <stp/>
        <stp>BDP|18426360205498307802</stp>
        <tr r="D137" s="2"/>
      </tp>
      <tp t="s">
        <v>#N/A N/A</v>
        <stp/>
        <stp>BDP|13574358202193614837</stp>
        <tr r="D115" s="2"/>
      </tp>
      <tp t="s">
        <v>#N/A N/A</v>
        <stp/>
        <stp>BDP|10116812111862275040</stp>
        <tr r="I343" s="2"/>
      </tp>
      <tp t="s">
        <v>#N/A N/A</v>
        <stp/>
        <stp>BDP|16371460784417669606</stp>
        <tr r="M471" s="2"/>
      </tp>
      <tp t="s">
        <v>#N/A N/A</v>
        <stp/>
        <stp>BDP|10539522979388836113</stp>
        <tr r="R88" s="2"/>
      </tp>
      <tp t="s">
        <v>#N/A N/A</v>
        <stp/>
        <stp>BDP|12491187492998919907</stp>
        <tr r="I457" s="2"/>
      </tp>
      <tp t="s">
        <v>#N/A N/A</v>
        <stp/>
        <stp>BDP|15203270492201651466</stp>
        <tr r="K418" s="2"/>
      </tp>
      <tp t="s">
        <v>#N/A N/A</v>
        <stp/>
        <stp>BDP|14081881436506891215</stp>
        <tr r="R429" s="2"/>
      </tp>
      <tp t="s">
        <v>#N/A N/A</v>
        <stp/>
        <stp>BDP|16204134410404247940</stp>
        <tr r="J498" s="2"/>
      </tp>
      <tp t="s">
        <v>#N/A N/A</v>
        <stp/>
        <stp>BDP|14346757983931364107</stp>
        <tr r="H336" s="2"/>
      </tp>
      <tp t="s">
        <v>#N/A N/A</v>
        <stp/>
        <stp>BDP|10340630190920705414</stp>
        <tr r="G392" s="2"/>
      </tp>
      <tp t="s">
        <v>#N/A N/A</v>
        <stp/>
        <stp>BDP|17664299218736845995</stp>
        <tr r="P22" s="2"/>
      </tp>
      <tp t="s">
        <v>#N/A N/A</v>
        <stp/>
        <stp>BDP|13165218866859198517</stp>
        <tr r="P166" s="2"/>
      </tp>
      <tp t="s">
        <v>#N/A N/A</v>
        <stp/>
        <stp>BDP|14932492587242319121</stp>
        <tr r="M117" s="2"/>
      </tp>
      <tp t="s">
        <v>#N/A N/A</v>
        <stp/>
        <stp>BDP|14123721351105205861</stp>
        <tr r="I161" s="2"/>
      </tp>
      <tp t="s">
        <v>#N/A N/A</v>
        <stp/>
        <stp>BDP|17309895812437813263</stp>
        <tr r="H92" s="2"/>
      </tp>
      <tp t="s">
        <v>#N/A N/A</v>
        <stp/>
        <stp>BDP|16257447001350943987</stp>
        <tr r="P238" s="2"/>
      </tp>
      <tp t="s">
        <v>#N/A N/A</v>
        <stp/>
        <stp>BDP|14770901265304651422</stp>
        <tr r="P400" s="2"/>
      </tp>
      <tp t="s">
        <v>#N/A N/A</v>
        <stp/>
        <stp>BDP|15007332964653153801</stp>
        <tr r="P461" s="2"/>
      </tp>
      <tp t="s">
        <v>#N/A N/A</v>
        <stp/>
        <stp>BDP|16857915809423000763</stp>
        <tr r="I504" s="2"/>
      </tp>
      <tp t="s">
        <v>#N/A N/A</v>
        <stp/>
        <stp>BDP|13411922105140703124</stp>
        <tr r="G151" s="2"/>
      </tp>
      <tp t="s">
        <v>#N/A N/A</v>
        <stp/>
        <stp>BDP|14657733493383069205</stp>
        <tr r="Q48" s="2"/>
      </tp>
      <tp t="s">
        <v>#N/A N/A</v>
        <stp/>
        <stp>BDP|17736125782154679175</stp>
        <tr r="K408" s="2"/>
      </tp>
      <tp t="s">
        <v>#N/A N/A</v>
        <stp/>
        <stp>BDP|12948015151159592650</stp>
        <tr r="O52" s="2"/>
      </tp>
      <tp t="s">
        <v>#N/A N/A</v>
        <stp/>
        <stp>BDP|18210037590880930915</stp>
        <tr r="H213" s="2"/>
      </tp>
      <tp t="s">
        <v>#N/A N/A</v>
        <stp/>
        <stp>BDP|16816176031468629419</stp>
        <tr r="K448" s="2"/>
      </tp>
      <tp t="s">
        <v>#N/A N/A</v>
        <stp/>
        <stp>BDP|13397281887654493518</stp>
        <tr r="E368" s="2"/>
      </tp>
      <tp t="s">
        <v>#N/A N/A</v>
        <stp/>
        <stp>BDP|16355958208043741406</stp>
        <tr r="Q56" s="2"/>
      </tp>
      <tp t="s">
        <v>#N/A N/A</v>
        <stp/>
        <stp>BDP|16071678673737859850</stp>
        <tr r="O479" s="2"/>
      </tp>
      <tp t="s">
        <v>#N/A N/A</v>
        <stp/>
        <stp>BDP|15908958234150116704</stp>
        <tr r="C201" s="2"/>
      </tp>
      <tp t="s">
        <v>#N/A N/A</v>
        <stp/>
        <stp>BDP|15554351343309937337</stp>
        <tr r="K86" s="2"/>
      </tp>
      <tp t="s">
        <v>#N/A N/A</v>
        <stp/>
        <stp>BDP|10172478063038859248</stp>
        <tr r="O414" s="2"/>
      </tp>
      <tp t="s">
        <v>#N/A N/A</v>
        <stp/>
        <stp>BDP|14022169679303087962</stp>
        <tr r="N78" s="2"/>
      </tp>
      <tp t="s">
        <v>#N/A N/A</v>
        <stp/>
        <stp>BDP|18374382606426539513</stp>
        <tr r="H122" s="2"/>
      </tp>
      <tp t="s">
        <v>#N/A N/A</v>
        <stp/>
        <stp>BDP|14143987739007915105</stp>
        <tr r="J468" s="2"/>
      </tp>
      <tp t="s">
        <v>#N/A N/A</v>
        <stp/>
        <stp>BDP|18434310532673857367</stp>
        <tr r="M212" s="2"/>
      </tp>
      <tp t="s">
        <v>#N/A N/A</v>
        <stp/>
        <stp>BDP|15906035860169741246</stp>
        <tr r="I278" s="2"/>
      </tp>
      <tp t="s">
        <v>#N/A N/A</v>
        <stp/>
        <stp>BDP|14525947642104217583</stp>
        <tr r="L447" s="2"/>
      </tp>
      <tp t="s">
        <v>#N/A N/A</v>
        <stp/>
        <stp>BDP|12699279397059832876</stp>
        <tr r="K157" s="2"/>
      </tp>
      <tp t="s">
        <v>#N/A N/A</v>
        <stp/>
        <stp>BDP|10926610771500642967</stp>
        <tr r="K322" s="2"/>
      </tp>
      <tp t="s">
        <v>#N/A N/A</v>
        <stp/>
        <stp>BDP|14984961419503629785</stp>
        <tr r="H361" s="2"/>
      </tp>
      <tp t="s">
        <v>#N/A N/A</v>
        <stp/>
        <stp>BDP|17348107184342798481</stp>
        <tr r="Q59" s="2"/>
      </tp>
      <tp t="s">
        <v>#N/A N/A</v>
        <stp/>
        <stp>BDP|11352149998412226355</stp>
        <tr r="H131" s="2"/>
      </tp>
      <tp t="s">
        <v>#N/A N/A</v>
        <stp/>
        <stp>BDP|16507152395651949743</stp>
        <tr r="M425" s="2"/>
      </tp>
      <tp t="s">
        <v>#N/A N/A</v>
        <stp/>
        <stp>BDP|16911054686302071423</stp>
        <tr r="R108" s="2"/>
      </tp>
      <tp t="s">
        <v>#N/A N/A</v>
        <stp/>
        <stp>BDP|15933843655651717176</stp>
        <tr r="H174" s="2"/>
      </tp>
      <tp t="s">
        <v>#N/A N/A</v>
        <stp/>
        <stp>BDP|16376990615685224353</stp>
        <tr r="R400" s="2"/>
      </tp>
      <tp t="s">
        <v>#N/A N/A</v>
        <stp/>
        <stp>BDP|17356165880194475291</stp>
        <tr r="M293" s="2"/>
      </tp>
      <tp t="s">
        <v>#N/A N/A</v>
        <stp/>
        <stp>BDP|10670044089611217112</stp>
        <tr r="F340" s="2"/>
      </tp>
      <tp t="s">
        <v>#N/A N/A</v>
        <stp/>
        <stp>BDP|16437286922546140871</stp>
        <tr r="M259" s="2"/>
      </tp>
      <tp t="s">
        <v>#N/A N/A</v>
        <stp/>
        <stp>BDP|12117395801900380921</stp>
        <tr r="O21" s="2"/>
      </tp>
      <tp t="s">
        <v>#N/A N/A</v>
        <stp/>
        <stp>BDP|17935107512356298924</stp>
        <tr r="K183" s="2"/>
      </tp>
      <tp t="s">
        <v>#N/A N/A</v>
        <stp/>
        <stp>BDP|10753088344185042902</stp>
        <tr r="F465" s="2"/>
      </tp>
      <tp t="s">
        <v>#N/A N/A</v>
        <stp/>
        <stp>BDP|16527283195407750249</stp>
        <tr r="C13" s="2"/>
      </tp>
      <tp t="s">
        <v>#N/A N/A</v>
        <stp/>
        <stp>BDP|11294841583590970972</stp>
        <tr r="G363" s="2"/>
      </tp>
      <tp t="s">
        <v>#N/A N/A</v>
        <stp/>
        <stp>BDP|11818194496293971258</stp>
        <tr r="Q3" s="2"/>
      </tp>
      <tp t="s">
        <v>#N/A N/A</v>
        <stp/>
        <stp>BDP|12978945233003645339</stp>
        <tr r="K482" s="2"/>
      </tp>
      <tp t="s">
        <v>#N/A N/A</v>
        <stp/>
        <stp>BDP|15681931248558634800</stp>
        <tr r="L314" s="2"/>
      </tp>
      <tp t="s">
        <v>#N/A N/A</v>
        <stp/>
        <stp>BDP|10995237746417077973</stp>
        <tr r="G358" s="2"/>
      </tp>
      <tp t="s">
        <v>#N/A N/A</v>
        <stp/>
        <stp>BDP|16785718149964372970</stp>
        <tr r="J336" s="2"/>
      </tp>
      <tp t="s">
        <v>#N/A N/A</v>
        <stp/>
        <stp>BDP|17314359088245432117</stp>
        <tr r="Q463" s="2"/>
      </tp>
      <tp t="s">
        <v>#N/A N/A</v>
        <stp/>
        <stp>BDP|11811479705578679578</stp>
        <tr r="H396" s="2"/>
      </tp>
      <tp t="s">
        <v>#N/A N/A</v>
        <stp/>
        <stp>BDP|15828989429166142039</stp>
        <tr r="I322" s="2"/>
      </tp>
      <tp t="s">
        <v>#N/A N/A</v>
        <stp/>
        <stp>BDP|15738534738598421334</stp>
        <tr r="C37" s="2"/>
      </tp>
      <tp t="s">
        <v>#N/A N/A</v>
        <stp/>
        <stp>BDP|13565460529879024418</stp>
        <tr r="J478" s="2"/>
      </tp>
      <tp t="s">
        <v>#N/A N/A</v>
        <stp/>
        <stp>BDP|10457769903677288899</stp>
        <tr r="Q109" s="2"/>
      </tp>
      <tp t="s">
        <v>#N/A N/A</v>
        <stp/>
        <stp>BDP|17018524608693414949</stp>
        <tr r="G364" s="2"/>
      </tp>
      <tp t="s">
        <v>#N/A N/A</v>
        <stp/>
        <stp>BDP|11042809666596952157</stp>
        <tr r="J413" s="2"/>
      </tp>
      <tp t="s">
        <v>#N/A N/A</v>
        <stp/>
        <stp>BDP|14240064390891673481</stp>
        <tr r="C155" s="2"/>
      </tp>
      <tp t="s">
        <v>#N/A N/A</v>
        <stp/>
        <stp>BDP|13045434063860918934</stp>
        <tr r="Q13" s="2"/>
      </tp>
      <tp t="s">
        <v>#N/A N/A</v>
        <stp/>
        <stp>BDP|18053782000772541579</stp>
        <tr r="L30" s="2"/>
      </tp>
      <tp t="s">
        <v>#N/A N/A</v>
        <stp/>
        <stp>BDP|12467670649309275120</stp>
        <tr r="Q117" s="2"/>
      </tp>
      <tp t="s">
        <v>#N/A N/A</v>
        <stp/>
        <stp>BDP|17624600063479664690</stp>
        <tr r="D237" s="2"/>
      </tp>
      <tp t="s">
        <v>#N/A N/A</v>
        <stp/>
        <stp>BDP|17875273159268436082</stp>
        <tr r="Q287" s="2"/>
      </tp>
      <tp t="s">
        <v>#N/A N/A</v>
        <stp/>
        <stp>BDP|15134354724514353893</stp>
        <tr r="E482" s="2"/>
      </tp>
      <tp t="s">
        <v>#N/A N/A</v>
        <stp/>
        <stp>BDP|14990037895523385619</stp>
        <tr r="F244" s="2"/>
      </tp>
      <tp t="s">
        <v>#N/A N/A</v>
        <stp/>
        <stp>BDP|13541251621869904254</stp>
        <tr r="O490" s="2"/>
      </tp>
      <tp t="s">
        <v>#N/A N/A</v>
        <stp/>
        <stp>BDP|14192063539757775845</stp>
        <tr r="M208" s="2"/>
      </tp>
      <tp t="s">
        <v>#N/A N/A</v>
        <stp/>
        <stp>BDP|16508069898432234541</stp>
        <tr r="O492" s="2"/>
      </tp>
      <tp t="s">
        <v>#N/A N/A</v>
        <stp/>
        <stp>BDP|17052257094507887341</stp>
        <tr r="C185" s="2"/>
      </tp>
      <tp t="s">
        <v>#N/A N/A</v>
        <stp/>
        <stp>BDP|13342900278512373755</stp>
        <tr r="M474" s="2"/>
      </tp>
      <tp t="s">
        <v>#N/A N/A</v>
        <stp/>
        <stp>BDP|16114251898045251034</stp>
        <tr r="N180" s="2"/>
      </tp>
      <tp t="s">
        <v>#N/A N/A</v>
        <stp/>
        <stp>BDP|17949911638466848354</stp>
        <tr r="O447" s="2"/>
      </tp>
      <tp t="s">
        <v>#N/A N/A</v>
        <stp/>
        <stp>BDP|14656092720557464965</stp>
        <tr r="F316" s="2"/>
      </tp>
      <tp t="s">
        <v>#N/A N/A</v>
        <stp/>
        <stp>BDP|14867095098261771436</stp>
        <tr r="G266" s="2"/>
      </tp>
      <tp t="s">
        <v>#N/A N/A</v>
        <stp/>
        <stp>BDP|11246746190285831234</stp>
        <tr r="J101" s="2"/>
      </tp>
      <tp t="s">
        <v>#N/A N/A</v>
        <stp/>
        <stp>BDP|14483298181674453254</stp>
        <tr r="N448" s="2"/>
      </tp>
      <tp t="s">
        <v>#N/A N/A</v>
        <stp/>
        <stp>BDP|11957038805011781853</stp>
        <tr r="M200" s="2"/>
      </tp>
      <tp t="s">
        <v>#N/A N/A</v>
        <stp/>
        <stp>BDP|10851183395230148096</stp>
        <tr r="L119" s="2"/>
      </tp>
      <tp t="s">
        <v>#N/A N/A</v>
        <stp/>
        <stp>BDP|18200615821027942364</stp>
        <tr r="Q32" s="2"/>
      </tp>
      <tp t="s">
        <v>#N/A N/A</v>
        <stp/>
        <stp>BDP|16528752698855142548</stp>
        <tr r="M438" s="2"/>
      </tp>
      <tp t="s">
        <v>#N/A N/A</v>
        <stp/>
        <stp>BDP|11431826817710981040</stp>
        <tr r="O11" s="2"/>
      </tp>
      <tp t="s">
        <v>#N/A N/A</v>
        <stp/>
        <stp>BDP|15257317991787695086</stp>
        <tr r="J99" s="2"/>
      </tp>
      <tp t="s">
        <v>#N/A N/A</v>
        <stp/>
        <stp>BDP|18011307240022810548</stp>
        <tr r="C14" s="2"/>
      </tp>
      <tp t="s">
        <v>#N/A N/A</v>
        <stp/>
        <stp>BDP|14416519091131061181</stp>
        <tr r="E99" s="2"/>
      </tp>
      <tp t="s">
        <v>#N/A N/A</v>
        <stp/>
        <stp>BDP|17891235781025167076</stp>
        <tr r="L115" s="2"/>
      </tp>
      <tp t="s">
        <v>#N/A N/A</v>
        <stp/>
        <stp>BDP|13432369675829827633</stp>
        <tr r="Q124" s="2"/>
      </tp>
      <tp t="s">
        <v>#N/A N/A</v>
        <stp/>
        <stp>BDP|11065917159234502111</stp>
        <tr r="C69" s="2"/>
      </tp>
      <tp t="s">
        <v>#N/A N/A</v>
        <stp/>
        <stp>BDP|13539885904536217570</stp>
        <tr r="J394" s="2"/>
      </tp>
      <tp t="s">
        <v>#N/A N/A</v>
        <stp/>
        <stp>BDP|10363198180171082065</stp>
        <tr r="L221" s="2"/>
      </tp>
      <tp t="s">
        <v>#N/A N/A</v>
        <stp/>
        <stp>BDP|16539211021749102785</stp>
        <tr r="J462" s="2"/>
      </tp>
      <tp t="s">
        <v>#N/A N/A</v>
        <stp/>
        <stp>BDP|18206972099077300732</stp>
        <tr r="C396" s="2"/>
      </tp>
      <tp t="s">
        <v>#N/A N/A</v>
        <stp/>
        <stp>BDP|11317431582245626080</stp>
        <tr r="J330" s="2"/>
      </tp>
      <tp t="s">
        <v>#N/A N/A</v>
        <stp/>
        <stp>BDP|17833205040719710030</stp>
        <tr r="D487" s="2"/>
      </tp>
      <tp t="s">
        <v>#N/A N/A</v>
        <stp/>
        <stp>BDP|17397249025546786999</stp>
        <tr r="K451" s="2"/>
      </tp>
      <tp t="s">
        <v>#N/A N/A</v>
        <stp/>
        <stp>BDP|10548314488716359536</stp>
        <tr r="P472" s="2"/>
      </tp>
      <tp t="s">
        <v>#N/A N/A</v>
        <stp/>
        <stp>BDP|16558942548951079262</stp>
        <tr r="H454" s="2"/>
      </tp>
      <tp t="s">
        <v>#N/A N/A</v>
        <stp/>
        <stp>BDP|18078321758525482312</stp>
        <tr r="J44" s="2"/>
      </tp>
      <tp t="s">
        <v>#N/A N/A</v>
        <stp/>
        <stp>BDP|10863316852536292865</stp>
        <tr r="R224" s="2"/>
      </tp>
      <tp t="s">
        <v>#N/A N/A</v>
        <stp/>
        <stp>BDP|13663940976381391484</stp>
        <tr r="D251" s="2"/>
      </tp>
      <tp t="s">
        <v>#N/A N/A</v>
        <stp/>
        <stp>BDP|16385986887216222911</stp>
        <tr r="N381" s="2"/>
      </tp>
      <tp t="s">
        <v>#N/A N/A</v>
        <stp/>
        <stp>BDP|16408888092648139700</stp>
        <tr r="E450" s="2"/>
      </tp>
      <tp t="s">
        <v>#N/A N/A</v>
        <stp/>
        <stp>BDP|12233341286211604093</stp>
        <tr r="P250" s="2"/>
      </tp>
      <tp t="s">
        <v>#N/A N/A</v>
        <stp/>
        <stp>BDP|14356649684043977158</stp>
        <tr r="G225" s="2"/>
      </tp>
      <tp t="s">
        <v>#N/A N/A</v>
        <stp/>
        <stp>BDP|13411449193684581294</stp>
        <tr r="I313" s="2"/>
      </tp>
      <tp t="s">
        <v>#N/A N/A</v>
        <stp/>
        <stp>BDP|17097149388731761741</stp>
        <tr r="O369" s="2"/>
      </tp>
      <tp t="s">
        <v>#N/A N/A</v>
        <stp/>
        <stp>BDP|14441427581513936315</stp>
        <tr r="I184" s="2"/>
      </tp>
      <tp t="s">
        <v>#N/A N/A</v>
        <stp/>
        <stp>BDP|13416593715508346745</stp>
        <tr r="P481" s="2"/>
      </tp>
      <tp t="s">
        <v>#N/A N/A</v>
        <stp/>
        <stp>BDP|17484379382701924572</stp>
        <tr r="G404" s="2"/>
      </tp>
      <tp t="s">
        <v>#N/A N/A</v>
        <stp/>
        <stp>BDP|12199914520580755188</stp>
        <tr r="R145" s="2"/>
      </tp>
      <tp t="s">
        <v>#N/A N/A</v>
        <stp/>
        <stp>BDP|11415969879740231768</stp>
        <tr r="D122" s="2"/>
      </tp>
      <tp t="s">
        <v>#N/A N/A</v>
        <stp/>
        <stp>BDP|15714851122667652097</stp>
        <tr r="O456" s="2"/>
      </tp>
      <tp t="s">
        <v>#N/A N/A</v>
        <stp/>
        <stp>BDP|16718553333798972076</stp>
        <tr r="L311" s="2"/>
      </tp>
      <tp t="s">
        <v>#N/A N/A</v>
        <stp/>
        <stp>BDP|18107284021963679305</stp>
        <tr r="I101" s="2"/>
      </tp>
      <tp t="s">
        <v>#N/A N/A</v>
        <stp/>
        <stp>BDP|16070871150513154088</stp>
        <tr r="N67" s="2"/>
      </tp>
      <tp t="s">
        <v>#N/A N/A</v>
        <stp/>
        <stp>BDP|10313452939036062918</stp>
        <tr r="K52" s="2"/>
      </tp>
      <tp t="s">
        <v>#N/A N/A</v>
        <stp/>
        <stp>BDP|11572945202740855052</stp>
        <tr r="K134" s="2"/>
      </tp>
      <tp t="s">
        <v>#N/A N/A</v>
        <stp/>
        <stp>BDP|17831898348945346647</stp>
        <tr r="N71" s="2"/>
      </tp>
      <tp t="s">
        <v>#N/A N/A</v>
        <stp/>
        <stp>BDP|16330845610137976000</stp>
        <tr r="G47" s="2"/>
      </tp>
      <tp t="s">
        <v>#N/A N/A</v>
        <stp/>
        <stp>BDP|15128878328204572358</stp>
        <tr r="I451" s="2"/>
      </tp>
      <tp t="s">
        <v>#N/A N/A</v>
        <stp/>
        <stp>BDP|12883691969859265343</stp>
        <tr r="G228" s="2"/>
      </tp>
      <tp t="s">
        <v>#N/A N/A</v>
        <stp/>
        <stp>BDP|10703816262706534009</stp>
        <tr r="C464" s="2"/>
      </tp>
      <tp t="s">
        <v>#N/A N/A</v>
        <stp/>
        <stp>BDP|13510952321224923498</stp>
        <tr r="D184" s="2"/>
      </tp>
      <tp t="s">
        <v>#N/A N/A</v>
        <stp/>
        <stp>BDP|10555042295506711729</stp>
        <tr r="P198" s="2"/>
      </tp>
      <tp t="s">
        <v>#N/A N/A</v>
        <stp/>
        <stp>BDP|14508165847500357968</stp>
        <tr r="J128" s="2"/>
      </tp>
      <tp t="s">
        <v>#N/A N/A</v>
        <stp/>
        <stp>BDP|17905014337878731493</stp>
        <tr r="L212" s="2"/>
      </tp>
      <tp t="s">
        <v>#N/A N/A</v>
        <stp/>
        <stp>BDP|10289575071013169949</stp>
        <tr r="O292" s="2"/>
      </tp>
      <tp t="s">
        <v>#N/A N/A</v>
        <stp/>
        <stp>BDP|13124896468746072315</stp>
        <tr r="J391" s="2"/>
      </tp>
      <tp t="s">
        <v>#N/A N/A</v>
        <stp/>
        <stp>BDP|15585197567902908831</stp>
        <tr r="P58" s="2"/>
      </tp>
      <tp t="s">
        <v>#N/A N/A</v>
        <stp/>
        <stp>BDP|18064517901055329024</stp>
        <tr r="I404" s="2"/>
      </tp>
      <tp t="s">
        <v>#N/A N/A</v>
        <stp/>
        <stp>BDP|12964747765663948806</stp>
        <tr r="I394" s="2"/>
      </tp>
      <tp t="s">
        <v>#N/A N/A</v>
        <stp/>
        <stp>BDP|17177484027400667994</stp>
        <tr r="P222" s="2"/>
      </tp>
      <tp t="s">
        <v>#N/A N/A</v>
        <stp/>
        <stp>BDP|13334769664172042815</stp>
        <tr r="I178" s="2"/>
      </tp>
      <tp t="s">
        <v>#N/A N/A</v>
        <stp/>
        <stp>BDP|15363810647686004759</stp>
        <tr r="I139" s="2"/>
      </tp>
      <tp t="s">
        <v>#N/A N/A</v>
        <stp/>
        <stp>BDP|16932308791506076281</stp>
        <tr r="E242" s="2"/>
      </tp>
      <tp t="s">
        <v>#N/A N/A</v>
        <stp/>
        <stp>BDP|16598804371587338674</stp>
        <tr r="D12" s="2"/>
      </tp>
      <tp t="s">
        <v>#N/A N/A</v>
        <stp/>
        <stp>BDP|11491804772062564437</stp>
        <tr r="F163" s="2"/>
      </tp>
      <tp t="s">
        <v>#N/A N/A</v>
        <stp/>
        <stp>BDP|16701314514949477566</stp>
        <tr r="G135" s="2"/>
      </tp>
      <tp t="s">
        <v>#N/A N/A</v>
        <stp/>
        <stp>BDP|17521091001047840850</stp>
        <tr r="D278" s="2"/>
      </tp>
      <tp t="s">
        <v>#N/A N/A</v>
        <stp/>
        <stp>BDP|11960161027012043885</stp>
        <tr r="C450" s="2"/>
      </tp>
      <tp t="s">
        <v>#N/A N/A</v>
        <stp/>
        <stp>BDP|18307348200540580320</stp>
        <tr r="M336" s="2"/>
      </tp>
      <tp t="s">
        <v>#N/A N/A</v>
        <stp/>
        <stp>BDP|13288046528991667884</stp>
        <tr r="I23" s="2"/>
      </tp>
      <tp t="s">
        <v>#N/A N/A</v>
        <stp/>
        <stp>BDP|14307796549868175712</stp>
        <tr r="K378" s="2"/>
      </tp>
      <tp t="s">
        <v>#N/A N/A</v>
        <stp/>
        <stp>BDP|13276973027439304929</stp>
        <tr r="H293" s="2"/>
      </tp>
      <tp t="s">
        <v>#N/A N/A</v>
        <stp/>
        <stp>BDP|11703977438315990625</stp>
        <tr r="H379" s="2"/>
      </tp>
      <tp t="s">
        <v>#N/A N/A</v>
        <stp/>
        <stp>BDP|14206106489805029081</stp>
        <tr r="I439" s="2"/>
      </tp>
      <tp t="s">
        <v>#N/A N/A</v>
        <stp/>
        <stp>BDP|16398104291582920486</stp>
        <tr r="C255" s="2"/>
      </tp>
      <tp t="s">
        <v>#N/A N/A</v>
        <stp/>
        <stp>BDP|12739867452073912496</stp>
        <tr r="O495" s="2"/>
      </tp>
      <tp t="s">
        <v>#N/A N/A</v>
        <stp/>
        <stp>BDP|17922919692877843815</stp>
        <tr r="L456" s="2"/>
      </tp>
      <tp t="s">
        <v>#N/A N/A</v>
        <stp/>
        <stp>BDP|12088603242941056917</stp>
        <tr r="P329" s="2"/>
      </tp>
      <tp t="s">
        <v>#N/A N/A</v>
        <stp/>
        <stp>BDP|11332210634471226975</stp>
        <tr r="H457" s="2"/>
      </tp>
      <tp t="s">
        <v>#N/A N/A</v>
        <stp/>
        <stp>BDP|11396885837046991463</stp>
        <tr r="H52" s="2"/>
      </tp>
      <tp t="s">
        <v>#N/A N/A</v>
        <stp/>
        <stp>BDP|17647804044624342724</stp>
        <tr r="Q42" s="2"/>
      </tp>
      <tp t="s">
        <v>#N/A N/A</v>
        <stp/>
        <stp>BDP|11015388385643938166</stp>
        <tr r="E210" s="2"/>
      </tp>
      <tp t="s">
        <v>#N/A N/A</v>
        <stp/>
        <stp>BDP|12525386809629188070</stp>
        <tr r="D317" s="2"/>
      </tp>
      <tp t="s">
        <v>#N/A N/A</v>
        <stp/>
        <stp>BDP|14031320794155512319</stp>
        <tr r="D389" s="2"/>
      </tp>
      <tp t="s">
        <v>#N/A N/A</v>
        <stp/>
        <stp>BDP|11543288339580411821</stp>
        <tr r="C347" s="2"/>
      </tp>
      <tp t="s">
        <v>#N/A N/A</v>
        <stp/>
        <stp>BDP|13548507552828048356</stp>
        <tr r="M205" s="2"/>
      </tp>
      <tp t="s">
        <v>#N/A N/A</v>
        <stp/>
        <stp>BDP|11272254733288260048</stp>
        <tr r="O375" s="2"/>
      </tp>
      <tp t="s">
        <v>#N/A N/A</v>
        <stp/>
        <stp>BDP|18009986651715893936</stp>
        <tr r="I328" s="2"/>
      </tp>
      <tp t="s">
        <v>#N/A N/A</v>
        <stp/>
        <stp>BDP|15604458367526579939</stp>
        <tr r="M325" s="2"/>
      </tp>
      <tp t="s">
        <v>#N/A N/A</v>
        <stp/>
        <stp>BDP|16967921278291524144</stp>
        <tr r="C329" s="2"/>
      </tp>
      <tp t="s">
        <v>#N/A N/A</v>
        <stp/>
        <stp>BDP|17223984635141507484</stp>
        <tr r="H204" s="2"/>
      </tp>
      <tp t="s">
        <v>#N/A N/A</v>
        <stp/>
        <stp>BDP|10017374096757352504</stp>
        <tr r="I263" s="2"/>
      </tp>
      <tp t="s">
        <v>#N/A N/A</v>
        <stp/>
        <stp>BDP|16377575592241471305</stp>
        <tr r="E27" s="2"/>
      </tp>
      <tp t="s">
        <v>#N/A N/A</v>
        <stp/>
        <stp>BDP|10525867873736046127</stp>
        <tr r="D351" s="2"/>
      </tp>
      <tp t="s">
        <v>#N/A N/A</v>
        <stp/>
        <stp>BDP|13038937631259073800</stp>
        <tr r="L392" s="2"/>
      </tp>
      <tp t="s">
        <v>#N/A N/A</v>
        <stp/>
        <stp>BDP|16862654109170126870</stp>
        <tr r="L134" s="2"/>
      </tp>
      <tp t="s">
        <v>#N/A N/A</v>
        <stp/>
        <stp>BDP|13426945282463378932</stp>
        <tr r="F9" s="2"/>
      </tp>
      <tp t="s">
        <v>#N/A N/A</v>
        <stp/>
        <stp>BDP|10454336949649288697</stp>
        <tr r="J254" s="2"/>
      </tp>
      <tp t="s">
        <v>#N/A N/A</v>
        <stp/>
        <stp>BDP|10043245789161161395</stp>
        <tr r="E300" s="2"/>
      </tp>
      <tp t="s">
        <v>#N/A N/A</v>
        <stp/>
        <stp>BDP|17392476490953507144</stp>
        <tr r="C322" s="2"/>
      </tp>
      <tp t="s">
        <v>#N/A N/A</v>
        <stp/>
        <stp>BDP|13538642304285823880</stp>
        <tr r="D458" s="2"/>
      </tp>
      <tp t="s">
        <v>#N/A N/A</v>
        <stp/>
        <stp>BDP|10483700457833156974</stp>
        <tr r="H436" s="2"/>
      </tp>
      <tp t="s">
        <v>#N/A N/A</v>
        <stp/>
        <stp>BDP|14606731680661611261</stp>
        <tr r="K133" s="2"/>
      </tp>
      <tp t="s">
        <v>#N/A N/A</v>
        <stp/>
        <stp>BDP|10283828206768107820</stp>
        <tr r="C261" s="2"/>
      </tp>
      <tp t="s">
        <v>#N/A N/A</v>
        <stp/>
        <stp>BDP|15427878337845154301</stp>
        <tr r="C184" s="2"/>
      </tp>
      <tp t="s">
        <v>#N/A N/A</v>
        <stp/>
        <stp>BDP|16591206683385588162</stp>
        <tr r="H440" s="2"/>
      </tp>
      <tp t="s">
        <v>#N/A N/A</v>
        <stp/>
        <stp>BDP|17960790775687755871</stp>
        <tr r="M3" s="2"/>
      </tp>
      <tp t="s">
        <v>#N/A N/A</v>
        <stp/>
        <stp>BDP|18092218653010039768</stp>
        <tr r="P479" s="2"/>
      </tp>
      <tp t="s">
        <v>#N/A N/A</v>
        <stp/>
        <stp>BDP|18083258550884937381</stp>
        <tr r="D496" s="2"/>
      </tp>
      <tp t="s">
        <v>#N/A N/A</v>
        <stp/>
        <stp>BDP|12974804290923577884</stp>
        <tr r="Q331" s="2"/>
      </tp>
      <tp t="s">
        <v>#N/A N/A</v>
        <stp/>
        <stp>BDP|14421348461510710926</stp>
        <tr r="D193" s="2"/>
      </tp>
      <tp t="s">
        <v>#N/A N/A</v>
        <stp/>
        <stp>BDP|12621979535188656860</stp>
        <tr r="F335" s="2"/>
      </tp>
      <tp t="s">
        <v>#N/A N/A</v>
        <stp/>
        <stp>BDP|17584713021799157307</stp>
        <tr r="E105" s="2"/>
      </tp>
      <tp t="s">
        <v>#N/A N/A</v>
        <stp/>
        <stp>BDP|13894567011456816936</stp>
        <tr r="J412" s="2"/>
      </tp>
      <tp t="s">
        <v>#N/A N/A</v>
        <stp/>
        <stp>BDP|10698927715366226673</stp>
        <tr r="P272" s="2"/>
      </tp>
      <tp t="s">
        <v>#N/A N/A</v>
        <stp/>
        <stp>BDP|12440050391421346276</stp>
        <tr r="P209" s="2"/>
      </tp>
      <tp t="s">
        <v>#N/A N/A</v>
        <stp/>
        <stp>BDP|11115370065599038570</stp>
        <tr r="F384" s="2"/>
      </tp>
      <tp t="s">
        <v>#N/A N/A</v>
        <stp/>
        <stp>BDP|10705807153406965392</stp>
        <tr r="R3" s="2"/>
      </tp>
      <tp t="s">
        <v>#N/A N/A</v>
        <stp/>
        <stp>BDP|11759512251329363006</stp>
        <tr r="M165" s="2"/>
      </tp>
      <tp t="s">
        <v>#N/A N/A</v>
        <stp/>
        <stp>BDP|12319912243582642536</stp>
        <tr r="P425" s="2"/>
      </tp>
      <tp t="s">
        <v>#N/A N/A</v>
        <stp/>
        <stp>BDP|14385533392087138743</stp>
        <tr r="M146" s="2"/>
      </tp>
      <tp t="s">
        <v>#N/A N/A</v>
        <stp/>
        <stp>BDP|13893553681122898438</stp>
        <tr r="M377" s="2"/>
      </tp>
      <tp t="s">
        <v>#N/A N/A</v>
        <stp/>
        <stp>BDP|17694494519212006816</stp>
        <tr r="M372" s="2"/>
      </tp>
      <tp t="s">
        <v>#N/A N/A</v>
        <stp/>
        <stp>BDP|12466498886043967550</stp>
        <tr r="K150" s="2"/>
      </tp>
      <tp t="s">
        <v>#N/A N/A</v>
        <stp/>
        <stp>BDP|10520777564168029119</stp>
        <tr r="L109" s="2"/>
      </tp>
      <tp t="s">
        <v>#N/A N/A</v>
        <stp/>
        <stp>BDP|14802152955590601898</stp>
        <tr r="D90" s="2"/>
      </tp>
      <tp t="s">
        <v>#N/A N/A</v>
        <stp/>
        <stp>BDP|10358230865995349916</stp>
        <tr r="F228" s="2"/>
      </tp>
      <tp t="s">
        <v>#N/A N/A</v>
        <stp/>
        <stp>BDP|12004124487474044729</stp>
        <tr r="G259" s="2"/>
      </tp>
      <tp t="s">
        <v>#N/A N/A</v>
        <stp/>
        <stp>BDP|16023892349511595320</stp>
        <tr r="O36" s="2"/>
      </tp>
      <tp t="s">
        <v>#N/A N/A</v>
        <stp/>
        <stp>BDP|10630677550689141275</stp>
        <tr r="H40" s="2"/>
      </tp>
      <tp t="s">
        <v>#N/A N/A</v>
        <stp/>
        <stp>BDP|12539624226707774914</stp>
        <tr r="P473" s="2"/>
      </tp>
      <tp t="s">
        <v>#N/A N/A</v>
        <stp/>
        <stp>BDP|16514120851658639277</stp>
        <tr r="R293" s="2"/>
      </tp>
      <tp t="s">
        <v>#N/A N/A</v>
        <stp/>
        <stp>BDP|13084085858718596621</stp>
        <tr r="Q405" s="2"/>
      </tp>
      <tp t="s">
        <v>#N/A N/A</v>
        <stp/>
        <stp>BDP|15271655848948185796</stp>
        <tr r="K20" s="2"/>
      </tp>
      <tp t="s">
        <v>#N/A N/A</v>
        <stp/>
        <stp>BDP|12255842074536000356</stp>
        <tr r="Q368" s="2"/>
      </tp>
      <tp t="s">
        <v>#N/A N/A</v>
        <stp/>
        <stp>BDP|11748095352885877925</stp>
        <tr r="I393" s="2"/>
      </tp>
      <tp t="s">
        <v>#N/A N/A</v>
        <stp/>
        <stp>BDP|11233243440228533759</stp>
        <tr r="L84" s="2"/>
      </tp>
      <tp t="s">
        <v>#N/A N/A</v>
        <stp/>
        <stp>BDP|17360554395294697736</stp>
        <tr r="M303" s="2"/>
      </tp>
      <tp t="s">
        <v>#N/A N/A</v>
        <stp/>
        <stp>BDP|11937088317388228024</stp>
        <tr r="M475" s="2"/>
      </tp>
      <tp t="s">
        <v>#N/A N/A</v>
        <stp/>
        <stp>BDP|12669610837456385954</stp>
        <tr r="I109" s="2"/>
      </tp>
      <tp t="s">
        <v>#N/A N/A</v>
        <stp/>
        <stp>BDP|17064007796064143219</stp>
        <tr r="C236" s="2"/>
      </tp>
      <tp t="s">
        <v>#N/A N/A</v>
        <stp/>
        <stp>BDP|10750937858196382297</stp>
        <tr r="Q10" s="2"/>
      </tp>
      <tp t="s">
        <v>#N/A N/A</v>
        <stp/>
        <stp>BDP|12467866474365712071</stp>
        <tr r="K93" s="2"/>
      </tp>
      <tp t="s">
        <v>#N/A N/A</v>
        <stp/>
        <stp>BDP|13940717744598904034</stp>
        <tr r="O469" s="2"/>
      </tp>
      <tp t="s">
        <v>#N/A N/A</v>
        <stp/>
        <stp>BDP|11068558512184746969</stp>
        <tr r="L275" s="2"/>
      </tp>
      <tp t="s">
        <v>#N/A N/A</v>
        <stp/>
        <stp>BDP|11628683536499638586</stp>
        <tr r="P282" s="2"/>
      </tp>
      <tp t="s">
        <v>#N/A N/A</v>
        <stp/>
        <stp>BDP|10028235506628220213</stp>
        <tr r="D423" s="2"/>
      </tp>
      <tp t="s">
        <v>#N/A N/A</v>
        <stp/>
        <stp>BDP|15773164830667216853</stp>
        <tr r="O193" s="2"/>
      </tp>
      <tp t="s">
        <v>#N/A N/A</v>
        <stp/>
        <stp>BDP|13385328746215375923</stp>
        <tr r="J61" s="2"/>
      </tp>
      <tp t="s">
        <v>#N/A N/A</v>
        <stp/>
        <stp>BDP|10101636658583566890</stp>
        <tr r="N428" s="2"/>
      </tp>
      <tp t="s">
        <v>#N/A N/A</v>
        <stp/>
        <stp>BDP|18378783972192772287</stp>
        <tr r="I367" s="2"/>
      </tp>
      <tp t="s">
        <v>#N/A N/A</v>
        <stp/>
        <stp>BDP|17874583303798771220</stp>
        <tr r="K391" s="2"/>
      </tp>
      <tp t="s">
        <v>#N/A N/A</v>
        <stp/>
        <stp>BDP|16146436711029360260</stp>
        <tr r="D126" s="2"/>
      </tp>
      <tp t="s">
        <v>#N/A N/A</v>
        <stp/>
        <stp>BDP|14893465686636997788</stp>
        <tr r="H98" s="2"/>
      </tp>
      <tp t="s">
        <v>#N/A N/A</v>
        <stp/>
        <stp>BDP|12953646862748780316</stp>
        <tr r="O247" s="2"/>
      </tp>
      <tp t="s">
        <v>#N/A N/A</v>
        <stp/>
        <stp>BDP|14740680990817274543</stp>
        <tr r="Q200" s="2"/>
      </tp>
      <tp t="s">
        <v>#N/A N/A</v>
        <stp/>
        <stp>BDP|11980857533721165276</stp>
        <tr r="L96" s="2"/>
      </tp>
      <tp t="s">
        <v>#N/A N/A</v>
        <stp/>
        <stp>BDP|15717187086683142618</stp>
        <tr r="C29" s="2"/>
      </tp>
      <tp t="s">
        <v>#N/A N/A</v>
        <stp/>
        <stp>BDP|14960678283641568212</stp>
        <tr r="O138" s="2"/>
      </tp>
      <tp t="s">
        <v>#N/A N/A</v>
        <stp/>
        <stp>BDP|16467198881692558401</stp>
        <tr r="G210" s="2"/>
      </tp>
      <tp t="s">
        <v>#N/A N/A</v>
        <stp/>
        <stp>BDP|15417444815810824943</stp>
        <tr r="D97" s="2"/>
      </tp>
      <tp t="s">
        <v>#N/A N/A</v>
        <stp/>
        <stp>BDP|12122711640670091890</stp>
        <tr r="I58" s="2"/>
      </tp>
      <tp t="s">
        <v>#N/A N/A</v>
        <stp/>
        <stp>BDP|10890760463551295966</stp>
        <tr r="M469" s="2"/>
      </tp>
      <tp t="s">
        <v>#N/A N/A</v>
        <stp/>
        <stp>BDP|14748492928658849376</stp>
        <tr r="D221" s="2"/>
      </tp>
      <tp t="s">
        <v>#N/A N/A</v>
        <stp/>
        <stp>BDP|14371972299555727830</stp>
        <tr r="L322" s="2"/>
      </tp>
      <tp t="s">
        <v>#N/A N/A</v>
        <stp/>
        <stp>BDP|10644264319858487240</stp>
        <tr r="F478" s="2"/>
      </tp>
      <tp t="s">
        <v>#N/A N/A</v>
        <stp/>
        <stp>BDP|10334191920873357908</stp>
        <tr r="Q398" s="2"/>
      </tp>
      <tp t="s">
        <v>#N/A N/A</v>
        <stp/>
        <stp>BDP|16965857457806158438</stp>
        <tr r="G334" s="2"/>
      </tp>
      <tp t="s">
        <v>#N/A N/A</v>
        <stp/>
        <stp>BDP|10542058501840102990</stp>
        <tr r="M392" s="2"/>
      </tp>
      <tp t="s">
        <v>#N/A N/A</v>
        <stp/>
        <stp>BDP|15845832852882796373</stp>
        <tr r="C424" s="2"/>
      </tp>
      <tp t="s">
        <v>#N/A N/A</v>
        <stp/>
        <stp>BDP|14849265724858740556</stp>
        <tr r="C145" s="2"/>
      </tp>
      <tp t="s">
        <v>#N/A N/A</v>
        <stp/>
        <stp>BDP|14383218922335880802</stp>
        <tr r="G227" s="2"/>
      </tp>
      <tp t="s">
        <v>#N/A N/A</v>
        <stp/>
        <stp>BDP|14308897352292340238</stp>
        <tr r="C437" s="2"/>
      </tp>
      <tp t="s">
        <v>#N/A N/A</v>
        <stp/>
        <stp>BDP|12893167909488754287</stp>
        <tr r="M129" s="2"/>
      </tp>
      <tp t="s">
        <v>#N/A N/A</v>
        <stp/>
        <stp>BDP|17582102249259762230</stp>
        <tr r="O391" s="2"/>
      </tp>
      <tp t="s">
        <v>#N/A N/A</v>
        <stp/>
        <stp>BDP|16155758594077163697</stp>
        <tr r="M304" s="2"/>
      </tp>
      <tp t="s">
        <v>#N/A N/A</v>
        <stp/>
        <stp>BDP|13485412365930094886</stp>
        <tr r="J373" s="2"/>
      </tp>
      <tp t="s">
        <v>#N/A N/A</v>
        <stp/>
        <stp>BDP|14872922506154380070</stp>
        <tr r="F443" s="2"/>
      </tp>
      <tp t="s">
        <v>#N/A N/A</v>
        <stp/>
        <stp>BDP|14216852969127608401</stp>
        <tr r="H89" s="2"/>
      </tp>
      <tp t="s">
        <v>#N/A N/A</v>
        <stp/>
        <stp>BDP|18080385408917829504</stp>
        <tr r="I339" s="2"/>
      </tp>
      <tp t="s">
        <v>#N/A N/A</v>
        <stp/>
        <stp>BDP|10716530707318273497</stp>
        <tr r="F435" s="2"/>
      </tp>
      <tp t="s">
        <v>#N/A N/A</v>
        <stp/>
        <stp>BDP|11677439765873948913</stp>
        <tr r="D355" s="2"/>
      </tp>
      <tp t="s">
        <v>#N/A N/A</v>
        <stp/>
        <stp>BDP|14858828172970173213</stp>
        <tr r="K328" s="2"/>
      </tp>
      <tp t="s">
        <v>#N/A N/A</v>
        <stp/>
        <stp>BDP|10376072580606504793</stp>
        <tr r="F200" s="2"/>
      </tp>
      <tp t="s">
        <v>#N/A N/A</v>
        <stp/>
        <stp>BDP|11402704866721213885</stp>
        <tr r="D399" s="2"/>
      </tp>
      <tp t="s">
        <v>#N/A N/A</v>
        <stp/>
        <stp>BDP|16054431991315227780</stp>
        <tr r="R350" s="2"/>
      </tp>
      <tp t="s">
        <v>#N/A N/A</v>
        <stp/>
        <stp>BDP|16154870547775871610</stp>
        <tr r="D210" s="2"/>
      </tp>
      <tp t="s">
        <v>#N/A N/A</v>
        <stp/>
        <stp>BDP|17896846071958211972</stp>
        <tr r="G422" s="2"/>
      </tp>
      <tp t="s">
        <v>#N/A N/A</v>
        <stp/>
        <stp>BDP|11407487380154436001</stp>
        <tr r="K176" s="2"/>
      </tp>
      <tp t="s">
        <v>#N/A N/A</v>
        <stp/>
        <stp>BDP|11071486065813274945</stp>
        <tr r="O441" s="2"/>
      </tp>
      <tp t="s">
        <v>#N/A N/A</v>
        <stp/>
        <stp>BDP|13019316772948177693</stp>
        <tr r="N150" s="2"/>
      </tp>
      <tp t="s">
        <v>#N/A N/A</v>
        <stp/>
        <stp>BDP|14159329483920281694</stp>
        <tr r="M106" s="2"/>
      </tp>
      <tp t="s">
        <v>#N/A N/A</v>
        <stp/>
        <stp>BDP|10636891403908508923</stp>
        <tr r="N318" s="2"/>
      </tp>
      <tp t="s">
        <v>#N/A N/A</v>
        <stp/>
        <stp>BDP|15932973117825522172</stp>
        <tr r="C441" s="2"/>
      </tp>
      <tp t="s">
        <v>#N/A N/A</v>
        <stp/>
        <stp>BDP|11034939958674931090</stp>
        <tr r="K354" s="2"/>
      </tp>
      <tp t="s">
        <v>#N/A N/A</v>
        <stp/>
        <stp>BDP|16197648299883358343</stp>
        <tr r="R176" s="2"/>
      </tp>
      <tp t="s">
        <v>#N/A N/A</v>
        <stp/>
        <stp>BDP|11593979091281883907</stp>
        <tr r="O399" s="2"/>
      </tp>
      <tp t="s">
        <v>#N/A N/A</v>
        <stp/>
        <stp>BDP|18251749255277044487</stp>
        <tr r="K456" s="2"/>
      </tp>
      <tp t="s">
        <v>#N/A N/A</v>
        <stp/>
        <stp>BDP|17815763497665411569</stp>
        <tr r="J157" s="2"/>
      </tp>
      <tp t="s">
        <v>#N/A N/A</v>
        <stp/>
        <stp>BDP|10588122099213795223</stp>
        <tr r="J329" s="2"/>
      </tp>
      <tp t="s">
        <v>#N/A N/A</v>
        <stp/>
        <stp>BDP|10914744590704656300</stp>
        <tr r="J324" s="2"/>
      </tp>
      <tp t="s">
        <v>#N/A N/A</v>
        <stp/>
        <stp>BDP|17049024368768212030</stp>
        <tr r="F251" s="2"/>
      </tp>
      <tp t="s">
        <v>#N/A N/A</v>
        <stp/>
        <stp>BDP|16350047757678234291</stp>
        <tr r="R391" s="2"/>
      </tp>
      <tp t="s">
        <v>#N/A N/A</v>
        <stp/>
        <stp>BDP|18430788155101688247</stp>
        <tr r="N357" s="2"/>
      </tp>
      <tp t="s">
        <v>#N/A N/A</v>
        <stp/>
        <stp>BDP|16796431563988414584</stp>
        <tr r="R31" s="2"/>
      </tp>
      <tp t="s">
        <v>#N/A N/A</v>
        <stp/>
        <stp>BDP|11329057567117356995</stp>
        <tr r="H452" s="2"/>
      </tp>
      <tp t="s">
        <v>#N/A N/A</v>
        <stp/>
        <stp>BDP|15680644836328629199</stp>
        <tr r="N64" s="2"/>
      </tp>
      <tp t="s">
        <v>#N/A N/A</v>
        <stp/>
        <stp>BDP|10464885907805324422</stp>
        <tr r="P308" s="2"/>
      </tp>
      <tp t="s">
        <v>#N/A N/A</v>
        <stp/>
        <stp>BDP|16114204993984830004</stp>
        <tr r="G441" s="2"/>
      </tp>
      <tp t="s">
        <v>#N/A N/A</v>
        <stp/>
        <stp>BDP|15841573187535083423</stp>
        <tr r="N124" s="2"/>
      </tp>
      <tp t="s">
        <v>#N/A N/A</v>
        <stp/>
        <stp>BDP|14456577499889239820</stp>
        <tr r="N182" s="2"/>
      </tp>
      <tp t="s">
        <v>#N/A N/A</v>
        <stp/>
        <stp>BDP|16698889844000495346</stp>
        <tr r="J287" s="2"/>
      </tp>
      <tp t="s">
        <v>#N/A N/A</v>
        <stp/>
        <stp>BDP|16751265494632897673</stp>
        <tr r="Q371" s="2"/>
      </tp>
      <tp t="s">
        <v>#N/A N/A</v>
        <stp/>
        <stp>BDP|10771468191812244683</stp>
        <tr r="F218" s="2"/>
      </tp>
      <tp t="s">
        <v>#N/A N/A</v>
        <stp/>
        <stp>BDP|10440272693017298588</stp>
        <tr r="O154" s="2"/>
      </tp>
      <tp t="s">
        <v>#N/A N/A</v>
        <stp/>
        <stp>BDP|15687621349829700706</stp>
        <tr r="H187" s="2"/>
      </tp>
      <tp t="s">
        <v>#N/A N/A</v>
        <stp/>
        <stp>BDP|13460956393292808878</stp>
        <tr r="D380" s="2"/>
      </tp>
      <tp t="s">
        <v>#N/A N/A</v>
        <stp/>
        <stp>BDP|14471290281534556348</stp>
        <tr r="I82" s="2"/>
      </tp>
      <tp t="s">
        <v>#N/A N/A</v>
        <stp/>
        <stp>BDP|11795953599831452929</stp>
        <tr r="M230" s="2"/>
      </tp>
      <tp t="s">
        <v>#N/A N/A</v>
        <stp/>
        <stp>BDP|12387499286440625776</stp>
        <tr r="L220" s="2"/>
      </tp>
      <tp t="s">
        <v>#N/A N/A</v>
        <stp/>
        <stp>BDP|13966200378677515890</stp>
        <tr r="M17" s="2"/>
      </tp>
      <tp t="s">
        <v>#N/A N/A</v>
        <stp/>
        <stp>BDP|16093853709312684576</stp>
        <tr r="K350" s="2"/>
      </tp>
      <tp t="s">
        <v>#N/A N/A</v>
        <stp/>
        <stp>BDP|12236353797047477690</stp>
        <tr r="N149" s="2"/>
      </tp>
      <tp t="s">
        <v>#N/A N/A</v>
        <stp/>
        <stp>BDP|13937711169269462280</stp>
        <tr r="M214" s="2"/>
      </tp>
      <tp t="s">
        <v>#N/A N/A</v>
        <stp/>
        <stp>BDP|11565251061544806859</stp>
        <tr r="N15" s="2"/>
      </tp>
      <tp t="s">
        <v>#N/A N/A</v>
        <stp/>
        <stp>BDP|12752340588860511024</stp>
        <tr r="H337" s="2"/>
      </tp>
      <tp t="s">
        <v>#N/A N/A</v>
        <stp/>
        <stp>BDP|13809761415339150568</stp>
        <tr r="R165" s="2"/>
      </tp>
      <tp t="s">
        <v>#N/A N/A</v>
        <stp/>
        <stp>BDP|14993323060578553024</stp>
        <tr r="J267" s="2"/>
      </tp>
      <tp t="s">
        <v>#N/A N/A</v>
        <stp/>
        <stp>BDP|14835507282854788419</stp>
        <tr r="I499" s="2"/>
      </tp>
      <tp t="s">
        <v>#N/A N/A</v>
        <stp/>
        <stp>BDP|12786057651666824877</stp>
        <tr r="M340" s="2"/>
      </tp>
      <tp t="s">
        <v>#N/A N/A</v>
        <stp/>
        <stp>BDP|16498419487612954170</stp>
        <tr r="D366" s="2"/>
      </tp>
      <tp t="s">
        <v>#N/A N/A</v>
        <stp/>
        <stp>BDP|13263124585975894611</stp>
        <tr r="P275" s="2"/>
      </tp>
      <tp t="s">
        <v>#N/A N/A</v>
        <stp/>
        <stp>BDP|16100919986558389695</stp>
        <tr r="I13" s="2"/>
      </tp>
      <tp t="s">
        <v>#N/A N/A</v>
        <stp/>
        <stp>BDP|10976207263085514834</stp>
        <tr r="D23" s="2"/>
      </tp>
      <tp t="s">
        <v>#N/A N/A</v>
        <stp/>
        <stp>BDP|14331388576469788062</stp>
        <tr r="G106" s="2"/>
      </tp>
      <tp t="s">
        <v>#N/A N/A</v>
        <stp/>
        <stp>BDP|17589715298835431542</stp>
        <tr r="K60" s="2"/>
      </tp>
      <tp t="s">
        <v>#N/A N/A</v>
        <stp/>
        <stp>BDP|13414924957490802655</stp>
        <tr r="E476" s="2"/>
      </tp>
      <tp t="s">
        <v>#N/A N/A</v>
        <stp/>
        <stp>BDP|14199944605847944369</stp>
        <tr r="D410" s="2"/>
      </tp>
      <tp t="s">
        <v>#N/A N/A</v>
        <stp/>
        <stp>BDP|18407539948063103316</stp>
        <tr r="K440" s="2"/>
      </tp>
      <tp t="s">
        <v>#N/A N/A</v>
        <stp/>
        <stp>BDP|16467922012587341086</stp>
        <tr r="M468" s="2"/>
      </tp>
      <tp t="s">
        <v>#N/A N/A</v>
        <stp/>
        <stp>BDP|16335579921400397894</stp>
        <tr r="J16" s="2"/>
      </tp>
      <tp t="s">
        <v>#N/A N/A</v>
        <stp/>
        <stp>BDP|14634886199925095984</stp>
        <tr r="O361" s="2"/>
      </tp>
      <tp t="s">
        <v>#N/A N/A</v>
        <stp/>
        <stp>BDP|13163023296484930735</stp>
        <tr r="G224" s="2"/>
      </tp>
      <tp t="s">
        <v>#N/A N/A</v>
        <stp/>
        <stp>BDP|18273275228386040722</stp>
        <tr r="I301" s="2"/>
      </tp>
      <tp t="s">
        <v>#N/A N/A</v>
        <stp/>
        <stp>BDP|10086581284962316606</stp>
        <tr r="M461" s="2"/>
      </tp>
      <tp t="s">
        <v>#N/A N/A</v>
        <stp/>
        <stp>BDP|16697481287566584532</stp>
        <tr r="L287" s="2"/>
      </tp>
      <tp t="s">
        <v>#N/A N/A</v>
        <stp/>
        <stp>BDP|10975983879233005473</stp>
        <tr r="M484" s="2"/>
      </tp>
      <tp t="s">
        <v>#N/A N/A</v>
        <stp/>
        <stp>BDP|15840774899661133381</stp>
        <tr r="E159" s="2"/>
      </tp>
      <tp t="s">
        <v>#N/A N/A</v>
        <stp/>
        <stp>BDP|18446576441983844344</stp>
        <tr r="M10" s="2"/>
      </tp>
      <tp t="s">
        <v>#N/A N/A</v>
        <stp/>
        <stp>BDP|11859364323891572865</stp>
        <tr r="M197" s="2"/>
      </tp>
      <tp t="s">
        <v>#N/A N/A</v>
        <stp/>
        <stp>BDP|13801729286251104430</stp>
        <tr r="F8" s="2"/>
      </tp>
      <tp t="s">
        <v>#N/A N/A</v>
        <stp/>
        <stp>BDP|10587042899783001365</stp>
        <tr r="N249" s="2"/>
      </tp>
      <tp t="s">
        <v>#N/A N/A</v>
        <stp/>
        <stp>BDP|18111214807752884116</stp>
        <tr r="K149" s="2"/>
      </tp>
      <tp t="s">
        <v>#N/A N/A</v>
        <stp/>
        <stp>BDP|10493295241427350811</stp>
        <tr r="H74" s="2"/>
      </tp>
      <tp t="s">
        <v>#N/A N/A</v>
        <stp/>
        <stp>BDP|17750199390216549059</stp>
        <tr r="R197" s="2"/>
      </tp>
      <tp t="s">
        <v>#N/A N/A</v>
        <stp/>
        <stp>BDP|11534222166539803577</stp>
        <tr r="G41" s="2"/>
      </tp>
      <tp t="s">
        <v>#N/A N/A</v>
        <stp/>
        <stp>BDP|15280465975967635895</stp>
        <tr r="H230" s="2"/>
      </tp>
      <tp t="s">
        <v>#N/A N/A</v>
        <stp/>
        <stp>BDP|17040612661017938974</stp>
        <tr r="Q309" s="2"/>
      </tp>
      <tp t="s">
        <v>#N/A N/A</v>
        <stp/>
        <stp>BDP|13373367514370876875</stp>
        <tr r="L319" s="2"/>
      </tp>
      <tp t="s">
        <v>#N/A N/A</v>
        <stp/>
        <stp>BDP|16314680196562528261</stp>
        <tr r="Q215" s="2"/>
      </tp>
      <tp t="s">
        <v>#N/A N/A</v>
        <stp/>
        <stp>BDP|15428350365081306895</stp>
        <tr r="Q421" s="2"/>
      </tp>
      <tp t="s">
        <v>#N/A N/A</v>
        <stp/>
        <stp>BDP|16966596328170529835</stp>
        <tr r="N135" s="2"/>
      </tp>
      <tp t="s">
        <v>#N/A N/A</v>
        <stp/>
        <stp>BDP|17889138794787316123</stp>
        <tr r="R100" s="2"/>
      </tp>
      <tp t="s">
        <v>#N/A N/A</v>
        <stp/>
        <stp>BDP|10875835217495733551</stp>
        <tr r="H189" s="2"/>
      </tp>
      <tp t="s">
        <v>#N/A N/A</v>
        <stp/>
        <stp>BDP|12812249911571390900</stp>
        <tr r="M472" s="2"/>
      </tp>
      <tp t="s">
        <v>#N/A N/A</v>
        <stp/>
        <stp>BDP|13308729861182807993</stp>
        <tr r="J4" s="2"/>
      </tp>
      <tp t="s">
        <v>#N/A N/A</v>
        <stp/>
        <stp>BDP|17681831066648679841</stp>
        <tr r="N304" s="2"/>
      </tp>
      <tp t="s">
        <v>#N/A N/A</v>
        <stp/>
        <stp>BDP|14707328609386825855</stp>
        <tr r="C504" s="2"/>
      </tp>
      <tp t="s">
        <v>#N/A N/A</v>
        <stp/>
        <stp>BDP|16075684674429467793</stp>
        <tr r="E401" s="2"/>
      </tp>
      <tp t="s">
        <v>#N/A N/A</v>
        <stp/>
        <stp>BDP|13845661889685161174</stp>
        <tr r="L86" s="2"/>
      </tp>
      <tp t="s">
        <v>#N/A N/A</v>
        <stp/>
        <stp>BDP|10996289512619640343</stp>
        <tr r="K383" s="2"/>
      </tp>
      <tp t="s">
        <v>#N/A N/A</v>
        <stp/>
        <stp>BDP|18057063450570330440</stp>
        <tr r="P70" s="2"/>
      </tp>
      <tp t="s">
        <v>#N/A N/A</v>
        <stp/>
        <stp>BDP|11560243322368321013</stp>
        <tr r="H387" s="2"/>
      </tp>
      <tp t="s">
        <v>#N/A N/A</v>
        <stp/>
        <stp>BDP|13608459816408782730</stp>
        <tr r="I438" s="2"/>
      </tp>
      <tp t="s">
        <v>#N/A N/A</v>
        <stp/>
        <stp>BDP|17943791160769702666</stp>
        <tr r="D490" s="2"/>
      </tp>
      <tp t="s">
        <v>#N/A N/A</v>
        <stp/>
        <stp>BDP|13415790495526089287</stp>
        <tr r="Q384" s="2"/>
      </tp>
      <tp t="s">
        <v>#N/A N/A</v>
        <stp/>
        <stp>BDP|11412112980415185445</stp>
        <tr r="C210" s="2"/>
      </tp>
      <tp t="s">
        <v>#N/A N/A</v>
        <stp/>
        <stp>BDP|18445966692952102311</stp>
        <tr r="G244" s="2"/>
      </tp>
      <tp t="s">
        <v>#N/A N/A</v>
        <stp/>
        <stp>BDP|17247007893037151009</stp>
        <tr r="Q498" s="2"/>
      </tp>
      <tp t="s">
        <v>#N/A N/A</v>
        <stp/>
        <stp>BDP|15630524781020489110</stp>
        <tr r="D291" s="2"/>
      </tp>
      <tp t="s">
        <v>#N/A N/A</v>
        <stp/>
        <stp>BDP|10990054086176966735</stp>
        <tr r="J135" s="2"/>
      </tp>
      <tp t="s">
        <v>#N/A N/A</v>
        <stp/>
        <stp>BDP|11986986345633686623</stp>
        <tr r="G271" s="2"/>
      </tp>
      <tp t="s">
        <v>#N/A N/A</v>
        <stp/>
        <stp>BDP|12439960003795044712</stp>
        <tr r="N433" s="2"/>
      </tp>
      <tp t="s">
        <v>#N/A N/A</v>
        <stp/>
        <stp>BDP|12014898018302517049</stp>
        <tr r="Q408" s="2"/>
      </tp>
      <tp t="s">
        <v>#N/A N/A</v>
        <stp/>
        <stp>BDP|16836734655774613980</stp>
        <tr r="J291" s="2"/>
      </tp>
      <tp t="s">
        <v>#N/A N/A</v>
        <stp/>
        <stp>BDP|10763800905170077127</stp>
        <tr r="G272" s="2"/>
      </tp>
      <tp t="s">
        <v>#N/A N/A</v>
        <stp/>
        <stp>BDP|17917286296055627013</stp>
        <tr r="N53" s="2"/>
      </tp>
      <tp t="s">
        <v>#N/A N/A</v>
        <stp/>
        <stp>BDP|13965731695003745786</stp>
        <tr r="G81" s="2"/>
      </tp>
      <tp t="s">
        <v>#N/A N/A</v>
        <stp/>
        <stp>BDP|13104931825499025872</stp>
        <tr r="R92" s="2"/>
      </tp>
      <tp t="s">
        <v>#N/A N/A</v>
        <stp/>
        <stp>BDP|13098365367146528975</stp>
        <tr r="H48" s="2"/>
      </tp>
      <tp t="s">
        <v>#N/A N/A</v>
        <stp/>
        <stp>BDP|15415164117378264449</stp>
        <tr r="C434" s="2"/>
      </tp>
      <tp t="s">
        <v>#N/A N/A</v>
        <stp/>
        <stp>BDP|18243464651592787210</stp>
        <tr r="H233" s="2"/>
      </tp>
      <tp t="s">
        <v>#N/A N/A</v>
        <stp/>
        <stp>BDP|18286044839395966755</stp>
        <tr r="Q497" s="2"/>
      </tp>
      <tp t="s">
        <v>#N/A N/A</v>
        <stp/>
        <stp>BDP|18113489943917888615</stp>
        <tr r="M53" s="2"/>
      </tp>
      <tp t="s">
        <v>#N/A N/A</v>
        <stp/>
        <stp>BDP|11551170854298607434</stp>
        <tr r="Q196" s="2"/>
      </tp>
      <tp t="s">
        <v>#N/A N/A</v>
        <stp/>
        <stp>BDP|11612174559765200990</stp>
        <tr r="K171" s="2"/>
      </tp>
      <tp t="s">
        <v>#N/A N/A</v>
        <stp/>
        <stp>BDP|14367893478490633273</stp>
        <tr r="L274" s="2"/>
      </tp>
      <tp t="s">
        <v>#N/A N/A</v>
        <stp/>
        <stp>BDP|14447714676535224826</stp>
        <tr r="E408" s="2"/>
      </tp>
      <tp t="s">
        <v>#N/A N/A</v>
        <stp/>
        <stp>BDP|13082983769010737559</stp>
        <tr r="M462" s="2"/>
      </tp>
      <tp t="s">
        <v>#N/A N/A</v>
        <stp/>
        <stp>BDP|16684558738418131196</stp>
        <tr r="M64" s="2"/>
      </tp>
      <tp t="s">
        <v>#N/A N/A</v>
        <stp/>
        <stp>BDP|15203069734887024833</stp>
        <tr r="G311" s="2"/>
      </tp>
      <tp t="s">
        <v>#N/A N/A</v>
        <stp/>
        <stp>BDP|10024918514194454529</stp>
        <tr r="N389" s="2"/>
      </tp>
      <tp t="s">
        <v>#N/A N/A</v>
        <stp/>
        <stp>BDP|14892486971169706758</stp>
        <tr r="R499" s="2"/>
      </tp>
      <tp t="s">
        <v>#N/A N/A</v>
        <stp/>
        <stp>BDP|15876730689274639773</stp>
        <tr r="I44" s="2"/>
      </tp>
      <tp t="s">
        <v>#N/A N/A</v>
        <stp/>
        <stp>BDP|15831817462411903315</stp>
        <tr r="N118" s="2"/>
      </tp>
      <tp t="s">
        <v>#N/A N/A</v>
        <stp/>
        <stp>BDP|14039042573479148355</stp>
        <tr r="C203" s="2"/>
      </tp>
      <tp t="s">
        <v>#N/A N/A</v>
        <stp/>
        <stp>BDP|17547245795995118071</stp>
        <tr r="P50" s="2"/>
      </tp>
      <tp t="s">
        <v>#N/A N/A</v>
        <stp/>
        <stp>BDP|15034497688837197728</stp>
        <tr r="L63" s="2"/>
      </tp>
      <tp t="s">
        <v>#N/A N/A</v>
        <stp/>
        <stp>BDP|13486964327127321643</stp>
        <tr r="D9" s="2"/>
      </tp>
      <tp t="s">
        <v>#N/A N/A</v>
        <stp/>
        <stp>BDP|17768925437741905597</stp>
        <tr r="G292" s="2"/>
      </tp>
      <tp t="s">
        <v>#N/A N/A</v>
        <stp/>
        <stp>BDP|11862711059542568876</stp>
        <tr r="K358" s="2"/>
      </tp>
      <tp t="s">
        <v>#N/A N/A</v>
        <stp/>
        <stp>BDP|14412171851399739071</stp>
        <tr r="O340" s="2"/>
      </tp>
      <tp t="s">
        <v>#N/A N/A</v>
        <stp/>
        <stp>BDP|18220230994663773904</stp>
        <tr r="M327" s="2"/>
      </tp>
      <tp t="s">
        <v>#N/A N/A</v>
        <stp/>
        <stp>BDP|17518651915699432032</stp>
        <tr r="Q123" s="2"/>
      </tp>
      <tp t="s">
        <v>#N/A N/A</v>
        <stp/>
        <stp>BDP|17757486184194118684</stp>
        <tr r="M244" s="2"/>
      </tp>
      <tp t="s">
        <v>#N/A N/A</v>
        <stp/>
        <stp>BDP|15575753204199161275</stp>
        <tr r="I500" s="2"/>
      </tp>
      <tp t="s">
        <v>#N/A N/A</v>
        <stp/>
        <stp>BDP|16546874355714157639</stp>
        <tr r="L14" s="2"/>
      </tp>
      <tp t="s">
        <v>#N/A N/A</v>
        <stp/>
        <stp>BDP|10093490770088492289</stp>
        <tr r="E220" s="2"/>
      </tp>
      <tp t="s">
        <v>#N/A N/A</v>
        <stp/>
        <stp>BDP|13179837532031605038</stp>
        <tr r="C495" s="2"/>
      </tp>
      <tp t="s">
        <v>#N/A N/A</v>
        <stp/>
        <stp>BDP|18391426262124558738</stp>
        <tr r="R494" s="2"/>
      </tp>
      <tp t="s">
        <v>#N/A N/A</v>
        <stp/>
        <stp>BDP|11238176691596247637</stp>
        <tr r="P319" s="2"/>
      </tp>
      <tp t="s">
        <v>#N/A N/A</v>
        <stp/>
        <stp>BDP|12696947703916333476</stp>
        <tr r="K254" s="2"/>
      </tp>
      <tp t="s">
        <v>#N/A N/A</v>
        <stp/>
        <stp>BDP|10502108551198678579</stp>
        <tr r="C296" s="2"/>
      </tp>
      <tp t="s">
        <v>#N/A N/A</v>
        <stp/>
        <stp>BDP|18431000590690395832</stp>
        <tr r="H180" s="2"/>
      </tp>
      <tp t="s">
        <v>#N/A N/A</v>
        <stp/>
        <stp>BDP|11423099518609647077</stp>
        <tr r="K398" s="2"/>
      </tp>
      <tp t="s">
        <v>#N/A N/A</v>
        <stp/>
        <stp>BDP|16160155602408506679</stp>
        <tr r="H120" s="2"/>
      </tp>
      <tp t="s">
        <v>#N/A N/A</v>
        <stp/>
        <stp>BDP|10214502396512132719</stp>
        <tr r="J375" s="2"/>
      </tp>
      <tp t="s">
        <v>#N/A N/A</v>
        <stp/>
        <stp>BDP|11699114262389451657</stp>
        <tr r="Q233" s="2"/>
      </tp>
      <tp t="s">
        <v>#N/A N/A</v>
        <stp/>
        <stp>BDP|17217728949288401598</stp>
        <tr r="O246" s="2"/>
      </tp>
      <tp t="s">
        <v>#N/A N/A</v>
        <stp/>
        <stp>BDP|10724712288905387390</stp>
        <tr r="C198" s="2"/>
      </tp>
      <tp t="s">
        <v>#N/A N/A</v>
        <stp/>
        <stp>BDP|12577930035511670012</stp>
        <tr r="P125" s="2"/>
      </tp>
      <tp t="s">
        <v>#N/A N/A</v>
        <stp/>
        <stp>BDP|17179483926891288993</stp>
        <tr r="R191" s="2"/>
      </tp>
      <tp t="s">
        <v>#N/A N/A</v>
        <stp/>
        <stp>BDP|13467949472227216377</stp>
        <tr r="M412" s="2"/>
      </tp>
      <tp t="s">
        <v>#N/A N/A</v>
        <stp/>
        <stp>BDP|13911633535659890605</stp>
        <tr r="J246" s="2"/>
      </tp>
      <tp t="s">
        <v>#N/A N/A</v>
        <stp/>
        <stp>BDP|16235328676513317820</stp>
        <tr r="H154" s="2"/>
      </tp>
      <tp t="s">
        <v>#N/A N/A</v>
        <stp/>
        <stp>BDP|10422238481032749160</stp>
        <tr r="Q312" s="2"/>
      </tp>
      <tp t="s">
        <v>#N/A N/A</v>
        <stp/>
        <stp>BDP|11127579314328303466</stp>
        <tr r="P296" s="2"/>
      </tp>
      <tp t="s">
        <v>#N/A N/A</v>
        <stp/>
        <stp>BDP|17546579193347792519</stp>
        <tr r="J239" s="2"/>
      </tp>
      <tp t="s">
        <v>#N/A N/A</v>
        <stp/>
        <stp>BDP|13662294623288857234</stp>
        <tr r="R360" s="2"/>
      </tp>
      <tp t="s">
        <v>#N/A N/A</v>
        <stp/>
        <stp>BDP|14405963212355626013</stp>
        <tr r="L149" s="2"/>
      </tp>
      <tp t="s">
        <v>#N/A N/A</v>
        <stp/>
        <stp>BDP|10407335988345017780</stp>
        <tr r="Q79" s="2"/>
      </tp>
      <tp t="s">
        <v>#N/A N/A</v>
        <stp/>
        <stp>BDP|18317251903687019422</stp>
        <tr r="R58" s="2"/>
      </tp>
      <tp t="s">
        <v>#N/A N/A</v>
        <stp/>
        <stp>BDP|18331959834362556909</stp>
        <tr r="H238" s="2"/>
      </tp>
      <tp t="s">
        <v>#N/A N/A</v>
        <stp/>
        <stp>BDP|10714538372733590842</stp>
        <tr r="F383" s="2"/>
      </tp>
      <tp t="s">
        <v>#N/A N/A</v>
        <stp/>
        <stp>BDP|13487367620572472919</stp>
        <tr r="L16" s="2"/>
      </tp>
      <tp t="s">
        <v>#N/A N/A</v>
        <stp/>
        <stp>BDP|15548087015959734493</stp>
        <tr r="Q40" s="2"/>
      </tp>
      <tp t="s">
        <v>#N/A N/A</v>
        <stp/>
        <stp>BDP|13259619586242551662</stp>
        <tr r="I366" s="2"/>
      </tp>
      <tp t="s">
        <v>#N/A N/A</v>
        <stp/>
        <stp>BDP|14891110182152981649</stp>
        <tr r="Q358" s="2"/>
      </tp>
      <tp t="s">
        <v>#N/A N/A</v>
        <stp/>
        <stp>BDP|17581095179239277010</stp>
        <tr r="M348" s="2"/>
      </tp>
      <tp t="s">
        <v>#N/A N/A</v>
        <stp/>
        <stp>BDP|17060637301890370870</stp>
        <tr r="N289" s="2"/>
      </tp>
      <tp t="s">
        <v>#N/A N/A</v>
        <stp/>
        <stp>BDP|11864303133081804956</stp>
        <tr r="O343" s="2"/>
      </tp>
      <tp t="s">
        <v>#N/A N/A</v>
        <stp/>
        <stp>BDP|10754925422763516144</stp>
        <tr r="J343" s="2"/>
      </tp>
      <tp t="s">
        <v>#N/A N/A</v>
        <stp/>
        <stp>BDP|11679024494301618000</stp>
        <tr r="O192" s="2"/>
      </tp>
      <tp t="s">
        <v>#N/A N/A</v>
        <stp/>
        <stp>BDP|13551090553496828913</stp>
        <tr r="Q220" s="2"/>
      </tp>
      <tp t="s">
        <v>#N/A N/A</v>
        <stp/>
        <stp>BDP|12576043396007945585</stp>
        <tr r="E402" s="2"/>
      </tp>
      <tp t="s">
        <v>#N/A N/A</v>
        <stp/>
        <stp>BDP|13800984760644631105</stp>
        <tr r="G77" s="2"/>
      </tp>
      <tp t="s">
        <v>#N/A N/A</v>
        <stp/>
        <stp>BDP|10187331231017362994</stp>
        <tr r="L448" s="2"/>
      </tp>
      <tp t="s">
        <v>#N/A N/A</v>
        <stp/>
        <stp>BDP|12056995436135020368</stp>
        <tr r="M282" s="2"/>
      </tp>
      <tp t="s">
        <v>#N/A N/A</v>
        <stp/>
        <stp>BDP|10485677503060905807</stp>
        <tr r="C264" s="2"/>
      </tp>
      <tp t="s">
        <v>#N/A N/A</v>
        <stp/>
        <stp>BDP|17806759872059497022</stp>
        <tr r="F169" s="2"/>
      </tp>
      <tp t="s">
        <v>#N/A N/A</v>
        <stp/>
        <stp>BDP|13126523395939689892</stp>
        <tr r="R453" s="2"/>
      </tp>
      <tp t="s">
        <v>#N/A N/A</v>
        <stp/>
        <stp>BDP|17350185018128842127</stp>
        <tr r="R64" s="2"/>
      </tp>
      <tp t="s">
        <v>#N/A N/A</v>
        <stp/>
        <stp>BDP|13861561582576208673</stp>
        <tr r="F336" s="2"/>
      </tp>
      <tp t="s">
        <v>#N/A N/A</v>
        <stp/>
        <stp>BDP|13111208389374234338</stp>
        <tr r="K9" s="2"/>
      </tp>
      <tp t="s">
        <v>#N/A N/A</v>
        <stp/>
        <stp>BDP|12603280034339738447</stp>
        <tr r="C91" s="2"/>
      </tp>
      <tp t="s">
        <v>#N/A N/A</v>
        <stp/>
        <stp>BDP|18201094610493335414</stp>
        <tr r="R271" s="2"/>
      </tp>
      <tp t="s">
        <v>#N/A N/A</v>
        <stp/>
        <stp>BDP|16220880233641430240</stp>
        <tr r="J346" s="2"/>
      </tp>
      <tp t="s">
        <v>#N/A N/A</v>
        <stp/>
        <stp>BDP|11329592913519248227</stp>
        <tr r="Q230" s="2"/>
      </tp>
      <tp t="s">
        <v>#N/A N/A</v>
        <stp/>
        <stp>BDP|14751125880410561396</stp>
        <tr r="H33" s="2"/>
      </tp>
      <tp t="s">
        <v>#N/A N/A</v>
        <stp/>
        <stp>BDP|14457620152169541084</stp>
        <tr r="H469" s="2"/>
      </tp>
      <tp t="s">
        <v>#N/A N/A</v>
        <stp/>
        <stp>BDP|14782960033239963933</stp>
        <tr r="P322" s="2"/>
      </tp>
      <tp t="s">
        <v>#N/A N/A</v>
        <stp/>
        <stp>BDP|10077056712328967769</stp>
        <tr r="J161" s="2"/>
      </tp>
      <tp t="s">
        <v>#N/A N/A</v>
        <stp/>
        <stp>BDP|13070508287765772582</stp>
        <tr r="M467" s="2"/>
      </tp>
      <tp t="s">
        <v>#N/A N/A</v>
        <stp/>
        <stp>BDP|12965271086756079007</stp>
        <tr r="N379" s="2"/>
      </tp>
      <tp t="s">
        <v>#N/A N/A</v>
        <stp/>
        <stp>BDP|12385629869188616461</stp>
        <tr r="G331" s="2"/>
      </tp>
      <tp t="s">
        <v>#N/A N/A</v>
        <stp/>
        <stp>BDP|10957222571419501273</stp>
        <tr r="C372" s="2"/>
      </tp>
      <tp t="s">
        <v>#N/A N/A</v>
        <stp/>
        <stp>BDP|11218740377929183687</stp>
        <tr r="J357" s="2"/>
      </tp>
      <tp t="s">
        <v>#N/A N/A</v>
        <stp/>
        <stp>BDP|10831606718411966811</stp>
        <tr r="J322" s="2"/>
      </tp>
      <tp t="s">
        <v>#N/A N/A</v>
        <stp/>
        <stp>BDP|11252895463321803086</stp>
        <tr r="D116" s="2"/>
      </tp>
      <tp t="s">
        <v>#N/A N/A</v>
        <stp/>
        <stp>BDP|17302344699107625402</stp>
        <tr r="M264" s="2"/>
      </tp>
      <tp t="s">
        <v>#N/A N/A</v>
        <stp/>
        <stp>BDP|10383329760318284381</stp>
        <tr r="P8" s="2"/>
      </tp>
      <tp t="s">
        <v>#N/A N/A</v>
        <stp/>
        <stp>BDP|15159557118846179967</stp>
        <tr r="K407" s="2"/>
      </tp>
      <tp t="s">
        <v>#N/A N/A</v>
        <stp/>
        <stp>BDP|11841560564964204837</stp>
        <tr r="M151" s="2"/>
      </tp>
      <tp t="s">
        <v>#N/A N/A</v>
        <stp/>
        <stp>BDP|14899707569948858328</stp>
        <tr r="C468" s="2"/>
      </tp>
      <tp t="s">
        <v>#N/A N/A</v>
        <stp/>
        <stp>BDP|14944855057041033608</stp>
        <tr r="O335" s="2"/>
      </tp>
      <tp t="s">
        <v>#N/A N/A</v>
        <stp/>
        <stp>BDP|12121686365058065478</stp>
        <tr r="Q407" s="2"/>
      </tp>
      <tp t="s">
        <v>#N/A N/A</v>
        <stp/>
        <stp>BDP|12923077294355089016</stp>
        <tr r="I180" s="2"/>
      </tp>
      <tp t="s">
        <v>#N/A N/A</v>
        <stp/>
        <stp>BDP|18333889213687667857</stp>
        <tr r="R208" s="2"/>
      </tp>
      <tp t="s">
        <v>#N/A N/A</v>
        <stp/>
        <stp>BDP|17969570625508688666</stp>
        <tr r="M223" s="2"/>
      </tp>
      <tp t="s">
        <v>#N/A N/A</v>
        <stp/>
        <stp>BDP|11505184816058789770</stp>
        <tr r="P284" s="2"/>
      </tp>
      <tp t="s">
        <v>#N/A N/A</v>
        <stp/>
        <stp>BDP|18130135870313027394</stp>
        <tr r="I87" s="2"/>
      </tp>
      <tp t="s">
        <v>#N/A N/A</v>
        <stp/>
        <stp>BDP|12511772772634308887</stp>
        <tr r="N409" s="2"/>
      </tp>
      <tp t="s">
        <v>#N/A N/A</v>
        <stp/>
        <stp>BDP|10930113028298251595</stp>
        <tr r="N504" s="2"/>
      </tp>
      <tp t="s">
        <v>#N/A N/A</v>
        <stp/>
        <stp>BDP|16010526999582664665</stp>
        <tr r="M176" s="2"/>
      </tp>
      <tp t="s">
        <v>#N/A N/A</v>
        <stp/>
        <stp>BDP|13976333476308604113</stp>
        <tr r="O394" s="2"/>
      </tp>
      <tp t="s">
        <v>#N/A N/A</v>
        <stp/>
        <stp>BDP|12145470025823060993</stp>
        <tr r="M252" s="2"/>
      </tp>
      <tp t="s">
        <v>#N/A N/A</v>
        <stp/>
        <stp>BDP|16414840046001987551</stp>
        <tr r="K226" s="2"/>
      </tp>
      <tp t="s">
        <v>#N/A N/A</v>
        <stp/>
        <stp>BDP|11522886278193635399</stp>
        <tr r="R83" s="2"/>
      </tp>
      <tp t="s">
        <v>#N/A N/A</v>
        <stp/>
        <stp>BDP|10791188496385646359</stp>
        <tr r="N489" s="2"/>
      </tp>
      <tp t="s">
        <v>#N/A N/A</v>
        <stp/>
        <stp>BDP|13156058142300950956</stp>
        <tr r="O371" s="2"/>
      </tp>
      <tp t="s">
        <v>#N/A N/A</v>
        <stp/>
        <stp>BDP|10684357258580387820</stp>
        <tr r="F407" s="2"/>
      </tp>
      <tp t="s">
        <v>#N/A N/A</v>
        <stp/>
        <stp>BDP|10425886546233824186</stp>
        <tr r="P382" s="2"/>
      </tp>
      <tp t="s">
        <v>#N/A N/A</v>
        <stp/>
        <stp>BDP|10231711287510828164</stp>
        <tr r="K256" s="2"/>
      </tp>
      <tp t="s">
        <v>#N/A N/A</v>
        <stp/>
        <stp>BDP|14635732263503445881</stp>
        <tr r="I329" s="2"/>
      </tp>
      <tp t="s">
        <v>#N/A N/A</v>
        <stp/>
        <stp>BDP|14829355987295054406</stp>
        <tr r="H15" s="2"/>
      </tp>
      <tp t="s">
        <v>#N/A N/A</v>
        <stp/>
        <stp>BDP|11884147352308399373</stp>
        <tr r="J271" s="2"/>
      </tp>
      <tp t="s">
        <v>#N/A N/A</v>
        <stp/>
        <stp>BDP|10622034917938821708</stp>
        <tr r="I96" s="2"/>
      </tp>
      <tp t="s">
        <v>#N/A N/A</v>
        <stp/>
        <stp>BDP|17761731497844097393</stp>
        <tr r="P173" s="2"/>
      </tp>
      <tp t="s">
        <v>#N/A N/A</v>
        <stp/>
        <stp>BDP|11093648997537919701</stp>
        <tr r="I114" s="2"/>
      </tp>
      <tp t="s">
        <v>#N/A N/A</v>
        <stp/>
        <stp>BDP|17295712133638828555</stp>
        <tr r="D232" s="2"/>
      </tp>
      <tp t="s">
        <v>#N/A N/A</v>
        <stp/>
        <stp>BDP|18152963069838608154</stp>
        <tr r="M274" s="2"/>
      </tp>
      <tp t="s">
        <v>#N/A N/A</v>
        <stp/>
        <stp>BDP|10358999665937490665</stp>
        <tr r="F451" s="2"/>
      </tp>
      <tp t="s">
        <v>#N/A N/A</v>
        <stp/>
        <stp>BDP|14281215153395812850</stp>
        <tr r="E146" s="2"/>
      </tp>
      <tp t="s">
        <v>#N/A N/A</v>
        <stp/>
        <stp>BDP|16519508162439802223</stp>
        <tr r="N268" s="2"/>
      </tp>
      <tp t="s">
        <v>#N/A N/A</v>
        <stp/>
        <stp>BDP|10916355351141798971</stp>
        <tr r="I34" s="2"/>
      </tp>
      <tp t="s">
        <v>#N/A N/A</v>
        <stp/>
        <stp>BDP|10011798818310918856</stp>
        <tr r="D209" s="2"/>
      </tp>
      <tp t="s">
        <v>#N/A N/A</v>
        <stp/>
        <stp>BDP|11192608813711997963</stp>
        <tr r="O118" s="2"/>
      </tp>
      <tp t="s">
        <v>#N/A N/A</v>
        <stp/>
        <stp>BDP|14776984952397938190</stp>
        <tr r="K287" s="2"/>
      </tp>
      <tp t="s">
        <v>#N/A N/A</v>
        <stp/>
        <stp>BDP|13090968350609297899</stp>
        <tr r="E234" s="2"/>
      </tp>
      <tp t="s">
        <v>#N/A N/A</v>
        <stp/>
        <stp>BDP|13732398081801654741</stp>
        <tr r="J88" s="2"/>
      </tp>
      <tp t="s">
        <v>#N/A N/A</v>
        <stp/>
        <stp>BDP|10840907771292316275</stp>
        <tr r="F356" s="2"/>
      </tp>
      <tp t="s">
        <v>#N/A N/A</v>
        <stp/>
        <stp>BDP|13003865943319901813</stp>
        <tr r="M275" s="2"/>
      </tp>
      <tp t="s">
        <v>#N/A N/A</v>
        <stp/>
        <stp>BDP|14790133379308656469</stp>
        <tr r="H68" s="2"/>
      </tp>
      <tp t="s">
        <v>#N/A N/A</v>
        <stp/>
        <stp>BDP|15873866849147337097</stp>
        <tr r="J120" s="2"/>
      </tp>
      <tp t="s">
        <v>#N/A N/A</v>
        <stp/>
        <stp>BDP|16871898375956027190</stp>
        <tr r="N66" s="2"/>
      </tp>
      <tp t="s">
        <v>#N/A N/A</v>
        <stp/>
        <stp>BDP|10482650847119357595</stp>
        <tr r="D363" s="2"/>
      </tp>
      <tp t="s">
        <v>#N/A N/A</v>
        <stp/>
        <stp>BDP|15347986024712551268</stp>
        <tr r="N171" s="2"/>
      </tp>
      <tp t="s">
        <v>#N/A N/A</v>
        <stp/>
        <stp>BDP|12745830851994849514</stp>
        <tr r="Q434" s="2"/>
      </tp>
      <tp t="s">
        <v>#N/A N/A</v>
        <stp/>
        <stp>BDP|18040001154436109592</stp>
        <tr r="C109" s="2"/>
      </tp>
      <tp t="s">
        <v>#N/A N/A</v>
        <stp/>
        <stp>BDP|15849776422429458753</stp>
        <tr r="P363" s="2"/>
      </tp>
      <tp t="s">
        <v>#N/A N/A</v>
        <stp/>
        <stp>BDP|11714967579202557311</stp>
        <tr r="M448" s="2"/>
      </tp>
      <tp t="s">
        <v>#N/A N/A</v>
        <stp/>
        <stp>BDP|13146593792031122075</stp>
        <tr r="O381" s="2"/>
      </tp>
      <tp t="s">
        <v>#N/A N/A</v>
        <stp/>
        <stp>BDP|12401272888383213557</stp>
        <tr r="M369" s="2"/>
      </tp>
      <tp t="s">
        <v>#N/A N/A</v>
        <stp/>
        <stp>BDP|12975498864859997726</stp>
        <tr r="C380" s="2"/>
      </tp>
      <tp t="s">
        <v>#N/A N/A</v>
        <stp/>
        <stp>BDP|14472696896550133558</stp>
        <tr r="L485" s="2"/>
      </tp>
      <tp t="s">
        <v>#N/A N/A</v>
        <stp/>
        <stp>BDP|16466587103134247929</stp>
        <tr r="D408" s="2"/>
      </tp>
      <tp t="s">
        <v>#N/A N/A</v>
        <stp/>
        <stp>BDP|10939498484861265397</stp>
        <tr r="C284" s="2"/>
      </tp>
      <tp t="s">
        <v>#N/A N/A</v>
        <stp/>
        <stp>BDP|10545584700939527279</stp>
        <tr r="E181" s="2"/>
      </tp>
      <tp t="s">
        <v>#N/A N/A</v>
        <stp/>
        <stp>BDP|12094348148453416874</stp>
        <tr r="D125" s="2"/>
      </tp>
      <tp t="s">
        <v>#N/A N/A</v>
        <stp/>
        <stp>BDP|16139381620899083065</stp>
        <tr r="M447" s="2"/>
      </tp>
      <tp t="s">
        <v>#N/A N/A</v>
        <stp/>
        <stp>BDP|13709183177372033975</stp>
        <tr r="O325" s="2"/>
      </tp>
      <tp t="s">
        <v>#N/A N/A</v>
        <stp/>
        <stp>BDP|14795124652676062895</stp>
        <tr r="O232" s="2"/>
      </tp>
      <tp t="s">
        <v>#N/A N/A</v>
        <stp/>
        <stp>BDP|17595243202223867850</stp>
        <tr r="R341" s="2"/>
      </tp>
      <tp t="s">
        <v>#N/A N/A</v>
        <stp/>
        <stp>BDP|18232638624203874132</stp>
        <tr r="N181" s="2"/>
      </tp>
      <tp t="s">
        <v>#N/A N/A</v>
        <stp/>
        <stp>BDP|12510195317238614435</stp>
        <tr r="E55" s="2"/>
      </tp>
      <tp t="s">
        <v>#N/A N/A</v>
        <stp/>
        <stp>BDP|18085522684473883807</stp>
        <tr r="H9" s="2"/>
      </tp>
      <tp t="s">
        <v>#N/A N/A</v>
        <stp/>
        <stp>BDP|10189155480902929536</stp>
        <tr r="J275" s="2"/>
      </tp>
      <tp t="s">
        <v>#N/A N/A</v>
        <stp/>
        <stp>BDP|14222112899022743031</stp>
        <tr r="R198" s="2"/>
      </tp>
      <tp t="s">
        <v>#N/A N/A</v>
        <stp/>
        <stp>BDP|11279900764204762408</stp>
        <tr r="O284" s="2"/>
      </tp>
      <tp t="s">
        <v>#N/A N/A</v>
        <stp/>
        <stp>BDP|16184733099684829225</stp>
        <tr r="G463" s="2"/>
      </tp>
      <tp t="s">
        <v>#N/A N/A</v>
        <stp/>
        <stp>BDP|18319872812688756709</stp>
        <tr r="L179" s="2"/>
      </tp>
      <tp t="s">
        <v>#N/A N/A</v>
        <stp/>
        <stp>BDP|11586777370039380608</stp>
        <tr r="G223" s="2"/>
      </tp>
      <tp t="s">
        <v>#N/A N/A</v>
        <stp/>
        <stp>BDP|15464615260903444802</stp>
        <tr r="Q182" s="2"/>
      </tp>
      <tp t="s">
        <v>#N/A N/A</v>
        <stp/>
        <stp>BDP|16194149345345469856</stp>
        <tr r="C478" s="2"/>
      </tp>
      <tp t="s">
        <v>#N/A N/A</v>
        <stp/>
        <stp>BDP|18284246340448399840</stp>
        <tr r="L248" s="2"/>
      </tp>
      <tp t="s">
        <v>#N/A N/A</v>
        <stp/>
        <stp>BDP|11640026241973311878</stp>
        <tr r="C240" s="2"/>
      </tp>
      <tp t="s">
        <v>#N/A N/A</v>
        <stp/>
        <stp>BDP|11751563175624041956</stp>
        <tr r="C337" s="2"/>
      </tp>
      <tp t="s">
        <v>#N/A N/A</v>
        <stp/>
        <stp>BDP|15965290517939380155</stp>
        <tr r="J345" s="2"/>
      </tp>
      <tp t="s">
        <v>#N/A N/A</v>
        <stp/>
        <stp>BDP|18284126882587796840</stp>
        <tr r="C333" s="2"/>
      </tp>
      <tp t="s">
        <v>#N/A N/A</v>
        <stp/>
        <stp>BDP|13548841016695276145</stp>
        <tr r="D357" s="2"/>
      </tp>
      <tp t="s">
        <v>#N/A N/A</v>
        <stp/>
        <stp>BDP|15459931044370562671</stp>
        <tr r="J24" s="2"/>
      </tp>
      <tp t="s">
        <v>#N/A N/A</v>
        <stp/>
        <stp>BDP|17170817402745611456</stp>
        <tr r="P419" s="2"/>
      </tp>
      <tp t="s">
        <v>#N/A N/A</v>
        <stp/>
        <stp>BDP|17246695699245328306</stp>
        <tr r="E24" s="2"/>
      </tp>
      <tp t="s">
        <v>#N/A N/A</v>
        <stp/>
        <stp>BDP|15445382252474772982</stp>
        <tr r="O250" s="2"/>
      </tp>
      <tp t="s">
        <v>#N/A N/A</v>
        <stp/>
        <stp>BDP|13700283687090930706</stp>
        <tr r="K147" s="2"/>
      </tp>
      <tp t="s">
        <v>#N/A N/A</v>
        <stp/>
        <stp>BDP|11808408980842819115</stp>
        <tr r="D242" s="2"/>
      </tp>
      <tp t="s">
        <v>#N/A N/A</v>
        <stp/>
        <stp>BDP|12008000291200961590</stp>
        <tr r="E275" s="2"/>
      </tp>
      <tp t="s">
        <v>#N/A N/A</v>
        <stp/>
        <stp>BDP|12684610830869297056</stp>
        <tr r="E205" s="2"/>
      </tp>
      <tp t="s">
        <v>#N/A N/A</v>
        <stp/>
        <stp>BDP|10115947515881966796</stp>
        <tr r="E52" s="2"/>
      </tp>
      <tp t="s">
        <v>#N/A N/A</v>
        <stp/>
        <stp>BDP|13240882429081620659</stp>
        <tr r="J282" s="2"/>
      </tp>
      <tp t="s">
        <v>#N/A N/A</v>
        <stp/>
        <stp>BDP|15229805829730933120</stp>
        <tr r="R29" s="2"/>
      </tp>
      <tp t="s">
        <v>#N/A N/A</v>
        <stp/>
        <stp>BDP|11452789095816133784</stp>
        <tr r="M164" s="2"/>
      </tp>
      <tp t="s">
        <v>#N/A N/A</v>
        <stp/>
        <stp>BDP|12674517957079863584</stp>
        <tr r="L423" s="2"/>
      </tp>
      <tp t="s">
        <v>#N/A N/A</v>
        <stp/>
        <stp>BDP|15321468060908009151</stp>
        <tr r="L387" s="2"/>
      </tp>
      <tp t="s">
        <v>#N/A N/A</v>
        <stp/>
        <stp>BDP|16065144814471614966</stp>
        <tr r="L154" s="2"/>
      </tp>
      <tp t="s">
        <v>#N/A N/A</v>
        <stp/>
        <stp>BDP|17138553515085866891</stp>
        <tr r="J428" s="2"/>
      </tp>
      <tp t="s">
        <v>#N/A N/A</v>
        <stp/>
        <stp>BDP|18234095477337444687</stp>
        <tr r="F170" s="2"/>
      </tp>
      <tp t="s">
        <v>#N/A N/A</v>
        <stp/>
        <stp>BDP|16401993424080975300</stp>
        <tr r="Q105" s="2"/>
      </tp>
      <tp t="s">
        <v>#N/A N/A</v>
        <stp/>
        <stp>BDP|18381794521893885006</stp>
        <tr r="H28" s="2"/>
      </tp>
      <tp t="s">
        <v>#N/A N/A</v>
        <stp/>
        <stp>BDP|12774789499756757426</stp>
        <tr r="J73" s="2"/>
      </tp>
      <tp t="s">
        <v>#N/A N/A</v>
        <stp/>
        <stp>BDP|16529857022430438258</stp>
        <tr r="C341" s="2"/>
      </tp>
      <tp t="s">
        <v>#N/A N/A</v>
        <stp/>
        <stp>BDP|17184146747439906585</stp>
        <tr r="C268" s="2"/>
      </tp>
      <tp t="s">
        <v>#N/A N/A</v>
        <stp/>
        <stp>BDP|18234777741974317143</stp>
        <tr r="D323" s="2"/>
      </tp>
      <tp t="s">
        <v>#N/A N/A</v>
        <stp/>
        <stp>BDP|16911596088450835533</stp>
        <tr r="P490" s="2"/>
      </tp>
      <tp t="s">
        <v>#N/A N/A</v>
        <stp/>
        <stp>BDP|15493421333998532430</stp>
        <tr r="I215" s="2"/>
      </tp>
      <tp t="s">
        <v>#N/A N/A</v>
        <stp/>
        <stp>BDP|12505623359347903842</stp>
        <tr r="L85" s="2"/>
      </tp>
      <tp t="s">
        <v>#N/A N/A</v>
        <stp/>
        <stp>BDP|10246346554058905085</stp>
        <tr r="H61" s="2"/>
      </tp>
      <tp t="s">
        <v>#N/A N/A</v>
        <stp/>
        <stp>BDP|12599713820889078073</stp>
        <tr r="O351" s="2"/>
      </tp>
      <tp t="s">
        <v>#N/A N/A</v>
        <stp/>
        <stp>BDP|16337046985028790869</stp>
        <tr r="P398" s="2"/>
      </tp>
      <tp t="s">
        <v>#N/A N/A</v>
        <stp/>
        <stp>BDP|10971067009796346867</stp>
        <tr r="P29" s="2"/>
      </tp>
      <tp t="s">
        <v>#N/A N/A</v>
        <stp/>
        <stp>BDP|18319227013481807496</stp>
        <tr r="K428" s="2"/>
      </tp>
      <tp t="s">
        <v>#N/A N/A</v>
        <stp/>
        <stp>BDP|17061643762780111958</stp>
        <tr r="D177" s="2"/>
      </tp>
      <tp t="s">
        <v>#N/A N/A</v>
        <stp/>
        <stp>BDP|15942782149489893121</stp>
        <tr r="M80" s="2"/>
      </tp>
      <tp t="s">
        <v>#N/A N/A</v>
        <stp/>
        <stp>BDP|10755196166570385991</stp>
        <tr r="L88" s="2"/>
      </tp>
      <tp t="s">
        <v>#N/A N/A</v>
        <stp/>
        <stp>BDP|15781407905227835882</stp>
        <tr r="O71" s="2"/>
      </tp>
      <tp t="s">
        <v>#N/A N/A</v>
        <stp/>
        <stp>BDP|12917087539479988639</stp>
        <tr r="N178" s="2"/>
      </tp>
      <tp t="s">
        <v>#N/A N/A</v>
        <stp/>
        <stp>BDP|17780058332778574273</stp>
        <tr r="E280" s="2"/>
      </tp>
      <tp t="s">
        <v>#N/A N/A</v>
        <stp/>
        <stp>BDP|13996097587177071259</stp>
        <tr r="K63" s="2"/>
      </tp>
      <tp t="s">
        <v>#N/A N/A</v>
        <stp/>
        <stp>BDP|10062325983897346208</stp>
        <tr r="D261" s="2"/>
      </tp>
      <tp t="s">
        <v>#N/A N/A</v>
        <stp/>
        <stp>BDP|16925993148307901234</stp>
        <tr r="R130" s="2"/>
      </tp>
      <tp t="s">
        <v>#N/A N/A</v>
        <stp/>
        <stp>BDP|17853085382710756177</stp>
        <tr r="J363" s="2"/>
      </tp>
      <tp t="s">
        <v>#N/A N/A</v>
        <stp/>
        <stp>BDP|13346622761995621836</stp>
        <tr r="I414" s="2"/>
      </tp>
      <tp t="s">
        <v>#N/A N/A</v>
        <stp/>
        <stp>BDP|16418014605961423915</stp>
        <tr r="J53" s="2"/>
      </tp>
      <tp t="s">
        <v>#N/A N/A</v>
        <stp/>
        <stp>BDP|14955188287141627255</stp>
        <tr r="M360" s="2"/>
      </tp>
      <tp t="s">
        <v>#N/A N/A</v>
        <stp/>
        <stp>BDP|10369979324177000254</stp>
        <tr r="D437" s="2"/>
      </tp>
      <tp t="s">
        <v>#N/A N/A</v>
        <stp/>
        <stp>BDP|11778644620922149974</stp>
        <tr r="H70" s="2"/>
      </tp>
      <tp t="s">
        <v>#N/A N/A</v>
        <stp/>
        <stp>BDP|10705715861026143938</stp>
        <tr r="P111" s="2"/>
      </tp>
      <tp t="s">
        <v>#N/A N/A</v>
        <stp/>
        <stp>BDP|11520828505532011577</stp>
        <tr r="I248" s="2"/>
      </tp>
      <tp t="s">
        <v>#N/A N/A</v>
        <stp/>
        <stp>BDP|16529918468403131485</stp>
        <tr r="I86" s="2"/>
      </tp>
      <tp t="s">
        <v>#N/A N/A</v>
        <stp/>
        <stp>BDP|16453860613859765834</stp>
        <tr r="G444" s="2"/>
      </tp>
      <tp t="s">
        <v>#N/A N/A</v>
        <stp/>
        <stp>BDP|18024249647392317254</stp>
        <tr r="F480" s="2"/>
      </tp>
      <tp t="s">
        <v>#N/A N/A</v>
        <stp/>
        <stp>BDP|15251859526179609820</stp>
        <tr r="O39" s="2"/>
      </tp>
      <tp t="s">
        <v>#N/A N/A</v>
        <stp/>
        <stp>BDP|17273258130190162834</stp>
        <tr r="K498" s="2"/>
      </tp>
      <tp t="s">
        <v>#N/A N/A</v>
        <stp/>
        <stp>BDP|11311815848216707587</stp>
        <tr r="N197" s="2"/>
      </tp>
      <tp t="s">
        <v>#N/A N/A</v>
        <stp/>
        <stp>BDP|14615770787735772041</stp>
        <tr r="E413" s="2"/>
      </tp>
      <tp t="s">
        <v>#N/A N/A</v>
        <stp/>
        <stp>BDP|17669057967779817692</stp>
        <tr r="L297" s="2"/>
      </tp>
      <tp t="s">
        <v>#N/A N/A</v>
        <stp/>
        <stp>BDP|15776162956736430965</stp>
        <tr r="N174" s="2"/>
      </tp>
      <tp t="s">
        <v>#N/A N/A</v>
        <stp/>
        <stp>BDP|11743830041971778261</stp>
        <tr r="G222" s="2"/>
      </tp>
      <tp t="s">
        <v>#N/A N/A</v>
        <stp/>
        <stp>BDP|13530418135512614834</stp>
        <tr r="K349" s="2"/>
      </tp>
      <tp t="s">
        <v>#N/A N/A</v>
        <stp/>
        <stp>BDP|11158730910338054168</stp>
        <tr r="P340" s="2"/>
      </tp>
      <tp t="s">
        <v>#N/A N/A</v>
        <stp/>
        <stp>BDP|16438654489610890642</stp>
        <tr r="O306" s="2"/>
      </tp>
      <tp t="s">
        <v>#N/A N/A</v>
        <stp/>
        <stp>BDP|14269990307352994116</stp>
        <tr r="R285" s="2"/>
      </tp>
      <tp t="s">
        <v>#N/A N/A</v>
        <stp/>
        <stp>BDP|11397060710077674974</stp>
        <tr r="D272" s="2"/>
      </tp>
      <tp t="s">
        <v>#N/A N/A</v>
        <stp/>
        <stp>BDP|18082105604806742178</stp>
        <tr r="C125" s="2"/>
      </tp>
      <tp t="s">
        <v>#N/A N/A</v>
        <stp/>
        <stp>BDP|12719376471110130848</stp>
        <tr r="O215" s="2"/>
      </tp>
      <tp t="s">
        <v>#N/A N/A</v>
        <stp/>
        <stp>BDP|18116086746402822032</stp>
        <tr r="K13" s="2"/>
      </tp>
      <tp t="s">
        <v>#N/A N/A</v>
        <stp/>
        <stp>BDP|12504508964277320869</stp>
        <tr r="I385" s="2"/>
      </tp>
      <tp t="s">
        <v>#N/A N/A</v>
        <stp/>
        <stp>BDP|11375223790164468013</stp>
        <tr r="J434" s="2"/>
      </tp>
      <tp t="s">
        <v>#N/A N/A</v>
        <stp/>
        <stp>BDP|12018653105712364874</stp>
        <tr r="O123" s="2"/>
      </tp>
      <tp t="s">
        <v>#N/A N/A</v>
        <stp/>
        <stp>BDP|10650866522581749514</stp>
        <tr r="M315" s="2"/>
      </tp>
      <tp t="s">
        <v>#N/A N/A</v>
        <stp/>
        <stp>BDP|10116350007025729806</stp>
        <tr r="L475" s="2"/>
      </tp>
      <tp t="s">
        <v>#N/A N/A</v>
        <stp/>
        <stp>BDP|13444529179848883739</stp>
        <tr r="R427" s="2"/>
      </tp>
      <tp t="s">
        <v>#N/A N/A</v>
        <stp/>
        <stp>BDP|12394311917146137831</stp>
        <tr r="G175" s="2"/>
      </tp>
      <tp t="s">
        <v>#N/A N/A</v>
        <stp/>
        <stp>BDP|13603940436187528068</stp>
        <tr r="D230" s="2"/>
      </tp>
      <tp t="s">
        <v>#N/A N/A</v>
        <stp/>
        <stp>BDP|18143393137861834706</stp>
        <tr r="J339" s="2"/>
      </tp>
      <tp t="s">
        <v>#N/A N/A</v>
        <stp/>
        <stp>BDP|12409242641928213243</stp>
        <tr r="R460" s="2"/>
      </tp>
      <tp t="s">
        <v>#N/A N/A</v>
        <stp/>
        <stp>BDP|13328163106904364871</stp>
        <tr r="E483" s="2"/>
      </tp>
      <tp t="s">
        <v>#N/A N/A</v>
        <stp/>
        <stp>BDP|16296319675325987985</stp>
        <tr r="P85" s="2"/>
      </tp>
      <tp t="s">
        <v>#N/A N/A</v>
        <stp/>
        <stp>BDP|11169775798293887215</stp>
        <tr r="Q393" s="2"/>
      </tp>
      <tp t="s">
        <v>#N/A N/A</v>
        <stp/>
        <stp>BDP|14570526489284850315</stp>
        <tr r="G340" s="2"/>
      </tp>
      <tp t="s">
        <v>#N/A N/A</v>
        <stp/>
        <stp>BDP|12179591725012878922</stp>
        <tr r="O248" s="2"/>
      </tp>
      <tp t="s">
        <v>#N/A N/A</v>
        <stp/>
        <stp>BDP|15933095067465245824</stp>
        <tr r="D471" s="2"/>
      </tp>
      <tp t="s">
        <v>#N/A N/A</v>
        <stp/>
        <stp>BDP|17857286310683677912</stp>
        <tr r="F221" s="2"/>
      </tp>
      <tp t="s">
        <v>#N/A N/A</v>
        <stp/>
        <stp>BDP|17057627685102706573</stp>
        <tr r="I331" s="2"/>
      </tp>
      <tp t="s">
        <v>#N/A N/A</v>
        <stp/>
        <stp>BDP|17544882231633346184</stp>
        <tr r="C429" s="2"/>
      </tp>
      <tp t="s">
        <v>#N/A N/A</v>
        <stp/>
        <stp>BDP|17767767185502048437</stp>
        <tr r="N293" s="2"/>
      </tp>
      <tp t="s">
        <v>#N/A N/A</v>
        <stp/>
        <stp>BDP|16890149519851092926</stp>
        <tr r="G166" s="2"/>
      </tp>
      <tp t="s">
        <v>#N/A N/A</v>
        <stp/>
        <stp>BDP|16577154248514969966</stp>
        <tr r="H84" s="2"/>
      </tp>
      <tp t="s">
        <v>#N/A N/A</v>
        <stp/>
        <stp>BDP|15010877347706468131</stp>
        <tr r="D456" s="2"/>
      </tp>
      <tp t="s">
        <v>#N/A N/A</v>
        <stp/>
        <stp>BDP|16452476738297977853</stp>
        <tr r="D108" s="2"/>
      </tp>
      <tp t="s">
        <v>#N/A N/A</v>
        <stp/>
        <stp>BDP|10349550457046363848</stp>
        <tr r="N248" s="2"/>
      </tp>
      <tp t="s">
        <v>#N/A N/A</v>
        <stp/>
        <stp>BDP|15193494419047737906</stp>
        <tr r="N302" s="2"/>
      </tp>
      <tp t="s">
        <v>#N/A N/A</v>
        <stp/>
        <stp>BDP|12927429727458215281</stp>
        <tr r="R22" s="2"/>
      </tp>
      <tp t="s">
        <v>#N/A N/A</v>
        <stp/>
        <stp>BDP|15210066884426526532</stp>
        <tr r="L26" s="2"/>
      </tp>
      <tp t="s">
        <v>#N/A N/A</v>
        <stp/>
        <stp>BDP|18326638607869247935</stp>
        <tr r="J389" s="2"/>
      </tp>
      <tp t="s">
        <v>#N/A N/A</v>
        <stp/>
        <stp>BDP|13675920053475808491</stp>
        <tr r="D161" s="2"/>
      </tp>
      <tp t="s">
        <v>#N/A N/A</v>
        <stp/>
        <stp>BDP|13375946655794688529</stp>
        <tr r="D479" s="2"/>
      </tp>
      <tp t="s">
        <v>#N/A N/A</v>
        <stp/>
        <stp>BDP|14259618089306519299</stp>
        <tr r="K393" s="2"/>
      </tp>
      <tp t="s">
        <v>#N/A N/A</v>
        <stp/>
        <stp>BDP|12256132333109434701</stp>
        <tr r="O157" s="2"/>
      </tp>
      <tp t="s">
        <v>#N/A N/A</v>
        <stp/>
        <stp>BDP|13795599244308546493</stp>
        <tr r="G376" s="2"/>
      </tp>
      <tp t="s">
        <v>#N/A N/A</v>
        <stp/>
        <stp>BDP|12355005447538441065</stp>
        <tr r="H381" s="2"/>
      </tp>
      <tp t="s">
        <v>#N/A N/A</v>
        <stp/>
        <stp>BDP|16864150470126360885</stp>
        <tr r="M140" s="2"/>
      </tp>
      <tp t="s">
        <v>#N/A N/A</v>
        <stp/>
        <stp>BDP|16460589250140158942</stp>
        <tr r="M473" s="2"/>
      </tp>
      <tp t="s">
        <v>#N/A N/A</v>
        <stp/>
        <stp>BDP|14469504092890827770</stp>
        <tr r="C88" s="2"/>
      </tp>
      <tp t="s">
        <v>#N/A N/A</v>
        <stp/>
        <stp>BDP|18295764879305707231</stp>
        <tr r="D233" s="2"/>
      </tp>
      <tp t="s">
        <v>#N/A N/A</v>
        <stp/>
        <stp>BDP|11020365434429897735</stp>
        <tr r="N335" s="2"/>
      </tp>
      <tp t="s">
        <v>#N/A N/A</v>
        <stp/>
        <stp>BDP|13794442492425059484</stp>
        <tr r="Q97" s="2"/>
      </tp>
      <tp t="s">
        <v>#N/A N/A</v>
        <stp/>
        <stp>BDP|18195374178147710403</stp>
        <tr r="F61" s="2"/>
      </tp>
      <tp t="s">
        <v>#N/A N/A</v>
        <stp/>
        <stp>BDP|10612178720388830405</stp>
        <tr r="E135" s="2"/>
      </tp>
      <tp t="s">
        <v>#N/A N/A</v>
        <stp/>
        <stp>BDP|10275414720639298080</stp>
        <tr r="F155" s="2"/>
      </tp>
      <tp t="s">
        <v>#N/A N/A</v>
        <stp/>
        <stp>BDP|11501493510633672831</stp>
        <tr r="O226" s="2"/>
      </tp>
      <tp t="s">
        <v>#N/A N/A</v>
        <stp/>
        <stp>BDP|13318364967218337187</stp>
        <tr r="D411" s="2"/>
      </tp>
      <tp t="s">
        <v>#N/A N/A</v>
        <stp/>
        <stp>BDP|14499985904594995680</stp>
        <tr r="M82" s="2"/>
      </tp>
      <tp t="s">
        <v>#N/A N/A</v>
        <stp/>
        <stp>BDP|10252389631038319706</stp>
        <tr r="G500" s="2"/>
      </tp>
      <tp t="s">
        <v>#N/A N/A</v>
        <stp/>
        <stp>BDP|14102994158592092583</stp>
        <tr r="O273" s="2"/>
      </tp>
      <tp t="s">
        <v>#N/A N/A</v>
        <stp/>
        <stp>BDP|10735741118890079936</stp>
        <tr r="O494" s="2"/>
      </tp>
      <tp t="s">
        <v>#N/A N/A</v>
        <stp/>
        <stp>BDP|11023896291809119617</stp>
        <tr r="Q136" s="2"/>
      </tp>
      <tp t="s">
        <v>#N/A N/A</v>
        <stp/>
        <stp>BDP|16646178199250403146</stp>
        <tr r="E138" s="2"/>
      </tp>
      <tp t="s">
        <v>#N/A N/A</v>
        <stp/>
        <stp>BDP|14289480806489722631</stp>
        <tr r="F181" s="2"/>
      </tp>
      <tp t="s">
        <v>#N/A N/A</v>
        <stp/>
        <stp>BDP|15960764095832616644</stp>
        <tr r="M382" s="2"/>
      </tp>
      <tp t="s">
        <v>#N/A N/A</v>
        <stp/>
        <stp>BDP|17486081364666850886</stp>
        <tr r="K24" s="2"/>
      </tp>
      <tp t="s">
        <v>#N/A N/A</v>
        <stp/>
        <stp>BDP|12961304361958607069</stp>
        <tr r="D24" s="2"/>
      </tp>
      <tp t="s">
        <v>#N/A N/A</v>
        <stp/>
        <stp>BDP|11560817569113301361</stp>
        <tr r="N487" s="2"/>
      </tp>
      <tp t="s">
        <v>#N/A N/A</v>
        <stp/>
        <stp>BDP|10757142576240575983</stp>
        <tr r="L331" s="2"/>
      </tp>
      <tp t="s">
        <v>#N/A N/A</v>
        <stp/>
        <stp>BDP|14419072377679421587</stp>
        <tr r="R237" s="2"/>
      </tp>
      <tp t="s">
        <v>#N/A N/A</v>
        <stp/>
        <stp>BDP|12408888057809457972</stp>
        <tr r="O194" s="2"/>
      </tp>
      <tp t="s">
        <v>#N/A N/A</v>
        <stp/>
        <stp>BDP|10513582406213059932</stp>
        <tr r="K224" s="2"/>
      </tp>
      <tp t="s">
        <v>#N/A N/A</v>
        <stp/>
        <stp>BDP|11609227559670626936</stp>
        <tr r="K380" s="2"/>
      </tp>
      <tp t="s">
        <v>#N/A N/A</v>
        <stp/>
        <stp>BDP|11589886367196271632</stp>
        <tr r="H290" s="2"/>
      </tp>
      <tp t="s">
        <v>#N/A N/A</v>
        <stp/>
        <stp>BDP|13317993920743388425</stp>
        <tr r="G285" s="2"/>
      </tp>
      <tp t="s">
        <v>#N/A N/A</v>
        <stp/>
        <stp>BDP|17875841653307433208</stp>
        <tr r="M238" s="2"/>
      </tp>
      <tp t="s">
        <v>#N/A N/A</v>
        <stp/>
        <stp>BDP|14752280684524185516</stp>
        <tr r="Q435" s="2"/>
      </tp>
      <tp t="s">
        <v>#N/A N/A</v>
        <stp/>
        <stp>BDP|18248667846316960304</stp>
        <tr r="N231" s="2"/>
      </tp>
      <tp t="s">
        <v>#N/A N/A</v>
        <stp/>
        <stp>BDP|10226893420786621365</stp>
        <tr r="F468" s="2"/>
      </tp>
      <tp t="s">
        <v>#N/A N/A</v>
        <stp/>
        <stp>BDP|14483039298131333375</stp>
        <tr r="N330" s="2"/>
      </tp>
      <tp t="s">
        <v>#N/A N/A</v>
        <stp/>
        <stp>BDP|11270485595677061444</stp>
        <tr r="P429" s="2"/>
      </tp>
      <tp t="s">
        <v>#N/A N/A</v>
        <stp/>
        <stp>BDP|17603441216558679596</stp>
        <tr r="M193" s="2"/>
      </tp>
      <tp t="s">
        <v>#N/A N/A</v>
        <stp/>
        <stp>BDP|12724496697197167736</stp>
        <tr r="E166" s="2"/>
      </tp>
      <tp t="s">
        <v>#N/A N/A</v>
        <stp/>
        <stp>BDP|13080300827445991851</stp>
        <tr r="H371" s="2"/>
      </tp>
      <tp t="s">
        <v>#N/A N/A</v>
        <stp/>
        <stp>BDP|14994249363188559700</stp>
        <tr r="O153" s="2"/>
      </tp>
      <tp t="s">
        <v>#N/A N/A</v>
        <stp/>
        <stp>BDP|10829231980715271039</stp>
        <tr r="J307" s="2"/>
      </tp>
      <tp t="s">
        <v>#N/A N/A</v>
        <stp/>
        <stp>BDP|13127998872827629569</stp>
        <tr r="P478" s="2"/>
      </tp>
      <tp t="s">
        <v>#N/A N/A</v>
        <stp/>
        <stp>BDP|13894328911957140904</stp>
        <tr r="L386" s="2"/>
      </tp>
      <tp t="s">
        <v>#N/A N/A</v>
        <stp/>
        <stp>BDP|17726750096183985574</stp>
        <tr r="Q458" s="2"/>
      </tp>
      <tp t="s">
        <v>#N/A N/A</v>
        <stp/>
        <stp>BDP|11324608769098144613</stp>
        <tr r="R16" s="2"/>
      </tp>
      <tp t="s">
        <v>#N/A N/A</v>
        <stp/>
        <stp>BDP|13894365053088240254</stp>
        <tr r="F127" s="2"/>
      </tp>
      <tp t="s">
        <v>#N/A N/A</v>
        <stp/>
        <stp>BDP|11647818590937915848</stp>
        <tr r="I222" s="2"/>
      </tp>
      <tp t="s">
        <v>#N/A N/A</v>
        <stp/>
        <stp>BDP|13635541629513866892</stp>
        <tr r="R91" s="2"/>
      </tp>
      <tp t="s">
        <v>#N/A N/A</v>
        <stp/>
        <stp>BDP|15949736506184005960</stp>
        <tr r="R230" s="2"/>
      </tp>
      <tp t="s">
        <v>#N/A N/A</v>
        <stp/>
        <stp>BDP|12325443435228041285</stp>
        <tr r="E279" s="2"/>
      </tp>
      <tp t="s">
        <v>#N/A N/A</v>
        <stp/>
        <stp>BDP|11212169868251688807</stp>
        <tr r="L368" s="2"/>
      </tp>
      <tp t="s">
        <v>#N/A N/A</v>
        <stp/>
        <stp>BDP|10589060750003661985</stp>
        <tr r="N139" s="2"/>
      </tp>
      <tp t="s">
        <v>#N/A N/A</v>
        <stp/>
        <stp>BDP|17396045928013055921</stp>
        <tr r="O274" s="2"/>
      </tp>
      <tp t="s">
        <v>#N/A N/A</v>
        <stp/>
        <stp>BDP|14543378602668409092</stp>
        <tr r="M124" s="2"/>
      </tp>
      <tp t="s">
        <v>#N/A N/A</v>
        <stp/>
        <stp>BDP|14971326791171495034</stp>
        <tr r="L230" s="2"/>
      </tp>
      <tp t="s">
        <v>#N/A N/A</v>
        <stp/>
        <stp>BDP|11369212599861676408</stp>
        <tr r="I471" s="2"/>
      </tp>
      <tp t="s">
        <v>#N/A N/A</v>
        <stp/>
        <stp>BDP|12379755111508244380</stp>
        <tr r="L395" s="2"/>
      </tp>
      <tp t="s">
        <v>#N/A N/A</v>
        <stp/>
        <stp>BDP|15402786220649075617</stp>
        <tr r="L469" s="2"/>
      </tp>
      <tp t="s">
        <v>#N/A N/A</v>
        <stp/>
        <stp>BDP|11262813360007851766</stp>
        <tr r="F372" s="2"/>
      </tp>
      <tp t="s">
        <v>#N/A N/A</v>
        <stp/>
        <stp>BDP|12415644399787797520</stp>
        <tr r="C489" s="2"/>
      </tp>
      <tp t="s">
        <v>#N/A N/A</v>
        <stp/>
        <stp>BDP|18025736073183875448</stp>
        <tr r="P348" s="2"/>
      </tp>
      <tp t="s">
        <v>#N/A N/A</v>
        <stp/>
        <stp>BDP|18223579922375876535</stp>
        <tr r="O141" s="2"/>
      </tp>
      <tp t="s">
        <v>#N/A N/A</v>
        <stp/>
        <stp>BDP|12650403142378097583</stp>
        <tr r="C359" s="2"/>
      </tp>
      <tp t="s">
        <v>#N/A N/A</v>
        <stp/>
        <stp>BDP|14428310887923842360</stp>
        <tr r="I170" s="2"/>
      </tp>
      <tp t="s">
        <v>#N/A N/A</v>
        <stp/>
        <stp>BDP|16622938548757591348</stp>
        <tr r="H270" s="2"/>
      </tp>
      <tp t="s">
        <v>#N/A N/A</v>
        <stp/>
        <stp>BDP|15814735579653948975</stp>
        <tr r="J138" s="2"/>
      </tp>
      <tp t="s">
        <v>#N/A N/A</v>
        <stp/>
        <stp>BDP|15329334723023807875</stp>
        <tr r="D475" s="2"/>
      </tp>
      <tp t="s">
        <v>#N/A N/A</v>
        <stp/>
        <stp>BDP|12734289584831033673</stp>
        <tr r="O322" s="2"/>
      </tp>
      <tp t="s">
        <v>#N/A N/A</v>
        <stp/>
        <stp>BDP|18384463108942130103</stp>
        <tr r="R323" s="2"/>
      </tp>
      <tp t="s">
        <v>#N/A N/A</v>
        <stp/>
        <stp>BDP|10042251488324079111</stp>
        <tr r="Q488" s="2"/>
      </tp>
      <tp t="s">
        <v>#N/A N/A</v>
        <stp/>
        <stp>BDP|18182769649670279400</stp>
        <tr r="E391" s="2"/>
      </tp>
      <tp t="s">
        <v>#N/A N/A</v>
        <stp/>
        <stp>BDP|14725291488580223182</stp>
        <tr r="N137" s="2"/>
      </tp>
      <tp t="s">
        <v>#N/A N/A</v>
        <stp/>
        <stp>BDP|17017092311559656025</stp>
        <tr r="R95" s="2"/>
      </tp>
      <tp t="s">
        <v>#N/A N/A</v>
        <stp/>
        <stp>BDP|16998368188842249098</stp>
        <tr r="M145" s="2"/>
      </tp>
      <tp t="s">
        <v>#N/A N/A</v>
        <stp/>
        <stp>BDP|14470594390336733167</stp>
        <tr r="N112" s="2"/>
      </tp>
      <tp t="s">
        <v>#N/A N/A</v>
        <stp/>
        <stp>BDP|12402514138109381216</stp>
        <tr r="D282" s="2"/>
      </tp>
      <tp t="s">
        <v>#N/A N/A</v>
        <stp/>
        <stp>BDP|13091644669709673547</stp>
        <tr r="M30" s="2"/>
      </tp>
      <tp t="s">
        <v>#N/A N/A</v>
        <stp/>
        <stp>BDP|17730781462710073928</stp>
        <tr r="D69" s="2"/>
      </tp>
      <tp t="s">
        <v>#N/A N/A</v>
        <stp/>
        <stp>BDP|14368770429897121933</stp>
        <tr r="Q104" s="2"/>
      </tp>
      <tp t="s">
        <v>#N/A N/A</v>
        <stp/>
        <stp>BDP|12289272239928426472</stp>
        <tr r="N192" s="2"/>
      </tp>
      <tp t="s">
        <v>#N/A N/A</v>
        <stp/>
        <stp>BDP|18103423858616533015</stp>
        <tr r="D171" s="2"/>
      </tp>
      <tp t="s">
        <v>#N/A N/A</v>
        <stp/>
        <stp>BDP|18374375044397776787</stp>
        <tr r="O383" s="2"/>
      </tp>
      <tp t="s">
        <v>#N/A N/A</v>
        <stp/>
        <stp>BDP|14708616689586458340</stp>
        <tr r="H309" s="2"/>
      </tp>
      <tp t="s">
        <v>#N/A N/A</v>
        <stp/>
        <stp>BDP|13380295513226560927</stp>
        <tr r="D414" s="2"/>
      </tp>
      <tp t="s">
        <v>#N/A N/A</v>
        <stp/>
        <stp>BDP|13724282249772964812</stp>
        <tr r="E299" s="2"/>
      </tp>
      <tp t="s">
        <v>#N/A N/A</v>
        <stp/>
        <stp>BDP|10998439259496867851</stp>
        <tr r="O173" s="2"/>
      </tp>
      <tp t="s">
        <v>#N/A N/A</v>
        <stp/>
        <stp>BDP|15068325935758010296</stp>
        <tr r="F479" s="2"/>
      </tp>
      <tp t="s">
        <v>#N/A N/A</v>
        <stp/>
        <stp>BDP|10085057298322569468</stp>
        <tr r="R297" s="2"/>
      </tp>
      <tp t="s">
        <v>#N/A N/A</v>
        <stp/>
        <stp>BDP|15614723206128405582</stp>
        <tr r="K269" s="2"/>
      </tp>
      <tp t="s">
        <v>#N/A N/A</v>
        <stp/>
        <stp>BDP|10941951005960437638</stp>
        <tr r="K318" s="2"/>
      </tp>
      <tp t="s">
        <v>#N/A N/A</v>
        <stp/>
        <stp>BDP|10640284287991296455</stp>
        <tr r="F231" s="2"/>
      </tp>
      <tp t="s">
        <v>#N/A N/A</v>
        <stp/>
        <stp>BDP|13576302732564008895</stp>
        <tr r="I330" s="2"/>
      </tp>
      <tp t="s">
        <v>#N/A N/A</v>
        <stp/>
        <stp>BDP|11694582288607504427</stp>
        <tr r="D64" s="2"/>
      </tp>
      <tp t="s">
        <v>#N/A N/A</v>
        <stp/>
        <stp>BDP|10757819054195272713</stp>
        <tr r="J18" s="2"/>
      </tp>
      <tp t="s">
        <v>#N/A N/A</v>
        <stp/>
        <stp>BDP|11704878360033554344</stp>
        <tr r="O408" s="2"/>
      </tp>
      <tp t="s">
        <v>#N/A N/A</v>
        <stp/>
        <stp>BDP|15663709751499417122</stp>
        <tr r="P459" s="2"/>
      </tp>
      <tp t="s">
        <v>#N/A N/A</v>
        <stp/>
        <stp>BDP|11720284162642860849</stp>
        <tr r="E119" s="2"/>
      </tp>
      <tp t="s">
        <v>#N/A N/A</v>
        <stp/>
        <stp>BDP|10345868844072629160</stp>
        <tr r="C260" s="2"/>
      </tp>
      <tp t="s">
        <v>#N/A N/A</v>
        <stp/>
        <stp>BDP|11672549541626439967</stp>
        <tr r="F448" s="2"/>
      </tp>
      <tp t="s">
        <v>#N/A N/A</v>
        <stp/>
        <stp>BDP|17319146066577863884</stp>
        <tr r="E251" s="2"/>
      </tp>
      <tp t="s">
        <v>#N/A N/A</v>
        <stp/>
        <stp>BDP|18040213026470757716</stp>
        <tr r="L490" s="2"/>
      </tp>
      <tp t="s">
        <v>#N/A N/A</v>
        <stp/>
        <stp>BDP|10651252319875876938</stp>
        <tr r="K146" s="2"/>
      </tp>
      <tp t="s">
        <v>#N/A N/A</v>
        <stp/>
        <stp>BDP|14443061873485644962</stp>
        <tr r="O485" s="2"/>
      </tp>
      <tp t="s">
        <v>#N/A N/A</v>
        <stp/>
        <stp>BDP|16121117395222566316</stp>
        <tr r="G119" s="2"/>
      </tp>
      <tp t="s">
        <v>#N/A N/A</v>
        <stp/>
        <stp>BDP|15443573625378449536</stp>
        <tr r="F381" s="2"/>
      </tp>
      <tp t="s">
        <v>#N/A N/A</v>
        <stp/>
        <stp>BDP|18359717053064817187</stp>
        <tr r="C425" s="2"/>
      </tp>
      <tp t="s">
        <v>#N/A N/A</v>
        <stp/>
        <stp>BDP|12231833851493086307</stp>
        <tr r="F373" s="2"/>
      </tp>
      <tp t="s">
        <v>#N/A N/A</v>
        <stp/>
        <stp>BDP|15288007632748126110</stp>
        <tr r="J7" s="2"/>
      </tp>
      <tp t="s">
        <v>#N/A N/A</v>
        <stp/>
        <stp>BDP|16279658895571506770</stp>
        <tr r="G59" s="2"/>
      </tp>
      <tp t="s">
        <v>#N/A N/A</v>
        <stp/>
        <stp>BDP|10347236184096032349</stp>
        <tr r="N447" s="2"/>
      </tp>
      <tp t="s">
        <v>#N/A N/A</v>
        <stp/>
        <stp>BDP|12271609823221008813</stp>
        <tr r="K108" s="2"/>
      </tp>
      <tp t="s">
        <v>#N/A N/A</v>
        <stp/>
        <stp>BDP|16595725145368331210</stp>
        <tr r="O402" s="2"/>
      </tp>
      <tp t="s">
        <v>#N/A N/A</v>
        <stp/>
        <stp>BDP|12841490293498072824</stp>
        <tr r="N3" s="2"/>
      </tp>
      <tp t="s">
        <v>#N/A N/A</v>
        <stp/>
        <stp>BDP|17961338619088480274</stp>
        <tr r="Q253" s="2"/>
      </tp>
      <tp t="s">
        <v>#N/A N/A</v>
        <stp/>
        <stp>BDP|13728169532737765948</stp>
        <tr r="K54" s="2"/>
      </tp>
      <tp t="s">
        <v>#N/A N/A</v>
        <stp/>
        <stp>BDP|16257992568626361005</stp>
        <tr r="J34" s="2"/>
      </tp>
      <tp t="s">
        <v>#N/A N/A</v>
        <stp/>
        <stp>BDP|17410663331508452570</stp>
        <tr r="G435" s="2"/>
      </tp>
      <tp t="s">
        <v>#N/A N/A</v>
        <stp/>
        <stp>BDP|14955298622343411868</stp>
        <tr r="I141" s="2"/>
      </tp>
      <tp t="s">
        <v>#N/A N/A</v>
        <stp/>
        <stp>BDP|11837014325065462987</stp>
        <tr r="G371" s="2"/>
      </tp>
      <tp t="s">
        <v>#N/A N/A</v>
        <stp/>
        <stp>BDP|11277662981574559400</stp>
        <tr r="F348" s="2"/>
      </tp>
      <tp t="s">
        <v>#N/A N/A</v>
        <stp/>
        <stp>BDP|12447933868936518494</stp>
        <tr r="O29" s="2"/>
      </tp>
      <tp t="s">
        <v>#N/A N/A</v>
        <stp/>
        <stp>BDP|17097448349208607089</stp>
        <tr r="M120" s="2"/>
      </tp>
      <tp t="s">
        <v>#N/A N/A</v>
        <stp/>
        <stp>BDP|18136251229923695488</stp>
        <tr r="H482" s="2"/>
      </tp>
      <tp t="s">
        <v>#N/A N/A</v>
        <stp/>
        <stp>BDP|17283572500265638803</stp>
        <tr r="K479" s="2"/>
      </tp>
      <tp t="s">
        <v>#N/A N/A</v>
        <stp/>
        <stp>BDP|10798148588864120295</stp>
        <tr r="F302" s="2"/>
      </tp>
      <tp t="s">
        <v>#N/A N/A</v>
        <stp/>
        <stp>BDP|12723062047630131948</stp>
        <tr r="D369" s="2"/>
      </tp>
      <tp t="s">
        <v>#N/A N/A</v>
        <stp/>
        <stp>BDP|14152947627295918582</stp>
        <tr r="H244" s="2"/>
      </tp>
      <tp t="s">
        <v>#N/A N/A</v>
        <stp/>
        <stp>BDP|17974606414127661885</stp>
        <tr r="H353" s="2"/>
      </tp>
      <tp t="s">
        <v>#N/A N/A</v>
        <stp/>
        <stp>BDP|17933204009162373800</stp>
        <tr r="K199" s="2"/>
      </tp>
      <tp t="s">
        <v>#N/A N/A</v>
        <stp/>
        <stp>BDP|16409212887396694578</stp>
        <tr r="C106" s="2"/>
      </tp>
      <tp t="s">
        <v>#N/A N/A</v>
        <stp/>
        <stp>BDP|14496130975049482451</stp>
        <tr r="E110" s="2"/>
      </tp>
      <tp t="s">
        <v>#N/A N/A</v>
        <stp/>
        <stp>BDP|10799856306801427632</stp>
        <tr r="K336" s="2"/>
      </tp>
      <tp t="s">
        <v>#N/A N/A</v>
        <stp/>
        <stp>BDP|15225224313741856883</stp>
        <tr r="N207" s="2"/>
      </tp>
      <tp t="s">
        <v>#N/A N/A</v>
        <stp/>
        <stp>BDP|10679372486635641121</stp>
        <tr r="F312" s="2"/>
      </tp>
      <tp t="s">
        <v>#N/A N/A</v>
        <stp/>
        <stp>BDP|16688665995233215548</stp>
        <tr r="K239" s="2"/>
      </tp>
      <tp t="s">
        <v>#N/A N/A</v>
        <stp/>
        <stp>BDP|10856812513132820412</stp>
        <tr r="J475" s="2"/>
      </tp>
      <tp t="s">
        <v>#N/A N/A</v>
        <stp/>
        <stp>BDP|12762678970089791541</stp>
        <tr r="I419" s="2"/>
      </tp>
      <tp t="s">
        <v>#N/A N/A</v>
        <stp/>
        <stp>BDP|11299548162959120472</stp>
        <tr r="D222" s="2"/>
      </tp>
      <tp t="s">
        <v>#N/A N/A</v>
        <stp/>
        <stp>BDP|17680882428303427104</stp>
        <tr r="O88" s="2"/>
      </tp>
      <tp t="s">
        <v>#N/A N/A</v>
        <stp/>
        <stp>BDP|17244923537052686033</stp>
        <tr r="J299" s="2"/>
      </tp>
      <tp t="s">
        <v>#N/A N/A</v>
        <stp/>
        <stp>BDP|13323843398394521982</stp>
        <tr r="P314" s="2"/>
      </tp>
      <tp t="s">
        <v>#N/A N/A</v>
        <stp/>
        <stp>BDP|17151473554680304937</stp>
        <tr r="N486" s="2"/>
      </tp>
      <tp t="s">
        <v>#N/A N/A</v>
        <stp/>
        <stp>BDP|15875418380597280196</stp>
        <tr r="P148" s="2"/>
      </tp>
      <tp t="s">
        <v>#N/A N/A</v>
        <stp/>
        <stp>BDP|16918158939193037800</stp>
        <tr r="E321" s="2"/>
      </tp>
      <tp t="s">
        <v>#N/A N/A</v>
        <stp/>
        <stp>BDP|13535930744801636012</stp>
        <tr r="P129" s="2"/>
      </tp>
      <tp t="s">
        <v>#N/A N/A</v>
        <stp/>
        <stp>BDP|12270065493451477568</stp>
        <tr r="L129" s="2"/>
      </tp>
      <tp t="s">
        <v>#N/A N/A</v>
        <stp/>
        <stp>BDP|15790141971114119860</stp>
        <tr r="K198" s="2"/>
      </tp>
      <tp t="s">
        <v>#N/A N/A</v>
        <stp/>
        <stp>BDP|10501666884376295703</stp>
        <tr r="Q342" s="2"/>
      </tp>
      <tp t="s">
        <v>#N/A N/A</v>
        <stp/>
        <stp>BDP|16678508195064380159</stp>
        <tr r="C376" s="2"/>
      </tp>
      <tp t="s">
        <v>#N/A N/A</v>
        <stp/>
        <stp>BDP|14212550683823648571</stp>
        <tr r="P359" s="2"/>
      </tp>
      <tp t="s">
        <v>#N/A N/A</v>
        <stp/>
        <stp>BDP|12768945740457260742</stp>
        <tr r="N108" s="2"/>
      </tp>
      <tp t="s">
        <v>#N/A N/A</v>
        <stp/>
        <stp>BDP|15331807142344701234</stp>
        <tr r="Q396" s="2"/>
      </tp>
      <tp t="s">
        <v>#N/A N/A</v>
        <stp/>
        <stp>BDP|16987219082255931663</stp>
        <tr r="D441" s="2"/>
      </tp>
      <tp t="s">
        <v>#N/A N/A</v>
        <stp/>
        <stp>BDP|15015710622316660907</stp>
        <tr r="E333" s="2"/>
      </tp>
      <tp t="s">
        <v>#N/A N/A</v>
        <stp/>
        <stp>BDP|11476868664124388404</stp>
        <tr r="F157" s="2"/>
      </tp>
      <tp t="s">
        <v>#N/A N/A</v>
        <stp/>
        <stp>BDP|15995824069671447538</stp>
        <tr r="Q329" s="2"/>
      </tp>
      <tp t="s">
        <v>#N/A N/A</v>
        <stp/>
        <stp>BDP|13690302116759287773</stp>
        <tr r="I478" s="2"/>
      </tp>
      <tp t="s">
        <v>#N/A N/A</v>
        <stp/>
        <stp>BDP|12029367905919385751</stp>
        <tr r="G170" s="2"/>
      </tp>
      <tp t="s">
        <v>#N/A N/A</v>
        <stp/>
        <stp>BDP|12995673498211078324</stp>
        <tr r="P26" s="2"/>
      </tp>
      <tp t="s">
        <v>#N/A N/A</v>
        <stp/>
        <stp>BDP|18147208794605098918</stp>
        <tr r="M211" s="2"/>
      </tp>
      <tp t="s">
        <v>#N/A N/A</v>
        <stp/>
        <stp>BDP|12998899440987721632</stp>
        <tr r="F93" s="2"/>
      </tp>
      <tp t="s">
        <v>#N/A N/A</v>
        <stp/>
        <stp>BDP|15777580392022965409</stp>
        <tr r="I186" s="2"/>
      </tp>
      <tp t="s">
        <v>#N/A N/A</v>
        <stp/>
        <stp>BDP|17666666190863153452</stp>
        <tr r="E34" s="2"/>
      </tp>
      <tp t="s">
        <v>#N/A N/A</v>
        <stp/>
        <stp>BDP|10234758782336062610</stp>
        <tr r="P178" s="2"/>
      </tp>
      <tp t="s">
        <v>#N/A N/A</v>
        <stp/>
        <stp>BDP|10185946148003058199</stp>
        <tr r="L130" s="2"/>
      </tp>
      <tp t="s">
        <v>#N/A N/A</v>
        <stp/>
        <stp>BDP|10180971932061535458</stp>
        <tr r="M186" s="2"/>
      </tp>
      <tp t="s">
        <v>#N/A N/A</v>
        <stp/>
        <stp>BDP|17214620146833293902</stp>
        <tr r="C195" s="2"/>
      </tp>
      <tp t="s">
        <v>#N/A N/A</v>
        <stp/>
        <stp>BDP|14031225846269114415</stp>
        <tr r="C74" s="2"/>
      </tp>
      <tp t="s">
        <v>#N/A N/A</v>
        <stp/>
        <stp>BDP|13578003605315235964</stp>
        <tr r="C179" s="2"/>
      </tp>
      <tp t="s">
        <v>#N/A N/A</v>
        <stp/>
        <stp>BDP|14866693281911553419</stp>
        <tr r="L420" s="2"/>
      </tp>
      <tp t="s">
        <v>#N/A N/A</v>
        <stp/>
        <stp>BDP|12804829812251986556</stp>
        <tr r="D179" s="2"/>
      </tp>
      <tp t="s">
        <v>#N/A N/A</v>
        <stp/>
        <stp>BDP|14478564955912219921</stp>
        <tr r="F260" s="2"/>
      </tp>
      <tp t="s">
        <v>#N/A N/A</v>
        <stp/>
        <stp>BDP|15123302617449402157</stp>
        <tr r="P423" s="2"/>
      </tp>
      <tp t="s">
        <v>#N/A N/A</v>
        <stp/>
        <stp>BDP|16938596563293641922</stp>
        <tr r="D238" s="2"/>
      </tp>
      <tp t="s">
        <v>#N/A N/A</v>
        <stp/>
        <stp>BDP|13699218150463269822</stp>
        <tr r="P116" s="2"/>
      </tp>
      <tp t="s">
        <v>#N/A N/A</v>
        <stp/>
        <stp>BDP|10255910054950632368</stp>
        <tr r="E121" s="2"/>
      </tp>
      <tp t="s">
        <v>#N/A N/A</v>
        <stp/>
        <stp>BDP|10361789411341405899</stp>
        <tr r="G97" s="2"/>
      </tp>
      <tp t="s">
        <v>#N/A N/A</v>
        <stp/>
        <stp>BDP|17537937321670653363</stp>
        <tr r="D269" s="2"/>
      </tp>
      <tp t="s">
        <v>#N/A N/A</v>
        <stp/>
        <stp>BDP|11383565136590514800</stp>
        <tr r="R336" s="2"/>
      </tp>
      <tp t="s">
        <v>#N/A N/A</v>
        <stp/>
        <stp>BDP|11882377878363533940</stp>
        <tr r="C166" s="2"/>
      </tp>
      <tp t="s">
        <v>#N/A N/A</v>
        <stp/>
        <stp>BDP|16011057886895539403</stp>
        <tr r="G38" s="2"/>
      </tp>
      <tp t="s">
        <v>#N/A N/A</v>
        <stp/>
        <stp>BDP|13298851224710709621</stp>
        <tr r="Q440" s="2"/>
      </tp>
      <tp t="s">
        <v>#N/A N/A</v>
        <stp/>
        <stp>BDP|12141989973414418785</stp>
        <tr r="F45" s="2"/>
      </tp>
      <tp t="s">
        <v>#N/A N/A</v>
        <stp/>
        <stp>BDP|11132726926152207918</stp>
        <tr r="C282" s="2"/>
      </tp>
      <tp t="s">
        <v>#N/A N/A</v>
        <stp/>
        <stp>BDP|12686844044274697564</stp>
        <tr r="I354" s="2"/>
      </tp>
      <tp t="s">
        <v>#N/A N/A</v>
        <stp/>
        <stp>BDP|15252506444079339231</stp>
        <tr r="M437" s="2"/>
      </tp>
      <tp t="s">
        <v>#N/A N/A</v>
        <stp/>
        <stp>BDP|15565484089134667244</stp>
        <tr r="N96" s="2"/>
      </tp>
      <tp t="s">
        <v>#N/A N/A</v>
        <stp/>
        <stp>BDP|11925965777662876266</stp>
        <tr r="P207" s="2"/>
      </tp>
      <tp t="s">
        <v>#N/A N/A</v>
        <stp/>
        <stp>BDP|10950782845345363915</stp>
        <tr r="P427" s="2"/>
      </tp>
      <tp t="s">
        <v>#N/A N/A</v>
        <stp/>
        <stp>BDP|11161431437250659956</stp>
        <tr r="Q46" s="2"/>
      </tp>
      <tp t="s">
        <v>#N/A N/A</v>
        <stp/>
        <stp>BDP|10277223095223503760</stp>
        <tr r="K449" s="2"/>
      </tp>
      <tp t="s">
        <v>#N/A N/A</v>
        <stp/>
        <stp>BDP|17768003804089370166</stp>
        <tr r="N238" s="2"/>
      </tp>
      <tp t="s">
        <v>#N/A N/A</v>
        <stp/>
        <stp>BDP|18014191136574013190</stp>
        <tr r="D103" s="2"/>
      </tp>
      <tp t="s">
        <v>#N/A N/A</v>
        <stp/>
        <stp>BDP|15011938172066970116</stp>
        <tr r="M320" s="2"/>
      </tp>
      <tp t="s">
        <v>#N/A N/A</v>
        <stp/>
        <stp>BDP|15922343697853472070</stp>
        <tr r="R143" s="2"/>
      </tp>
      <tp t="s">
        <v>#N/A N/A</v>
        <stp/>
        <stp>BDP|16759184491166413433</stp>
        <tr r="O327" s="2"/>
      </tp>
      <tp t="s">
        <v>#N/A N/A</v>
        <stp/>
        <stp>BDP|14764904000117774694</stp>
        <tr r="E372" s="2"/>
      </tp>
      <tp t="s">
        <v>#N/A N/A</v>
        <stp/>
        <stp>BDP|16112176482616579580</stp>
        <tr r="R186" s="2"/>
      </tp>
      <tp t="s">
        <v>#N/A N/A</v>
        <stp/>
        <stp>BDP|17099931857962573580</stp>
        <tr r="D325" s="2"/>
      </tp>
      <tp t="s">
        <v>#N/A N/A</v>
        <stp/>
        <stp>BDP|14588525785210882529</stp>
        <tr r="N274" s="2"/>
      </tp>
      <tp t="s">
        <v>#N/A N/A</v>
        <stp/>
        <stp>BDP|11853889512355245187</stp>
        <tr r="D95" s="2"/>
      </tp>
      <tp t="s">
        <v>#N/A N/A</v>
        <stp/>
        <stp>BDP|17953218663398080737</stp>
        <tr r="K125" s="2"/>
      </tp>
      <tp t="s">
        <v>#N/A N/A</v>
        <stp/>
        <stp>BDP|10704341980575822237</stp>
        <tr r="F310" s="2"/>
      </tp>
      <tp t="s">
        <v>#N/A N/A</v>
        <stp/>
        <stp>BDP|15027522119044243915</stp>
        <tr r="F285" s="2"/>
      </tp>
      <tp t="s">
        <v>#N/A N/A</v>
        <stp/>
        <stp>BDP|12652656472369981608</stp>
        <tr r="G439" s="2"/>
      </tp>
      <tp t="s">
        <v>#N/A N/A</v>
        <stp/>
        <stp>BDP|16398373949075727828</stp>
        <tr r="I487" s="2"/>
      </tp>
      <tp t="s">
        <v>#N/A N/A</v>
        <stp/>
        <stp>BDP|13278181590487157037</stp>
        <tr r="F304" s="2"/>
      </tp>
      <tp t="s">
        <v>#N/A N/A</v>
        <stp/>
        <stp>BDP|13143389881593987797</stp>
        <tr r="L127" s="2"/>
      </tp>
      <tp t="s">
        <v>#N/A N/A</v>
        <stp/>
        <stp>BDP|14572081352684760900</stp>
        <tr r="D381" s="2"/>
      </tp>
      <tp t="s">
        <v>#N/A N/A</v>
        <stp/>
        <stp>BDP|14557950854086506290</stp>
        <tr r="Q323" s="2"/>
      </tp>
      <tp t="s">
        <v>#N/A N/A</v>
        <stp/>
        <stp>BDP|11875265289291437688</stp>
        <tr r="N234" s="2"/>
      </tp>
      <tp t="s">
        <v>#N/A N/A</v>
        <stp/>
        <stp>BDP|18019491216116135758</stp>
        <tr r="M271" s="2"/>
      </tp>
      <tp t="s">
        <v>#N/A N/A</v>
        <stp/>
        <stp>BDP|18399463528416612406</stp>
        <tr r="D50" s="2"/>
      </tp>
      <tp t="s">
        <v>#N/A N/A</v>
        <stp/>
        <stp>BDP|12265751516611884927</stp>
        <tr r="L345" s="2"/>
      </tp>
      <tp t="s">
        <v>#N/A N/A</v>
        <stp/>
        <stp>BDP|14394290332609590064</stp>
        <tr r="R436" s="2"/>
      </tp>
      <tp t="s">
        <v>#N/A N/A</v>
        <stp/>
        <stp>BDP|13105741330113811866</stp>
        <tr r="J29" s="2"/>
      </tp>
      <tp t="s">
        <v>#N/A N/A</v>
        <stp/>
        <stp>BDP|15325882656031014564</stp>
        <tr r="L285" s="2"/>
      </tp>
      <tp t="s">
        <v>#N/A N/A</v>
        <stp/>
        <stp>BDP|10704578294825786593</stp>
        <tr r="D92" s="2"/>
      </tp>
      <tp t="s">
        <v>#N/A N/A</v>
        <stp/>
        <stp>BDP|15138582718125996823</stp>
        <tr r="K480" s="2"/>
      </tp>
      <tp t="s">
        <v>#N/A N/A</v>
        <stp/>
        <stp>BDP|15194280811398302213</stp>
        <tr r="G226" s="2"/>
      </tp>
      <tp t="s">
        <v>#N/A N/A</v>
        <stp/>
        <stp>BDP|16465480996247602068</stp>
        <tr r="M249" s="2"/>
      </tp>
      <tp t="s">
        <v>#N/A N/A</v>
        <stp/>
        <stp>BDP|18035524169386509148</stp>
        <tr r="D250" s="2"/>
      </tp>
      <tp t="s">
        <v>#N/A N/A</v>
        <stp/>
        <stp>BDP|11227379900769898779</stp>
        <tr r="O108" s="2"/>
      </tp>
      <tp t="s">
        <v>#N/A N/A</v>
        <stp/>
        <stp>BDP|16370925320049239891</stp>
        <tr r="K112" s="2"/>
      </tp>
      <tp t="s">
        <v>#N/A N/A</v>
        <stp/>
        <stp>BDP|12613797054429804592</stp>
        <tr r="G308" s="2"/>
      </tp>
      <tp t="s">
        <v>#N/A N/A</v>
        <stp/>
        <stp>BDP|15110990463533418550</stp>
        <tr r="J406" s="2"/>
      </tp>
      <tp t="s">
        <v>#N/A N/A</v>
        <stp/>
        <stp>BDP|10957841207056898289</stp>
        <tr r="R254" s="2"/>
      </tp>
      <tp t="s">
        <v>#N/A N/A</v>
        <stp/>
        <stp>BDP|18208497905951657151</stp>
        <tr r="O109" s="2"/>
      </tp>
      <tp t="s">
        <v>#N/A N/A</v>
        <stp/>
        <stp>BDP|11287043460232271993</stp>
        <tr r="N388" s="2"/>
      </tp>
      <tp t="s">
        <v>#N/A N/A</v>
        <stp/>
        <stp>BDP|14513967760377706096</stp>
        <tr r="N97" s="2"/>
      </tp>
      <tp t="s">
        <v>#N/A N/A</v>
        <stp/>
        <stp>BDP|16875244030372721961</stp>
        <tr r="J335" s="2"/>
      </tp>
      <tp t="s">
        <v>#N/A N/A</v>
        <stp/>
        <stp>BDP|11328706870389766493</stp>
        <tr r="K10" s="2"/>
      </tp>
      <tp t="s">
        <v>#N/A N/A</v>
        <stp/>
        <stp>BDP|16615489683980956695</stp>
        <tr r="K304" s="2"/>
      </tp>
      <tp t="s">
        <v>#N/A N/A</v>
        <stp/>
        <stp>BDP|14836374983927277438</stp>
        <tr r="N160" s="2"/>
      </tp>
      <tp t="s">
        <v>#N/A N/A</v>
        <stp/>
        <stp>BDP|17844167095282345155</stp>
        <tr r="R377" s="2"/>
      </tp>
      <tp t="s">
        <v>#N/A N/A</v>
        <stp/>
        <stp>BDP|15214446089607492268</stp>
        <tr r="Q255" s="2"/>
      </tp>
      <tp t="s">
        <v>#N/A N/A</v>
        <stp/>
        <stp>BDP|10848472102251901993</stp>
        <tr r="F434" s="2"/>
      </tp>
      <tp t="s">
        <v>#N/A N/A</v>
        <stp/>
        <stp>BDP|13568410751576908814</stp>
        <tr r="C291" s="2"/>
      </tp>
      <tp t="s">
        <v>#N/A N/A</v>
        <stp/>
        <stp>BDP|12216014388564753213</stp>
        <tr r="R84" s="2"/>
      </tp>
      <tp t="s">
        <v>#N/A N/A</v>
        <stp/>
        <stp>BDP|16167975608670745347</stp>
        <tr r="F214" s="2"/>
      </tp>
      <tp t="s">
        <v>#N/A N/A</v>
        <stp/>
        <stp>BDP|18356369138635975198</stp>
        <tr r="L327" s="2"/>
      </tp>
      <tp t="s">
        <v>#N/A N/A</v>
        <stp/>
        <stp>BDP|16127657033516235987</stp>
        <tr r="D267" s="2"/>
      </tp>
      <tp t="s">
        <v>#N/A N/A</v>
        <stp/>
        <stp>BDP|12875148697937744109</stp>
        <tr r="N73" s="2"/>
      </tp>
      <tp t="s">
        <v>#N/A N/A</v>
        <stp/>
        <stp>BDP|14175418062573636982</stp>
        <tr r="M427" s="2"/>
      </tp>
      <tp t="s">
        <v>#N/A N/A</v>
        <stp/>
        <stp>BDP|14121538556619116194</stp>
        <tr r="M204" s="2"/>
      </tp>
      <tp t="s">
        <v>#N/A N/A</v>
        <stp/>
        <stp>BDP|17817726547110070818</stp>
        <tr r="E219" s="2"/>
      </tp>
      <tp t="s">
        <v>#N/A N/A</v>
        <stp/>
        <stp>BDP|13606939999159614666</stp>
        <tr r="Q24" s="2"/>
      </tp>
      <tp t="s">
        <v>#N/A N/A</v>
        <stp/>
        <stp>BDP|16371351070408999634</stp>
        <tr r="P210" s="2"/>
      </tp>
      <tp t="s">
        <v>#N/A N/A</v>
        <stp/>
        <stp>BDP|11376080582880711521</stp>
        <tr r="K251" s="2"/>
      </tp>
      <tp t="s">
        <v>#N/A N/A</v>
        <stp/>
        <stp>BDP|17365948619580275301</stp>
        <tr r="D270" s="2"/>
      </tp>
      <tp t="s">
        <v>#N/A N/A</v>
        <stp/>
        <stp>BDP|16999598731659454591</stp>
        <tr r="Q467" s="2"/>
      </tp>
      <tp t="s">
        <v>#N/A N/A</v>
        <stp/>
        <stp>BDP|13846124148599959373</stp>
        <tr r="G483" s="2"/>
      </tp>
      <tp t="s">
        <v>#N/A N/A</v>
        <stp/>
        <stp>BDP|11794493790794473468</stp>
        <tr r="C98" s="2"/>
      </tp>
      <tp t="s">
        <v>#N/A N/A</v>
        <stp/>
        <stp>BDP|16842980446591884628</stp>
        <tr r="R106" s="2"/>
      </tp>
      <tp t="s">
        <v>#N/A N/A</v>
        <stp/>
        <stp>BDP|13119810156030328292</stp>
        <tr r="J62" s="2"/>
      </tp>
      <tp t="s">
        <v>#N/A N/A</v>
        <stp/>
        <stp>BDP|14372681615816193937</stp>
        <tr r="E350" s="2"/>
      </tp>
      <tp t="s">
        <v>#N/A N/A</v>
        <stp/>
        <stp>BDP|12370416677164142984</stp>
        <tr r="H325" s="2"/>
      </tp>
      <tp t="s">
        <v>#N/A N/A</v>
        <stp/>
        <stp>BDP|17857920852345433203</stp>
        <tr r="R492" s="2"/>
      </tp>
      <tp t="s">
        <v>#N/A N/A</v>
        <stp/>
        <stp>BDP|11881262025209175469</stp>
        <tr r="P91" s="2"/>
      </tp>
      <tp t="s">
        <v>#N/A N/A</v>
        <stp/>
        <stp>BDP|15976232474235185939</stp>
        <tr r="M90" s="2"/>
      </tp>
      <tp t="s">
        <v>#N/A N/A</v>
        <stp/>
        <stp>BDP|18147430458071171476</stp>
        <tr r="O159" s="2"/>
      </tp>
      <tp t="s">
        <v>#N/A N/A</v>
        <stp/>
        <stp>BDP|13846115992243328445</stp>
        <tr r="P233" s="2"/>
      </tp>
      <tp t="s">
        <v>#N/A N/A</v>
        <stp/>
        <stp>BDP|13363287846808523170</stp>
        <tr r="C175" s="2"/>
      </tp>
      <tp t="s">
        <v>#N/A N/A</v>
        <stp/>
        <stp>BDP|15631081933898616241</stp>
        <tr r="M111" s="2"/>
      </tp>
      <tp t="s">
        <v>#N/A N/A</v>
        <stp/>
        <stp>BDP|10149382266078385136</stp>
        <tr r="Q351" s="2"/>
      </tp>
      <tp t="s">
        <v>#N/A N/A</v>
        <stp/>
        <stp>BDP|15286484138687544986</stp>
        <tr r="N479" s="2"/>
      </tp>
      <tp t="s">
        <v>#N/A N/A</v>
        <stp/>
        <stp>BDP|15852125081759492906</stp>
        <tr r="K476" s="2"/>
      </tp>
      <tp t="s">
        <v>#N/A N/A</v>
        <stp/>
        <stp>BDP|10723824744251743198</stp>
        <tr r="D346" s="2"/>
      </tp>
      <tp t="s">
        <v>#N/A N/A</v>
        <stp/>
        <stp>BDP|16491368172958755682</stp>
        <tr r="R139" s="2"/>
      </tp>
      <tp t="s">
        <v>#N/A N/A</v>
        <stp/>
        <stp>BDP|14811918013027601737</stp>
        <tr r="I153" s="2"/>
      </tp>
      <tp t="s">
        <v>#N/A N/A</v>
        <stp/>
        <stp>BDP|12282772865488936760</stp>
        <tr r="I305" s="2"/>
      </tp>
      <tp t="s">
        <v>#N/A N/A</v>
        <stp/>
        <stp>BDP|13395746699261153005</stp>
        <tr r="G2" s="2"/>
      </tp>
      <tp t="s">
        <v>#N/A N/A</v>
        <stp/>
        <stp>BDP|11594376582035952368</stp>
        <tr r="K470" s="2"/>
      </tp>
      <tp t="s">
        <v>#N/A N/A</v>
        <stp/>
        <stp>BDP|17917920930037020643</stp>
        <tr r="C75" s="2"/>
      </tp>
      <tp t="s">
        <v>#N/A N/A</v>
        <stp/>
        <stp>BDP|12764477699114476727</stp>
        <tr r="J268" s="2"/>
      </tp>
      <tp t="s">
        <v>#N/A N/A</v>
        <stp/>
        <stp>BDP|16971555597452286475</stp>
        <tr r="M291" s="2"/>
      </tp>
      <tp t="s">
        <v>#N/A N/A</v>
        <stp/>
        <stp>BDP|15391558757111682891</stp>
        <tr r="O266" s="2"/>
      </tp>
      <tp t="s">
        <v>#N/A N/A</v>
        <stp/>
        <stp>BDP|10170754038019180133</stp>
        <tr r="L101" s="2"/>
      </tp>
      <tp t="s">
        <v>#N/A N/A</v>
        <stp/>
        <stp>BDP|14394901428237253477</stp>
        <tr r="D213" s="2"/>
      </tp>
      <tp t="s">
        <v>#N/A N/A</v>
        <stp/>
        <stp>BDP|10898987458887319759</stp>
        <tr r="M242" s="2"/>
      </tp>
      <tp t="s">
        <v>#N/A N/A</v>
        <stp/>
        <stp>BDP|14388983915711127110</stp>
        <tr r="J288" s="2"/>
      </tp>
      <tp t="s">
        <v>#N/A N/A</v>
        <stp/>
        <stp>BDP|16000384712448182055</stp>
        <tr r="L434" s="2"/>
      </tp>
      <tp t="s">
        <v>#N/A N/A</v>
        <stp/>
        <stp>BDP|14061412347018852003</stp>
        <tr r="K477" s="2"/>
      </tp>
      <tp t="s">
        <v>#N/A N/A</v>
        <stp/>
        <stp>BDP|15731361228060244856</stp>
        <tr r="E150" s="2"/>
      </tp>
      <tp t="s">
        <v>#N/A N/A</v>
        <stp/>
        <stp>BDP|17109434654532818807</stp>
        <tr r="M219" s="2"/>
      </tp>
      <tp t="s">
        <v>#N/A N/A</v>
        <stp/>
        <stp>BDP|14588017084238825894</stp>
        <tr r="C502" s="2"/>
      </tp>
      <tp t="s">
        <v>#N/A N/A</v>
        <stp/>
        <stp>BDP|15401373160875060926</stp>
        <tr r="D117" s="2"/>
      </tp>
      <tp t="s">
        <v>#N/A N/A</v>
        <stp/>
        <stp>BDP|12773719780232327344</stp>
        <tr r="M353" s="2"/>
      </tp>
      <tp t="s">
        <v>#N/A N/A</v>
        <stp/>
        <stp>BDP|15910151830999836253</stp>
        <tr r="Q426" s="2"/>
      </tp>
      <tp t="s">
        <v>#N/A N/A</v>
        <stp/>
        <stp>BDP|13416049623549170432</stp>
        <tr r="J312" s="2"/>
      </tp>
      <tp t="s">
        <v>#N/A N/A</v>
        <stp/>
        <stp>BDP|15157149432379623203</stp>
        <tr r="R166" s="2"/>
      </tp>
      <tp t="s">
        <v>#N/A N/A</v>
        <stp/>
        <stp>BDP|13985748761727989943</stp>
        <tr r="O239" s="2"/>
      </tp>
      <tp t="s">
        <v>#N/A N/A</v>
        <stp/>
        <stp>BDP|14437979110046537675</stp>
        <tr r="F41" s="2"/>
      </tp>
      <tp t="s">
        <v>#N/A N/A</v>
        <stp/>
        <stp>BDP|17402745034516733920</stp>
        <tr r="O444" s="2"/>
      </tp>
      <tp t="s">
        <v>#N/A N/A</v>
        <stp/>
        <stp>BDP|10390071731237011849</stp>
        <tr r="F402" s="2"/>
      </tp>
      <tp t="s">
        <v>#N/A N/A</v>
        <stp/>
        <stp>BDP|16538791283455778093</stp>
        <tr r="I71" s="2"/>
      </tp>
      <tp t="s">
        <v>#N/A N/A</v>
        <stp/>
        <stp>BDP|10879792222381508876</stp>
        <tr r="N415" s="2"/>
      </tp>
      <tp t="s">
        <v>#N/A N/A</v>
        <stp/>
        <stp>BDP|12442463730390757941</stp>
        <tr r="I416" s="2"/>
      </tp>
      <tp t="s">
        <v>#N/A N/A</v>
        <stp/>
        <stp>BDP|16295508193796047002</stp>
        <tr r="L406" s="2"/>
      </tp>
      <tp t="s">
        <v>#N/A N/A</v>
        <stp/>
        <stp>BDP|15006921083031025903</stp>
        <tr r="P360" s="2"/>
      </tp>
      <tp t="s">
        <v>#N/A N/A</v>
        <stp/>
        <stp>BDP|14301881659710596568</stp>
        <tr r="D368" s="2"/>
      </tp>
      <tp t="s">
        <v>#N/A N/A</v>
        <stp/>
        <stp>BDP|15246317060064324814</stp>
        <tr r="M463" s="2"/>
      </tp>
      <tp t="s">
        <v>#N/A N/A</v>
        <stp/>
        <stp>BDP|11979027860103262882</stp>
        <tr r="H143" s="2"/>
      </tp>
      <tp t="s">
        <v>#N/A N/A</v>
        <stp/>
        <stp>BDP|12670260584583331765</stp>
        <tr r="Q338" s="2"/>
      </tp>
      <tp t="s">
        <v>#N/A N/A</v>
        <stp/>
        <stp>BDP|11244710128270955837</stp>
        <tr r="G426" s="2"/>
      </tp>
      <tp t="s">
        <v>#N/A N/A</v>
        <stp/>
        <stp>BDP|18244534115064323478</stp>
        <tr r="Q81" s="2"/>
      </tp>
      <tp t="s">
        <v>#N/A N/A</v>
        <stp/>
        <stp>BDP|12803817846311740382</stp>
        <tr r="F391" s="2"/>
      </tp>
      <tp t="s">
        <v>#N/A N/A</v>
        <stp/>
        <stp>BDP|16366520582081679653</stp>
        <tr r="J502" s="2"/>
      </tp>
      <tp t="s">
        <v>#N/A N/A</v>
        <stp/>
        <stp>BDP|17364030966065464820</stp>
        <tr r="F51" s="2"/>
      </tp>
      <tp t="s">
        <v>#N/A N/A</v>
        <stp/>
        <stp>BDP|13221854223542760735</stp>
        <tr r="P324" s="2"/>
      </tp>
      <tp t="s">
        <v>#N/A N/A</v>
        <stp/>
        <stp>BDP|18004848495602285731</stp>
        <tr r="M155" s="2"/>
      </tp>
      <tp t="s">
        <v>#N/A N/A</v>
        <stp/>
        <stp>BDP|11633460346574176974</stp>
        <tr r="I49" s="2"/>
      </tp>
      <tp t="s">
        <v>#N/A N/A</v>
        <stp/>
        <stp>BDP|18125165277095054738</stp>
        <tr r="H240" s="2"/>
      </tp>
      <tp t="s">
        <v>#N/A N/A</v>
        <stp/>
        <stp>BDP|13424941774863061274</stp>
        <tr r="D277" s="2"/>
      </tp>
      <tp t="s">
        <v>#N/A N/A</v>
        <stp/>
        <stp>BDP|16615335454404581877</stp>
        <tr r="N29" s="2"/>
      </tp>
      <tp t="s">
        <v>#N/A N/A</v>
        <stp/>
        <stp>BDP|17673861506712164149</stp>
        <tr r="I284" s="2"/>
      </tp>
      <tp t="s">
        <v>#N/A N/A</v>
        <stp/>
        <stp>BDP|14771775734119182569</stp>
        <tr r="J218" s="2"/>
      </tp>
      <tp t="s">
        <v>#N/A N/A</v>
        <stp/>
        <stp>BDP|14132901545286447335</stp>
        <tr r="R274" s="2"/>
      </tp>
      <tp t="s">
        <v>#N/A N/A</v>
        <stp/>
        <stp>BDP|13785324117819312425</stp>
        <tr r="G173" s="2"/>
      </tp>
      <tp t="s">
        <v>#N/A N/A</v>
        <stp/>
        <stp>BDP|11959617986122953143</stp>
        <tr r="D186" s="2"/>
      </tp>
      <tp t="s">
        <v>#N/A N/A</v>
        <stp/>
        <stp>BDP|12411252780887265309</stp>
        <tr r="P47" s="2"/>
      </tp>
      <tp t="s">
        <v>#N/A N/A</v>
        <stp/>
        <stp>BDP|14617402318324910945</stp>
        <tr r="F455" s="2"/>
      </tp>
      <tp t="s">
        <v>#N/A N/A</v>
        <stp/>
        <stp>BDP|13598142530339329401</stp>
        <tr r="C222" s="2"/>
      </tp>
      <tp t="s">
        <v>#N/A N/A</v>
        <stp/>
        <stp>BDP|13891087436759150554</stp>
        <tr r="C68" s="2"/>
      </tp>
      <tp t="s">
        <v>#N/A N/A</v>
        <stp/>
        <stp>BDP|10808423653869868432</stp>
        <tr r="E304" s="2"/>
      </tp>
      <tp t="s">
        <v>#N/A N/A</v>
        <stp/>
        <stp>BDP|18137556517144523448</stp>
        <tr r="P72" s="2"/>
      </tp>
      <tp t="s">
        <v>#N/A N/A</v>
        <stp/>
        <stp>BDP|10864481496789749839</stp>
        <tr r="D426" s="2"/>
      </tp>
      <tp t="s">
        <v>#N/A N/A</v>
        <stp/>
        <stp>BDP|11156318677091722823</stp>
        <tr r="O357" s="2"/>
      </tp>
      <tp t="s">
        <v>#N/A N/A</v>
        <stp/>
        <stp>BDP|15230088947664790987</stp>
        <tr r="P226" s="2"/>
      </tp>
      <tp t="s">
        <v>#N/A N/A</v>
        <stp/>
        <stp>BDP|15821804008768742956</stp>
        <tr r="Q238" s="2"/>
      </tp>
      <tp t="s">
        <v>#N/A N/A</v>
        <stp/>
        <stp>BDP|11050171782606026273</stp>
        <tr r="Q19" s="2"/>
      </tp>
      <tp t="s">
        <v>#N/A N/A</v>
        <stp/>
        <stp>BDP|10095965110843720735</stp>
        <tr r="E283" s="2"/>
      </tp>
      <tp t="s">
        <v>#N/A N/A</v>
        <stp/>
        <stp>BDP|10073230054162665930</stp>
        <tr r="N312" s="2"/>
      </tp>
      <tp t="s">
        <v>#N/A N/A</v>
        <stp/>
        <stp>BDP|10205188591101987507</stp>
        <tr r="J259" s="2"/>
      </tp>
      <tp t="s">
        <v>#N/A N/A</v>
        <stp/>
        <stp>BDP|10076475280618114840</stp>
        <tr r="D383" s="2"/>
      </tp>
      <tp t="s">
        <v>#N/A N/A</v>
        <stp/>
        <stp>BDP|10854872527970235688</stp>
        <tr r="M487" s="2"/>
      </tp>
      <tp t="s">
        <v>#N/A N/A</v>
        <stp/>
        <stp>BDP|12052252812544200976</stp>
        <tr r="C243" s="2"/>
      </tp>
      <tp t="s">
        <v>#N/A N/A</v>
        <stp/>
        <stp>BDP|18204544006502054320</stp>
        <tr r="J422" s="2"/>
      </tp>
      <tp t="s">
        <v>#N/A N/A</v>
        <stp/>
        <stp>BDP|15024067144848718505</stp>
        <tr r="O315" s="2"/>
      </tp>
      <tp t="s">
        <v>#N/A N/A</v>
        <stp/>
        <stp>BDP|13988895826642647751</stp>
        <tr r="I299" s="2"/>
      </tp>
      <tp t="s">
        <v>#N/A N/A</v>
        <stp/>
        <stp>BDP|18024286375598816903</stp>
        <tr r="G194" s="2"/>
      </tp>
      <tp t="s">
        <v>#N/A N/A</v>
        <stp/>
        <stp>BDP|14760338493391485364</stp>
        <tr r="C269" s="2"/>
      </tp>
      <tp t="s">
        <v>#N/A N/A</v>
        <stp/>
        <stp>BDP|14349944514546751610</stp>
        <tr r="H316" s="2"/>
      </tp>
      <tp t="s">
        <v>#N/A N/A</v>
        <stp/>
        <stp>BDP|15304603459493681998</stp>
        <tr r="G498" s="2"/>
      </tp>
      <tp t="s">
        <v>#N/A N/A</v>
        <stp/>
        <stp>BDP|17484246785011999090</stp>
        <tr r="L399" s="2"/>
      </tp>
      <tp t="s">
        <v>#N/A N/A</v>
        <stp/>
        <stp>BDP|15462263896132903083</stp>
        <tr r="L474" s="2"/>
      </tp>
      <tp t="s">
        <v>#N/A N/A</v>
        <stp/>
        <stp>BDP|13610923712657113022</stp>
        <tr r="D215" s="2"/>
      </tp>
      <tp t="s">
        <v>#N/A N/A</v>
        <stp/>
        <stp>BDP|13134306585284735061</stp>
        <tr r="O44" s="2"/>
      </tp>
      <tp t="s">
        <v>#N/A N/A</v>
        <stp/>
        <stp>BDP|14206695489006159065</stp>
        <tr r="R32" s="2"/>
      </tp>
      <tp t="s">
        <v>#N/A N/A</v>
        <stp/>
        <stp>BDP|15970986400443524312</stp>
        <tr r="Q208" s="2"/>
      </tp>
      <tp t="s">
        <v>#N/A N/A</v>
        <stp/>
        <stp>BDP|12077973515666622015</stp>
        <tr r="K303" s="2"/>
      </tp>
      <tp t="s">
        <v>#N/A N/A</v>
        <stp/>
        <stp>BDP|14176035688735946565</stp>
        <tr r="G472" s="2"/>
      </tp>
      <tp t="s">
        <v>#N/A N/A</v>
        <stp/>
        <stp>BDP|14031041200100885882</stp>
        <tr r="P341" s="2"/>
      </tp>
      <tp t="s">
        <v>#N/A N/A</v>
        <stp/>
        <stp>BDP|17736334044774783831</stp>
        <tr r="J295" s="2"/>
      </tp>
      <tp t="s">
        <v>#N/A N/A</v>
        <stp/>
        <stp>BDP|13969436289912611110</stp>
        <tr r="Q143" s="2"/>
      </tp>
      <tp t="s">
        <v>#N/A N/A</v>
        <stp/>
        <stp>BDP|15112968515948596931</stp>
        <tr r="L31" s="2"/>
      </tp>
      <tp t="s">
        <v>#N/A N/A</v>
        <stp/>
        <stp>BDP|13794855285208218711</stp>
        <tr r="N14" s="2"/>
      </tp>
      <tp t="s">
        <v>#N/A N/A</v>
        <stp/>
        <stp>BDP|11626889968622677144</stp>
        <tr r="M339" s="2"/>
      </tp>
      <tp t="s">
        <v>#N/A N/A</v>
        <stp/>
        <stp>BDP|14254460066472489827</stp>
        <tr r="I337" s="2"/>
      </tp>
      <tp t="s">
        <v>#N/A N/A</v>
        <stp/>
        <stp>BDP|13541611864196283961</stp>
        <tr r="R368" s="2"/>
      </tp>
      <tp t="s">
        <v>#N/A N/A</v>
        <stp/>
        <stp>BDP|10017465967909319760</stp>
        <tr r="H470" s="2"/>
      </tp>
      <tp t="s">
        <v>#N/A N/A</v>
        <stp/>
        <stp>BDP|12864570678109738547</stp>
        <tr r="J401" s="2"/>
      </tp>
      <tp t="s">
        <v>#N/A N/A</v>
        <stp/>
        <stp>BDP|10351882075091334296</stp>
        <tr r="R457" s="2"/>
      </tp>
      <tp t="s">
        <v>#N/A N/A</v>
        <stp/>
        <stp>BDP|10094889808696357274</stp>
        <tr r="Q106" s="2"/>
      </tp>
      <tp t="s">
        <v>#N/A N/A</v>
        <stp/>
        <stp>BDP|13311062144663001850</stp>
        <tr r="C285" s="2"/>
      </tp>
      <tp t="s">
        <v>#N/A N/A</v>
        <stp/>
        <stp>BDP|17923931251163801477</stp>
        <tr r="J263" s="2"/>
      </tp>
      <tp t="s">
        <v>#N/A N/A</v>
        <stp/>
        <stp>BDP|10536761966274339927</stp>
        <tr r="R233" s="2"/>
      </tp>
      <tp t="s">
        <v>#N/A N/A</v>
        <stp/>
        <stp>BDP|15202316989706827458</stp>
        <tr r="I120" s="2"/>
      </tp>
      <tp t="s">
        <v>#N/A N/A</v>
        <stp/>
        <stp>BDP|18237047754881311066</stp>
        <tr r="L22" s="2"/>
      </tp>
      <tp t="s">
        <v>#N/A N/A</v>
        <stp/>
        <stp>BDP|15739459315105284929</stp>
        <tr r="R439" s="2"/>
      </tp>
      <tp t="s">
        <v>#N/A N/A</v>
        <stp/>
        <stp>BDP|13163295807184115999</stp>
        <tr r="M94" s="2"/>
      </tp>
      <tp t="s">
        <v>#N/A N/A</v>
        <stp/>
        <stp>BDP|13488197100169234784</stp>
        <tr r="R489" s="2"/>
      </tp>
      <tp t="s">
        <v>#N/A N/A</v>
        <stp/>
        <stp>BDP|18443769154934893294</stp>
        <tr r="I252" s="2"/>
      </tp>
      <tp t="s">
        <v>#N/A N/A</v>
        <stp/>
        <stp>BDP|12991947564224732592</stp>
        <tr r="E117" s="2"/>
      </tp>
      <tp t="s">
        <v>#N/A N/A</v>
        <stp/>
        <stp>BDP|11162426593452002278</stp>
        <tr r="L393" s="2"/>
      </tp>
      <tp t="s">
        <v>#N/A N/A</v>
        <stp/>
        <stp>BDP|17266829820697267653</stp>
        <tr r="H298" s="2"/>
      </tp>
      <tp t="s">
        <v>#N/A N/A</v>
        <stp/>
        <stp>BDP|11730737558216338986</stp>
        <tr r="P88" s="2"/>
      </tp>
      <tp t="s">
        <v>#N/A N/A</v>
        <stp/>
        <stp>BDP|17321704893674716102</stp>
        <tr r="K228" s="2"/>
      </tp>
      <tp t="s">
        <v>#N/A N/A</v>
        <stp/>
        <stp>BDP|15028791277381879817</stp>
        <tr r="L151" s="2"/>
      </tp>
      <tp t="s">
        <v>#N/A N/A</v>
        <stp/>
        <stp>BDP|10612361060660016970</stp>
        <tr r="I467" s="2"/>
      </tp>
      <tp t="s">
        <v>#N/A N/A</v>
        <stp/>
        <stp>BDP|12942291257698137116</stp>
        <tr r="J407" s="2"/>
      </tp>
      <tp t="s">
        <v>#N/A N/A</v>
        <stp/>
        <stp>BDP|16784055591082214168</stp>
        <tr r="K370" s="2"/>
      </tp>
      <tp t="s">
        <v>#N/A N/A</v>
        <stp/>
        <stp>BDP|11508329470869334029</stp>
        <tr r="H321" s="2"/>
      </tp>
      <tp t="s">
        <v>#N/A N/A</v>
        <stp/>
        <stp>BDP|12467290352211947808</stp>
        <tr r="H219" s="2"/>
      </tp>
      <tp t="s">
        <v>#N/A N/A</v>
        <stp/>
        <stp>BDP|11362033382357519214</stp>
        <tr r="J139" s="2"/>
      </tp>
      <tp t="s">
        <v>#N/A N/A</v>
        <stp/>
        <stp>BDP|17035889548054385353</stp>
        <tr r="L371" s="2"/>
      </tp>
      <tp t="s">
        <v>#N/A N/A</v>
        <stp/>
        <stp>BDP|14385255685446504409</stp>
        <tr r="P108" s="2"/>
      </tp>
      <tp t="s">
        <v>#N/A N/A</v>
        <stp/>
        <stp>BDP|17169512936129117413</stp>
        <tr r="Q270" s="2"/>
      </tp>
      <tp t="s">
        <v>#N/A N/A</v>
        <stp/>
        <stp>BDP|12612841763658165866</stp>
        <tr r="O160" s="2"/>
      </tp>
      <tp t="s">
        <v>#N/A N/A</v>
        <stp/>
        <stp>BDP|17220120491153442031</stp>
        <tr r="M112" s="2"/>
      </tp>
      <tp t="s">
        <v>#N/A N/A</v>
        <stp/>
        <stp>BDP|13336714184083372335</stp>
        <tr r="I236" s="2"/>
      </tp>
      <tp t="s">
        <v>#N/A N/A</v>
        <stp/>
        <stp>BDP|18330413722105304755</stp>
        <tr r="O217" s="2"/>
      </tp>
      <tp t="s">
        <v>#N/A N/A</v>
        <stp/>
        <stp>BDP|14093197527259506326</stp>
        <tr r="F363" s="2"/>
      </tp>
      <tp t="s">
        <v>#N/A N/A</v>
        <stp/>
        <stp>BDP|11094287601546020803</stp>
        <tr r="M453" s="2"/>
      </tp>
      <tp t="s">
        <v>#N/A N/A</v>
        <stp/>
        <stp>BDP|12578637142874866957</stp>
        <tr r="F110" s="2"/>
      </tp>
      <tp t="s">
        <v>#N/A N/A</v>
        <stp/>
        <stp>BDP|11514529283288428995</stp>
        <tr r="F345" s="2"/>
      </tp>
      <tp t="s">
        <v>#N/A N/A</v>
        <stp/>
        <stp>BDP|16556784368498581291</stp>
        <tr r="E233" s="2"/>
      </tp>
      <tp t="s">
        <v>#N/A N/A</v>
        <stp/>
        <stp>BDP|16857538848493258980</stp>
        <tr r="N403" s="2"/>
      </tp>
      <tp t="s">
        <v>#N/A N/A</v>
        <stp/>
        <stp>BDP|11121633594466673591</stp>
        <tr r="K430" s="2"/>
      </tp>
      <tp t="s">
        <v>#N/A N/A</v>
        <stp/>
        <stp>BDP|10101671784240392389</stp>
        <tr r="I176" s="2"/>
      </tp>
      <tp t="s">
        <v>#N/A N/A</v>
        <stp/>
        <stp>BDP|13690286091377408229</stp>
        <tr r="Q186" s="2"/>
      </tp>
      <tp t="s">
        <v>#N/A N/A</v>
        <stp/>
        <stp>BDP|13559576298240645250</stp>
        <tr r="C233" s="2"/>
      </tp>
      <tp t="s">
        <v>#N/A N/A</v>
        <stp/>
        <stp>BDP|12624572323700399895</stp>
        <tr r="G442" s="2"/>
      </tp>
      <tp t="s">
        <v>#N/A N/A</v>
        <stp/>
        <stp>BDP|13717927719180492605</stp>
        <tr r="N385" s="2"/>
      </tp>
      <tp t="s">
        <v>#N/A N/A</v>
        <stp/>
        <stp>BDP|13457569294722737093</stp>
        <tr r="Q69" s="2"/>
      </tp>
      <tp t="s">
        <v>#N/A N/A</v>
        <stp/>
        <stp>BDP|11880408755434686937</stp>
        <tr r="O126" s="2"/>
      </tp>
      <tp t="s">
        <v>#N/A N/A</v>
        <stp/>
        <stp>BDP|11950739775049539527</stp>
        <tr r="P385" s="2"/>
      </tp>
      <tp t="s">
        <v>#N/A N/A</v>
        <stp/>
        <stp>BDP|11764919256737959712</stp>
        <tr r="Q462" s="2"/>
      </tp>
      <tp t="s">
        <v>#N/A N/A</v>
        <stp/>
        <stp>BDP|13599399991885176140</stp>
        <tr r="Q135" s="2"/>
      </tp>
      <tp t="s">
        <v>#N/A N/A</v>
        <stp/>
        <stp>BDP|12492051508098644773</stp>
        <tr r="N247" s="2"/>
      </tp>
      <tp t="s">
        <v>#N/A N/A</v>
        <stp/>
        <stp>BDP|16919587286542784489</stp>
        <tr r="F197" s="2"/>
      </tp>
      <tp t="s">
        <v>#N/A N/A</v>
        <stp/>
        <stp>BDP|17231887537068337965</stp>
        <tr r="N51" s="2"/>
      </tp>
      <tp t="s">
        <v>#N/A N/A</v>
        <stp/>
        <stp>BDP|17464797668183947842</stp>
        <tr r="E86" s="2"/>
      </tp>
      <tp t="s">
        <v>#N/A N/A</v>
        <stp/>
        <stp>BDP|18314105712431104486</stp>
        <tr r="H410" s="2"/>
      </tp>
      <tp t="s">
        <v>#N/A N/A</v>
        <stp/>
        <stp>BDP|18350420226530600396</stp>
        <tr r="Q264" s="2"/>
      </tp>
      <tp t="s">
        <v>#N/A N/A</v>
        <stp/>
        <stp>BDP|11601247395273874477</stp>
        <tr r="O377" s="2"/>
      </tp>
      <tp t="s">
        <v>#N/A N/A</v>
        <stp/>
        <stp>BDP|16767852874270639481</stp>
        <tr r="M406" s="2"/>
      </tp>
      <tp t="s">
        <v>#N/A N/A</v>
        <stp/>
        <stp>BDP|12477296827017988882</stp>
        <tr r="K156" s="2"/>
      </tp>
      <tp t="s">
        <v>#N/A N/A</v>
        <stp/>
        <stp>BDP|17897854751301440634</stp>
        <tr r="F378" s="2"/>
      </tp>
      <tp t="s">
        <v>#N/A N/A</v>
        <stp/>
        <stp>BDP|14788999329475496781</stp>
        <tr r="M498" s="2"/>
      </tp>
      <tp t="s">
        <v>#N/A N/A</v>
        <stp/>
        <stp>BDP|13462759361766233997</stp>
        <tr r="D15" s="2"/>
      </tp>
      <tp t="s">
        <v>#N/A N/A</v>
        <stp/>
        <stp>BDP|15413237049399202775</stp>
        <tr r="O223" s="2"/>
      </tp>
      <tp t="s">
        <v>#N/A N/A</v>
        <stp/>
        <stp>BDP|15017491636627770834</stp>
        <tr r="M497" s="2"/>
      </tp>
      <tp t="s">
        <v>#N/A N/A</v>
        <stp/>
        <stp>BDP|12284333785482655680</stp>
        <tr r="C108" s="2"/>
      </tp>
      <tp t="s">
        <v>#N/A N/A</v>
        <stp/>
        <stp>BDP|13478746669028453778</stp>
        <tr r="F171" s="2"/>
      </tp>
      <tp t="s">
        <v>#N/A N/A</v>
        <stp/>
        <stp>BDP|17842472064830288834</stp>
        <tr r="I405" s="2"/>
      </tp>
      <tp t="s">
        <v>#N/A N/A</v>
        <stp/>
        <stp>BDP|17066526538168677464</stp>
        <tr r="H218" s="2"/>
      </tp>
      <tp t="s">
        <v>#N/A N/A</v>
        <stp/>
        <stp>BDP|18311649630254988442</stp>
        <tr r="Q427" s="2"/>
      </tp>
      <tp t="s">
        <v>#N/A N/A</v>
        <stp/>
        <stp>BDP|12407537213033888869</stp>
        <tr r="J349" s="2"/>
      </tp>
      <tp t="s">
        <v>#N/A N/A</v>
        <stp/>
        <stp>BDP|10424592846668019411</stp>
        <tr r="E322" s="2"/>
      </tp>
      <tp t="s">
        <v>#N/A N/A</v>
        <stp/>
        <stp>BDP|16885128542488758654</stp>
        <tr r="M300" s="2"/>
      </tp>
      <tp t="s">
        <v>#N/A N/A</v>
        <stp/>
        <stp>BDP|17407318339913538936</stp>
        <tr r="Q213" s="2"/>
      </tp>
      <tp t="s">
        <v>#N/A N/A</v>
        <stp/>
        <stp>BDP|17340392399046896667</stp>
        <tr r="J449" s="2"/>
      </tp>
      <tp t="s">
        <v>#N/A N/A</v>
        <stp/>
        <stp>BDP|10195413823902982977</stp>
        <tr r="C395" s="2"/>
      </tp>
      <tp t="s">
        <v>#N/A N/A</v>
        <stp/>
        <stp>BDP|13880572712429863388</stp>
        <tr r="L15" s="2"/>
      </tp>
      <tp t="s">
        <v>#N/A N/A</v>
        <stp/>
        <stp>BDP|10844467777037536914</stp>
        <tr r="O320" s="2"/>
      </tp>
      <tp t="s">
        <v>#N/A N/A</v>
        <stp/>
        <stp>BDP|10809619449678828759</stp>
        <tr r="E204" s="2"/>
      </tp>
      <tp t="s">
        <v>#N/A N/A</v>
        <stp/>
        <stp>BDP|12845039476181723965</stp>
        <tr r="D436" s="2"/>
      </tp>
      <tp t="s">
        <v>#N/A N/A</v>
        <stp/>
        <stp>BDP|17908958859197023190</stp>
        <tr r="Q490" s="2"/>
      </tp>
      <tp t="s">
        <v>#N/A N/A</v>
        <stp/>
        <stp>BDP|15751743354612205899</stp>
        <tr r="F299" s="2"/>
      </tp>
      <tp t="s">
        <v>#N/A N/A</v>
        <stp/>
        <stp>BDP|11254434699464599513</stp>
        <tr r="L186" s="2"/>
      </tp>
      <tp t="s">
        <v>#N/A N/A</v>
        <stp/>
        <stp>BDP|15160905473503672583</stp>
        <tr r="L234" s="2"/>
      </tp>
      <tp t="s">
        <v>#N/A N/A</v>
        <stp/>
        <stp>BDP|14835322465539400576</stp>
        <tr r="M148" s="2"/>
      </tp>
      <tp t="s">
        <v>#N/A N/A</v>
        <stp/>
        <stp>BDP|10258050655520939875</stp>
        <tr r="F349" s="2"/>
      </tp>
      <tp t="s">
        <v>#N/A N/A</v>
        <stp/>
        <stp>BDP|16833242331273482963</stp>
        <tr r="P377" s="2"/>
      </tp>
      <tp t="s">
        <v>#N/A N/A</v>
        <stp/>
        <stp>BDP|12106657499836342613</stp>
        <tr r="M273" s="2"/>
      </tp>
      <tp t="s">
        <v>#N/A N/A</v>
        <stp/>
        <stp>BDP|12918915261019035969</stp>
        <tr r="N346" s="2"/>
      </tp>
      <tp t="s">
        <v>#N/A N/A</v>
        <stp/>
        <stp>BDP|13842860794449157646</stp>
        <tr r="F187" s="2"/>
      </tp>
      <tp t="s">
        <v>#N/A N/A</v>
        <stp/>
        <stp>BDP|17278111267325958822</stp>
        <tr r="I480" s="2"/>
      </tp>
      <tp t="s">
        <v>#N/A N/A</v>
        <stp/>
        <stp>BDP|14168448399935552165</stp>
        <tr r="N436" s="2"/>
      </tp>
      <tp t="s">
        <v>#N/A N/A</v>
        <stp/>
        <stp>BDP|10920702803263069952</stp>
        <tr r="K161" s="2"/>
      </tp>
      <tp t="s">
        <v>#N/A N/A</v>
        <stp/>
        <stp>BDP|14616516680652145693</stp>
        <tr r="I288" s="2"/>
      </tp>
      <tp t="s">
        <v>#N/A N/A</v>
        <stp/>
        <stp>BDP|18279794820632491209</stp>
        <tr r="J165" s="2"/>
      </tp>
      <tp t="s">
        <v>#N/A N/A</v>
        <stp/>
        <stp>BDP|17589007068224011837</stp>
        <tr r="H251" s="2"/>
      </tp>
      <tp t="s">
        <v>#N/A N/A</v>
        <stp/>
        <stp>BDP|10323243739265085900</stp>
        <tr r="E259" s="2"/>
      </tp>
      <tp t="s">
        <v>#N/A N/A</v>
        <stp/>
        <stp>BDP|13862074266968035070</stp>
        <tr r="L501" s="2"/>
      </tp>
      <tp t="s">
        <v>#N/A N/A</v>
        <stp/>
        <stp>BDP|10085488733833040951</stp>
        <tr r="R441" s="2"/>
      </tp>
      <tp t="s">
        <v>#N/A N/A</v>
        <stp/>
        <stp>BDP|13828346133529858798</stp>
        <tr r="G398" s="2"/>
      </tp>
      <tp t="s">
        <v>#N/A N/A</v>
        <stp/>
        <stp>BDP|11205443712828202187</stp>
        <tr r="R21" s="2"/>
      </tp>
      <tp t="s">
        <v>#N/A N/A</v>
        <stp/>
        <stp>BDP|18428093383898535559</stp>
        <tr r="F62" s="2"/>
      </tp>
      <tp t="s">
        <v>#N/A N/A</v>
        <stp/>
        <stp>BDP|13002011299422420524</stp>
        <tr r="M25" s="2"/>
      </tp>
      <tp t="s">
        <v>#N/A N/A</v>
        <stp/>
        <stp>BDP|13141908511702888462</stp>
        <tr r="Q41" s="2"/>
      </tp>
      <tp t="s">
        <v>#N/A N/A</v>
        <stp/>
        <stp>BDP|17889160195834193648</stp>
        <tr r="L223" s="2"/>
      </tp>
      <tp t="s">
        <v>#N/A N/A</v>
        <stp/>
        <stp>BDP|14863655986237019057</stp>
        <tr r="O453" s="2"/>
      </tp>
      <tp t="s">
        <v>#N/A N/A</v>
        <stp/>
        <stp>BDP|14577476555671027992</stp>
        <tr r="J234" s="2"/>
      </tp>
      <tp t="s">
        <v>#N/A N/A</v>
        <stp/>
        <stp>BDP|10141424905559873004</stp>
        <tr r="I324" s="2"/>
      </tp>
      <tp t="s">
        <v>#N/A N/A</v>
        <stp/>
        <stp>BDP|10930562737582612900</stp>
        <tr r="F31" s="2"/>
      </tp>
      <tp t="s">
        <v>#N/A N/A</v>
        <stp/>
        <stp>BDP|13177531165334994908</stp>
        <tr r="P120" s="2"/>
      </tp>
      <tp t="s">
        <v>#N/A N/A</v>
        <stp/>
        <stp>BDP|10624062212294014839</stp>
        <tr r="N368" s="2"/>
      </tp>
      <tp t="s">
        <v>#N/A N/A</v>
        <stp/>
        <stp>BDP|12094623533663512957</stp>
        <tr r="K300" s="2"/>
      </tp>
      <tp t="s">
        <v>#N/A N/A</v>
        <stp/>
        <stp>BDP|17577222218588899160</stp>
        <tr r="R239" s="2"/>
      </tp>
      <tp t="s">
        <v>#N/A N/A</v>
        <stp/>
        <stp>BDP|15419529495845770159</stp>
        <tr r="E54" s="2"/>
      </tp>
      <tp t="s">
        <v>#N/A N/A</v>
        <stp/>
        <stp>BDP|10379427300368846189</stp>
        <tr r="R48" s="2"/>
      </tp>
      <tp t="s">
        <v>#N/A N/A</v>
        <stp/>
        <stp>BDP|10541541493801724042</stp>
        <tr r="J251" s="2"/>
      </tp>
      <tp t="s">
        <v>#N/A N/A</v>
        <stp/>
        <stp>BDP|15945091085805281564</stp>
        <tr r="K214" s="2"/>
      </tp>
      <tp t="s">
        <v>#N/A N/A</v>
        <stp/>
        <stp>BDP|11664259460651705958</stp>
        <tr r="F408" s="2"/>
      </tp>
      <tp t="s">
        <v>#N/A N/A</v>
        <stp/>
        <stp>BDP|10170532895466711717</stp>
        <tr r="N264" s="2"/>
      </tp>
      <tp t="s">
        <v>#N/A N/A</v>
        <stp/>
        <stp>BDP|13208049728975810977</stp>
        <tr r="R452" s="2"/>
      </tp>
      <tp t="s">
        <v>#N/A N/A</v>
        <stp/>
        <stp>BDP|18353568582921336952</stp>
        <tr r="G69" s="2"/>
      </tp>
      <tp t="s">
        <v>#N/A N/A</v>
        <stp/>
        <stp>BDP|15878415204339404585</stp>
        <tr r="I229" s="2"/>
      </tp>
      <tp t="s">
        <v>#N/A N/A</v>
        <stp/>
        <stp>BDP|12394893028693254602</stp>
        <tr r="E468" s="2"/>
      </tp>
      <tp t="s">
        <v>#N/A N/A</v>
        <stp/>
        <stp>BDP|10189680109013911893</stp>
        <tr r="E421" s="2"/>
      </tp>
      <tp t="s">
        <v>#N/A N/A</v>
        <stp/>
        <stp>BDP|12439954156017287456</stp>
        <tr r="P332" s="2"/>
      </tp>
      <tp t="s">
        <v>#N/A N/A</v>
        <stp/>
        <stp>BDP|10114211513959071731</stp>
        <tr r="Q423" s="2"/>
      </tp>
      <tp t="s">
        <v>#N/A N/A</v>
        <stp/>
        <stp>BDP|14667304157426108908</stp>
        <tr r="J496" s="2"/>
      </tp>
      <tp t="s">
        <v>#N/A N/A</v>
        <stp/>
        <stp>BDP|10777858460091632240</stp>
        <tr r="O241" s="2"/>
      </tp>
      <tp t="s">
        <v>#N/A N/A</v>
        <stp/>
        <stp>BDP|11712642594066795506</stp>
        <tr r="D145" s="2"/>
      </tp>
      <tp t="s">
        <v>#N/A N/A</v>
        <stp/>
        <stp>BDP|15433735691404255246</stp>
        <tr r="M466" s="2"/>
      </tp>
      <tp t="s">
        <v>#N/A N/A</v>
        <stp/>
        <stp>BDP|17512333413418028054</stp>
        <tr r="H344" s="2"/>
      </tp>
      <tp t="s">
        <v>#N/A N/A</v>
        <stp/>
        <stp>BDP|10086984743033971310</stp>
        <tr r="R431" s="2"/>
      </tp>
      <tp t="s">
        <v>#N/A N/A</v>
        <stp/>
        <stp>BDP|17586947102324040702</stp>
        <tr r="L97" s="2"/>
      </tp>
      <tp t="s">
        <v>#N/A N/A</v>
        <stp/>
        <stp>BDP|10624036294900637444</stp>
        <tr r="R6" s="2"/>
      </tp>
      <tp t="s">
        <v>#N/A N/A</v>
        <stp/>
        <stp>BDP|15546475703915531971</stp>
        <tr r="M188" s="2"/>
      </tp>
      <tp t="s">
        <v>#N/A N/A</v>
        <stp/>
        <stp>BDP|13251909641213721075</stp>
        <tr r="Q89" s="2"/>
      </tp>
      <tp t="s">
        <v>#N/A N/A</v>
        <stp/>
        <stp>BDP|17494164168018051597</stp>
        <tr r="N485" s="2"/>
      </tp>
      <tp t="s">
        <v>#N/A N/A</v>
        <stp/>
        <stp>BDP|12122759170057028875</stp>
        <tr r="D299" s="2"/>
      </tp>
      <tp t="s">
        <v>#N/A N/A</v>
        <stp/>
        <stp>BDP|13566571276938016473</stp>
        <tr r="G380" s="2"/>
      </tp>
      <tp t="s">
        <v>#N/A N/A</v>
        <stp/>
        <stp>BDP|15396878243730753430</stp>
        <tr r="P189" s="2"/>
      </tp>
      <tp t="s">
        <v>#N/A N/A</v>
        <stp/>
        <stp>BDP|17046163698143825154</stp>
        <tr r="M158" s="2"/>
      </tp>
      <tp t="s">
        <v>#N/A N/A</v>
        <stp/>
        <stp>BDP|15257010393749240816</stp>
        <tr r="N328" s="2"/>
      </tp>
      <tp t="s">
        <v>#N/A N/A</v>
        <stp/>
        <stp>BDP|15307878296499483053</stp>
        <tr r="K469" s="2"/>
      </tp>
      <tp t="s">
        <v>#N/A N/A</v>
        <stp/>
        <stp>BDP|18210044783919030468</stp>
        <tr r="M386" s="2"/>
      </tp>
      <tp t="s">
        <v>#N/A N/A</v>
        <stp/>
        <stp>BDP|13228890512690856726</stp>
        <tr r="N16" s="2"/>
      </tp>
      <tp t="s">
        <v>#N/A N/A</v>
        <stp/>
        <stp>BDP|12561307470438229341</stp>
        <tr r="G261" s="2"/>
      </tp>
      <tp t="s">
        <v>#N/A N/A</v>
        <stp/>
        <stp>BDP|15507244181215645754</stp>
        <tr r="M96" s="2"/>
      </tp>
      <tp t="s">
        <v>#N/A N/A</v>
        <stp/>
        <stp>BDP|15704175405559310054</stp>
        <tr r="R159" s="2"/>
      </tp>
      <tp t="s">
        <v>#N/A N/A</v>
        <stp/>
        <stp>BDP|12651547605493749937</stp>
        <tr r="G411" s="2"/>
      </tp>
      <tp t="s">
        <v>#N/A N/A</v>
        <stp/>
        <stp>BDP|11324174056920770873</stp>
        <tr r="E43" s="2"/>
      </tp>
      <tp t="s">
        <v>#N/A N/A</v>
        <stp/>
        <stp>BDP|14130809691390779854</stp>
        <tr r="J398" s="2"/>
      </tp>
      <tp t="s">
        <v>#N/A N/A</v>
        <stp/>
        <stp>BDP|15196727430668312426</stp>
        <tr r="H66" s="2"/>
      </tp>
      <tp t="s">
        <v>#N/A N/A</v>
        <stp/>
        <stp>BDP|13104996648343023024</stp>
        <tr r="R178" s="2"/>
      </tp>
      <tp t="s">
        <v>#N/A N/A</v>
        <stp/>
        <stp>BDP|14574846515937185771</stp>
        <tr r="E429" s="2"/>
      </tp>
      <tp t="s">
        <v>#N/A N/A</v>
        <stp/>
        <stp>BDP|11685477750569393403</stp>
        <tr r="R475" s="2"/>
      </tp>
      <tp t="s">
        <v>#N/A N/A</v>
        <stp/>
        <stp>BDP|17215025391364585768</stp>
        <tr r="F343" s="2"/>
      </tp>
      <tp t="s">
        <v>#N/A N/A</v>
        <stp/>
        <stp>BDP|10162565966978389606</stp>
        <tr r="R364" s="2"/>
      </tp>
      <tp t="s">
        <v>#N/A N/A</v>
        <stp/>
        <stp>BDP|17361182991850743283</stp>
        <tr r="E452" s="2"/>
      </tp>
      <tp t="s">
        <v>#N/A N/A</v>
        <stp/>
        <stp>BDP|12845368890504903121</stp>
        <tr r="M450" s="2"/>
      </tp>
      <tp t="s">
        <v>#N/A N/A</v>
        <stp/>
        <stp>BDP|11875958526724711391</stp>
        <tr r="C374" s="2"/>
      </tp>
      <tp t="s">
        <v>#N/A N/A</v>
        <stp/>
        <stp>BDP|11267523584024236539</stp>
        <tr r="Q347" s="2"/>
      </tp>
      <tp t="s">
        <v>#N/A N/A</v>
        <stp/>
        <stp>BDP|16574502093374081330</stp>
        <tr r="Q5" s="2"/>
      </tp>
      <tp t="s">
        <v>#N/A N/A</v>
        <stp/>
        <stp>BDP|17342887619601517229</stp>
        <tr r="M114" s="2"/>
      </tp>
      <tp t="s">
        <v>#N/A N/A</v>
        <stp/>
        <stp>BDP|14722233155337213960</stp>
        <tr r="H46" s="2"/>
      </tp>
      <tp t="s">
        <v>#N/A N/A</v>
        <stp/>
        <stp>BDP|12533701037092094979</stp>
        <tr r="O178" s="2"/>
      </tp>
      <tp t="s">
        <v>#N/A N/A</v>
        <stp/>
        <stp>BDP|12264753532538435341</stp>
        <tr r="C349" s="2"/>
      </tp>
      <tp t="s">
        <v>#N/A N/A</v>
        <stp/>
        <stp>BDP|15837447725306510897</stp>
        <tr r="C455" s="2"/>
      </tp>
      <tp t="s">
        <v>#N/A N/A</v>
        <stp/>
        <stp>BDP|10539421831378350203</stp>
        <tr r="K89" s="2"/>
      </tp>
      <tp t="s">
        <v>#N/A N/A</v>
        <stp/>
        <stp>BDP|18364094859080478020</stp>
        <tr r="E11" s="2"/>
      </tp>
      <tp t="s">
        <v>#N/A N/A</v>
        <stp/>
        <stp>BDP|14472475879628864276</stp>
        <tr r="C205" s="2"/>
      </tp>
      <tp t="s">
        <v>#N/A N/A</v>
        <stp/>
        <stp>BDP|13151917776323133339</stp>
        <tr r="D430" s="2"/>
      </tp>
      <tp t="s">
        <v>#N/A N/A</v>
        <stp/>
        <stp>BDP|11918894229946443096</stp>
        <tr r="J249" s="2"/>
      </tp>
      <tp t="s">
        <v>#N/A N/A</v>
        <stp/>
        <stp>BDP|14509084396438645899</stp>
        <tr r="M483" s="2"/>
      </tp>
      <tp t="s">
        <v>#N/A N/A</v>
        <stp/>
        <stp>BDP|10898393292253799400</stp>
        <tr r="R330" s="2"/>
      </tp>
      <tp t="s">
        <v>#N/A N/A</v>
        <stp/>
        <stp>BDP|17464114420361757865</stp>
        <tr r="L87" s="2"/>
      </tp>
      <tp t="s">
        <v>#N/A N/A</v>
        <stp/>
        <stp>BDP|17943333698534036461</stp>
        <tr r="M401" s="2"/>
      </tp>
      <tp t="s">
        <v>#N/A N/A</v>
        <stp/>
        <stp>BDP|16304380033229928257</stp>
        <tr r="L42" s="2"/>
      </tp>
      <tp t="s">
        <v>#N/A N/A</v>
        <stp/>
        <stp>BDP|14400837222873590041</stp>
        <tr r="N371" s="2"/>
      </tp>
      <tp t="s">
        <v>#N/A N/A</v>
        <stp/>
        <stp>BDP|16971992353417268051</stp>
        <tr r="E107" s="2"/>
      </tp>
      <tp t="s">
        <v>#N/A N/A</v>
        <stp/>
        <stp>BDP|11982036006404977818</stp>
        <tr r="G235" s="2"/>
      </tp>
      <tp t="s">
        <v>#N/A N/A</v>
        <stp/>
        <stp>BDP|12440762615028241117</stp>
        <tr r="H383" s="2"/>
      </tp>
      <tp t="s">
        <v>#N/A N/A</v>
        <stp/>
        <stp>BDP|12027406226681337815</stp>
        <tr r="Q145" s="2"/>
      </tp>
      <tp t="s">
        <v>#N/A N/A</v>
        <stp/>
        <stp>BDP|18085276611534088219</stp>
        <tr r="K56" s="2"/>
      </tp>
      <tp t="s">
        <v>#N/A N/A</v>
        <stp/>
        <stp>BDP|17525417033224298926</stp>
        <tr r="G263" s="2"/>
      </tp>
      <tp t="s">
        <v>#N/A N/A</v>
        <stp/>
        <stp>BDP|18176929834448512755</stp>
        <tr r="M262" s="2"/>
      </tp>
      <tp t="s">
        <v>#N/A N/A</v>
        <stp/>
        <stp>BDP|10447708175794337954</stp>
        <tr r="E193" s="2"/>
      </tp>
      <tp t="s">
        <v>#N/A N/A</v>
        <stp/>
        <stp>BDP|16521626002659614440</stp>
        <tr r="R60" s="2"/>
      </tp>
      <tp t="s">
        <v>#N/A N/A</v>
        <stp/>
        <stp>BDP|14493823314575438519</stp>
        <tr r="J452" s="2"/>
      </tp>
      <tp t="s">
        <v>#N/A N/A</v>
        <stp/>
        <stp>BDP|15466730801586006916</stp>
        <tr r="C8" s="2"/>
      </tp>
      <tp t="s">
        <v>#N/A N/A</v>
        <stp/>
        <stp>BDP|15868297177148343520</stp>
        <tr r="P383" s="2"/>
      </tp>
      <tp t="s">
        <v>#N/A N/A</v>
        <stp/>
        <stp>BDP|12818038827058378594</stp>
        <tr r="D482" s="2"/>
      </tp>
      <tp t="s">
        <v>#N/A N/A</v>
        <stp/>
        <stp>BDP|14800185984203359318</stp>
        <tr r="K278" s="2"/>
      </tp>
      <tp t="s">
        <v>#N/A N/A</v>
        <stp/>
        <stp>BDP|17183889526996083693</stp>
        <tr r="F409" s="2"/>
      </tp>
      <tp t="s">
        <v>#N/A N/A</v>
        <stp/>
        <stp>BDP|13600941424120847586</stp>
        <tr r="J423" s="2"/>
      </tp>
      <tp t="s">
        <v>#N/A N/A</v>
        <stp/>
        <stp>BDP|14966803584831350888</stp>
        <tr r="O117" s="2"/>
      </tp>
      <tp t="s">
        <v>#N/A N/A</v>
        <stp/>
        <stp>BDP|17006707462202352970</stp>
        <tr r="C497" s="2"/>
      </tp>
      <tp t="s">
        <v>#N/A N/A</v>
        <stp/>
        <stp>BDP|18254309036410487560</stp>
        <tr r="M175" s="2"/>
      </tp>
      <tp t="s">
        <v>#N/A N/A</v>
        <stp/>
        <stp>BDP|17556095318468200303</stp>
        <tr r="R412" s="2"/>
      </tp>
      <tp t="s">
        <v>#N/A N/A</v>
        <stp/>
        <stp>BDP|10469847963647137442</stp>
        <tr r="Q228" s="2"/>
      </tp>
      <tp t="s">
        <v>#N/A N/A</v>
        <stp/>
        <stp>BDP|16858972453215859225</stp>
        <tr r="H364" s="2"/>
      </tp>
      <tp t="s">
        <v>#N/A N/A</v>
        <stp/>
        <stp>BDP|10116563616629251054</stp>
        <tr r="J126" s="2"/>
      </tp>
      <tp t="s">
        <v>#N/A N/A</v>
        <stp/>
        <stp>BDP|15475188525546048205</stp>
        <tr r="L157" s="2"/>
      </tp>
      <tp t="s">
        <v>#N/A N/A</v>
        <stp/>
        <stp>BDP|15872431364635387053</stp>
        <tr r="J48" s="2"/>
      </tp>
      <tp t="s">
        <v>#N/A N/A</v>
        <stp/>
        <stp>BDP|10732893290854303742</stp>
        <tr r="D425" s="2"/>
      </tp>
      <tp t="s">
        <v>#N/A N/A</v>
        <stp/>
        <stp>BDP|10647240361912957432</stp>
        <tr r="P10" s="2"/>
      </tp>
      <tp t="s">
        <v>#N/A N/A</v>
        <stp/>
        <stp>BDP|14829550101436373568</stp>
        <tr r="L478" s="2"/>
      </tp>
      <tp t="s">
        <v>#N/A N/A</v>
        <stp/>
        <stp>BDP|17866306300402988484</stp>
        <tr r="R50" s="2"/>
      </tp>
      <tp t="s">
        <v>#N/A N/A</v>
        <stp/>
        <stp>BDP|12601877411039063099</stp>
        <tr r="L309" s="2"/>
      </tp>
      <tp t="s">
        <v>#N/A N/A</v>
        <stp/>
        <stp>BDP|12849285519692877188</stp>
        <tr r="M12" s="2"/>
      </tp>
      <tp t="s">
        <v>#N/A N/A</v>
        <stp/>
        <stp>BDP|17279529417866793790</stp>
        <tr r="F25" s="2"/>
      </tp>
      <tp t="s">
        <v>#N/A N/A</v>
        <stp/>
        <stp>BDP|17207343864118398887</stp>
        <tr r="E148" s="2"/>
      </tp>
      <tp t="s">
        <v>#N/A N/A</v>
        <stp/>
        <stp>BDP|13108693543866612548</stp>
        <tr r="O474" s="2"/>
      </tp>
      <tp t="s">
        <v>#N/A N/A</v>
        <stp/>
        <stp>BDP|14434625914300202194</stp>
        <tr r="H271" s="2"/>
      </tp>
      <tp t="s">
        <v>#N/A N/A</v>
        <stp/>
        <stp>BDP|12864591712906279289</stp>
        <tr r="K220" s="2"/>
      </tp>
      <tp t="s">
        <v>#N/A N/A</v>
        <stp/>
        <stp>BDP|17035103473362266185</stp>
        <tr r="H282" s="2"/>
      </tp>
      <tp t="s">
        <v>#N/A N/A</v>
        <stp/>
        <stp>BDP|16614386375376652641</stp>
        <tr r="Q415" s="2"/>
      </tp>
      <tp t="s">
        <v>#N/A N/A</v>
        <stp/>
        <stp>BDP|17288106149984619441</stp>
        <tr r="E136" s="2"/>
      </tp>
      <tp t="s">
        <v>#N/A N/A</v>
        <stp/>
        <stp>BDP|12636376823097823630</stp>
        <tr r="K96" s="2"/>
      </tp>
      <tp t="s">
        <v>#N/A N/A</v>
        <stp/>
        <stp>BDP|13176723925596659290</stp>
        <tr r="I202" s="2"/>
      </tp>
      <tp t="s">
        <v>#N/A N/A</v>
        <stp/>
        <stp>BDP|12499828689791020160</stp>
        <tr r="K31" s="2"/>
      </tp>
      <tp t="s">
        <v>#N/A N/A</v>
        <stp/>
        <stp>BDP|13182572304071831522</stp>
        <tr r="O237" s="2"/>
      </tp>
      <tp t="s">
        <v>#N/A N/A</v>
        <stp/>
        <stp>BDP|16517748729799176810</stp>
        <tr r="Q8" s="2"/>
      </tp>
      <tp t="s">
        <v>#N/A N/A</v>
        <stp/>
        <stp>BDP|17942300356536191561</stp>
        <tr r="D94" s="2"/>
      </tp>
      <tp t="s">
        <v>#N/A N/A</v>
        <stp/>
        <stp>BDP|16514985664453185801</stp>
        <tr r="K494" s="2"/>
      </tp>
      <tp t="s">
        <v>#N/A N/A</v>
        <stp/>
        <stp>BDP|10731402642400455298</stp>
        <tr r="I140" s="2"/>
      </tp>
      <tp t="s">
        <v>#N/A N/A</v>
        <stp/>
        <stp>BDP|15174532546912870446</stp>
        <tr r="F253" s="2"/>
      </tp>
      <tp t="s">
        <v>#N/A N/A</v>
        <stp/>
        <stp>BDP|16275251579888567934</stp>
        <tr r="P270" s="2"/>
      </tp>
      <tp t="s">
        <v>#N/A N/A</v>
        <stp/>
        <stp>BDP|11404969861594998826</stp>
        <tr r="D273" s="2"/>
      </tp>
      <tp t="s">
        <v>#N/A N/A</v>
        <stp/>
        <stp>BDP|17793349841373375197</stp>
        <tr r="P448" s="2"/>
      </tp>
      <tp t="s">
        <v>#N/A N/A</v>
        <stp/>
        <stp>BDP|10824373747301261426</stp>
        <tr r="H153" s="2"/>
      </tp>
      <tp t="s">
        <v>#N/A N/A</v>
        <stp/>
        <stp>BDP|10763117303347565485</stp>
        <tr r="H169" s="2"/>
      </tp>
      <tp t="s">
        <v>#N/A N/A</v>
        <stp/>
        <stp>BDP|15988384112681931428</stp>
        <tr r="Q50" s="2"/>
      </tp>
      <tp t="s">
        <v>#N/A N/A</v>
        <stp/>
        <stp>BDP|15001716854775413096</stp>
        <tr r="R376" s="2"/>
      </tp>
      <tp t="s">
        <v>#N/A N/A</v>
        <stp/>
        <stp>BDP|14866572041490251743</stp>
        <tr r="N463" s="2"/>
      </tp>
      <tp t="s">
        <v>#N/A N/A</v>
        <stp/>
        <stp>BDP|15723298625035788244</stp>
        <tr r="P114" s="2"/>
      </tp>
      <tp t="s">
        <v>#N/A N/A</v>
        <stp/>
        <stp>BDP|15309027246360813370</stp>
        <tr r="I494" s="2"/>
      </tp>
      <tp t="s">
        <v>#N/A N/A</v>
        <stp/>
        <stp>BDP|10563243988920783861</stp>
        <tr r="K341" s="2"/>
      </tp>
      <tp t="s">
        <v>#N/A N/A</v>
        <stp/>
        <stp>BDP|13185165540380837446</stp>
        <tr r="R207" s="2"/>
      </tp>
      <tp t="s">
        <v>#N/A N/A</v>
        <stp/>
        <stp>BDP|13633159810034954516</stp>
        <tr r="M196" s="2"/>
      </tp>
      <tp t="s">
        <v>#N/A N/A</v>
        <stp/>
        <stp>BDP|12490093610332636303</stp>
        <tr r="Q402" s="2"/>
      </tp>
      <tp t="s">
        <v>#N/A N/A</v>
        <stp/>
        <stp>BDP|14211163163590990156</stp>
        <tr r="H269" s="2"/>
      </tp>
      <tp t="s">
        <v>#N/A N/A</v>
        <stp/>
        <stp>BDP|10793396614560516043</stp>
        <tr r="F395" s="2"/>
      </tp>
      <tp t="s">
        <v>#N/A N/A</v>
        <stp/>
        <stp>BDP|16531815956219058099</stp>
        <tr r="R304" s="2"/>
      </tp>
      <tp t="s">
        <v>#N/A N/A</v>
        <stp/>
        <stp>BDP|10469127896943859931</stp>
        <tr r="E263" s="2"/>
      </tp>
      <tp t="s">
        <v>#N/A N/A</v>
        <stp/>
        <stp>BDP|14964821742073791952</stp>
        <tr r="J241" s="2"/>
      </tp>
      <tp t="s">
        <v>#N/A N/A</v>
        <stp/>
        <stp>BDP|17332798101943004101</stp>
        <tr r="O396" s="2"/>
      </tp>
      <tp t="s">
        <v>#N/A N/A</v>
        <stp/>
        <stp>BDP|12162968078169579718</stp>
        <tr r="L361" s="2"/>
      </tp>
      <tp t="s">
        <v>#N/A N/A</v>
        <stp/>
        <stp>BDP|15011698213584147408</stp>
        <tr r="O353" s="2"/>
      </tp>
      <tp t="s">
        <v>#N/A N/A</v>
        <stp/>
        <stp>BDP|16624714640394418384</stp>
        <tr r="P393" s="2"/>
      </tp>
      <tp t="s">
        <v>#N/A N/A</v>
        <stp/>
        <stp>BDP|12936786959171660355</stp>
        <tr r="D435" s="2"/>
      </tp>
      <tp t="s">
        <v>#N/A N/A</v>
        <stp/>
        <stp>BDP|17720724995792321984</stp>
        <tr r="I162" s="2"/>
      </tp>
      <tp t="s">
        <v>#N/A N/A</v>
        <stp/>
        <stp>BDP|11875239327826325542</stp>
        <tr r="P75" s="2"/>
      </tp>
      <tp t="s">
        <v>#N/A N/A</v>
        <stp/>
        <stp>BDP|11671754853712306381</stp>
        <tr r="Q349" s="2"/>
      </tp>
      <tp t="s">
        <v>#N/A N/A</v>
        <stp/>
        <stp>BDP|10664333509760171160</stp>
        <tr r="I191" s="2"/>
      </tp>
      <tp t="s">
        <v>#N/A N/A</v>
        <stp/>
        <stp>BDP|12798796046376160531</stp>
        <tr r="J400" s="2"/>
      </tp>
      <tp t="s">
        <v>#N/A N/A</v>
        <stp/>
        <stp>BDP|16740401326956878430</stp>
        <tr r="D477" s="2"/>
      </tp>
      <tp t="s">
        <v>#N/A N/A</v>
        <stp/>
        <stp>BDP|17204631952814942206</stp>
        <tr r="R59" s="2"/>
      </tp>
      <tp t="s">
        <v>#N/A N/A</v>
        <stp/>
        <stp>BDP|10534355322894871700</stp>
        <tr r="G23" s="2"/>
      </tp>
      <tp t="s">
        <v>#N/A N/A</v>
        <stp/>
        <stp>BDP|14494290837114738372</stp>
        <tr r="K382" s="2"/>
      </tp>
      <tp t="s">
        <v>#N/A N/A</v>
        <stp/>
        <stp>BDP|14288053870281464097</stp>
        <tr r="P32" s="2"/>
      </tp>
      <tp t="s">
        <v>#N/A N/A</v>
        <stp/>
        <stp>BDP|14665286750297023648</stp>
        <tr r="P446" s="2"/>
      </tp>
      <tp t="s">
        <v>#N/A N/A</v>
        <stp/>
        <stp>BDP|10327606427084691285</stp>
        <tr r="K165" s="2"/>
      </tp>
      <tp t="s">
        <v>#N/A N/A</v>
        <stp/>
        <stp>BDP|14288437058011521662</stp>
        <tr r="F425" s="2"/>
      </tp>
      <tp t="s">
        <v>#N/A N/A</v>
        <stp/>
        <stp>BDP|16152874807069377589</stp>
        <tr r="H335" s="2"/>
      </tp>
      <tp t="s">
        <v>#N/A N/A</v>
        <stp/>
        <stp>BDP|17092109608756094221</stp>
        <tr r="G26" s="2"/>
      </tp>
      <tp t="s">
        <v>#N/A N/A</v>
        <stp/>
        <stp>BDP|16572593614862363214</stp>
        <tr r="K437" s="2"/>
      </tp>
      <tp t="s">
        <v>#N/A N/A</v>
        <stp/>
        <stp>BDP|12527289248882767488</stp>
        <tr r="G139" s="2"/>
      </tp>
      <tp t="s">
        <v>#N/A N/A</v>
        <stp/>
        <stp>BDP|11877410736394103048</stp>
        <tr r="P424" s="2"/>
      </tp>
      <tp t="s">
        <v>#N/A N/A</v>
        <stp/>
        <stp>BDP|14286707771216183086</stp>
        <tr r="G13" s="2"/>
      </tp>
      <tp t="s">
        <v>#N/A N/A</v>
        <stp/>
        <stp>BDP|18266889658207889005</stp>
        <tr r="K135" s="2"/>
      </tp>
      <tp t="s">
        <v>#N/A N/A</v>
        <stp/>
        <stp>BDP|12789856886558825869</stp>
        <tr r="P38" s="2"/>
      </tp>
      <tp t="s">
        <v>#N/A N/A</v>
        <stp/>
        <stp>BDP|18066983669770365584</stp>
        <tr r="O151" s="2"/>
      </tp>
      <tp t="s">
        <v>#N/A N/A</v>
        <stp/>
        <stp>BDP|15131501969147437367</stp>
        <tr r="R214" s="2"/>
      </tp>
      <tp t="s">
        <v>#N/A N/A</v>
        <stp/>
        <stp>BDP|10937226854116024351</stp>
        <tr r="R137" s="2"/>
      </tp>
      <tp t="s">
        <v>#N/A N/A</v>
        <stp/>
        <stp>BDP|12530394279690851473</stp>
        <tr r="L445" s="2"/>
      </tp>
      <tp t="s">
        <v>#N/A N/A</v>
        <stp/>
        <stp>BDP|12439006869083279555</stp>
        <tr r="O385" s="2"/>
      </tp>
      <tp t="s">
        <v>#N/A N/A</v>
        <stp/>
        <stp>BDP|17774593774686152113</stp>
        <tr r="K277" s="2"/>
      </tp>
      <tp t="s">
        <v>#N/A N/A</v>
        <stp/>
        <stp>BDP|16626840698295443040</stp>
        <tr r="I189" s="2"/>
      </tp>
      <tp t="s">
        <v>#N/A N/A</v>
        <stp/>
        <stp>BDP|15618624409432529327</stp>
        <tr r="N437" s="2"/>
      </tp>
      <tp t="s">
        <v>#N/A N/A</v>
        <stp/>
        <stp>BDP|16728539513897432794</stp>
        <tr r="O311" s="2"/>
      </tp>
      <tp t="s">
        <v>#N/A N/A</v>
        <stp/>
        <stp>BDP|14829632636272586151</stp>
        <tr r="J153" s="2"/>
      </tp>
      <tp t="s">
        <v>#N/A N/A</v>
        <stp/>
        <stp>BDP|15430616352665892121</stp>
        <tr r="P457" s="2"/>
      </tp>
      <tp t="s">
        <v>#N/A N/A</v>
        <stp/>
        <stp>BDP|10707399940681221417</stp>
        <tr r="M180" s="2"/>
      </tp>
      <tp t="s">
        <v>#N/A N/A</v>
        <stp/>
        <stp>BDP|14012696123712397041</stp>
        <tr r="O57" s="2"/>
      </tp>
      <tp t="s">
        <v>#N/A N/A</v>
        <stp/>
        <stp>BDP|14682243518066136360</stp>
        <tr r="C160" s="2"/>
      </tp>
      <tp t="s">
        <v>#N/A N/A</v>
        <stp/>
        <stp>BDP|16555560092858907052</stp>
        <tr r="F419" s="2"/>
      </tp>
      <tp t="s">
        <v>#N/A N/A</v>
        <stp/>
        <stp>BDP|11326183231054197566</stp>
        <tr r="P467" s="2"/>
      </tp>
      <tp t="s">
        <v>#N/A N/A</v>
        <stp/>
        <stp>BDP|17344130940012402299</stp>
        <tr r="N190" s="2"/>
      </tp>
      <tp t="s">
        <v>#N/A N/A</v>
        <stp/>
        <stp>BDP|13644520080744079899</stp>
        <tr r="O423" s="2"/>
      </tp>
      <tp t="s">
        <v>#N/A N/A</v>
        <stp/>
        <stp>BDP|16474369508065204253</stp>
        <tr r="L122" s="2"/>
      </tp>
      <tp t="s">
        <v>#N/A N/A</v>
        <stp/>
        <stp>BDP|11276231469873438411</stp>
        <tr r="I297" s="2"/>
      </tp>
      <tp t="s">
        <v>#N/A N/A</v>
        <stp/>
        <stp>BDP|13848811575376696873</stp>
        <tr r="N81" s="2"/>
      </tp>
      <tp t="s">
        <v>#N/A N/A</v>
        <stp/>
        <stp>BDP|11426060315336944439</stp>
        <tr r="Q370" s="2"/>
      </tp>
      <tp t="s">
        <v>#N/A N/A</v>
        <stp/>
        <stp>BDP|13275431449486503701</stp>
        <tr r="J41" s="2"/>
      </tp>
      <tp t="s">
        <v>#N/A N/A</v>
        <stp/>
        <stp>BDP|15531567394452204981</stp>
        <tr r="D462" s="2"/>
      </tp>
      <tp t="s">
        <v>#N/A N/A</v>
        <stp/>
        <stp>BDP|11342822879145272975</stp>
        <tr r="O256" s="2"/>
      </tp>
      <tp t="s">
        <v>#N/A N/A</v>
        <stp/>
        <stp>BDP|17623804077169821341</stp>
        <tr r="N279" s="2"/>
      </tp>
      <tp t="s">
        <v>#N/A N/A</v>
        <stp/>
        <stp>BDP|12784287607990581215</stp>
        <tr r="P254" s="2"/>
      </tp>
      <tp t="s">
        <v>#N/A N/A</v>
        <stp/>
        <stp>BDP|10733228481951985911</stp>
        <tr r="D352" s="2"/>
      </tp>
      <tp t="s">
        <v>#N/A N/A</v>
        <stp/>
        <stp>BDP|12443377708446446538</stp>
        <tr r="I421" s="2"/>
      </tp>
      <tp t="s">
        <v>#N/A N/A</v>
        <stp/>
        <stp>BDP|10019028422363905353</stp>
        <tr r="D253" s="2"/>
      </tp>
      <tp t="s">
        <v>#N/A N/A</v>
        <stp/>
        <stp>BDP|13009672771819254987</stp>
        <tr r="I380" s="2"/>
      </tp>
      <tp t="s">
        <v>#N/A N/A</v>
        <stp/>
        <stp>BDP|12466609488157640962</stp>
        <tr r="R396" s="2"/>
      </tp>
      <tp t="s">
        <v>#N/A N/A</v>
        <stp/>
        <stp>BDP|17306292822860132557</stp>
        <tr r="O195" s="2"/>
      </tp>
      <tp t="s">
        <v>#N/A N/A</v>
        <stp/>
        <stp>BDP|15317268579355547750</stp>
        <tr r="C100" s="2"/>
      </tp>
      <tp t="s">
        <v>#N/A N/A</v>
        <stp/>
        <stp>BDP|15211024503606767189</stp>
        <tr r="J418" s="2"/>
      </tp>
      <tp t="s">
        <v>#N/A N/A</v>
        <stp/>
        <stp>BDP|15940539875370081534</stp>
        <tr r="F64" s="2"/>
      </tp>
      <tp t="s">
        <v>#N/A N/A</v>
        <stp/>
        <stp>BDP|15078752405361414186</stp>
        <tr r="K144" s="2"/>
      </tp>
      <tp t="s">
        <v>#N/A N/A</v>
        <stp/>
        <stp>BDP|13374182998140758980</stp>
        <tr r="I321" s="2"/>
      </tp>
      <tp t="s">
        <v>#N/A N/A</v>
        <stp/>
        <stp>BDP|13879915334012966983</stp>
        <tr r="J226" s="2"/>
      </tp>
      <tp t="s">
        <v>#N/A N/A</v>
        <stp/>
        <stp>BDP|16352562971464131296</stp>
        <tr r="K402" s="2"/>
      </tp>
      <tp t="s">
        <v>#N/A N/A</v>
        <stp/>
        <stp>BDP|14541537352483955514</stp>
        <tr r="K403" s="2"/>
      </tp>
      <tp t="s">
        <v>#N/A N/A</v>
        <stp/>
        <stp>BDP|10090097903395099762</stp>
        <tr r="J217" s="2"/>
      </tp>
      <tp t="s">
        <v>#N/A N/A</v>
        <stp/>
        <stp>BDP|14201031856204222797</stp>
        <tr r="D192" s="2"/>
      </tp>
      <tp t="s">
        <v>#N/A N/A</v>
        <stp/>
        <stp>BDP|11100286326456361502</stp>
        <tr r="P313" s="2"/>
      </tp>
      <tp t="s">
        <v>#N/A N/A</v>
        <stp/>
        <stp>BDP|11712304776494962342</stp>
        <tr r="Q2" s="2"/>
      </tp>
      <tp t="s">
        <v>#N/A N/A</v>
        <stp/>
        <stp>BDP|14684851448693143950</stp>
        <tr r="P190" s="2"/>
      </tp>
      <tp t="s">
        <v>#N/A N/A</v>
        <stp/>
        <stp>BDP|14798485400276772473</stp>
        <tr r="D127" s="2"/>
      </tp>
      <tp t="s">
        <v>#N/A N/A</v>
        <stp/>
        <stp>BDP|15012319264612843020</stp>
        <tr r="H404" s="2"/>
      </tp>
      <tp t="s">
        <v>#N/A N/A</v>
        <stp/>
        <stp>BDP|12840371011067490554</stp>
        <tr r="R236" s="2"/>
      </tp>
      <tp t="s">
        <v>#N/A N/A</v>
        <stp/>
        <stp>BDP|15986682420925830668</stp>
        <tr r="E149" s="2"/>
      </tp>
      <tp t="s">
        <v>#N/A N/A</v>
        <stp/>
        <stp>BDP|11587992796622521101</stp>
        <tr r="L326" s="2"/>
      </tp>
      <tp t="s">
        <v>#N/A N/A</v>
        <stp/>
        <stp>BDP|10900002472211259468</stp>
        <tr r="F11" s="2"/>
      </tp>
      <tp t="s">
        <v>#N/A N/A</v>
        <stp/>
        <stp>BDP|12560081240233701759</stp>
        <tr r="F120" s="2"/>
      </tp>
      <tp t="s">
        <v>#N/A N/A</v>
        <stp/>
        <stp>BDP|17930992698532217754</stp>
        <tr r="H494" s="2"/>
      </tp>
      <tp t="s">
        <v>#N/A N/A</v>
        <stp/>
        <stp>BDP|15359082005462670573</stp>
        <tr r="M217" s="2"/>
      </tp>
      <tp t="s">
        <v>#N/A N/A</v>
        <stp/>
        <stp>BDP|16186966992513389794</stp>
        <tr r="H388" s="2"/>
      </tp>
      <tp t="s">
        <v>#N/A N/A</v>
        <stp/>
        <stp>BDP|17396125879762659119</stp>
        <tr r="C328" s="2"/>
      </tp>
      <tp t="s">
        <v>#N/A N/A</v>
        <stp/>
        <stp>BDP|11823743905442467625</stp>
        <tr r="N305" s="2"/>
      </tp>
      <tp t="s">
        <v>#N/A N/A</v>
        <stp/>
        <stp>BDP|12515098270197586078</stp>
        <tr r="C420" s="2"/>
      </tp>
      <tp t="s">
        <v>#N/A N/A</v>
        <stp/>
        <stp>BDP|18354336294429917939</stp>
        <tr r="F405" s="2"/>
      </tp>
      <tp t="s">
        <v>#N/A N/A</v>
        <stp/>
        <stp>BDP|16906177354075685521</stp>
        <tr r="H495" s="2"/>
      </tp>
      <tp t="s">
        <v>#N/A N/A</v>
        <stp/>
        <stp>BDP|11360000144496899118</stp>
        <tr r="N119" s="2"/>
      </tp>
      <tp t="s">
        <v>#N/A N/A</v>
        <stp/>
        <stp>BDP|16344646273707349293</stp>
        <tr r="G54" s="2"/>
      </tp>
      <tp t="s">
        <v>#N/A N/A</v>
        <stp/>
        <stp>BDP|13964541202362633675</stp>
        <tr r="P413" s="2"/>
      </tp>
      <tp t="s">
        <v>#N/A N/A</v>
        <stp/>
        <stp>BDP|15875976936538507525</stp>
        <tr r="D7" s="2"/>
      </tp>
      <tp t="s">
        <v>#N/A N/A</v>
        <stp/>
        <stp>BDP|14849236374492172101</stp>
        <tr r="I407" s="2"/>
      </tp>
      <tp t="s">
        <v>#N/A N/A</v>
        <stp/>
        <stp>BDP|13503683833012954691</stp>
        <tr r="L113" s="2"/>
      </tp>
      <tp t="s">
        <v>#N/A N/A</v>
        <stp/>
        <stp>BDP|13277760118953597471</stp>
        <tr r="I434" s="2"/>
      </tp>
      <tp t="s">
        <v>#N/A N/A</v>
        <stp/>
        <stp>BDP|13226231049156078160</stp>
        <tr r="E501" s="2"/>
      </tp>
      <tp t="s">
        <v>#N/A N/A</v>
        <stp/>
        <stp>BDP|18338918563283613662</stp>
        <tr r="M443" s="2"/>
      </tp>
      <tp t="s">
        <v>#N/A N/A</v>
        <stp/>
        <stp>BDP|16340127584968062546</stp>
        <tr r="J472" s="2"/>
      </tp>
      <tp t="s">
        <v>#N/A N/A</v>
        <stp/>
        <stp>BDP|10412538667751911085</stp>
        <tr r="E157" s="2"/>
      </tp>
      <tp t="s">
        <v>#N/A N/A</v>
        <stp/>
        <stp>BDP|11407666843698419949</stp>
        <tr r="H448" s="2"/>
      </tp>
      <tp t="s">
        <v>#N/A N/A</v>
        <stp/>
        <stp>BDP|13582864583321851092</stp>
        <tr r="D140" s="2"/>
      </tp>
      <tp t="s">
        <v>#N/A N/A</v>
        <stp/>
        <stp>BDP|16132659587078030221</stp>
        <tr r="J457" s="2"/>
      </tp>
      <tp t="s">
        <v>#N/A N/A</v>
        <stp/>
        <stp>BDP|13206072224083547059</stp>
        <tr r="D501" s="2"/>
      </tp>
      <tp t="s">
        <v>#N/A N/A</v>
        <stp/>
        <stp>BDP|18149070010939031270</stp>
        <tr r="O16" s="2"/>
      </tp>
      <tp t="s">
        <v>#N/A N/A</v>
        <stp/>
        <stp>BDP|18400541986836320145</stp>
        <tr r="H6" s="2"/>
      </tp>
      <tp t="s">
        <v>#N/A N/A</v>
        <stp/>
        <stp>BDP|18153943022944429520</stp>
        <tr r="D224" s="2"/>
      </tp>
      <tp t="s">
        <v>#N/A N/A</v>
        <stp/>
        <stp>BDP|10156006904866641422</stp>
        <tr r="Q240" s="2"/>
      </tp>
      <tp t="s">
        <v>#N/A N/A</v>
        <stp/>
        <stp>BDP|13708036603818106972</stp>
        <tr r="E444" s="2"/>
      </tp>
      <tp t="s">
        <v>#N/A N/A</v>
        <stp/>
        <stp>BDP|16529036607160300436</stp>
        <tr r="G412" s="2"/>
      </tp>
      <tp t="s">
        <v>#N/A N/A</v>
        <stp/>
        <stp>BDP|14118200602843121738</stp>
        <tr r="L33" s="2"/>
      </tp>
      <tp t="s">
        <v>#N/A N/A</v>
        <stp/>
        <stp>BDP|12464452332592679545</stp>
        <tr r="H363" s="2"/>
      </tp>
      <tp t="s">
        <v>#N/A N/A</v>
        <stp/>
        <stp>BDP|13214392669184219010</stp>
        <tr r="G201" s="2"/>
      </tp>
      <tp t="s">
        <v>#N/A N/A</v>
        <stp/>
        <stp>BDP|13737486465310377383</stp>
        <tr r="J444" s="2"/>
      </tp>
      <tp t="s">
        <v>#N/A N/A</v>
        <stp/>
        <stp>BDP|10700906920089737017</stp>
        <tr r="Q289" s="2"/>
      </tp>
      <tp t="s">
        <v>#N/A N/A</v>
        <stp/>
        <stp>BDP|14752466656596778110</stp>
        <tr r="I472" s="2"/>
      </tp>
      <tp t="s">
        <v>#N/A N/A</v>
        <stp/>
        <stp>BDP|14802181805115138252</stp>
        <tr r="C339" s="2"/>
      </tp>
      <tp t="s">
        <v>#N/A N/A</v>
        <stp/>
        <stp>BDP|17504101623065696318</stp>
        <tr r="P426" s="2"/>
      </tp>
      <tp t="s">
        <v>#N/A N/A</v>
        <stp/>
        <stp>BDP|15545102172396401722</stp>
        <tr r="E8" s="2"/>
      </tp>
      <tp t="s">
        <v>#N/A N/A</v>
        <stp/>
        <stp>BDP|18040820414363644014</stp>
        <tr r="O346" s="2"/>
      </tp>
      <tp t="s">
        <v>#N/A N/A</v>
        <stp/>
        <stp>BDP|10189357753907181378</stp>
        <tr r="P138" s="2"/>
      </tp>
      <tp t="s">
        <v>#N/A N/A</v>
        <stp/>
        <stp>BDP|14677005030523528620</stp>
        <tr r="R23" s="2"/>
      </tp>
      <tp t="s">
        <v>#N/A N/A</v>
        <stp/>
        <stp>BDP|17899693074654406009</stp>
        <tr r="K64" s="2"/>
      </tp>
      <tp t="s">
        <v>#N/A N/A</v>
        <stp/>
        <stp>BDP|13483411050411107158</stp>
        <tr r="I4" s="2"/>
      </tp>
      <tp t="s">
        <v>#N/A N/A</v>
        <stp/>
        <stp>BDP|11711959646388773628</stp>
        <tr r="P240" s="2"/>
      </tp>
      <tp t="s">
        <v>#N/A N/A</v>
        <stp/>
        <stp>BDP|17586862567429729236</stp>
        <tr r="O268" s="2"/>
      </tp>
      <tp t="s">
        <v>#N/A N/A</v>
        <stp/>
        <stp>BDP|15539534257893857490</stp>
        <tr r="G274" s="2"/>
      </tp>
      <tp t="s">
        <v>#N/A N/A</v>
        <stp/>
        <stp>BDP|16191286440572134081</stp>
        <tr r="N383" s="2"/>
      </tp>
      <tp t="s">
        <v>#N/A N/A</v>
        <stp/>
        <stp>BDP|11520148560604057011</stp>
        <tr r="P247" s="2"/>
      </tp>
      <tp t="s">
        <v>#N/A N/A</v>
        <stp/>
        <stp>BDP|18342048335009078026</stp>
        <tr r="R449" s="2"/>
      </tp>
      <tp t="s">
        <v>#N/A N/A</v>
        <stp/>
        <stp>BDP|16811178898465439933</stp>
        <tr r="L486" s="2"/>
      </tp>
      <tp t="s">
        <v>#N/A N/A</v>
        <stp/>
        <stp>BDP|16098508810489482941</stp>
        <tr r="M321" s="2"/>
      </tp>
      <tp t="s">
        <v>#N/A N/A</v>
        <stp/>
        <stp>BDP|16398925313788231404</stp>
        <tr r="C338" s="2"/>
      </tp>
      <tp t="s">
        <v>#N/A N/A</v>
        <stp/>
        <stp>BDP|18216030112492763940</stp>
        <tr r="E179" s="2"/>
      </tp>
      <tp t="s">
        <v>#N/A N/A</v>
        <stp/>
        <stp>BDP|16511377835122204654</stp>
        <tr r="F175" s="2"/>
      </tp>
      <tp t="s">
        <v>#N/A N/A</v>
        <stp/>
        <stp>BDP|17565079923772933588</stp>
        <tr r="C392" s="2"/>
      </tp>
      <tp t="s">
        <v>#N/A N/A</v>
        <stp/>
        <stp>BDP|15100624173562643466</stp>
        <tr r="Q134" s="2"/>
      </tp>
      <tp t="s">
        <v>#N/A N/A</v>
        <stp/>
        <stp>BDP|16510364024441739400</stp>
        <tr r="D409" s="2"/>
      </tp>
      <tp t="s">
        <v>#N/A N/A</v>
        <stp/>
        <stp>BDP|17776200031595643106</stp>
        <tr r="C16" s="2"/>
      </tp>
      <tp t="s">
        <v>#N/A N/A</v>
        <stp/>
        <stp>BDP|10446311836652741040</stp>
        <tr r="M76" s="2"/>
      </tp>
      <tp t="s">
        <v>#N/A N/A</v>
        <stp/>
        <stp>BDP|12737164427280047367</stp>
        <tr r="F498" s="2"/>
      </tp>
      <tp t="s">
        <v>#N/A N/A</v>
        <stp/>
        <stp>BDP|16319441624907481574</stp>
        <tr r="L120" s="2"/>
      </tp>
      <tp t="s">
        <v>#N/A N/A</v>
        <stp/>
        <stp>BDP|11672264677822285456</stp>
        <tr r="E185" s="2"/>
      </tp>
      <tp t="s">
        <v>#N/A N/A</v>
        <stp/>
        <stp>BDP|18264091087301401380</stp>
        <tr r="K379" s="2"/>
      </tp>
      <tp t="s">
        <v>#N/A N/A</v>
        <stp/>
        <stp>BDP|16123902503774310912</stp>
        <tr r="E389" s="2"/>
      </tp>
      <tp t="s">
        <v>#N/A N/A</v>
        <stp/>
        <stp>BDP|15959570373337894267</stp>
        <tr r="J466" s="2"/>
      </tp>
      <tp t="s">
        <v>#N/A N/A</v>
        <stp/>
        <stp>BDP|10079540535826214206</stp>
        <tr r="M499" s="2"/>
      </tp>
      <tp t="s">
        <v>#N/A N/A</v>
        <stp/>
        <stp>BDP|15141573549625401389</stp>
        <tr r="R380" s="2"/>
      </tp>
      <tp t="s">
        <v>#N/A N/A</v>
        <stp/>
        <stp>BDP|12254167475845558371</stp>
        <tr r="K175" s="2"/>
      </tp>
      <tp t="s">
        <v>#N/A N/A</v>
        <stp/>
        <stp>BDP|15042346340658083871</stp>
        <tr r="G137" s="2"/>
      </tp>
      <tp t="s">
        <v>#N/A N/A</v>
        <stp/>
        <stp>BDP|12258373222144317574</stp>
        <tr r="C199" s="2"/>
      </tp>
      <tp t="s">
        <v>#N/A N/A</v>
        <stp/>
        <stp>BDP|13134948875168483773</stp>
        <tr r="J142" s="2"/>
      </tp>
      <tp t="s">
        <v>#N/A N/A</v>
        <stp/>
        <stp>BDP|15541757362510757663</stp>
        <tr r="L98" s="2"/>
      </tp>
      <tp t="s">
        <v>#N/A N/A</v>
        <stp/>
        <stp>BDP|10181761934303281524</stp>
        <tr r="R312" s="2"/>
      </tp>
      <tp t="s">
        <v>#N/A N/A</v>
        <stp/>
        <stp>BDP|15823290557316141643</stp>
        <tr r="K492" s="2"/>
      </tp>
      <tp t="s">
        <v>#N/A N/A</v>
        <stp/>
        <stp>BDP|14633030883567221971</stp>
        <tr r="M251" s="2"/>
      </tp>
      <tp t="s">
        <v>#N/A N/A</v>
        <stp/>
        <stp>BDP|14445871145343715922</stp>
        <tr r="K421" s="2"/>
      </tp>
      <tp t="s">
        <v>#N/A N/A</v>
        <stp/>
        <stp>BDP|10943686573370560342</stp>
        <tr r="H492" s="2"/>
      </tp>
      <tp t="s">
        <v>#N/A N/A</v>
        <stp/>
        <stp>BDP|12071108749873230681</stp>
        <tr r="F224" s="2"/>
      </tp>
      <tp t="s">
        <v>#N/A N/A</v>
        <stp/>
        <stp>BDP|10707761823687357026</stp>
        <tr r="D164" s="2"/>
      </tp>
      <tp t="s">
        <v>#N/A N/A</v>
        <stp/>
        <stp>BDP|17237178644683568360</stp>
        <tr r="O47" s="2"/>
      </tp>
      <tp t="s">
        <v>#N/A N/A</v>
        <stp/>
        <stp>BDP|12444010745244740058</stp>
        <tr r="J356" s="2"/>
      </tp>
      <tp t="s">
        <v>#N/A N/A</v>
        <stp/>
        <stp>BDP|15574525015816072507</stp>
        <tr r="C9" s="2"/>
      </tp>
      <tp t="s">
        <v>#N/A N/A</v>
        <stp/>
        <stp>BDP|14646710773831434725</stp>
        <tr r="M446" s="2"/>
      </tp>
      <tp t="s">
        <v>#N/A N/A</v>
        <stp/>
        <stp>BDP|11701801990901211370</stp>
        <tr r="P255" s="2"/>
      </tp>
      <tp t="s">
        <v>#N/A N/A</v>
        <stp/>
        <stp>BDP|14094420530295841486</stp>
        <tr r="J337" s="2"/>
      </tp>
      <tp t="s">
        <v>#N/A N/A</v>
        <stp/>
        <stp>BDP|11798672313513250733</stp>
        <tr r="E59" s="2"/>
      </tp>
      <tp t="s">
        <v>#N/A N/A</v>
        <stp/>
        <stp>BDP|14880395142537677677</stp>
        <tr r="D466" s="2"/>
      </tp>
      <tp t="s">
        <v>#N/A N/A</v>
        <stp/>
        <stp>BDP|10628477161596382614</stp>
        <tr r="O354" s="2"/>
      </tp>
      <tp t="s">
        <v>#N/A N/A</v>
        <stp/>
        <stp>BDP|13262530622381970781</stp>
        <tr r="L237" s="2"/>
      </tp>
      <tp t="s">
        <v>#N/A N/A</v>
        <stp/>
        <stp>BDP|14352550022622319353</stp>
        <tr r="L100" s="2"/>
      </tp>
      <tp t="s">
        <v>#N/A N/A</v>
        <stp/>
        <stp>BDP|18405968141235988282</stp>
        <tr r="D356" s="2"/>
      </tp>
      <tp t="s">
        <v>#N/A N/A</v>
        <stp/>
        <stp>BDP|10547570999058144685</stp>
        <tr r="K331" s="2"/>
      </tp>
      <tp t="s">
        <v>#N/A N/A</v>
        <stp/>
        <stp>BDP|17407694543912322584</stp>
        <tr r="R158" s="2"/>
      </tp>
      <tp t="s">
        <v>#N/A N/A</v>
        <stp/>
        <stp>BDP|15967956879560590956</stp>
        <tr r="J141" s="2"/>
      </tp>
      <tp t="s">
        <v>#N/A N/A</v>
        <stp/>
        <stp>BDP|12869930223173857858</stp>
        <tr r="R366" s="2"/>
      </tp>
      <tp t="s">
        <v>#N/A N/A</v>
        <stp/>
        <stp>BDP|11886050785193848857</stp>
        <tr r="L321" s="2"/>
      </tp>
      <tp t="s">
        <v>#N/A N/A</v>
        <stp/>
        <stp>BDP|14424504078632925608</stp>
        <tr r="H455" s="2"/>
      </tp>
      <tp t="s">
        <v>#N/A N/A</v>
        <stp/>
        <stp>BDP|13315690932736591286</stp>
        <tr r="M86" s="2"/>
      </tp>
      <tp t="s">
        <v>#N/A N/A</v>
        <stp/>
        <stp>BDP|11881849014243583983</stp>
        <tr r="H19" s="2"/>
      </tp>
      <tp t="s">
        <v>#N/A N/A</v>
        <stp/>
        <stp>BDP|13916038473323873545</stp>
        <tr r="M294" s="2"/>
      </tp>
      <tp t="s">
        <v>#N/A N/A</v>
        <stp/>
        <stp>BDP|17689163451684154557</stp>
        <tr r="F213" s="2"/>
      </tp>
      <tp t="s">
        <v>#N/A N/A</v>
        <stp/>
        <stp>BDP|12467245786419215318</stp>
        <tr r="Q478" s="2"/>
      </tp>
      <tp t="s">
        <v>#N/A N/A</v>
        <stp/>
        <stp>BDP|12392213608764852674</stp>
        <tr r="N49" s="2"/>
      </tp>
      <tp t="s">
        <v>#N/A N/A</v>
        <stp/>
        <stp>BDP|18368772985327420209</stp>
        <tr r="M83" s="2"/>
      </tp>
      <tp t="s">
        <v>#N/A N/A</v>
        <stp/>
        <stp>BDP|15061456444421605627</stp>
        <tr r="I245" s="2"/>
      </tp>
      <tp t="s">
        <v>#N/A N/A</v>
        <stp/>
        <stp>BDP|13207002970755164362</stp>
        <tr r="H203" s="2"/>
      </tp>
      <tp t="s">
        <v>#N/A N/A</v>
        <stp/>
        <stp>BDP|14730652570145515220</stp>
        <tr r="L118" s="2"/>
      </tp>
      <tp t="s">
        <v>#N/A N/A</v>
        <stp/>
        <stp>BDP|15294524223205585536</stp>
        <tr r="F375" s="2"/>
      </tp>
      <tp t="s">
        <v>#N/A N/A</v>
        <stp/>
        <stp>BDP|13556441547199304802</stp>
        <tr r="Q153" s="2"/>
      </tp>
      <tp t="s">
        <v>#N/A N/A</v>
        <stp/>
        <stp>BDP|13306385131412834375</stp>
        <tr r="H434" s="2"/>
      </tp>
      <tp t="s">
        <v>#N/A N/A</v>
        <stp/>
        <stp>BDP|10131459722562494670</stp>
        <tr r="D197" s="2"/>
      </tp>
      <tp t="s">
        <v>#N/A N/A</v>
        <stp/>
        <stp>BDP|12897445662623397185</stp>
        <tr r="R248" s="2"/>
      </tp>
      <tp t="s">
        <v>#N/A N/A</v>
        <stp/>
        <stp>BDP|16441145634152272431</stp>
        <tr r="J148" s="2"/>
      </tp>
      <tp t="s">
        <v>#N/A N/A</v>
        <stp/>
        <stp>BDP|11978460875525758582</stp>
        <tr r="P224" s="2"/>
      </tp>
      <tp t="s">
        <v>#N/A N/A</v>
        <stp/>
        <stp>BDP|15346200934450722656</stp>
        <tr r="H156" s="2"/>
      </tp>
      <tp t="s">
        <v>#N/A N/A</v>
        <stp/>
        <stp>BDP|10112257513673742250</stp>
        <tr r="N243" s="2"/>
      </tp>
      <tp t="s">
        <v>#N/A N/A</v>
        <stp/>
        <stp>BDP|12318560892409312510</stp>
        <tr r="P503" s="2"/>
      </tp>
      <tp t="s">
        <v>#N/A N/A</v>
        <stp/>
        <stp>BDP|11108439111163413532</stp>
        <tr r="J371" s="2"/>
      </tp>
      <tp t="s">
        <v>#N/A N/A</v>
        <stp/>
        <stp>BDP|11450720630040293707</stp>
        <tr r="H80" s="2"/>
      </tp>
      <tp t="s">
        <v>#N/A N/A</v>
        <stp/>
        <stp>BDP|15005405003953325044</stp>
        <tr r="J164" s="2"/>
      </tp>
      <tp t="s">
        <v>#N/A N/A</v>
        <stp/>
        <stp>BDP|12305024251986134352</stp>
        <tr r="F117" s="2"/>
      </tp>
      <tp t="s">
        <v>#N/A N/A</v>
        <stp/>
        <stp>BDP|18230405208687880969</stp>
        <tr r="D365" s="2"/>
      </tp>
      <tp t="s">
        <v>#N/A N/A</v>
        <stp/>
        <stp>BDP|14023706386579609046</stp>
        <tr r="L407" s="2"/>
      </tp>
      <tp t="s">
        <v>#N/A N/A</v>
        <stp/>
        <stp>BDP|18025967931946789643</stp>
        <tr r="R90" s="2"/>
      </tp>
      <tp t="s">
        <v>#N/A N/A</v>
        <stp/>
        <stp>BDP|10086549849702817111</stp>
        <tr r="F418" s="2"/>
      </tp>
      <tp t="s">
        <v>#N/A N/A</v>
        <stp/>
        <stp>BDP|16034966211474553862</stp>
        <tr r="P401" s="2"/>
      </tp>
      <tp t="s">
        <v>#N/A N/A</v>
        <stp/>
        <stp>BDP|17389737820519068949</stp>
        <tr r="K22" s="2"/>
      </tp>
      <tp t="s">
        <v>#N/A N/A</v>
        <stp/>
        <stp>BDP|16027591712490867075</stp>
        <tr r="Q26" s="2"/>
      </tp>
      <tp t="s">
        <v>#N/A N/A</v>
        <stp/>
        <stp>BDP|13827750119570166715</stp>
        <tr r="C403" s="2"/>
      </tp>
      <tp t="s">
        <v>#N/A N/A</v>
        <stp/>
        <stp>BDP|11803124794622812918</stp>
        <tr r="P432" s="2"/>
      </tp>
      <tp t="s">
        <v>#N/A N/A</v>
        <stp/>
        <stp>BDP|11203672597619168548</stp>
        <tr r="M398" s="2"/>
      </tp>
      <tp t="s">
        <v>#N/A N/A</v>
        <stp/>
        <stp>BDP|17088344677393468203</stp>
        <tr r="N470" s="2"/>
      </tp>
      <tp t="s">
        <v>#N/A N/A</v>
        <stp/>
        <stp>BDP|16067224243510445229</stp>
        <tr r="F321" s="2"/>
      </tp>
      <tp t="s">
        <v>#N/A N/A</v>
        <stp/>
        <stp>BDP|17575078342319752801</stp>
        <tr r="F220" s="2"/>
      </tp>
      <tp t="s">
        <v>#N/A N/A</v>
        <stp/>
        <stp>BDP|12260777455983046173</stp>
        <tr r="Q438" s="2"/>
      </tp>
      <tp t="s">
        <v>#N/A N/A</v>
        <stp/>
        <stp>BDP|11425332726771086360</stp>
        <tr r="H375" s="2"/>
      </tp>
      <tp t="s">
        <v>#N/A N/A</v>
        <stp/>
        <stp>BDP|10096817363458508404</stp>
        <tr r="F416" s="2"/>
      </tp>
      <tp t="s">
        <v>#N/A N/A</v>
        <stp/>
        <stp>BDP|17326146270325712678</stp>
        <tr r="G209" s="2"/>
      </tp>
      <tp t="s">
        <v>#N/A N/A</v>
        <stp/>
        <stp>BDP|16143772392012383800</stp>
        <tr r="O448" s="2"/>
      </tp>
      <tp t="s">
        <v>#N/A N/A</v>
        <stp/>
        <stp>BDP|15884031253687820571</stp>
        <tr r="F192" s="2"/>
      </tp>
      <tp t="s">
        <v>#N/A N/A</v>
        <stp/>
        <stp>BDP|14368073087818366678</stp>
        <tr r="R219" s="2"/>
      </tp>
      <tp t="s">
        <v>#N/A N/A</v>
        <stp/>
        <stp>BDP|16178197116017143387</stp>
        <tr r="F494" s="2"/>
      </tp>
      <tp t="s">
        <v>#N/A N/A</v>
        <stp/>
        <stp>BDP|12983707081936863973</stp>
        <tr r="D338" s="2"/>
      </tp>
      <tp t="s">
        <v>#N/A N/A</v>
        <stp/>
        <stp>BDP|12095068210406242733</stp>
        <tr r="L252" s="2"/>
      </tp>
      <tp t="s">
        <v>#N/A N/A</v>
        <stp/>
        <stp>BDP|11960570828506513243</stp>
        <tr r="N278" s="2"/>
      </tp>
      <tp t="s">
        <v>#N/A N/A</v>
        <stp/>
        <stp>BDP|18175757481561431467</stp>
        <tr r="Q387" s="2"/>
      </tp>
      <tp t="s">
        <v>#N/A N/A</v>
        <stp/>
        <stp>BDP|15363705124086945490</stp>
        <tr r="D407" s="2"/>
      </tp>
      <tp t="s">
        <v>#N/A N/A</v>
        <stp/>
        <stp>BDP|12171060022183586178</stp>
        <tr r="O89" s="2"/>
      </tp>
      <tp t="s">
        <v>#N/A N/A</v>
        <stp/>
        <stp>BDP|15263819403908563726</stp>
        <tr r="J370" s="2"/>
      </tp>
      <tp t="s">
        <v>#N/A N/A</v>
        <stp/>
        <stp>BDP|14351735748965867079</stp>
        <tr r="O338" s="2"/>
      </tp>
      <tp t="s">
        <v>#N/A N/A</v>
        <stp/>
        <stp>BDP|15744956789380470683</stp>
        <tr r="C295" s="2"/>
      </tp>
      <tp t="s">
        <v>#N/A N/A</v>
        <stp/>
        <stp>BDP|17273633900071237243</stp>
        <tr r="R463" s="2"/>
      </tp>
      <tp t="s">
        <v>#N/A N/A</v>
        <stp/>
        <stp>BDP|17246627233970120042</stp>
        <tr r="C412" s="2"/>
      </tp>
      <tp t="s">
        <v>#N/A N/A</v>
        <stp/>
        <stp>BDP|17360346351053025008</stp>
        <tr r="F180" s="2"/>
      </tp>
      <tp t="s">
        <v>#N/A N/A</v>
        <stp/>
        <stp>BDP|11928185244592522469</stp>
        <tr r="F370" s="2"/>
      </tp>
      <tp t="s">
        <v>#N/A N/A</v>
        <stp/>
        <stp>BDP|13584020802809073839</stp>
        <tr r="L472" s="2"/>
      </tp>
      <tp t="s">
        <v>#N/A N/A</v>
        <stp/>
        <stp>BDP|10426278711357344671</stp>
        <tr r="E417" s="2"/>
      </tp>
      <tp t="s">
        <v>#N/A N/A</v>
        <stp/>
        <stp>BDP|15721217316381635506</stp>
        <tr r="I258" s="2"/>
      </tp>
      <tp t="s">
        <v>#N/A N/A</v>
        <stp/>
        <stp>BDP|10433426641567217533</stp>
        <tr r="F212" s="2"/>
      </tp>
      <tp t="s">
        <v>#N/A N/A</v>
        <stp/>
        <stp>BDP|10068293979282157575</stp>
        <tr r="L269" s="2"/>
      </tp>
      <tp t="s">
        <v>#N/A N/A</v>
        <stp/>
        <stp>BDP|10897312545442905739</stp>
        <tr r="F362" s="2"/>
      </tp>
      <tp t="s">
        <v>#N/A N/A</v>
        <stp/>
        <stp>BDP|12224822987748966884</stp>
        <tr r="N48" s="2"/>
      </tp>
      <tp t="s">
        <v>#N/A N/A</v>
        <stp/>
        <stp>BDP|11873224005215058491</stp>
        <tr r="E23" s="2"/>
      </tp>
      <tp t="s">
        <v>#N/A N/A</v>
        <stp/>
        <stp>BDP|11109058958704651330</stp>
        <tr r="P263" s="2"/>
      </tp>
      <tp t="s">
        <v>#N/A N/A</v>
        <stp/>
        <stp>BDP|15189704424267836445</stp>
        <tr r="K377" s="2"/>
      </tp>
      <tp t="s">
        <v>#N/A N/A</v>
        <stp/>
        <stp>BDP|16354491308860928121</stp>
        <tr r="J240" s="2"/>
      </tp>
      <tp t="s">
        <v>#N/A N/A</v>
        <stp/>
        <stp>BDP|17991120121517646055</stp>
        <tr r="Q163" s="2"/>
      </tp>
      <tp t="s">
        <v>#N/A N/A</v>
        <stp/>
        <stp>BDP|15806369003444500110</stp>
        <tr r="I303" s="2"/>
      </tp>
      <tp t="s">
        <v>#N/A N/A</v>
        <stp/>
        <stp>BDP|17399598884998301144</stp>
        <tr r="E143" s="2"/>
      </tp>
      <tp t="s">
        <v>#N/A N/A</v>
        <stp/>
        <stp>BDP|10060517956395844664</stp>
        <tr r="E222" s="2"/>
      </tp>
      <tp t="s">
        <v>#N/A N/A</v>
        <stp/>
        <stp>BDP|16098321736904854155</stp>
        <tr r="E125" s="2"/>
      </tp>
      <tp t="s">
        <v>#N/A N/A</v>
        <stp/>
        <stp>BDP|10034420600951923628</stp>
        <tr r="I318" s="2"/>
      </tp>
      <tp t="s">
        <v>#N/A N/A</v>
        <stp/>
        <stp>BDP|12928129513355195407</stp>
        <tr r="L189" s="2"/>
      </tp>
      <tp t="s">
        <v>#N/A N/A</v>
        <stp/>
        <stp>BDP|13640226639735484408</stp>
        <tr r="K386" s="2"/>
      </tp>
      <tp t="s">
        <v>#N/A N/A</v>
        <stp/>
        <stp>BDP|10637839252766714898</stp>
        <tr r="R359" s="2"/>
      </tp>
      <tp t="s">
        <v>#N/A N/A</v>
        <stp/>
        <stp>BDP|11823819120359178104</stp>
        <tr r="C294" s="2"/>
      </tp>
      <tp t="s">
        <v>#N/A N/A</v>
        <stp/>
        <stp>BDP|13611322648113700438</stp>
        <tr r="J108" s="2"/>
      </tp>
      <tp t="s">
        <v>#N/A N/A</v>
        <stp/>
        <stp>BDP|14089093785957333878</stp>
        <tr r="I163" s="2"/>
      </tp>
      <tp t="s">
        <v>#N/A N/A</v>
        <stp/>
        <stp>BDP|10605796607610007408</stp>
        <tr r="G152" s="2"/>
      </tp>
      <tp t="s">
        <v>#N/A N/A</v>
        <stp/>
        <stp>BDP|17825793323833815220</stp>
        <tr r="R278" s="2"/>
      </tp>
      <tp t="s">
        <v>#N/A N/A</v>
        <stp/>
        <stp>BDP|13964827792928155900</stp>
        <tr r="E351" s="2"/>
      </tp>
      <tp t="s">
        <v>#N/A N/A</v>
        <stp/>
        <stp>BDP|14942636416947736735</stp>
        <tr r="O163" s="2"/>
      </tp>
      <tp t="s">
        <v>#N/A N/A</v>
        <stp/>
        <stp>BDP|13512118316656257687</stp>
        <tr r="I235" s="2"/>
      </tp>
      <tp t="s">
        <v>#N/A N/A</v>
        <stp/>
        <stp>BDP|11537059847285763382</stp>
        <tr r="P463" s="2"/>
      </tp>
      <tp t="s">
        <v>#N/A N/A</v>
        <stp/>
        <stp>BDP|13593783819940598696</stp>
        <tr r="O282" s="2"/>
      </tp>
      <tp t="s">
        <v>#N/A N/A</v>
        <stp/>
        <stp>BDP|15108239168953620140</stp>
        <tr r="R294" s="2"/>
      </tp>
      <tp t="s">
        <v>#N/A N/A</v>
        <stp/>
        <stp>BDP|13811004532272367110</stp>
        <tr r="M4" s="2"/>
      </tp>
      <tp t="s">
        <v>#N/A N/A</v>
        <stp/>
        <stp>BDP|12640205314357337596</stp>
        <tr r="Q157" s="2"/>
      </tp>
      <tp t="s">
        <v>#N/A N/A</v>
        <stp/>
        <stp>BDP|10938216201492561340</stp>
        <tr r="I175" s="2"/>
      </tp>
      <tp t="s">
        <v>#N/A N/A</v>
        <stp/>
        <stp>BDP|14098536118894712742</stp>
        <tr r="G393" s="2"/>
      </tp>
      <tp t="s">
        <v>#N/A N/A</v>
        <stp/>
        <stp>BDP|10212759479596434515</stp>
        <tr r="D142" s="2"/>
      </tp>
      <tp t="s">
        <v>#N/A N/A</v>
        <stp/>
        <stp>BDP|16266801084505800059</stp>
        <tr r="E60" s="2"/>
      </tp>
      <tp t="s">
        <v>#N/A N/A</v>
        <stp/>
        <stp>BDP|10946499965460897168</stp>
        <tr r="M45" s="2"/>
      </tp>
      <tp t="s">
        <v>#N/A N/A</v>
        <stp/>
        <stp>BDP|17711174637944913253</stp>
        <tr r="C443" s="2"/>
      </tp>
      <tp t="s">
        <v>#N/A N/A</v>
        <stp/>
        <stp>BDP|13884757187768009715</stp>
        <tr r="Q468" s="2"/>
      </tp>
      <tp t="s">
        <v>#N/A N/A</v>
        <stp/>
        <stp>BDP|11367879098230789307</stp>
        <tr r="M266" s="2"/>
      </tp>
      <tp t="s">
        <v>#N/A N/A</v>
        <stp/>
        <stp>BDP|12900677020264309162</stp>
        <tr r="M310" s="2"/>
      </tp>
      <tp t="s">
        <v>#N/A N/A</v>
        <stp/>
        <stp>BDP|17454819798952752717</stp>
        <tr r="O45" s="2"/>
      </tp>
      <tp t="s">
        <v>#N/A N/A</v>
        <stp/>
        <stp>BDP|12787573738901301605</stp>
        <tr r="O452" s="2"/>
      </tp>
      <tp t="s">
        <v>#N/A N/A</v>
        <stp/>
        <stp>BDP|16636882986586413373</stp>
        <tr r="L34" s="2"/>
      </tp>
      <tp t="s">
        <v>#N/A N/A</v>
        <stp/>
        <stp>BDP|11064855629028703006</stp>
        <tr r="R447" s="2"/>
      </tp>
      <tp t="s">
        <v>#N/A N/A</v>
        <stp/>
        <stp>BDP|15161013126190972459</stp>
        <tr r="P299" s="2"/>
      </tp>
      <tp t="s">
        <v>#N/A N/A</v>
        <stp/>
        <stp>BDP|15987754807345251432</stp>
        <tr r="J152" s="2"/>
      </tp>
      <tp t="s">
        <v>#N/A N/A</v>
        <stp/>
        <stp>BDP|14622776926685887755</stp>
        <tr r="F488" s="2"/>
      </tp>
      <tp t="s">
        <v>#N/A N/A</v>
        <stp/>
        <stp>BDP|17146393043974087719</stp>
        <tr r="N393" s="2"/>
      </tp>
      <tp t="s">
        <v>#N/A N/A</v>
        <stp/>
        <stp>BDP|17447109701431724486</stp>
        <tr r="K99" s="2"/>
      </tp>
      <tp t="s">
        <v>#N/A N/A</v>
        <stp/>
        <stp>BDP|10585550666169456981</stp>
        <tr r="P345" s="2"/>
      </tp>
      <tp t="s">
        <v>#N/A N/A</v>
        <stp/>
        <stp>BDP|13781981974238448652</stp>
        <tr r="M277" s="2"/>
      </tp>
      <tp t="s">
        <v>#N/A N/A</v>
        <stp/>
        <stp>BDP|16438223933811838577</stp>
        <tr r="K192" s="2"/>
      </tp>
      <tp t="s">
        <v>#N/A N/A</v>
        <stp/>
        <stp>BDP|14433747510595846426</stp>
        <tr r="D263" s="2"/>
      </tp>
      <tp t="s">
        <v>#N/A N/A</v>
        <stp/>
        <stp>BDP|16206785403480038231</stp>
        <tr r="K420" s="2"/>
      </tp>
      <tp t="s">
        <v>#N/A N/A</v>
        <stp/>
        <stp>BDP|11669912526439376085</stp>
        <tr r="F162" s="2"/>
      </tp>
      <tp t="s">
        <v>#N/A N/A</v>
        <stp/>
        <stp>BDP|10471197634752292319</stp>
        <tr r="G98" s="2"/>
      </tp>
      <tp t="s">
        <v>#N/A N/A</v>
        <stp/>
        <stp>BDP|15055522930672979211</stp>
        <tr r="F165" s="2"/>
      </tp>
      <tp t="s">
        <v>#N/A N/A</v>
        <stp/>
        <stp>BDP|18098641352509882143</stp>
        <tr r="C362" s="2"/>
      </tp>
      <tp t="s">
        <v>#N/A N/A</v>
        <stp/>
        <stp>BDP|14549655736274928657</stp>
        <tr r="H465" s="2"/>
      </tp>
      <tp t="s">
        <v>#N/A N/A</v>
        <stp/>
        <stp>BDP|12007762872461744097</stp>
        <tr r="J499" s="2"/>
      </tp>
      <tp t="s">
        <v>#N/A N/A</v>
        <stp/>
        <stp>BDP|16787340838105455059</stp>
        <tr r="G99" s="2"/>
      </tp>
      <tp t="s">
        <v>#N/A N/A</v>
        <stp/>
        <stp>BDP|14114648918081130111</stp>
        <tr r="J206" s="2"/>
      </tp>
      <tp t="s">
        <v>#N/A N/A</v>
        <stp/>
        <stp>BDP|11028043157850873767</stp>
        <tr r="F424" s="2"/>
      </tp>
      <tp t="s">
        <v>#N/A N/A</v>
        <stp/>
        <stp>BDP|11134719951910534098</stp>
        <tr r="P492" s="2"/>
      </tp>
      <tp t="s">
        <v>#N/A N/A</v>
        <stp/>
        <stp>BDP|11458446408993601532</stp>
        <tr r="R495" s="2"/>
      </tp>
      <tp t="s">
        <v>#N/A N/A</v>
        <stp/>
        <stp>BDP|16746018770264805631</stp>
        <tr r="D312" s="2"/>
      </tp>
      <tp t="s">
        <v>#N/A N/A</v>
        <stp/>
        <stp>BDP|12314953198726528769</stp>
        <tr r="E383" s="2"/>
      </tp>
      <tp t="s">
        <v>#N/A N/A</v>
        <stp/>
        <stp>BDP|16181689335120099014</stp>
        <tr r="O5" s="2"/>
      </tp>
      <tp t="s">
        <v>#N/A N/A</v>
        <stp/>
        <stp>BDP|16090393172679163877</stp>
        <tr r="Q172" s="2"/>
      </tp>
      <tp t="s">
        <v>#N/A N/A</v>
        <stp/>
        <stp>BDP|16487098377397177568</stp>
        <tr r="P388" s="2"/>
      </tp>
      <tp t="s">
        <v>#N/A N/A</v>
        <stp/>
        <stp>BDP|14700466806493980036</stp>
        <tr r="J194" s="2"/>
      </tp>
      <tp t="s">
        <v>#N/A N/A</v>
        <stp/>
        <stp>BDP|15375845998677131034</stp>
        <tr r="F294" s="2"/>
      </tp>
      <tp t="s">
        <v>#N/A N/A</v>
        <stp/>
        <stp>BDP|13815331263260132542</stp>
        <tr r="O171" s="2"/>
      </tp>
      <tp t="s">
        <v>#N/A N/A</v>
        <stp/>
        <stp>BDP|12141415027107917033</stp>
        <tr r="J402" s="2"/>
      </tp>
      <tp t="s">
        <v>#N/A N/A</v>
        <stp/>
        <stp>BDP|10831627757159602967</stp>
        <tr r="R401" s="2"/>
      </tp>
      <tp t="s">
        <v>#N/A N/A</v>
        <stp/>
        <stp>BDP|13874905620032049951</stp>
        <tr r="D11" s="2"/>
      </tp>
      <tp t="s">
        <v>#N/A N/A</v>
        <stp/>
        <stp>BDP|13055275229627769745</stp>
        <tr r="D424" s="2"/>
      </tp>
      <tp t="s">
        <v>#N/A N/A</v>
        <stp/>
        <stp>BDP|16433106834060461796</stp>
        <tr r="H144" s="2"/>
      </tp>
      <tp t="s">
        <v>#N/A N/A</v>
        <stp/>
        <stp>BDP|12810002524623433053</stp>
        <tr r="R430" s="2"/>
      </tp>
      <tp t="s">
        <v>#N/A N/A</v>
        <stp/>
        <stp>BDP|11234681249097907776</stp>
        <tr r="E260" s="2"/>
      </tp>
      <tp t="s">
        <v>#N/A N/A</v>
        <stp/>
        <stp>BDP|14181594376775498069</stp>
        <tr r="F152" s="2"/>
      </tp>
      <tp t="s">
        <v>#N/A N/A</v>
        <stp/>
        <stp>BDP|15097266787974991845</stp>
        <tr r="L466" s="2"/>
      </tp>
      <tp t="s">
        <v>#N/A N/A</v>
        <stp/>
        <stp>BDP|11563418429894406059</stp>
        <tr r="Q201" s="2"/>
      </tp>
      <tp t="s">
        <v>#N/A N/A</v>
        <stp/>
        <stp>BDP|15424744770911501791</stp>
        <tr r="P179" s="2"/>
      </tp>
      <tp t="s">
        <v>#N/A N/A</v>
        <stp/>
        <stp>BDP|16648146732957805046</stp>
        <tr r="H176" s="2"/>
      </tp>
      <tp t="s">
        <v>#N/A N/A</v>
        <stp/>
        <stp>BDP|14698192336703195648</stp>
        <tr r="K71" s="2"/>
      </tp>
      <tp t="s">
        <v>#N/A N/A</v>
        <stp/>
        <stp>BDP|15743142503655978254</stp>
        <tr r="Q178" s="2"/>
      </tp>
      <tp t="s">
        <v>#N/A N/A</v>
        <stp/>
        <stp>BDP|17628960542339913077</stp>
        <tr r="O55" s="2"/>
      </tp>
      <tp t="s">
        <v>#N/A N/A</v>
        <stp/>
        <stp>BDP|15530347870213823153</stp>
        <tr r="P16" s="2"/>
      </tp>
      <tp t="s">
        <v>#N/A N/A</v>
        <stp/>
        <stp>BDP|13921090312083841260</stp>
        <tr r="G306" s="2"/>
      </tp>
      <tp t="s">
        <v>#N/A N/A</v>
        <stp/>
        <stp>BDP|12566388325656671629</stp>
        <tr r="F107" s="2"/>
      </tp>
      <tp t="s">
        <v>#N/A N/A</v>
        <stp/>
        <stp>BDP|12235369914536906565</stp>
        <tr r="N324" s="2"/>
      </tp>
      <tp t="s">
        <v>#N/A N/A</v>
        <stp/>
        <stp>BDP|17809270165224397463</stp>
        <tr r="G478" s="2"/>
      </tp>
      <tp t="s">
        <v>#N/A N/A</v>
        <stp/>
        <stp>BDP|15441939293355313387</stp>
        <tr r="F293" s="2"/>
      </tp>
      <tp t="s">
        <v>#N/A N/A</v>
        <stp/>
        <stp>BDP|11199363979586742066</stp>
        <tr r="L484" s="2"/>
      </tp>
      <tp t="s">
        <v>#N/A N/A</v>
        <stp/>
        <stp>BDP|10359965144399974779</stp>
        <tr r="E93" s="2"/>
      </tp>
      <tp t="s">
        <v>#N/A N/A</v>
        <stp/>
        <stp>BDP|11945530844326693572</stp>
        <tr r="R320" s="2"/>
      </tp>
      <tp t="s">
        <v>#N/A N/A</v>
        <stp/>
        <stp>BDP|11479684700322445674</stp>
        <tr r="J459" s="2"/>
      </tp>
      <tp t="s">
        <v>#N/A N/A</v>
        <stp/>
        <stp>BDP|16751580563480225614</stp>
        <tr r="F438" s="2"/>
      </tp>
      <tp t="s">
        <v>#N/A N/A</v>
        <stp/>
        <stp>BDP|16022855572433833907</stp>
        <tr r="G459" s="2"/>
      </tp>
      <tp t="s">
        <v>#N/A N/A</v>
        <stp/>
        <stp>BDP|15371568722025921419</stp>
        <tr r="Q272" s="2"/>
      </tp>
      <tp t="s">
        <v>#N/A N/A</v>
        <stp/>
        <stp>BDP|17573233016230659789</stp>
        <tr r="G487" s="2"/>
      </tp>
      <tp t="s">
        <v>#N/A N/A</v>
        <stp/>
        <stp>BDP|15078297378870628390</stp>
        <tr r="M383" s="2"/>
      </tp>
      <tp t="s">
        <v>#N/A N/A</v>
        <stp/>
        <stp>BDP|16968348063789014902</stp>
        <tr r="G216" s="2"/>
      </tp>
      <tp t="s">
        <v>#N/A N/A</v>
        <stp/>
        <stp>BDP|16776761401244745699</stp>
        <tr r="P326" s="2"/>
      </tp>
      <tp t="s">
        <v>#N/A N/A</v>
        <stp/>
        <stp>BDP|14670949926115972930</stp>
        <tr r="Q47" s="2"/>
      </tp>
      <tp t="s">
        <v>#N/A N/A</v>
        <stp/>
        <stp>BDP|15161558471476247291</stp>
        <tr r="M356" s="2"/>
      </tp>
      <tp t="s">
        <v>#N/A N/A</v>
        <stp/>
        <stp>BDP|12389107234911037296</stp>
        <tr r="D266" s="2"/>
      </tp>
      <tp t="s">
        <v>#N/A N/A</v>
        <stp/>
        <stp>BDP|12026959426479549388</stp>
        <tr r="M136" s="2"/>
      </tp>
      <tp t="s">
        <v>#N/A N/A</v>
        <stp/>
        <stp>BDP|13370254327031843174</stp>
        <tr r="K372" s="2"/>
      </tp>
      <tp t="s">
        <v>#N/A N/A</v>
        <stp/>
        <stp>BDP|13560722389756084908</stp>
        <tr r="I241" s="2"/>
      </tp>
      <tp t="s">
        <v>#N/A N/A</v>
        <stp/>
        <stp>BDP|13471332128585611473</stp>
        <tr r="N440" s="2"/>
      </tp>
      <tp t="s">
        <v>#N/A N/A</v>
        <stp/>
        <stp>BDP|14670288948292879308</stp>
        <tr r="Q229" s="2"/>
      </tp>
      <tp t="s">
        <v>#N/A N/A</v>
        <stp/>
        <stp>BDP|10042082635407516761</stp>
        <tr r="Q167" s="2"/>
      </tp>
      <tp t="s">
        <v>#N/A N/A</v>
        <stp/>
        <stp>BDP|11267442479521101001</stp>
        <tr r="I369" s="2"/>
      </tp>
      <tp t="s">
        <v>#N/A N/A</v>
        <stp/>
        <stp>BDP|13861057298238938127</stp>
        <tr r="C340" s="2"/>
      </tp>
      <tp t="s">
        <v>#N/A N/A</v>
        <stp/>
        <stp>BDP|11338555178613405344</stp>
        <tr r="O245" s="2"/>
      </tp>
      <tp t="s">
        <v>#N/A N/A</v>
        <stp/>
        <stp>BDP|17721669580189234320</stp>
        <tr r="K119" s="2"/>
      </tp>
      <tp t="s">
        <v>#N/A N/A</v>
        <stp/>
        <stp>BDP|15561670936792718128</stp>
        <tr r="R344" s="2"/>
      </tp>
      <tp t="s">
        <v>#N/A N/A</v>
        <stp/>
        <stp>BDP|16236821204729084455</stp>
        <tr r="P45" s="2"/>
      </tp>
      <tp t="s">
        <v>#N/A N/A</v>
        <stp/>
        <stp>BDP|11411670052368191915</stp>
        <tr r="Q259" s="2"/>
      </tp>
      <tp t="s">
        <v>#N/A N/A</v>
        <stp/>
        <stp>BDP|11571874798132356189</stp>
        <tr r="O70" s="2"/>
      </tp>
      <tp t="s">
        <v>#N/A N/A</v>
        <stp/>
        <stp>BDP|16029827563679494246</stp>
        <tr r="M26" s="2"/>
      </tp>
      <tp t="s">
        <v>#N/A N/A</v>
        <stp/>
        <stp>BDP|18200213199065223592</stp>
        <tr r="P258" s="2"/>
      </tp>
      <tp t="s">
        <v>#N/A N/A</v>
        <stp/>
        <stp>BDP|16445560006627727723</stp>
        <tr r="J381" s="2"/>
      </tp>
      <tp t="s">
        <v>#N/A N/A</v>
        <stp/>
        <stp>BDP|12881783588468059698</stp>
        <tr r="E344" s="2"/>
      </tp>
      <tp t="s">
        <v>#N/A N/A</v>
        <stp/>
        <stp>BDP|17867883660639119300</stp>
        <tr r="H127" s="2"/>
      </tp>
      <tp t="s">
        <v>#N/A N/A</v>
        <stp/>
        <stp>BDP|14228113605330446637</stp>
        <tr r="O137" s="2"/>
      </tp>
      <tp t="s">
        <v>#N/A N/A</v>
        <stp/>
        <stp>BDP|17447942382371102424</stp>
        <tr r="I279" s="2"/>
      </tp>
      <tp t="s">
        <v>#N/A N/A</v>
        <stp/>
        <stp>BDP|14277078996869702757</stp>
        <tr r="N200" s="2"/>
      </tp>
      <tp t="s">
        <v>#N/A N/A</v>
        <stp/>
        <stp>BDP|15922938898350466678</stp>
        <tr r="D243" s="2"/>
      </tp>
      <tp t="s">
        <v>#N/A N/A</v>
        <stp/>
        <stp>BDP|13363653519512635584</stp>
        <tr r="M270" s="2"/>
      </tp>
      <tp t="s">
        <v>#N/A N/A</v>
        <stp/>
        <stp>BDP|15224948266819655070</stp>
        <tr r="N83" s="2"/>
      </tp>
      <tp t="s">
        <v>#N/A N/A</v>
        <stp/>
        <stp>BDP|17982684410752051109</stp>
        <tr r="K392" s="2"/>
      </tp>
      <tp t="s">
        <v>#N/A N/A</v>
        <stp/>
        <stp>BDP|11625005117953493041</stp>
        <tr r="C247" s="2"/>
      </tp>
      <tp t="s">
        <v>#N/A N/A</v>
        <stp/>
        <stp>BDP|17267346933213352772</stp>
        <tr r="K41" s="2"/>
      </tp>
      <tp t="s">
        <v>#N/A N/A</v>
        <stp/>
        <stp>BDP|11439464799017851826</stp>
        <tr r="E318" s="2"/>
      </tp>
      <tp t="s">
        <v>#N/A N/A</v>
        <stp/>
        <stp>BDP|14384466853542671418</stp>
        <tr r="I150" s="2"/>
      </tp>
      <tp t="s">
        <v>#N/A N/A</v>
        <stp/>
        <stp>BDP|14590192258876373560</stp>
        <tr r="L315" s="2"/>
      </tp>
      <tp t="s">
        <v>#N/A N/A</v>
        <stp/>
        <stp>BDP|11678230720872313065</stp>
        <tr r="G328" s="2"/>
      </tp>
      <tp t="s">
        <v>#N/A N/A</v>
        <stp/>
        <stp>BDP|10610569257420078372</stp>
        <tr r="J50" s="2"/>
      </tp>
      <tp t="s">
        <v>#N/A N/A</v>
        <stp/>
        <stp>BDP|16104560040514639015</stp>
        <tr r="F436" s="2"/>
      </tp>
      <tp t="s">
        <v>#N/A N/A</v>
        <stp/>
        <stp>BDP|15011727116896447609</stp>
        <tr r="K266" s="2"/>
      </tp>
      <tp t="s">
        <v>#N/A N/A</v>
        <stp/>
        <stp>BDP|13778663234867086257</stp>
        <tr r="L482" s="2"/>
      </tp>
      <tp t="s">
        <v>#N/A N/A</v>
        <stp/>
        <stp>BDP|13157206172433663652</stp>
        <tr r="H400" s="2"/>
      </tp>
      <tp t="s">
        <v>#N/A N/A</v>
        <stp/>
        <stp>BDP|12029027300495753456</stp>
        <tr r="P11" s="2"/>
      </tp>
      <tp t="s">
        <v>#N/A N/A</v>
        <stp/>
        <stp>BDP|10553493612032608486</stp>
        <tr r="J45" s="2"/>
      </tp>
      <tp t="s">
        <v>#N/A N/A</v>
        <stp/>
        <stp>BDP|15710185948423314046</stp>
        <tr r="J244" s="2"/>
      </tp>
      <tp t="s">
        <v>#N/A N/A</v>
        <stp/>
        <stp>BDP|14367534543172659453</stp>
        <tr r="M286" s="2"/>
      </tp>
      <tp t="s">
        <v>#N/A N/A</v>
        <stp/>
        <stp>BDP|15002433098029814209</stp>
        <tr r="L243" s="2"/>
      </tp>
      <tp t="s">
        <v>#N/A N/A</v>
        <stp/>
        <stp>BDP|10396628954917272740</stp>
        <tr r="J237" s="2"/>
      </tp>
      <tp t="s">
        <v>#N/A N/A</v>
        <stp/>
        <stp>BDP|11911300542727985211</stp>
        <tr r="M67" s="2"/>
      </tp>
      <tp t="s">
        <v>#N/A N/A</v>
        <stp/>
        <stp>BDP|14649344627575291341</stp>
        <tr r="C33" s="2"/>
      </tp>
      <tp t="s">
        <v>#N/A N/A</v>
        <stp/>
        <stp>BDP|14542543731558571966</stp>
        <tr r="R124" s="2"/>
      </tp>
      <tp t="s">
        <v>#N/A N/A</v>
        <stp/>
        <stp>BDP|12268177107420708066</stp>
        <tr r="L104" s="2"/>
      </tp>
      <tp t="s">
        <v>#N/A N/A</v>
        <stp/>
        <stp>BDP|14353083406336734196</stp>
        <tr r="I99" s="2"/>
      </tp>
      <tp t="s">
        <v>#N/A N/A</v>
        <stp/>
        <stp>BDP|15564451795063570836</stp>
        <tr r="D67" s="2"/>
      </tp>
      <tp t="s">
        <v>#N/A N/A</v>
        <stp/>
        <stp>BDP|15045714761797252017</stp>
        <tr r="K495" s="2"/>
      </tp>
      <tp t="s">
        <v>#N/A N/A</v>
        <stp/>
        <stp>BDP|14466497609764274754</stp>
        <tr r="I85" s="2"/>
      </tp>
      <tp t="s">
        <v>#N/A N/A</v>
        <stp/>
        <stp>BDP|12424570408280074483</stp>
        <tr r="G129" s="2"/>
      </tp>
      <tp t="s">
        <v>#N/A N/A</v>
        <stp/>
        <stp>BDP|15700469109317366588</stp>
        <tr r="M494" s="2"/>
      </tp>
      <tp t="s">
        <v>#N/A N/A</v>
        <stp/>
        <stp>BDP|16265753126650777050</stp>
        <tr r="N20" s="2"/>
      </tp>
      <tp t="s">
        <v>#N/A N/A</v>
        <stp/>
        <stp>BDP|11289652522286201053</stp>
        <tr r="K118" s="2"/>
      </tp>
      <tp t="s">
        <v>#N/A N/A</v>
        <stp/>
        <stp>BDP|15972259836454138392</stp>
        <tr r="P196" s="2"/>
      </tp>
      <tp t="s">
        <v>#N/A N/A</v>
        <stp/>
        <stp>BDP|15865316797975843946</stp>
        <tr r="J482" s="2"/>
      </tp>
      <tp t="s">
        <v>#N/A N/A</v>
        <stp/>
        <stp>BDP|10229785879491899293</stp>
        <tr r="N370" s="2"/>
      </tp>
      <tp t="s">
        <v>#N/A N/A</v>
        <stp/>
        <stp>BDP|14150938653433304800</stp>
        <tr r="F131" s="2"/>
      </tp>
      <tp t="s">
        <v>#N/A N/A</v>
        <stp/>
        <stp>BDP|16886520718078057904</stp>
        <tr r="E217" s="2"/>
      </tp>
      <tp t="s">
        <v>#N/A N/A</v>
        <stp/>
        <stp>BDP|17246753995203743979</stp>
        <tr r="P323" s="2"/>
      </tp>
      <tp t="s">
        <v>#N/A N/A</v>
        <stp/>
        <stp>BDP|12312354200147055549</stp>
        <tr r="E256" s="2"/>
      </tp>
      <tp t="s">
        <v>#N/A N/A</v>
        <stp/>
        <stp>BDP|16200189439467130001</stp>
        <tr r="J286" s="2"/>
      </tp>
      <tp t="s">
        <v>#N/A N/A</v>
        <stp/>
        <stp>BDP|12418277827266481722</stp>
        <tr r="K265" s="2"/>
      </tp>
      <tp t="s">
        <v>#N/A N/A</v>
        <stp/>
        <stp>BDP|15437339682785464836</stp>
        <tr r="M134" s="2"/>
      </tp>
      <tp t="s">
        <v>#N/A N/A</v>
        <stp/>
        <stp>BDP|12306146485400991896</stp>
        <tr r="M222" s="2"/>
      </tp>
      <tp t="s">
        <v>#N/A N/A</v>
        <stp/>
        <stp>BDP|11437844367479656535</stp>
        <tr r="L337" s="2"/>
      </tp>
      <tp t="s">
        <v>#N/A N/A</v>
        <stp/>
        <stp>BDP|10440607402205693029</stp>
        <tr r="L245" s="2"/>
      </tp>
      <tp t="s">
        <v>#N/A N/A</v>
        <stp/>
        <stp>BDP|15179392232952852409</stp>
        <tr r="G174" s="2"/>
      </tp>
      <tp t="s">
        <v>#N/A N/A</v>
        <stp/>
        <stp>BDP|16726023341094439522</stp>
        <tr r="G265" s="2"/>
      </tp>
      <tp t="s">
        <v>#N/A N/A</v>
        <stp/>
        <stp>BDP|11206653141659314973</stp>
        <tr r="E116" s="2"/>
      </tp>
      <tp t="s">
        <v>#N/A N/A</v>
        <stp/>
        <stp>BDP|18158793577562437996</stp>
        <tr r="L356" s="2"/>
      </tp>
      <tp t="s">
        <v>#N/A N/A</v>
        <stp/>
        <stp>BDP|16799978695151759400</stp>
        <tr r="E258" s="2"/>
      </tp>
      <tp t="s">
        <v>#N/A N/A</v>
        <stp/>
        <stp>BDP|16608573250683082646</stp>
        <tr r="O185" s="2"/>
      </tp>
      <tp t="s">
        <v>#N/A N/A</v>
        <stp/>
        <stp>BDP|17645908605105318856</stp>
        <tr r="R20" s="2"/>
      </tp>
      <tp t="s">
        <v>#N/A N/A</v>
        <stp/>
        <stp>BDP|14076341552382756348</stp>
        <tr r="C192" s="2"/>
      </tp>
      <tp t="s">
        <v>#N/A N/A</v>
        <stp/>
        <stp>BDP|13422636494987064863</stp>
        <tr r="P267" s="2"/>
      </tp>
      <tp t="s">
        <v>#N/A N/A</v>
        <stp/>
        <stp>BDP|14508472062955048057</stp>
        <tr r="G447" s="2"/>
      </tp>
      <tp t="s">
        <v>#N/A N/A</v>
        <stp/>
        <stp>BDP|12588322233587718661</stp>
        <tr r="E248" s="2"/>
      </tp>
      <tp t="s">
        <v>#N/A N/A</v>
        <stp/>
        <stp>BDP|12587142206793111332</stp>
        <tr r="I54" s="2"/>
      </tp>
      <tp t="s">
        <v>#N/A N/A</v>
        <stp/>
        <stp>BDP|10416578402316742030</stp>
        <tr r="E186" s="2"/>
      </tp>
      <tp t="s">
        <v>#N/A N/A</v>
        <stp/>
        <stp>BDP|10709254565844182339</stp>
        <tr r="C178" s="2"/>
      </tp>
      <tp t="s">
        <v>#N/A N/A</v>
        <stp/>
        <stp>BDP|10106590896828328787</stp>
        <tr r="M152" s="2"/>
      </tp>
      <tp t="s">
        <v>#N/A N/A</v>
        <stp/>
        <stp>BDP|12764602419946879039</stp>
        <tr r="D61" s="2"/>
      </tp>
      <tp t="s">
        <v>#N/A N/A</v>
        <stp/>
        <stp>BDP|11837351418702259222</stp>
        <tr r="L225" s="2"/>
      </tp>
      <tp t="s">
        <v>#N/A N/A</v>
        <stp/>
        <stp>BDP|17473362974682397208</stp>
        <tr r="I60" s="2"/>
      </tp>
      <tp t="s">
        <v>#N/A N/A</v>
        <stp/>
        <stp>BDP|17765387207551428697</stp>
        <tr r="N236" s="2"/>
      </tp>
      <tp t="s">
        <v>#N/A N/A</v>
        <stp/>
        <stp>BDP|14041203916036506261</stp>
        <tr r="R172" s="2"/>
      </tp>
      <tp t="s">
        <v>#N/A N/A</v>
        <stp/>
        <stp>BDP|13574845262219339755</stp>
        <tr r="G345" s="2"/>
      </tp>
      <tp t="s">
        <v>#N/A N/A</v>
        <stp/>
        <stp>BDP|10016845753698349610</stp>
        <tr r="J334" s="2"/>
      </tp>
      <tp t="s">
        <v>#N/A N/A</v>
        <stp/>
        <stp>BDP|15725803613956808982</stp>
        <tr r="I257" s="2"/>
      </tp>
      <tp t="s">
        <v>#N/A N/A</v>
        <stp/>
        <stp>BDP|11482667008557846364</stp>
        <tr r="M246" s="2"/>
      </tp>
      <tp t="s">
        <v>#N/A N/A</v>
        <stp/>
        <stp>BDP|10280763447500069070</stp>
        <tr r="G3" s="2"/>
      </tp>
      <tp t="s">
        <v>#N/A N/A</v>
        <stp/>
        <stp>BDP|17215712331253197370</stp>
        <tr r="N367" s="2"/>
      </tp>
      <tp t="s">
        <v>#N/A N/A</v>
        <stp/>
        <stp>BDP|13816781635947515347</stp>
        <tr r="F355" s="2"/>
      </tp>
      <tp t="s">
        <v>#N/A N/A</v>
        <stp/>
        <stp>BDP|16309206255844142634</stp>
        <tr r="H346" s="2"/>
      </tp>
      <tp t="s">
        <v>#N/A N/A</v>
        <stp/>
        <stp>BDP|10880594545296092409</stp>
        <tr r="J316" s="2"/>
      </tp>
      <tp t="s">
        <v>#N/A N/A</v>
        <stp/>
        <stp>BDP|14345596804820853222</stp>
        <tr r="K443" s="2"/>
      </tp>
      <tp t="s">
        <v>#N/A N/A</v>
        <stp/>
        <stp>BDP|11740938072524025827</stp>
        <tr r="N189" s="2"/>
      </tp>
      <tp t="s">
        <v>#N/A N/A</v>
        <stp/>
        <stp>BDP|12795582304682909661</stp>
        <tr r="D146" s="2"/>
      </tp>
      <tp t="s">
        <v>#N/A N/A</v>
        <stp/>
        <stp>BDP|14712314347337434716</stp>
        <tr r="N337" s="2"/>
      </tp>
      <tp t="s">
        <v>#N/A N/A</v>
        <stp/>
        <stp>BDP|15525557442496327151</stp>
        <tr r="N418" s="2"/>
      </tp>
      <tp t="s">
        <v>#N/A N/A</v>
        <stp/>
        <stp>BDP|13425046303569663916</stp>
        <tr r="Q293" s="2"/>
      </tp>
      <tp t="s">
        <v>#N/A N/A</v>
        <stp/>
        <stp>BDP|16878574319031028021</stp>
        <tr r="O433" s="2"/>
      </tp>
      <tp t="s">
        <v>#N/A N/A</v>
        <stp/>
        <stp>BDP|16178551351732564740</stp>
        <tr r="O465" s="2"/>
      </tp>
      <tp t="s">
        <v>#N/A N/A</v>
        <stp/>
        <stp>BDP|16158864973812969898</stp>
        <tr r="O207" s="2"/>
      </tp>
      <tp t="s">
        <v>#N/A N/A</v>
        <stp/>
        <stp>BDP|10489184776912922771</stp>
        <tr r="H42" s="2"/>
      </tp>
      <tp t="s">
        <v>#N/A N/A</v>
        <stp/>
        <stp>BDP|17730032905257300365</stp>
        <tr r="C493" s="2"/>
      </tp>
      <tp t="s">
        <v>#N/A N/A</v>
        <stp/>
        <stp>BDP|13784056317949697878</stp>
        <tr r="I355" s="2"/>
      </tp>
      <tp t="s">
        <v>#N/A N/A</v>
        <stp/>
        <stp>BDP|18312577961088267036</stp>
        <tr r="E241" s="2"/>
      </tp>
      <tp t="s">
        <v>#N/A N/A</v>
        <stp/>
        <stp>BDP|12013356556236292159</stp>
        <tr r="M16" s="2"/>
      </tp>
      <tp t="s">
        <v>#N/A N/A</v>
        <stp/>
        <stp>BDP|15158220853682101357</stp>
        <tr r="M338" s="2"/>
      </tp>
      <tp t="s">
        <v>#N/A N/A</v>
        <stp/>
        <stp>BDP|17287186888015738819</stp>
        <tr r="J404" s="2"/>
      </tp>
      <tp t="s">
        <v>#N/A N/A</v>
        <stp/>
        <stp>BDP|16124656305372010152</stp>
        <tr r="J82" s="2"/>
      </tp>
      <tp t="s">
        <v>#N/A N/A</v>
        <stp/>
        <stp>BDP|11251627209500960445</stp>
        <tr r="E407" s="2"/>
      </tp>
      <tp t="s">
        <v>#N/A N/A</v>
        <stp/>
        <stp>BDP|13091056064097635107</stp>
        <tr r="H273" s="2"/>
      </tp>
      <tp t="s">
        <v>#N/A N/A</v>
        <stp/>
        <stp>BDP|17741088254197969651</stp>
        <tr r="M301" s="2"/>
      </tp>
      <tp t="s">
        <v>#N/A N/A</v>
        <stp/>
        <stp>BDP|11817085863444104059</stp>
        <tr r="F55" s="2"/>
      </tp>
      <tp t="s">
        <v>#N/A N/A</v>
        <stp/>
        <stp>BDP|11116596532833905746</stp>
        <tr r="R404" s="2"/>
      </tp>
      <tp t="s">
        <v>#N/A N/A</v>
        <stp/>
        <stp>BDP|11124173844800459713</stp>
        <tr r="L444" s="2"/>
      </tp>
      <tp t="s">
        <v>#N/A N/A</v>
        <stp/>
        <stp>BDP|11414379038190530296</stp>
        <tr r="O501" s="2"/>
      </tp>
      <tp t="s">
        <v>#N/A N/A</v>
        <stp/>
        <stp>BDP|17154239289277440986</stp>
        <tr r="N392" s="2"/>
      </tp>
      <tp t="s">
        <v>#N/A N/A</v>
        <stp/>
        <stp>BDP|17540700737303344362</stp>
        <tr r="L156" s="2"/>
      </tp>
      <tp t="s">
        <v>#N/A N/A</v>
        <stp/>
        <stp>BDP|15385555137778659808</stp>
        <tr r="J106" s="2"/>
      </tp>
      <tp t="s">
        <v>#N/A N/A</v>
        <stp/>
        <stp>BDP|13551072033263436021</stp>
        <tr r="C319" s="2"/>
      </tp>
      <tp t="s">
        <v>#N/A N/A</v>
        <stp/>
        <stp>BDP|14460584431093335297</stp>
        <tr r="H408" s="2"/>
      </tp>
      <tp t="s">
        <v>#N/A N/A</v>
        <stp/>
        <stp>BDP|17336588875526108090</stp>
        <tr r="F317" s="2"/>
      </tp>
      <tp t="s">
        <v>#N/A N/A</v>
        <stp/>
        <stp>BDP|14616353962007073578</stp>
        <tr r="K40" s="2"/>
      </tp>
      <tp t="s">
        <v>#N/A N/A</v>
        <stp/>
        <stp>BDP|11572249963242096448</stp>
        <tr r="K400" s="2"/>
      </tp>
      <tp t="s">
        <v>#N/A N/A</v>
        <stp/>
        <stp>BDP|12512967084096594643</stp>
        <tr r="P496" s="2"/>
      </tp>
      <tp t="s">
        <v>#N/A N/A</v>
        <stp/>
        <stp>BDP|13670874566936626879</stp>
        <tr r="C301" s="2"/>
      </tp>
      <tp t="s">
        <v>#N/A N/A</v>
        <stp/>
        <stp>BDP|16009348175912029372</stp>
        <tr r="P445" s="2"/>
      </tp>
      <tp t="s">
        <v>#N/A N/A</v>
        <stp/>
        <stp>BDP|13787463928887904162</stp>
        <tr r="H23" s="2"/>
      </tp>
      <tp t="s">
        <v>#N/A N/A</v>
        <stp/>
        <stp>BDP|13216634107490458644</stp>
        <tr r="E169" s="2"/>
      </tp>
      <tp t="s">
        <v>#N/A N/A</v>
        <stp/>
        <stp>BDP|14235182128412538611</stp>
        <tr r="L116" s="2"/>
      </tp>
      <tp t="s">
        <v>#N/A N/A</v>
        <stp/>
        <stp>BDP|14767995663178330086</stp>
        <tr r="D307" s="2"/>
      </tp>
      <tp t="s">
        <v>#N/A N/A</v>
        <stp/>
        <stp>BDP|14900323967110864222</stp>
        <tr r="K231" s="2"/>
      </tp>
      <tp t="s">
        <v>#N/A N/A</v>
        <stp/>
        <stp>BDP|14996485613626247468</stp>
        <tr r="Q348" s="2"/>
      </tp>
      <tp t="s">
        <v>#N/A N/A</v>
        <stp/>
        <stp>BDP|16640131691118418560</stp>
        <tr r="I152" s="2"/>
      </tp>
      <tp t="s">
        <v>#N/A N/A</v>
        <stp/>
        <stp>BDP|14165445933694465446</stp>
        <tr r="P475" s="2"/>
      </tp>
      <tp t="s">
        <v>#N/A N/A</v>
        <stp/>
        <stp>BDP|17294221111992991613</stp>
        <tr r="K250" s="2"/>
      </tp>
      <tp t="s">
        <v>#N/A N/A</v>
        <stp/>
        <stp>BDP|16720092107977115113</stp>
        <tr r="N503" s="2"/>
      </tp>
      <tp t="s">
        <v>#N/A N/A</v>
        <stp/>
        <stp>BDP|16119687472054099325</stp>
        <tr r="P235" s="2"/>
      </tp>
      <tp t="s">
        <v>#N/A N/A</v>
        <stp/>
        <stp>BDP|11642377430035036488</stp>
        <tr r="R381" s="2"/>
      </tp>
      <tp t="s">
        <v>#N/A N/A</v>
        <stp/>
        <stp>BDP|18139938366607915041</stp>
        <tr r="O477" s="2"/>
      </tp>
      <tp t="s">
        <v>#N/A N/A</v>
        <stp/>
        <stp>BDP|12997596779442213227</stp>
        <tr r="I423" s="2"/>
      </tp>
      <tp t="s">
        <v>#N/A N/A</v>
        <stp/>
        <stp>BDP|15613797846885955397</stp>
        <tr r="Q67" s="2"/>
      </tp>
      <tp t="s">
        <v>#N/A N/A</v>
        <stp/>
        <stp>BDP|14483428097108068184</stp>
        <tr r="H349" s="2"/>
      </tp>
      <tp t="s">
        <v>#N/A N/A</v>
        <stp/>
        <stp>BDP|14117142356091228183</stp>
        <tr r="I269" s="2"/>
      </tp>
      <tp t="s">
        <v>#N/A N/A</v>
        <stp/>
        <stp>BDP|14448459547966958266</stp>
        <tr r="J378" s="2"/>
      </tp>
      <tp t="s">
        <v>#N/A N/A</v>
        <stp/>
        <stp>BDP|15090351349986718427</stp>
        <tr r="J276" s="2"/>
      </tp>
      <tp t="s">
        <v>#N/A N/A</v>
        <stp/>
        <stp>BDP|12407819979324581904</stp>
        <tr r="F24" s="2"/>
      </tp>
      <tp t="s">
        <v>#N/A N/A</v>
        <stp/>
        <stp>BDP|15711258516670504689</stp>
        <tr r="E404" s="2"/>
      </tp>
      <tp t="s">
        <v>#N/A N/A</v>
        <stp/>
        <stp>BDP|11508133918340259150</stp>
        <tr r="Q197" s="2"/>
      </tp>
      <tp t="s">
        <v>#N/A N/A</v>
        <stp/>
        <stp>BDP|17154993448659852311</stp>
        <tr r="G440" s="2"/>
      </tp>
      <tp t="s">
        <v>#N/A N/A</v>
        <stp/>
        <stp>BDP|13547598040300423207</stp>
        <tr r="C12" s="2"/>
      </tp>
      <tp t="s">
        <v>#N/A N/A</v>
        <stp/>
        <stp>BDP|17720342801823314790</stp>
        <tr r="I157" s="2"/>
      </tp>
      <tp t="s">
        <v>#N/A N/A</v>
        <stp/>
        <stp>BDP|13189889461208055509</stp>
        <tr r="E396" s="2"/>
      </tp>
      <tp t="s">
        <v>#N/A N/A</v>
        <stp/>
        <stp>BDP|10540749923257997239</stp>
        <tr r="F104" s="2"/>
      </tp>
      <tp t="s">
        <v>#N/A N/A</v>
        <stp/>
        <stp>BDP|17969063289988628782</stp>
        <tr r="C316" s="2"/>
      </tp>
      <tp t="s">
        <v>#N/A N/A</v>
        <stp/>
        <stp>BDP|18005841125192879014</stp>
        <tr r="D34" s="2"/>
      </tp>
      <tp t="s">
        <v>#N/A N/A</v>
        <stp/>
        <stp>BDP|17275412769852386717</stp>
        <tr r="I391" s="2"/>
      </tp>
      <tp t="s">
        <v>#N/A N/A</v>
        <stp/>
        <stp>BDP|15157985463193080928</stp>
        <tr r="J190" s="2"/>
      </tp>
      <tp t="s">
        <v>#N/A N/A</v>
        <stp/>
        <stp>BDP|12801916266829598427</stp>
        <tr r="E33" s="2"/>
      </tp>
      <tp t="s">
        <v>#N/A N/A</v>
        <stp/>
        <stp>BDP|13699511969951764110</stp>
        <tr r="Q224" s="2"/>
      </tp>
      <tp t="s">
        <v>#N/A N/A</v>
        <stp/>
        <stp>BDP|17541382751765687412</stp>
        <tr r="H188" s="2"/>
      </tp>
      <tp t="s">
        <v>#N/A N/A</v>
        <stp/>
        <stp>BDP|11288338760871316593</stp>
        <tr r="C96" s="2"/>
      </tp>
      <tp t="s">
        <v>#N/A N/A</v>
        <stp/>
        <stp>BDP|12873116690099165338</stp>
        <tr r="F49" s="2"/>
      </tp>
      <tp t="s">
        <v>#N/A N/A</v>
        <stp/>
        <stp>BDP|15134473905199198896</stp>
        <tr r="C462" s="2"/>
      </tp>
      <tp t="s">
        <v>#N/A N/A</v>
        <stp/>
        <stp>BDP|10612894283460062079</stp>
        <tr r="D208" s="2"/>
      </tp>
      <tp t="s">
        <v>#N/A N/A</v>
        <stp/>
        <stp>BDP|10082578002937740290</stp>
        <tr r="J27" s="2"/>
      </tp>
      <tp t="s">
        <v>#N/A N/A</v>
        <stp/>
        <stp>BDP|12683638806194152097</stp>
        <tr r="O165" s="2"/>
      </tp>
      <tp t="s">
        <v>#N/A N/A</v>
        <stp/>
        <stp>BDP|11636830297111005193</stp>
        <tr r="L95" s="2"/>
      </tp>
      <tp t="s">
        <v>#N/A N/A</v>
        <stp/>
        <stp>BDP|14236212545453435196</stp>
        <tr r="R321" s="2"/>
      </tp>
      <tp t="s">
        <v>#N/A N/A</v>
        <stp/>
        <stp>BDP|16537129947877339484</stp>
        <tr r="H256" s="2"/>
      </tp>
      <tp t="s">
        <v>#N/A N/A</v>
        <stp/>
        <stp>BDP|12595283267124992298</stp>
        <tr r="C47" s="2"/>
      </tp>
      <tp t="s">
        <v>#N/A N/A</v>
        <stp/>
        <stp>BDP|12691646553696363786</stp>
        <tr r="G82" s="2"/>
      </tp>
      <tp t="s">
        <v>#N/A N/A</v>
        <stp/>
        <stp>BDP|16342531254925804364</stp>
        <tr r="P245" s="2"/>
      </tp>
      <tp t="s">
        <v>#N/A N/A</v>
        <stp/>
        <stp>BDP|17188912838199011424</stp>
        <tr r="H166" s="2"/>
      </tp>
      <tp t="s">
        <v>#N/A N/A</v>
        <stp/>
        <stp>BDP|11787459752552883222</stp>
        <tr r="K302" s="2"/>
      </tp>
      <tp t="s">
        <v>#N/A N/A</v>
        <stp/>
        <stp>BDP|14167694504126767418</stp>
        <tr r="F147" s="2"/>
      </tp>
      <tp t="s">
        <v>#N/A N/A</v>
        <stp/>
        <stp>BDP|13907885795635806760</stp>
        <tr r="M243" s="2"/>
      </tp>
      <tp t="s">
        <v>#N/A N/A</v>
        <stp/>
        <stp>BDP|15030457674543205590</stp>
        <tr r="G381" s="2"/>
      </tp>
      <tp t="s">
        <v>#N/A N/A</v>
        <stp/>
        <stp>BDP|17254787931774876792</stp>
        <tr r="O211" s="2"/>
      </tp>
      <tp t="s">
        <v>#N/A N/A</v>
        <stp/>
        <stp>BDP|17928770774146957196</stp>
        <tr r="L262" s="2"/>
      </tp>
      <tp t="s">
        <v>#N/A N/A</v>
        <stp/>
        <stp>BDP|15174937293533912623</stp>
        <tr r="E214" s="2"/>
      </tp>
      <tp t="s">
        <v>#N/A N/A</v>
        <stp/>
        <stp>BDP|14395201002657381181</stp>
        <tr r="G489" s="2"/>
      </tp>
      <tp t="s">
        <v>#N/A N/A</v>
        <stp/>
        <stp>BDP|10860816397904291567</stp>
        <tr r="G343" s="2"/>
      </tp>
      <tp t="s">
        <v>#N/A N/A</v>
        <stp/>
        <stp>BDP|11417522984835989915</stp>
        <tr r="Q159" s="2"/>
      </tp>
      <tp t="s">
        <v>#N/A N/A</v>
        <stp/>
        <stp>BDP|14158717704603821063</stp>
        <tr r="I93" s="2"/>
      </tp>
      <tp t="s">
        <v>#N/A N/A</v>
        <stp/>
        <stp>BDP|16270142338184472006</stp>
        <tr r="H397" s="2"/>
      </tp>
      <tp t="s">
        <v>#N/A N/A</v>
        <stp/>
        <stp>BDP|12481530532276039282</stp>
        <tr r="P110" s="2"/>
      </tp>
      <tp t="s">
        <v>#N/A N/A</v>
        <stp/>
        <stp>BDP|12228756638742103439</stp>
        <tr r="K8" s="2"/>
      </tp>
      <tp t="s">
        <v>#N/A N/A</v>
        <stp/>
        <stp>BDP|15329686035394096434</stp>
        <tr r="Q64" s="2"/>
      </tp>
      <tp t="s">
        <v>#N/A N/A</v>
        <stp/>
        <stp>BDP|16050159609892592544</stp>
        <tr r="G239" s="2"/>
      </tp>
      <tp t="s">
        <v>#N/A N/A</v>
        <stp/>
        <stp>BDP|11946656554324713629</stp>
        <tr r="N140" s="2"/>
      </tp>
      <tp t="s">
        <v>#N/A N/A</v>
        <stp/>
        <stp>BDP|12127955005308499382</stp>
        <tr r="J386" s="2"/>
      </tp>
      <tp t="s">
        <v>#N/A N/A</v>
        <stp/>
        <stp>BDP|15291934794974091182</stp>
        <tr r="I209" s="2"/>
      </tp>
      <tp t="s">
        <v>#N/A N/A</v>
        <stp/>
        <stp>BDP|15237050173231948309</stp>
        <tr r="I435" s="2"/>
      </tp>
      <tp t="s">
        <v>#N/A N/A</v>
        <stp/>
        <stp>BDP|17447721149453688745</stp>
        <tr r="G199" s="2"/>
      </tp>
      <tp t="s">
        <v>#N/A N/A</v>
        <stp/>
        <stp>BDP|17955051276455003573</stp>
        <tr r="E106" s="2"/>
      </tp>
      <tp t="s">
        <v>#N/A N/A</v>
        <stp/>
        <stp>BDP|12527513530146171285</stp>
        <tr r="N314" s="2"/>
      </tp>
      <tp t="s">
        <v>#N/A N/A</v>
        <stp/>
        <stp>BDP|13734991591331311216</stp>
        <tr r="G284" s="2"/>
      </tp>
      <tp t="s">
        <v>#N/A N/A</v>
        <stp/>
        <stp>BDP|16884198022723725691</stp>
        <tr r="J89" s="2"/>
      </tp>
      <tp t="s">
        <v>#N/A N/A</v>
        <stp/>
        <stp>BDP|15193953561148864216</stp>
        <tr r="R288" s="2"/>
      </tp>
      <tp t="s">
        <v>#N/A N/A</v>
        <stp/>
        <stp>BDP|12118490939755851059</stp>
        <tr r="N153" s="2"/>
      </tp>
      <tp t="s">
        <v>#N/A N/A</v>
        <stp/>
        <stp>BDP|14962430765007389107</stp>
        <tr r="O206" s="2"/>
      </tp>
      <tp t="s">
        <v>#N/A N/A</v>
        <stp/>
        <stp>BDP|15501941865818194299</stp>
        <tr r="I136" s="2"/>
      </tp>
      <tp t="s">
        <v>#N/A N/A</v>
        <stp/>
        <stp>BDP|16963799737094318681</stp>
        <tr r="Q166" s="2"/>
      </tp>
      <tp t="s">
        <v>#N/A N/A</v>
        <stp/>
        <stp>BDP|14633379435947971318</stp>
        <tr r="I341" s="2"/>
      </tp>
      <tp t="s">
        <v>#N/A N/A</v>
        <stp/>
        <stp>BDP|15428065313524806051</stp>
        <tr r="D190" s="2"/>
      </tp>
      <tp t="s">
        <v>#N/A N/A</v>
        <stp/>
        <stp>BDP|16775447818526038575</stp>
        <tr r="H145" s="2"/>
      </tp>
      <tp t="s">
        <v>#N/A N/A</v>
        <stp/>
        <stp>BDP|15225576709096640662</stp>
        <tr r="Q110" s="2"/>
      </tp>
      <tp t="s">
        <v>#N/A N/A</v>
        <stp/>
        <stp>BDP|12915151557005266354</stp>
        <tr r="P497" s="2"/>
      </tp>
      <tp t="s">
        <v>#N/A N/A</v>
        <stp/>
        <stp>BDP|13344152186562426880</stp>
        <tr r="Q227" s="2"/>
      </tp>
      <tp t="s">
        <v>#N/A N/A</v>
        <stp/>
        <stp>BDP|15167294548373849042</stp>
        <tr r="J392" s="2"/>
      </tp>
      <tp t="s">
        <v>#N/A N/A</v>
        <stp/>
        <stp>BDP|15137699418277990557</stp>
        <tr r="I111" s="2"/>
      </tp>
      <tp t="s">
        <v>#N/A N/A</v>
        <stp/>
        <stp>BDP|17658530666463808774</stp>
        <tr r="E492" s="2"/>
      </tp>
      <tp t="s">
        <v>#N/A N/A</v>
        <stp/>
        <stp>BDP|10153428638586409102</stp>
        <tr r="E454" s="2"/>
      </tp>
      <tp t="s">
        <v>#N/A N/A</v>
        <stp/>
        <stp>BDP|10208678512736056182</stp>
        <tr r="P384" s="2"/>
      </tp>
      <tp t="s">
        <v>#N/A N/A</v>
        <stp/>
        <stp>BDP|14769952629058421709</stp>
        <tr r="J470" s="2"/>
      </tp>
      <tp t="s">
        <v>#N/A N/A</v>
        <stp/>
        <stp>BDP|11458541202562885657</stp>
        <tr r="R324" s="2"/>
      </tp>
      <tp t="s">
        <v>#N/A N/A</v>
        <stp/>
        <stp>BDP|15117398011690464727</stp>
        <tr r="K105" s="2"/>
      </tp>
      <tp t="s">
        <v>#N/A N/A</v>
        <stp/>
        <stp>BDP|18395867606057910751</stp>
        <tr r="R215" s="2"/>
      </tp>
      <tp t="s">
        <v>#N/A N/A</v>
        <stp/>
        <stp>BDP|10791385390313141915</stp>
        <tr r="L365" s="2"/>
      </tp>
      <tp t="s">
        <v>#N/A N/A</v>
        <stp/>
        <stp>BDP|13642409254242803053</stp>
        <tr r="P126" s="2"/>
      </tp>
      <tp t="s">
        <v>#N/A N/A</v>
        <stp/>
        <stp>BDP|16259090012535164275</stp>
        <tr r="Q103" s="2"/>
      </tp>
      <tp t="s">
        <v>#N/A N/A</v>
        <stp/>
        <stp>BDP|16610106438574854094</stp>
        <tr r="J326" s="2"/>
      </tp>
      <tp t="s">
        <v>#N/A N/A</v>
        <stp/>
        <stp>BDP|13403358332991806243</stp>
        <tr r="F145" s="2"/>
      </tp>
      <tp t="s">
        <v>#N/A N/A</v>
        <stp/>
        <stp>BDP|14653380105523410403</stp>
        <tr r="F240" s="2"/>
      </tp>
      <tp t="s">
        <v>#N/A N/A</v>
        <stp/>
        <stp>BDP|17762505452863982432</stp>
        <tr r="N226" s="2"/>
      </tp>
      <tp t="s">
        <v>#N/A N/A</v>
        <stp/>
        <stp>BDP|17830273351440071014</stp>
        <tr r="Q14" s="2"/>
      </tp>
      <tp t="s">
        <v>#N/A N/A</v>
        <stp/>
        <stp>BDP|10341057297760899968</stp>
        <tr r="R242" s="2"/>
      </tp>
      <tp t="s">
        <v>#N/A N/A</v>
        <stp/>
        <stp>BDP|11850836186205607444</stp>
        <tr r="F74" s="2"/>
      </tp>
      <tp t="s">
        <v>#N/A N/A</v>
        <stp/>
        <stp>BDP|17723514719577962491</stp>
        <tr r="D375" s="2"/>
      </tp>
      <tp t="s">
        <v>#N/A N/A</v>
        <stp/>
        <stp>BDP|13506592267458583805</stp>
        <tr r="F351" s="2"/>
      </tp>
      <tp t="s">
        <v>#N/A N/A</v>
        <stp/>
        <stp>BDP|12818764641563192200</stp>
        <tr r="I65" s="2"/>
      </tp>
      <tp t="s">
        <v>#N/A N/A</v>
        <stp/>
        <stp>BDP|13884783448837446728</stp>
        <tr r="D264" s="2"/>
      </tp>
      <tp t="s">
        <v>#N/A N/A</v>
        <stp/>
        <stp>BDP|15672082095749363569</stp>
        <tr r="J243" s="2"/>
      </tp>
      <tp t="s">
        <v>#N/A N/A</v>
        <stp/>
        <stp>BDP|17567292652087712779</stp>
        <tr r="L465" s="2"/>
      </tp>
      <tp t="s">
        <v>#N/A N/A</v>
        <stp/>
        <stp>BDP|14343159326436620189</stp>
        <tr r="J121" s="2"/>
      </tp>
      <tp t="s">
        <v>#N/A N/A</v>
        <stp/>
        <stp>BDP|12171711716853076789</stp>
        <tr r="R245" s="2"/>
      </tp>
      <tp t="s">
        <v>#N/A N/A</v>
        <stp/>
        <stp>BDP|12003470326855616199</stp>
        <tr r="C448" s="2"/>
      </tp>
      <tp t="s">
        <v>#N/A N/A</v>
        <stp/>
        <stp>BDP|13710383905955397575</stp>
        <tr r="D25" s="2"/>
      </tp>
      <tp t="s">
        <v>#N/A N/A</v>
        <stp/>
        <stp>BDP|17460914781723251587</stp>
        <tr r="L468" s="2"/>
      </tp>
      <tp t="s">
        <v>#N/A N/A</v>
        <stp/>
        <stp>BDP|16827962050269716374</stp>
        <tr r="H232" s="2"/>
      </tp>
      <tp t="s">
        <v>#N/A N/A</v>
        <stp/>
        <stp>BDP|13993968791575232620</stp>
        <tr r="E308" s="2"/>
      </tp>
      <tp t="s">
        <v>#N/A N/A</v>
        <stp/>
        <stp>BDP|15588285932830570445</stp>
        <tr r="K82" s="2"/>
      </tp>
      <tp t="s">
        <v>#N/A N/A</v>
        <stp/>
        <stp>BDP|10220069159414406179</stp>
        <tr r="M457" s="2"/>
      </tp>
      <tp t="s">
        <v>#N/A N/A</v>
        <stp/>
        <stp>BDP|13583533627076886276</stp>
        <tr r="L240" s="2"/>
      </tp>
      <tp t="s">
        <v>#N/A N/A</v>
        <stp/>
        <stp>BDP|16627044434493101696</stp>
        <tr r="M87" s="2"/>
      </tp>
      <tp t="s">
        <v>#N/A N/A</v>
        <stp/>
        <stp>BDP|14001510640046910365</stp>
        <tr r="I306" s="2"/>
      </tp>
      <tp t="s">
        <v>#N/A N/A</v>
        <stp/>
        <stp>BDP|16547386963654739773</stp>
        <tr r="R354" s="2"/>
      </tp>
      <tp t="s">
        <v>#N/A N/A</v>
        <stp/>
        <stp>BDP|14781150143258571956</stp>
        <tr r="R313" s="2"/>
      </tp>
      <tp t="s">
        <v>#N/A N/A</v>
        <stp/>
        <stp>BDP|18052818842051420565</stp>
        <tr r="P276" s="2"/>
      </tp>
      <tp t="s">
        <v>#N/A N/A</v>
        <stp/>
        <stp>BDP|11958277713635569798</stp>
        <tr r="I286" s="2"/>
      </tp>
      <tp t="s">
        <v>#N/A N/A</v>
        <stp/>
        <stp>BDP|14872635818355400669</stp>
        <tr r="Q294" s="2"/>
      </tp>
      <tp t="s">
        <v>#N/A N/A</v>
        <stp/>
        <stp>BDP|15861568451867862268</stp>
        <tr r="R282" s="2"/>
      </tp>
      <tp t="s">
        <v>#N/A N/A</v>
        <stp/>
        <stp>BDP|10613657755811123262</stp>
        <tr r="E202" s="2"/>
      </tp>
      <tp t="s">
        <v>#N/A N/A</v>
        <stp/>
        <stp>BDP|11610699304113220486</stp>
        <tr r="J156" s="2"/>
      </tp>
      <tp t="s">
        <v>#N/A N/A</v>
        <stp/>
        <stp>BDP|13846784101507506359</stp>
        <tr r="E118" s="2"/>
      </tp>
      <tp t="s">
        <v>#N/A N/A</v>
        <stp/>
        <stp>BDP|10605820799344439583</stp>
        <tr r="I312" s="2"/>
      </tp>
      <tp t="s">
        <v>#N/A N/A</v>
        <stp/>
        <stp>BDP|12745955594711113364</stp>
        <tr r="F223" s="2"/>
      </tp>
      <tp t="s">
        <v>#N/A N/A</v>
        <stp/>
        <stp>BDP|16714636577982696545</stp>
        <tr r="E173" s="2"/>
      </tp>
      <tp t="s">
        <v>#N/A N/A</v>
        <stp/>
        <stp>BDP|13508450927063258644</stp>
        <tr r="N267" s="2"/>
      </tp>
      <tp t="s">
        <v>#N/A N/A</v>
        <stp/>
        <stp>BDP|17721309907096632279</stp>
        <tr r="F393" s="2"/>
      </tp>
      <tp t="s">
        <v>#N/A N/A</v>
        <stp/>
        <stp>BDP|13996023142547976018</stp>
        <tr r="M364" s="2"/>
      </tp>
      <tp t="s">
        <v>#N/A N/A</v>
        <stp/>
        <stp>BDP|10647292577745032092</stp>
        <tr r="H195" s="2"/>
      </tp>
      <tp t="s">
        <v>#N/A N/A</v>
        <stp/>
        <stp>BDP|15042012960487675465</stp>
        <tr r="Q155" s="2"/>
      </tp>
      <tp t="s">
        <v>#N/A N/A</v>
        <stp/>
        <stp>BDP|12252041855395135233</stp>
        <tr r="N239" s="2"/>
      </tp>
      <tp t="s">
        <v>#N/A N/A</v>
        <stp/>
        <stp>BDP|17744367003424678056</stp>
        <tr r="O22" s="2"/>
      </tp>
      <tp t="s">
        <v>#N/A N/A</v>
        <stp/>
        <stp>BDP|12517461958110359390</stp>
        <tr r="I465" s="2"/>
      </tp>
      <tp t="s">
        <v>#N/A N/A</v>
        <stp/>
        <stp>BDP|16430882602079995773</stp>
        <tr r="K417" s="2"/>
      </tp>
      <tp t="s">
        <v>#N/A N/A</v>
        <stp/>
        <stp>BDP|11140144526920308200</stp>
        <tr r="L161" s="2"/>
      </tp>
      <tp t="s">
        <v>#N/A N/A</v>
        <stp/>
        <stp>BDP|10846189310704943496</stp>
        <tr r="J483" s="2"/>
      </tp>
      <tp t="s">
        <v>#N/A N/A</v>
        <stp/>
        <stp>BDP|15886133485609817562</stp>
        <tr r="E85" s="2"/>
      </tp>
      <tp t="s">
        <v>#N/A N/A</v>
        <stp/>
        <stp>BDP|14170878471972690911</stp>
        <tr r="P83" s="2"/>
      </tp>
      <tp t="s">
        <v>#N/A N/A</v>
        <stp/>
        <stp>BDP|15056747368513899742</stp>
        <tr r="F42" s="2"/>
      </tp>
      <tp t="s">
        <v>#N/A N/A</v>
        <stp/>
        <stp>BDP|12490050011103523056</stp>
        <tr r="C467" s="2"/>
      </tp>
      <tp t="s">
        <v>#N/A N/A</v>
        <stp/>
        <stp>BDP|17844041568627268667</stp>
        <tr r="E267" s="2"/>
      </tp>
      <tp t="s">
        <v>#N/A N/A</v>
        <stp/>
        <stp>BDP|17268032961520900193</stp>
        <tr r="G456" s="2"/>
      </tp>
      <tp t="s">
        <v>#N/A N/A</v>
        <stp/>
        <stp>BDP|14482294339751628429</stp>
        <tr r="O62" s="2"/>
      </tp>
      <tp t="s">
        <v>#N/A N/A</v>
        <stp/>
        <stp>BDP|16829284461204179603</stp>
        <tr r="L452" s="2"/>
      </tp>
      <tp t="s">
        <v>#N/A N/A</v>
        <stp/>
        <stp>BDP|17664747223203175104</stp>
        <tr r="I381" s="2"/>
      </tp>
      <tp t="s">
        <v>#N/A N/A</v>
        <stp/>
        <stp>BDP|11484078021275231601</stp>
        <tr r="G379" s="2"/>
      </tp>
      <tp t="s">
        <v>#N/A N/A</v>
        <stp/>
        <stp>BDP|15578345430743436650</stp>
        <tr r="I106" s="2"/>
      </tp>
      <tp t="s">
        <v>#N/A N/A</v>
        <stp/>
        <stp>BDP|10459023832125347675</stp>
        <tr r="J51" s="2"/>
      </tp>
      <tp t="s">
        <v>#N/A N/A</v>
        <stp/>
        <stp>BDP|13972341051773458681</stp>
        <tr r="I308" s="2"/>
      </tp>
      <tp t="s">
        <v>#N/A N/A</v>
        <stp/>
        <stp>BDP|11559191132513622086</stp>
        <tr r="C274" s="2"/>
      </tp>
      <tp t="s">
        <v>#N/A N/A</v>
        <stp/>
        <stp>BDP|15144133607070441416</stp>
        <tr r="G189" s="2"/>
      </tp>
      <tp t="s">
        <v>#N/A N/A</v>
        <stp/>
        <stp>BDP|13521414600076049146</stp>
        <tr r="O125" s="2"/>
      </tp>
      <tp t="s">
        <v>#N/A N/A</v>
        <stp/>
        <stp>BDP|16203613151803813691</stp>
        <tr r="C25" s="2"/>
      </tp>
      <tp t="s">
        <v>#N/A N/A</v>
        <stp/>
        <stp>BDP|14639194803954646191</stp>
        <tr r="L470" s="2"/>
      </tp>
      <tp t="s">
        <v>#N/A N/A</v>
        <stp/>
        <stp>BDP|13949205026567473489</stp>
        <tr r="L45" s="2"/>
      </tp>
      <tp t="s">
        <v>#N/A N/A</v>
        <stp/>
        <stp>BDP|14941177651901469186</stp>
        <tr r="O455" s="2"/>
      </tp>
      <tp t="s">
        <v>#N/A N/A</v>
        <stp/>
        <stp>BDP|18318765799787890170</stp>
        <tr r="G377" s="2"/>
      </tp>
      <tp t="s">
        <v>#N/A N/A</v>
        <stp/>
        <stp>BDP|16167199198769313703</stp>
        <tr r="Q314" s="2"/>
      </tp>
      <tp t="s">
        <v>#N/A N/A</v>
        <stp/>
        <stp>BDP|17508735500373674338</stp>
        <tr r="J23" s="2"/>
      </tp>
      <tp t="s">
        <v>#N/A N/A</v>
        <stp/>
        <stp>BDP|10527057928704820638</stp>
        <tr r="P266" s="2"/>
      </tp>
      <tp t="s">
        <v>#N/A N/A</v>
        <stp/>
        <stp>BDP|16139317642118682973</stp>
        <tr r="M147" s="2"/>
      </tp>
      <tp t="s">
        <v>#N/A N/A</v>
        <stp/>
        <stp>BDP|11485996198655452423</stp>
        <tr r="D234" s="2"/>
      </tp>
      <tp t="s">
        <v>#N/A N/A</v>
        <stp/>
        <stp>BDP|16446624267432284402</stp>
        <tr r="C377" s="2"/>
      </tp>
      <tp t="s">
        <v>#N/A N/A</v>
        <stp/>
        <stp>BDP|18347725763941616874</stp>
        <tr r="I411" s="2"/>
      </tp>
      <tp t="s">
        <v>#N/A N/A</v>
        <stp/>
        <stp>BDP|11202124340753493776</stp>
        <tr r="G402" s="2"/>
      </tp>
      <tp t="s">
        <v>#N/A N/A</v>
        <stp/>
        <stp>BDP|16516242420746717057</stp>
        <tr r="Q120" s="2"/>
      </tp>
      <tp t="s">
        <v>#N/A N/A</v>
        <stp/>
        <stp>BDP|17460312110712611700</stp>
        <tr r="E442" s="2"/>
      </tp>
      <tp t="s">
        <v>#N/A N/A</v>
        <stp/>
        <stp>BDP|10951653908785764306</stp>
        <tr r="H216" s="2"/>
      </tp>
      <tp t="s">
        <v>#N/A N/A</v>
        <stp/>
        <stp>BDP|11527639766367090630</stp>
        <tr r="Q362" s="2"/>
      </tp>
      <tp t="s">
        <v>#N/A N/A</v>
        <stp/>
        <stp>BDP|12441455394689776616</stp>
        <tr r="N434" s="2"/>
      </tp>
      <tp t="s">
        <v>#N/A N/A</v>
        <stp/>
        <stp>BDP|17601393291349860452</stp>
        <tr r="R425" s="2"/>
      </tp>
      <tp t="s">
        <v>#N/A N/A</v>
        <stp/>
        <stp>BDP|10902203642442100493</stp>
        <tr r="M470" s="2"/>
      </tp>
      <tp t="s">
        <v>#N/A N/A</v>
        <stp/>
        <stp>BDP|14851877533718699787</stp>
        <tr r="R379" s="2"/>
      </tp>
      <tp t="s">
        <v>#N/A N/A</v>
        <stp/>
        <stp>BDP|18326440367722764858</stp>
        <tr r="E353" s="2"/>
      </tp>
      <tp t="s">
        <v>#N/A N/A</v>
        <stp/>
        <stp>BDP|11756996633819910260</stp>
        <tr r="M70" s="2"/>
      </tp>
      <tp t="s">
        <v>#N/A N/A</v>
        <stp/>
        <stp>BDP|15179733735555099455</stp>
        <tr r="M298" s="2"/>
      </tp>
      <tp t="s">
        <v>#N/A N/A</v>
        <stp/>
        <stp>BDP|10201557937617653148</stp>
        <tr r="F301" s="2"/>
      </tp>
      <tp t="s">
        <v>#N/A N/A</v>
        <stp/>
        <stp>BDP|16153544364767595263</stp>
        <tr r="L193" s="2"/>
      </tp>
      <tp t="s">
        <v>#N/A N/A</v>
        <stp/>
        <stp>BDP|10293760500757053068</stp>
        <tr r="P407" s="2"/>
      </tp>
      <tp t="s">
        <v>#N/A N/A</v>
        <stp/>
        <stp>BDP|12205774864114078735</stp>
        <tr r="Q15" s="2"/>
      </tp>
      <tp t="s">
        <v>#N/A N/A</v>
        <stp/>
        <stp>BDP|10410478762204489675</stp>
        <tr r="F176" s="2"/>
      </tp>
      <tp t="s">
        <v>#N/A N/A</v>
        <stp/>
        <stp>BDP|13540659673903170105</stp>
        <tr r="J109" s="2"/>
      </tp>
      <tp t="s">
        <v>#N/A N/A</v>
        <stp/>
        <stp>BDP|13230490309196264121</stp>
        <tr r="P21" s="2"/>
      </tp>
      <tp t="s">
        <v>#N/A N/A</v>
        <stp/>
        <stp>BDP|14441644576912217713</stp>
        <tr r="P43" s="2"/>
      </tp>
      <tp t="s">
        <v>#N/A N/A</v>
        <stp/>
        <stp>BDP|16799466261084148041</stp>
        <tr r="Q216" s="2"/>
      </tp>
      <tp t="s">
        <v>#N/A N/A</v>
        <stp/>
        <stp>BDP|16708164396886032825</stp>
        <tr r="F144" s="2"/>
      </tp>
      <tp t="s">
        <v>#N/A N/A</v>
        <stp/>
        <stp>BDP|14405114494529015548</stp>
        <tr r="N411" s="2"/>
      </tp>
      <tp t="s">
        <v>#N/A N/A</v>
        <stp/>
        <stp>BDP|14290639009890532284</stp>
        <tr r="K55" s="2"/>
      </tp>
      <tp t="s">
        <v>#N/A N/A</v>
        <stp/>
        <stp>BDP|18147274724358681014</stp>
        <tr r="P201" s="2"/>
      </tp>
      <tp t="s">
        <v>#N/A N/A</v>
        <stp/>
        <stp>BDP|12045819299193929041</stp>
        <tr r="M391" s="2"/>
      </tp>
      <tp t="s">
        <v>#N/A N/A</v>
        <stp/>
        <stp>BDP|15806573786871414985</stp>
        <tr r="O83" s="2"/>
      </tp>
      <tp t="s">
        <v>#N/A N/A</v>
        <stp/>
        <stp>BDP|10335438365101622366</stp>
        <tr r="I293" s="2"/>
      </tp>
      <tp t="s">
        <v>#N/A N/A</v>
        <stp/>
        <stp>BDP|13592441357861369305</stp>
        <tr r="M60" s="2"/>
      </tp>
      <tp t="s">
        <v>#N/A N/A</v>
        <stp/>
        <stp>BDP|11741478965231942298</stp>
        <tr r="F237" s="2"/>
      </tp>
      <tp t="s">
        <v>#N/A N/A</v>
        <stp/>
        <stp>BDP|15963471021642874124</stp>
        <tr r="J261" s="2"/>
      </tp>
      <tp t="s">
        <v>#N/A N/A</v>
        <stp/>
        <stp>BDP|16347107707744922386</stp>
        <tr r="E51" s="2"/>
      </tp>
      <tp t="s">
        <v>#N/A N/A</v>
        <stp/>
        <stp>BDP|11000624098129662794</stp>
        <tr r="D28" s="2"/>
      </tp>
      <tp t="s">
        <v>#N/A N/A</v>
        <stp/>
        <stp>BDP|17820162241590858227</stp>
        <tr r="L498" s="2"/>
      </tp>
      <tp t="s">
        <v>#N/A N/A</v>
        <stp/>
        <stp>BDP|12877118108842168157</stp>
        <tr r="D313" s="2"/>
      </tp>
      <tp t="s">
        <v>#N/A N/A</v>
        <stp/>
        <stp>BDP|12521277411352040364</stp>
        <tr r="D200" s="2"/>
      </tp>
      <tp t="s">
        <v>#N/A N/A</v>
        <stp/>
        <stp>BDP|13958686227524558365</stp>
        <tr r="D463" s="2"/>
      </tp>
      <tp t="s">
        <v>#N/A N/A</v>
        <stp/>
        <stp>BDP|12139252107629329953</stp>
        <tr r="P390" s="2"/>
      </tp>
      <tp t="s">
        <v>#N/A N/A</v>
        <stp/>
        <stp>BDP|17304053658220356281</stp>
        <tr r="C42" s="2"/>
      </tp>
      <tp t="s">
        <v>#N/A N/A</v>
        <stp/>
        <stp>BDP|17059321437453451441</stp>
        <tr r="F365" s="2"/>
      </tp>
      <tp t="s">
        <v>#N/A N/A</v>
        <stp/>
        <stp>BDP|10102749993066626840</stp>
        <tr r="R37" s="2"/>
      </tp>
      <tp t="s">
        <v>#N/A N/A</v>
        <stp/>
        <stp>BDP|11541832106088781134</stp>
        <tr r="O470" s="2"/>
      </tp>
      <tp t="s">
        <v>#N/A N/A</v>
        <stp/>
        <stp>BDP|13384280139554579633</stp>
        <tr r="K30" s="2"/>
      </tp>
      <tp t="s">
        <v>#N/A N/A</v>
        <stp/>
        <stp>BDP|12688458809997902171</stp>
        <tr r="F325" s="2"/>
      </tp>
      <tp t="s">
        <v>#N/A N/A</v>
        <stp/>
        <stp>BDP|15579557207818675850</stp>
        <tr r="D481" s="2"/>
      </tp>
      <tp t="s">
        <v>#N/A N/A</v>
        <stp/>
        <stp>BDP|11002846628229086283</stp>
        <tr r="L54" s="2"/>
      </tp>
      <tp t="s">
        <v>#N/A N/A</v>
        <stp/>
        <stp>BDP|14120692056950955733</stp>
        <tr r="N95" s="2"/>
      </tp>
      <tp t="s">
        <v>#N/A N/A</v>
        <stp/>
        <stp>BDP|14871487431761286271</stp>
        <tr r="D181" s="2"/>
      </tp>
      <tp t="s">
        <v>#N/A N/A</v>
        <stp/>
        <stp>BDP|11589777349351873377</stp>
        <tr r="R306" s="2"/>
      </tp>
      <tp t="s">
        <v>#N/A N/A</v>
        <stp/>
        <stp>BDP|12860484410871467600</stp>
        <tr r="N259" s="2"/>
      </tp>
      <tp t="s">
        <v>#N/A N/A</v>
        <stp/>
        <stp>BDP|17237850113908622664</stp>
        <tr r="Q101" s="2"/>
      </tp>
      <tp t="s">
        <v>#N/A N/A</v>
        <stp/>
        <stp>BDP|13132402145515991691</stp>
        <tr r="N492" s="2"/>
      </tp>
      <tp t="s">
        <v>#N/A N/A</v>
        <stp/>
        <stp>BDP|14268435524251705363</stp>
        <tr r="M49" s="2"/>
      </tp>
      <tp t="s">
        <v>#N/A N/A</v>
        <stp/>
        <stp>BDP|11141304383759736314</stp>
        <tr r="Q450" s="2"/>
      </tp>
      <tp t="s">
        <v>#N/A N/A</v>
        <stp/>
        <stp>BDP|11295101703906512605</stp>
        <tr r="G361" s="2"/>
      </tp>
      <tp t="s">
        <v>#N/A N/A</v>
        <stp/>
        <stp>BDP|10750559853119211978</stp>
        <tr r="E459" s="2"/>
      </tp>
      <tp t="s">
        <v>#N/A N/A</v>
        <stp/>
        <stp>BDP|11961087386278015136</stp>
        <tr r="L254" s="2"/>
      </tp>
      <tp t="s">
        <v>#N/A N/A</v>
        <stp/>
        <stp>BDP|13566691523867895032</stp>
        <tr r="D33" s="2"/>
      </tp>
      <tp t="s">
        <v>#N/A N/A</v>
        <stp/>
        <stp>BDP|16758322661642819184</stp>
        <tr r="L323" s="2"/>
      </tp>
      <tp t="s">
        <v>#N/A N/A</v>
        <stp/>
        <stp>BDP|17537153894077083833</stp>
        <tr r="R277" s="2"/>
      </tp>
      <tp t="s">
        <v>#N/A N/A</v>
        <stp/>
        <stp>BDP|14785364822135264060</stp>
        <tr r="L442" s="2"/>
      </tp>
      <tp t="s">
        <v>#N/A N/A</v>
        <stp/>
        <stp>BDP|18288920222032372165</stp>
        <tr r="O299" s="2"/>
      </tp>
      <tp t="s">
        <v>#N/A N/A</v>
        <stp/>
        <stp>BDP|10986637857580882328</stp>
        <tr r="N262" s="2"/>
      </tp>
      <tp t="s">
        <v>#N/A N/A</v>
        <stp/>
        <stp>BDP|15074060753476693640</stp>
        <tr r="I173" s="2"/>
      </tp>
      <tp t="s">
        <v>#N/A N/A</v>
        <stp/>
        <stp>BDP|12715339131522003024</stp>
        <tr r="L162" s="2"/>
      </tp>
      <tp t="s">
        <v>#N/A N/A</v>
        <stp/>
        <stp>BDP|15627649373326704211</stp>
        <tr r="E269" s="2"/>
      </tp>
      <tp t="s">
        <v>#N/A N/A</v>
        <stp/>
        <stp>BDP|14604336206721189651</stp>
        <tr r="K240" s="2"/>
      </tp>
      <tp t="s">
        <v>#N/A N/A</v>
        <stp/>
        <stp>BDP|15213528415036073726</stp>
        <tr r="E484" s="2"/>
      </tp>
      <tp t="s">
        <v>#N/A N/A</v>
        <stp/>
        <stp>BDP|13899095916737135510</stp>
        <tr r="L124" s="2"/>
      </tp>
      <tp t="s">
        <v>#N/A N/A</v>
        <stp/>
        <stp>BDP|11611277470420225448</stp>
        <tr r="E41" s="2"/>
      </tp>
      <tp t="s">
        <v>#N/A N/A</v>
        <stp/>
        <stp>BDP|11619198948634159015</stp>
        <tr r="H366" s="2"/>
      </tp>
      <tp t="s">
        <v>#N/A N/A</v>
        <stp/>
        <stp>BDP|14450314038701816528</stp>
        <tr r="R41" s="2"/>
      </tp>
      <tp t="s">
        <v>#N/A N/A</v>
        <stp/>
        <stp>BDP|14298064506054504003</stp>
        <tr r="H93" s="2"/>
      </tp>
      <tp t="s">
        <v>#N/A N/A</v>
        <stp/>
        <stp>BDP|14389808229319890754</stp>
        <tr r="G501" s="2"/>
      </tp>
      <tp t="s">
        <v>#N/A N/A</v>
        <stp/>
        <stp>BDP|11519339549466855004</stp>
        <tr r="M408" s="2"/>
      </tp>
      <tp t="s">
        <v>#N/A N/A</v>
        <stp/>
        <stp>BDP|17634579133885381466</stp>
        <tr r="P200" s="2"/>
      </tp>
      <tp t="s">
        <v>#N/A N/A</v>
        <stp/>
        <stp>BDP|11927935123623934971</stp>
        <tr r="F6" s="2"/>
      </tp>
      <tp t="s">
        <v>#N/A N/A</v>
        <stp/>
        <stp>BDP|11641000781231615865</stp>
        <tr r="C124" s="2"/>
      </tp>
      <tp t="s">
        <v>#N/A N/A</v>
        <stp/>
        <stp>BDP|11108686799049036774</stp>
        <tr r="C150" s="2"/>
      </tp>
      <tp t="s">
        <v>#N/A N/A</v>
        <stp/>
        <stp>BDP|13775614690345487958</stp>
        <tr r="L266" s="2"/>
      </tp>
      <tp t="s">
        <v>#N/A N/A</v>
        <stp/>
        <stp>BDP|14393180529222191545</stp>
        <tr r="I112" s="2"/>
      </tp>
      <tp t="s">
        <v>#N/A N/A</v>
        <stp/>
        <stp>BDP|11627690365242479391</stp>
        <tr r="E132" s="2"/>
      </tp>
      <tp t="s">
        <v>#N/A N/A</v>
        <stp/>
        <stp>BDP|11706087803514925526</stp>
        <tr r="R450" s="2"/>
      </tp>
      <tp t="s">
        <v>#N/A N/A</v>
        <stp/>
        <stp>BDP|14320166177253609133</stp>
        <tr r="P392" s="2"/>
      </tp>
      <tp t="s">
        <v>#N/A N/A</v>
        <stp/>
        <stp>BDP|13649344408622440296</stp>
        <tr r="K77" s="2"/>
      </tp>
      <tp t="s">
        <v>#N/A N/A</v>
        <stp/>
        <stp>BDP|14464012126580632626</stp>
        <tr r="P220" s="2"/>
      </tp>
      <tp t="s">
        <v>#N/A N/A</v>
        <stp/>
        <stp>BDP|16558576327599117833</stp>
        <tr r="H357" s="2"/>
      </tp>
      <tp t="s">
        <v>#N/A N/A</v>
        <stp/>
        <stp>BDP|13107052307244061742</stp>
        <tr r="J446" s="2"/>
      </tp>
      <tp t="s">
        <v>#N/A N/A</v>
        <stp/>
        <stp>BDP|10541659966613392339</stp>
        <tr r="F426" s="2"/>
      </tp>
      <tp t="s">
        <v>#N/A N/A</v>
        <stp/>
        <stp>BDP|14629440481388797023</stp>
        <tr r="H373" s="2"/>
      </tp>
      <tp t="s">
        <v>#N/A N/A</v>
        <stp/>
        <stp>BDP|12646517240087017418</stp>
        <tr r="I295" s="2"/>
      </tp>
      <tp t="s">
        <v>#N/A N/A</v>
        <stp/>
        <stp>BDP|15812880567959306222</stp>
        <tr r="D17" s="2"/>
      </tp>
      <tp t="s">
        <v>#N/A N/A</v>
        <stp/>
        <stp>BDP|11535360613321031269</stp>
        <tr r="L29" s="2"/>
      </tp>
      <tp t="s">
        <v>#N/A N/A</v>
        <stp/>
        <stp>BDP|11591040639670903277</stp>
        <tr r="H137" s="2"/>
      </tp>
      <tp t="s">
        <v>#N/A N/A</v>
        <stp/>
        <stp>BDP|12827887019958750381</stp>
        <tr r="I399" s="2"/>
      </tp>
      <tp t="s">
        <v>#N/A N/A</v>
        <stp/>
        <stp>BDP|16651251245720259029</stp>
        <tr r="M207" s="2"/>
      </tp>
      <tp t="s">
        <v>#N/A N/A</v>
        <stp/>
        <stp>BDP|14738102053069588976</stp>
        <tr r="C300" s="2"/>
      </tp>
      <tp t="s">
        <v>#N/A N/A</v>
        <stp/>
        <stp>BDP|12850709143283554286</stp>
        <tr r="F139" s="2"/>
      </tp>
      <tp t="s">
        <v>#N/A N/A</v>
        <stp/>
        <stp>BDP|10509198584230818967</stp>
        <tr r="D93" s="2"/>
      </tp>
      <tp t="s">
        <v>#N/A N/A</v>
        <stp/>
        <stp>BDP|12346474272988839989</stp>
        <tr r="I264" s="2"/>
      </tp>
      <tp t="s">
        <v>#N/A N/A</v>
        <stp/>
        <stp>BDP|14659001322483546577</stp>
        <tr r="C355" s="2"/>
      </tp>
      <tp t="s">
        <v>#N/A N/A</v>
        <stp/>
        <stp>BDP|17363917945769339324</stp>
        <tr r="C456" s="2"/>
      </tp>
      <tp t="s">
        <v>#N/A N/A</v>
        <stp/>
        <stp>BDP|14487488739261728240</stp>
        <tr r="N152" s="2"/>
      </tp>
      <tp t="s">
        <v>#N/A N/A</v>
        <stp/>
        <stp>BDP|11742201594512013851</stp>
        <tr r="H172" s="2"/>
      </tp>
      <tp t="s">
        <v>#N/A N/A</v>
        <stp/>
        <stp>BDP|14944562518772113200</stp>
        <tr r="H437" s="2"/>
      </tp>
      <tp t="s">
        <v>#N/A N/A</v>
        <stp/>
        <stp>BDP|10218973052229529542</stp>
        <tr r="I50" s="2"/>
      </tp>
      <tp t="s">
        <v>#N/A N/A</v>
        <stp/>
        <stp>BDP|12347238255392110729</stp>
        <tr r="D427" s="2"/>
      </tp>
      <tp t="s">
        <v>#N/A N/A</v>
        <stp/>
        <stp>BDP|14936566798310472854</stp>
        <tr r="L449" s="2"/>
      </tp>
      <tp t="s">
        <v>#N/A N/A</v>
        <stp/>
        <stp>BDP|10999266924806469695</stp>
        <tr r="R65" s="2"/>
      </tp>
      <tp t="s">
        <v>#N/A N/A</v>
        <stp/>
        <stp>BDP|11458163221014386795</stp>
        <tr r="G257" s="2"/>
      </tp>
      <tp t="s">
        <v>#N/A N/A</v>
        <stp/>
        <stp>BDP|11448061515356680785</stp>
        <tr r="H331" s="2"/>
      </tp>
      <tp t="s">
        <v>#N/A N/A</v>
        <stp/>
        <stp>BDP|13883972404672368911</stp>
        <tr r="J393" s="2"/>
      </tp>
      <tp t="s">
        <v>#N/A N/A</v>
        <stp/>
        <stp>BDP|13546171087208952358</stp>
        <tr r="J460" s="2"/>
      </tp>
      <tp t="s">
        <v>#N/A N/A</v>
        <stp/>
        <stp>BDP|10457483633325373358</stp>
        <tr r="P376" s="2"/>
      </tp>
      <tp t="s">
        <v>#N/A N/A</v>
        <stp/>
        <stp>BDP|12789590510677324040</stp>
        <tr r="K194" s="2"/>
      </tp>
      <tp t="s">
        <v>#N/A N/A</v>
        <stp/>
        <stp>BDP|12517556429731378535</stp>
        <tr r="L304" s="2"/>
      </tp>
      <tp t="s">
        <v>#N/A N/A</v>
        <stp/>
        <stp>BDP|17025586044464675335</stp>
        <tr r="K117" s="2"/>
      </tp>
      <tp t="s">
        <v>#N/A N/A</v>
        <stp/>
        <stp>BDP|15117270351907800469</stp>
        <tr r="P134" s="2"/>
      </tp>
      <tp t="s">
        <v>#N/A N/A</v>
        <stp/>
        <stp>BDP|15200665102575919761</stp>
        <tr r="C378" s="2"/>
      </tp>
      <tp t="s">
        <v>#N/A N/A</v>
        <stp/>
        <stp>BDP|12115587365039450913</stp>
        <tr r="J202" s="2"/>
      </tp>
      <tp t="s">
        <v>#N/A N/A</v>
        <stp/>
        <stp>BDP|16410322692915590883</stp>
        <tr r="M171" s="2"/>
      </tp>
      <tp t="s">
        <v>#N/A N/A</v>
        <stp/>
        <stp>BDP|14948859145901270825</stp>
        <tr r="Q327" s="2"/>
      </tp>
      <tp t="s">
        <v>#N/A N/A</v>
        <stp/>
        <stp>BDP|14940579062161113756</stp>
        <tr r="E178" s="2"/>
      </tp>
      <tp t="s">
        <v>#N/A N/A</v>
        <stp/>
        <stp>BDP|16983781365214856244</stp>
        <tr r="C500" s="2"/>
      </tp>
      <tp t="s">
        <v>#N/A N/A</v>
        <stp/>
        <stp>BDP|14426499150121324561</stp>
        <tr r="I122" s="2"/>
      </tp>
      <tp t="s">
        <v>#N/A N/A</v>
        <stp/>
        <stp>BDP|12589114768472037643</stp>
        <tr r="Q94" s="2"/>
      </tp>
      <tp t="s">
        <v>#N/A N/A</v>
        <stp/>
        <stp>BDP|11648069572183353491</stp>
        <tr r="Q206" s="2"/>
      </tp>
      <tp t="s">
        <v>#N/A N/A</v>
        <stp/>
        <stp>BDP|15486993541090364973</stp>
        <tr r="F442" s="2"/>
      </tp>
      <tp t="s">
        <v>#N/A N/A</v>
        <stp/>
        <stp>BDP|14041685185013075858</stp>
        <tr r="F241" s="2"/>
      </tp>
      <tp t="s">
        <v>#N/A N/A</v>
        <stp/>
        <stp>BDP|15192183354342121246</stp>
        <tr r="H110" s="2"/>
      </tp>
      <tp t="s">
        <v>#N/A N/A</v>
        <stp/>
        <stp>BDP|12424058420887942604</stp>
        <tr r="N35" s="2"/>
      </tp>
      <tp t="s">
        <v>#N/A N/A</v>
        <stp/>
        <stp>BDP|17396188221393178637</stp>
        <tr r="Q380" s="2"/>
      </tp>
      <tp t="s">
        <v>#N/A N/A</v>
        <stp/>
        <stp>BDP|16462616831163844144</stp>
        <tr r="C411" s="2"/>
      </tp>
      <tp t="s">
        <v>#N/A N/A</v>
        <stp/>
        <stp>BDP|15297259061672704296</stp>
        <tr r="N24" s="2"/>
      </tp>
      <tp t="s">
        <v>#N/A N/A</v>
        <stp/>
        <stp>BDP|15727174152097958734</stp>
        <tr r="R371" s="2"/>
      </tp>
      <tp t="s">
        <v>#N/A N/A</v>
        <stp/>
        <stp>BDP|13968654915240759563</stp>
        <tr r="N406" s="2"/>
      </tp>
      <tp t="s">
        <v>#N/A N/A</v>
        <stp/>
        <stp>BDP|13736455254422773193</stp>
        <tr r="I320" s="2"/>
      </tp>
      <tp t="s">
        <v>#N/A N/A</v>
        <stp/>
        <stp>BDP|10756270838145828580</stp>
        <tr r="F491" s="2"/>
      </tp>
      <tp t="s">
        <v>#N/A N/A</v>
        <stp/>
        <stp>BDP|17986088404154464292</stp>
        <tr r="Q254" s="2"/>
      </tp>
      <tp t="s">
        <v>#N/A N/A</v>
        <stp/>
        <stp>BDP|10930207263371388424</stp>
        <tr r="P229" s="2"/>
      </tp>
      <tp t="s">
        <v>#N/A N/A</v>
        <stp/>
        <stp>BDP|17500269418742273720</stp>
        <tr r="P52" s="2"/>
      </tp>
      <tp t="s">
        <v>#N/A N/A</v>
        <stp/>
        <stp>BDP|14207891689235095095</stp>
        <tr r="Q249" s="2"/>
      </tp>
      <tp t="s">
        <v>#N/A N/A</v>
        <stp/>
        <stp>BDP|16064076740920821344</stp>
        <tr r="I237" s="2"/>
      </tp>
      <tp t="s">
        <v>#N/A N/A</v>
        <stp/>
        <stp>BDP|12505840790476808427</stp>
        <tr r="L358" s="2"/>
      </tp>
      <tp t="s">
        <v>#N/A N/A</v>
        <stp/>
        <stp>BDP|10925864180889645829</stp>
        <tr r="N322" s="2"/>
      </tp>
      <tp t="s">
        <v>#N/A N/A</v>
        <stp/>
        <stp>BDP|15912251771749068860</stp>
        <tr r="F101" s="2"/>
      </tp>
      <tp t="s">
        <v>#N/A N/A</v>
        <stp/>
        <stp>BDP|15915240175271217013</stp>
        <tr r="G60" s="2"/>
      </tp>
      <tp t="s">
        <v>#N/A N/A</v>
        <stp/>
        <stp>BDP|10873384773184024180</stp>
        <tr r="P24" s="2"/>
      </tp>
      <tp t="s">
        <v>#N/A N/A</v>
        <stp/>
        <stp>BDP|14936313643671649364</stp>
        <tr r="Q445" s="2"/>
      </tp>
      <tp t="s">
        <v>#N/A N/A</v>
        <stp/>
        <stp>BDP|10500332734771026091</stp>
        <tr r="E30" s="2"/>
      </tp>
      <tp t="s">
        <v>#N/A N/A</v>
        <stp/>
        <stp>BDP|13771060735673603294</stp>
        <tr r="I75" s="2"/>
      </tp>
      <tp t="s">
        <v>#N/A N/A</v>
        <stp/>
        <stp>BDP|14669435154103354793</stp>
        <tr r="L208" s="2"/>
      </tp>
      <tp t="s">
        <v>#N/A N/A</v>
        <stp/>
        <stp>BDP|13340443841630584292</stp>
        <tr r="K229" s="2"/>
      </tp>
      <tp t="s">
        <v>#N/A N/A</v>
        <stp/>
        <stp>BDP|11721131700634781597</stp>
        <tr r="F368" s="2"/>
      </tp>
      <tp t="s">
        <v>#N/A N/A</v>
        <stp/>
        <stp>BDP|12639739848058665816</stp>
        <tr r="R72" s="2"/>
      </tp>
      <tp t="s">
        <v>#N/A N/A</v>
        <stp/>
        <stp>BDP|11956796836932407685</stp>
        <tr r="F296" s="2"/>
      </tp>
      <tp t="s">
        <v>#N/A N/A</v>
        <stp/>
        <stp>BDP|10732859477466644897</stp>
        <tr r="I372" s="2"/>
      </tp>
      <tp t="s">
        <v>#N/A N/A</v>
        <stp/>
        <stp>BDP|15217495333464734750</stp>
        <tr r="D370" s="2"/>
      </tp>
      <tp t="s">
        <v>#N/A N/A</v>
        <stp/>
        <stp>BDP|13586486447832104014</stp>
        <tr r="H395" s="2"/>
      </tp>
      <tp t="s">
        <v>#N/A N/A</v>
        <stp/>
        <stp>BDP|16643042224592839740</stp>
        <tr r="P343" s="2"/>
      </tp>
      <tp t="s">
        <v>#N/A N/A</v>
        <stp/>
        <stp>BDP|10006112008617029731</stp>
        <tr r="O365" s="2"/>
      </tp>
      <tp t="s">
        <v>#N/A N/A</v>
        <stp/>
        <stp>BDP|18335416571538122285</stp>
        <tr r="I335" s="2"/>
      </tp>
      <tp t="s">
        <v>#N/A N/A</v>
        <stp/>
        <stp>BDP|15152234693428828731</stp>
        <tr r="G445" s="2"/>
      </tp>
      <tp t="s">
        <v>#N/A N/A</v>
        <stp/>
        <stp>BDP|17883454645052627448</stp>
        <tr r="J396" s="2"/>
      </tp>
      <tp t="s">
        <v>#N/A N/A</v>
        <stp/>
        <stp>BDP|16134604243161109493</stp>
        <tr r="C436" s="2"/>
      </tp>
      <tp t="s">
        <v>#N/A N/A</v>
        <stp/>
        <stp>BDP|14783395460761264168</stp>
        <tr r="C287" s="2"/>
      </tp>
      <tp t="s">
        <v>#N/A N/A</v>
        <stp/>
        <stp>BDP|12784010261502272782</stp>
        <tr r="P3" s="2"/>
      </tp>
      <tp t="s">
        <v>#N/A N/A</v>
        <stp/>
        <stp>BDP|16321193815005483266</stp>
        <tr r="G425" s="2"/>
      </tp>
      <tp t="s">
        <v>#N/A N/A</v>
        <stp/>
        <stp>BDP|15498791424587355676</stp>
        <tr r="J303" s="2"/>
      </tp>
      <tp t="s">
        <v>#N/A N/A</v>
        <stp/>
        <stp>BDP|10938536447852235222</stp>
        <tr r="F471" s="2"/>
      </tp>
      <tp t="s">
        <v>#N/A N/A</v>
        <stp/>
        <stp>BDP|15830640064735156142</stp>
        <tr r="E21" s="2"/>
      </tp>
      <tp t="s">
        <v>#N/A N/A</v>
        <stp/>
        <stp>BDP|17582045745702091090</stp>
        <tr r="C345" s="2"/>
      </tp>
      <tp t="s">
        <v>#N/A N/A</v>
        <stp/>
        <stp>BDP|15467080324523545504</stp>
        <tr r="C309" s="2"/>
      </tp>
      <tp t="s">
        <v>#N/A N/A</v>
        <stp/>
        <stp>BDP|11165750549267260420</stp>
        <tr r="O342" s="2"/>
      </tp>
      <tp t="s">
        <v>#N/A N/A</v>
        <stp/>
        <stp>BDP|11715326413264257691</stp>
        <tr r="C83" s="2"/>
      </tp>
      <tp t="s">
        <v>#N/A N/A</v>
        <stp/>
        <stp>BDP|11995930757598249429</stp>
        <tr r="M416" s="2"/>
      </tp>
      <tp t="s">
        <v>#N/A N/A</v>
        <stp/>
        <stp>BDP|15546571665776815122</stp>
        <tr r="Q243" s="2"/>
      </tp>
      <tp t="s">
        <v>#N/A N/A</v>
        <stp/>
        <stp>BDP|16447896385185635237</stp>
        <tr r="K343" s="2"/>
      </tp>
      <tp t="s">
        <v>#N/A N/A</v>
        <stp/>
        <stp>BDP|15231879978969725276</stp>
        <tr r="P117" s="2"/>
      </tp>
      <tp t="s">
        <v>#N/A N/A</v>
        <stp/>
        <stp>BDP|11713354395772970833</stp>
        <tr r="C162" s="2"/>
      </tp>
      <tp t="s">
        <v>#N/A N/A</v>
        <stp/>
        <stp>BDP|18183406064623173899</stp>
        <tr r="Q269" s="2"/>
      </tp>
      <tp t="s">
        <v>#N/A N/A</v>
        <stp/>
        <stp>BDP|13610760338582490419</stp>
        <tr r="C4" s="2"/>
      </tp>
      <tp t="s">
        <v>#N/A N/A</v>
        <stp/>
        <stp>BDP|12140765272877066496</stp>
        <tr r="E109" s="2"/>
      </tp>
      <tp t="s">
        <v>#N/A N/A</v>
        <stp/>
        <stp>BDP|10893613139201505597</stp>
        <tr r="I273" s="2"/>
      </tp>
      <tp t="s">
        <v>#N/A N/A</v>
        <stp/>
        <stp>BDP|13338934963345882872</stp>
        <tr r="N10" s="2"/>
      </tp>
      <tp t="s">
        <v>#N/A N/A</v>
        <stp/>
        <stp>BDP|10021417547860927132</stp>
        <tr r="L341" s="2"/>
      </tp>
      <tp t="s">
        <v>#N/A N/A</v>
        <stp/>
        <stp>BDP|11337616880289830769</stp>
        <tr r="D44" s="2"/>
      </tp>
      <tp t="s">
        <v>#N/A N/A</v>
        <stp/>
        <stp>BDP|10138325264321988520</stp>
        <tr r="C365" s="2"/>
      </tp>
      <tp t="s">
        <v>#N/A N/A</v>
        <stp/>
        <stp>BDP|10997695538147595319</stp>
        <tr r="F3" s="2"/>
      </tp>
      <tp t="s">
        <v>#N/A N/A</v>
        <stp/>
        <stp>BDP|15865944085481458411</stp>
        <tr r="E448" s="2"/>
      </tp>
      <tp t="s">
        <v>#N/A N/A</v>
        <stp/>
        <stp>BDP|16443487655456664033</stp>
        <tr r="H442" s="2"/>
      </tp>
      <tp t="s">
        <v>#N/A N/A</v>
        <stp/>
        <stp>BDP|17761639567630802678</stp>
        <tr r="G90" s="2"/>
      </tp>
      <tp t="s">
        <v>#N/A N/A</v>
        <stp/>
        <stp>BDP|17806420845962570468</stp>
        <tr r="H18" s="2"/>
      </tp>
      <tp t="s">
        <v>#N/A N/A</v>
        <stp/>
        <stp>BDP|15768008834316704189</stp>
        <tr r="F277" s="2"/>
      </tp>
      <tp t="s">
        <v>#N/A N/A</v>
        <stp/>
        <stp>BDP|10344011449243226651</stp>
        <tr r="I193" s="2"/>
      </tp>
      <tp t="s">
        <v>#N/A N/A</v>
        <stp/>
        <stp>BDP|10658522935470790790</stp>
        <tr r="D285" s="2"/>
      </tp>
      <tp t="s">
        <v>#N/A N/A</v>
        <stp/>
        <stp>BDP|12662368688941291954</stp>
        <tr r="L92" s="2"/>
      </tp>
      <tp t="s">
        <v>#N/A N/A</v>
        <stp/>
        <stp>BDP|11220798917060427676</stp>
        <tr r="F423" s="2"/>
      </tp>
      <tp t="s">
        <v>#N/A N/A</v>
        <stp/>
        <stp>BDP|17493447909050375257</stp>
        <tr r="Q459" s="2"/>
      </tp>
      <tp t="s">
        <v>#N/A N/A</v>
        <stp/>
        <stp>BDP|11309269002552918013</stp>
        <tr r="Q204" s="2"/>
      </tp>
      <tp t="s">
        <v>#N/A N/A</v>
        <stp/>
        <stp>BDP|17046770675881479795</stp>
        <tr r="R253" s="2"/>
      </tp>
      <tp t="s">
        <v>#N/A N/A</v>
        <stp/>
        <stp>BDP|16696531265633718783</stp>
        <tr r="N219" s="2"/>
      </tp>
      <tp t="s">
        <v>#N/A N/A</v>
        <stp/>
        <stp>BDP|15853006116194822193</stp>
        <tr r="F250" s="2"/>
      </tp>
      <tp t="s">
        <v>#N/A N/A</v>
        <stp/>
        <stp>BDP|15849023755716721772</stp>
        <tr r="O483" s="2"/>
      </tp>
      <tp t="s">
        <v>#N/A N/A</v>
        <stp/>
        <stp>BDP|15276998923817635813</stp>
        <tr r="H72" s="2"/>
      </tp>
      <tp t="s">
        <v>#N/A N/A</v>
        <stp/>
        <stp>BDP|10088716979410443138</stp>
        <tr r="O236" s="2"/>
      </tp>
      <tp t="s">
        <v>#N/A N/A</v>
        <stp/>
        <stp>BDP|15080448874661965678</stp>
        <tr r="P411" s="2"/>
      </tp>
      <tp t="s">
        <v>#N/A N/A</v>
        <stp/>
        <stp>BDP|14571223587837600884</stp>
        <tr r="D128" s="2"/>
      </tp>
      <tp t="s">
        <v>#N/A N/A</v>
        <stp/>
        <stp>BDP|14361688413355460724</stp>
        <tr r="C326" s="2"/>
      </tp>
      <tp t="s">
        <v>#N/A N/A</v>
        <stp/>
        <stp>BDP|13999362685699633020</stp>
        <tr r="M13" s="2"/>
      </tp>
      <tp t="s">
        <v>#N/A N/A</v>
        <stp/>
        <stp>BDP|11316569443452821300</stp>
        <tr r="R338" s="2"/>
      </tp>
      <tp t="s">
        <v>#N/A N/A</v>
        <stp/>
        <stp>BDP|13461583856515043747</stp>
        <tr r="J31" s="2"/>
      </tp>
      <tp t="s">
        <v>#N/A N/A</v>
        <stp/>
        <stp>BDP|16430209957546595686</stp>
        <tr r="P193" s="2"/>
      </tp>
      <tp t="s">
        <v>#N/A N/A</v>
        <stp/>
        <stp>BDP|17511156562615497488</stp>
        <tr r="J13" s="2"/>
      </tp>
      <tp t="s">
        <v>#N/A N/A</v>
        <stp/>
        <stp>BDP|12992048754754003271</stp>
        <tr r="J235" s="2"/>
      </tp>
      <tp t="s">
        <v>#N/A N/A</v>
        <stp/>
        <stp>BDP|15314694908006512491</stp>
        <tr r="Q356" s="2"/>
      </tp>
      <tp t="s">
        <v>#N/A N/A</v>
        <stp/>
        <stp>BDP|11439573317467946335</stp>
        <tr r="G157" s="2"/>
      </tp>
      <tp t="s">
        <v>#N/A N/A</v>
        <stp/>
        <stp>BDP|13880910901578383351</stp>
        <tr r="G437" s="2"/>
      </tp>
      <tp t="s">
        <v>#N/A N/A</v>
        <stp/>
        <stp>BDP|10523005011031808123</stp>
        <tr r="Q372" s="2"/>
      </tp>
      <tp t="s">
        <v>#N/A N/A</v>
        <stp/>
        <stp>BDP|14514515331507723438</stp>
        <tr r="F35" s="2"/>
      </tp>
      <tp t="s">
        <v>#N/A N/A</v>
        <stp/>
        <stp>BDP|11232108602254637571</stp>
        <tr r="J504" s="2"/>
      </tp>
      <tp t="s">
        <v>#N/A N/A</v>
        <stp/>
        <stp>BDP|12924042170933854747</stp>
        <tr r="L5" s="2"/>
      </tp>
      <tp t="s">
        <v>#N/A N/A</v>
        <stp/>
        <stp>BDP|15423042340451279139</stp>
        <tr r="G100" s="2"/>
      </tp>
      <tp t="s">
        <v>#N/A N/A</v>
        <stp/>
        <stp>BDP|14030228817510607624</stp>
        <tr r="L317" s="2"/>
      </tp>
      <tp t="s">
        <v>#N/A N/A</v>
        <stp/>
        <stp>BDP|17775928787322408576</stp>
        <tr r="G408" s="2"/>
      </tp>
      <tp t="s">
        <v>#N/A N/A</v>
        <stp/>
        <stp>BDP|13622629183299181578</stp>
        <tr r="G413" s="2"/>
      </tp>
      <tp t="s">
        <v>#N/A N/A</v>
        <stp/>
        <stp>BDP|10533377977280160559</stp>
        <tr r="C317" s="2"/>
      </tp>
      <tp t="s">
        <v>#N/A N/A</v>
        <stp/>
        <stp>BDP|18108343639858532180</stp>
        <tr r="I488" s="2"/>
      </tp>
      <tp t="s">
        <v>#N/A N/A</v>
        <stp/>
        <stp>BDP|12395270694718870091</stp>
        <tr r="F143" s="2"/>
      </tp>
      <tp t="s">
        <v>#N/A N/A</v>
        <stp/>
        <stp>BDP|13297374737075532763</stp>
        <tr r="E74" s="2"/>
      </tp>
      <tp t="s">
        <v>#N/A N/A</v>
        <stp/>
        <stp>BDP|14525558693770422962</stp>
        <tr r="I6" s="2"/>
      </tp>
      <tp t="s">
        <v>#N/A N/A</v>
        <stp/>
        <stp>BDP|17472056933737627257</stp>
        <tr r="M390" s="2"/>
      </tp>
      <tp t="s">
        <v>#N/A N/A</v>
        <stp/>
        <stp>BDP|15474686558181685639</stp>
        <tr r="P439" s="2"/>
      </tp>
      <tp t="s">
        <v>#N/A N/A</v>
        <stp/>
        <stp>BDP|11195240646302638448</stp>
        <tr r="Q198" s="2"/>
      </tp>
      <tp t="s">
        <v>#N/A N/A</v>
        <stp/>
        <stp>BDP|17928272969484742610</stp>
        <tr r="D495" s="2"/>
      </tp>
      <tp t="s">
        <v>#N/A N/A</v>
        <stp/>
        <stp>BDP|17346316045013645206</stp>
        <tr r="D157" s="2"/>
      </tp>
      <tp t="s">
        <v>#N/A N/A</v>
        <stp/>
        <stp>BDP|15650844180910695456</stp>
        <tr r="N477" s="2"/>
      </tp>
      <tp t="s">
        <v>#N/A N/A</v>
        <stp/>
        <stp>BDP|17852297711042235736</stp>
        <tr r="P144" s="2"/>
      </tp>
      <tp t="s">
        <v>#N/A N/A</v>
        <stp/>
        <stp>BDP|16353268073543598127</stp>
        <tr r="R367" s="2"/>
      </tp>
      <tp t="s">
        <v>#N/A N/A</v>
        <stp/>
        <stp>BDP|10484233797712340833</stp>
        <tr r="G61" s="2"/>
      </tp>
      <tp t="s">
        <v>#N/A N/A</v>
        <stp/>
        <stp>BDP|14988164200901975568</stp>
        <tr r="D207" s="2"/>
      </tp>
      <tp t="s">
        <v>#N/A N/A</v>
        <stp/>
        <stp>BDP|12877566260903700392</stp>
        <tr r="R42" s="2"/>
      </tp>
      <tp t="s">
        <v>#N/A N/A</v>
        <stp/>
        <stp>BDP|14365628711210318233</stp>
        <tr r="M433" s="2"/>
      </tp>
      <tp t="s">
        <v>#N/A N/A</v>
        <stp/>
        <stp>BDP|10921816956598797496</stp>
        <tr r="P68" s="2"/>
      </tp>
      <tp t="s">
        <v>#N/A N/A</v>
        <stp/>
        <stp>BDP|11664024254045590058</stp>
        <tr r="P205" s="2"/>
      </tp>
      <tp t="s">
        <v>#N/A N/A</v>
        <stp/>
        <stp>BDP|13338426105633312573</stp>
        <tr r="D394" s="2"/>
      </tp>
      <tp t="s">
        <v>#N/A N/A</v>
        <stp/>
        <stp>BDP|10603258266366129349</stp>
        <tr r="C483" s="2"/>
      </tp>
      <tp t="s">
        <v>#N/A N/A</v>
        <stp/>
        <stp>BDP|11914792772632717254</stp>
        <tr r="L36" s="2"/>
      </tp>
      <tp t="s">
        <v>#N/A N/A</v>
        <stp/>
        <stp>BDP|11431133822042750122</stp>
        <tr r="I199" s="2"/>
      </tp>
      <tp t="s">
        <v>#N/A N/A</v>
        <stp/>
        <stp>BDP|17462660411272364305</stp>
        <tr r="C267" s="2"/>
      </tp>
      <tp t="s">
        <v>#N/A N/A</v>
        <stp/>
        <stp>BDP|14572613534928594852</stp>
        <tr r="Q18" s="2"/>
      </tp>
      <tp t="s">
        <v>#N/A N/A</v>
        <stp/>
        <stp>BDP|11360223518762150182</stp>
        <tr r="N444" s="2"/>
      </tp>
      <tp t="s">
        <v>#N/A N/A</v>
        <stp/>
        <stp>BDP|16305987752438057392</stp>
        <tr r="M183" s="2"/>
      </tp>
      <tp t="s">
        <v>#N/A N/A</v>
        <stp/>
        <stp>BDP|14504408013038047868</stp>
        <tr r="E458" s="2"/>
      </tp>
      <tp t="s">
        <v>#N/A N/A</v>
        <stp/>
        <stp>BDP|15677647870001222439</stp>
        <tr r="I172" s="2"/>
      </tp>
      <tp t="s">
        <v>#N/A N/A</v>
        <stp/>
        <stp>BDP|18368793831909130495</stp>
        <tr r="L60" s="2"/>
      </tp>
      <tp t="s">
        <v>#N/A N/A</v>
        <stp/>
        <stp>BDP|16707314452866078773</stp>
        <tr r="E424" s="2"/>
      </tp>
      <tp t="s">
        <v>#N/A N/A</v>
        <stp/>
        <stp>BDP|17831969523479836465</stp>
        <tr r="E75" s="2"/>
      </tp>
      <tp t="s">
        <v>#N/A N/A</v>
        <stp/>
        <stp>BDP|15987271513547641086</stp>
        <tr r="Q82" s="2"/>
      </tp>
      <tp t="s">
        <v>#N/A N/A</v>
        <stp/>
        <stp>BDP|15506978130548756665</stp>
        <tr r="J15" s="2"/>
      </tp>
      <tp t="s">
        <v>#N/A N/A</v>
        <stp/>
        <stp>BDP|16583996486254085299</stp>
        <tr r="Q376" s="2"/>
      </tp>
      <tp t="s">
        <v>#N/A N/A</v>
        <stp/>
        <stp>BDP|11506389449996115163</stp>
        <tr r="D63" s="2"/>
      </tp>
      <tp t="s">
        <v>#N/A N/A</v>
        <stp/>
        <stp>BDP|14294076629126788184</stp>
        <tr r="R101" s="2"/>
      </tp>
      <tp t="s">
        <v>#N/A N/A</v>
        <stp/>
        <stp>BDP|18098512411014587961</stp>
        <tr r="D385" s="2"/>
      </tp>
      <tp t="s">
        <v>#N/A N/A</v>
        <stp/>
        <stp>BDP|12358029046512199552</stp>
        <tr r="O32" s="2"/>
      </tp>
      <tp t="s">
        <v>#N/A N/A</v>
        <stp/>
        <stp>BDP|14430052658167297788</stp>
        <tr r="D110" s="2"/>
      </tp>
      <tp t="s">
        <v>#N/A N/A</v>
        <stp/>
        <stp>BDP|12640656792369267506</stp>
        <tr r="Q151" s="2"/>
      </tp>
      <tp t="s">
        <v>#N/A N/A</v>
        <stp/>
        <stp>BDP|12214231063307935081</stp>
        <tr r="M189" s="2"/>
      </tp>
      <tp t="s">
        <v>#N/A N/A</v>
        <stp/>
        <stp>BDP|16738413452183579526</stp>
        <tr r="L182" s="2"/>
      </tp>
      <tp t="s">
        <v>#N/A N/A</v>
        <stp/>
        <stp>BDP|12717177712502669175</stp>
        <tr r="G19" s="2"/>
      </tp>
      <tp t="s">
        <v>#N/A N/A</v>
        <stp/>
        <stp>BDP|12266026541150542775</stp>
        <tr r="R66" s="2"/>
      </tp>
      <tp t="s">
        <v>#N/A N/A</v>
        <stp/>
        <stp>BDP|16601780230156542585</stp>
        <tr r="J455" s="2"/>
      </tp>
      <tp t="s">
        <v>#N/A N/A</v>
        <stp/>
        <stp>BDP|10111529340517684765</stp>
        <tr r="N348" s="2"/>
      </tp>
      <tp t="s">
        <v>#N/A N/A</v>
        <stp/>
        <stp>BDP|12930997775185169874</stp>
        <tr r="H292" s="2"/>
      </tp>
      <tp t="s">
        <v>#N/A N/A</v>
        <stp/>
        <stp>BDP|10327572208737768387</stp>
        <tr r="N79" s="2"/>
      </tp>
      <tp t="s">
        <v>#N/A N/A</v>
        <stp/>
        <stp>BDP|17166496630519911820</stp>
        <tr r="R480" s="2"/>
      </tp>
      <tp t="s">
        <v>#N/A N/A</v>
        <stp/>
        <stp>BDP|17601148503337239013</stp>
        <tr r="P176" s="2"/>
      </tp>
      <tp t="s">
        <v>#N/A N/A</v>
        <stp/>
        <stp>BDP|17556795859871703503</stp>
        <tr r="E175" s="2"/>
      </tp>
      <tp t="s">
        <v>#N/A N/A</v>
        <stp/>
        <stp>BDP|15078092062351848319</stp>
        <tr r="F16" s="2"/>
      </tp>
      <tp t="s">
        <v>#N/A N/A</v>
        <stp/>
        <stp>BDP|16789147933240427564</stp>
        <tr r="P33" s="2"/>
      </tp>
      <tp t="s">
        <v>#N/A N/A</v>
        <stp/>
        <stp>BDP|12550373692961551870</stp>
        <tr r="H296" s="2"/>
      </tp>
      <tp t="s">
        <v>#N/A N/A</v>
        <stp/>
        <stp>BDP|11735495976896340593</stp>
        <tr r="E198" s="2"/>
      </tp>
      <tp t="s">
        <v>#N/A N/A</v>
        <stp/>
        <stp>BDP|11094114619628257881</stp>
        <tr r="E480" s="2"/>
      </tp>
      <tp t="s">
        <v>#N/A N/A</v>
        <stp/>
        <stp>BDP|13940076435193045299</stp>
        <tr r="O472" s="2"/>
      </tp>
      <tp t="s">
        <v>#N/A N/A</v>
        <stp/>
        <stp>BDP|12323039233002422257</stp>
        <tr r="G497" s="2"/>
      </tp>
      <tp t="s">
        <v>#N/A N/A</v>
        <stp/>
        <stp>BDP|16922795943971140507</stp>
        <tr r="G302" s="2"/>
      </tp>
      <tp t="s">
        <v>#N/A N/A</v>
        <stp/>
        <stp>BDP|15766022247280796072</stp>
        <tr r="G324" s="2"/>
      </tp>
      <tp t="s">
        <v>#N/A N/A</v>
        <stp/>
        <stp>BDP|15527242722677135309</stp>
        <tr r="G421" s="2"/>
      </tp>
      <tp t="s">
        <v>#N/A N/A</v>
        <stp/>
        <stp>BDP|14262455800886228779</stp>
        <tr r="C224" s="2"/>
      </tp>
      <tp t="s">
        <v>#N/A N/A</v>
        <stp/>
        <stp>BDP|11750053324693629122</stp>
        <tr r="D10" s="2"/>
      </tp>
      <tp t="s">
        <v>#N/A N/A</v>
        <stp/>
        <stp>BDP|14116863421298047743</stp>
        <tr r="G454" s="2"/>
      </tp>
      <tp t="s">
        <v>#N/A N/A</v>
        <stp/>
        <stp>BDP|15301776121721241053</stp>
        <tr r="K200" s="2"/>
      </tp>
      <tp t="s">
        <v>#N/A N/A</v>
        <stp/>
        <stp>BDP|11273523246670469101</stp>
        <tr r="I3" s="2"/>
      </tp>
      <tp t="s">
        <v>#N/A N/A</v>
        <stp/>
        <stp>BDP|10847294103401779277</stp>
        <tr r="K481" s="2"/>
      </tp>
      <tp t="s">
        <v>#N/A N/A</v>
        <stp/>
        <stp>BDP|18247144717269728038</stp>
        <tr r="N309" s="2"/>
      </tp>
      <tp t="s">
        <v>#N/A N/A</v>
        <stp/>
        <stp>BDP|17588292408671445557</stp>
        <tr r="J308" s="2"/>
      </tp>
      <tp t="s">
        <v>#N/A N/A</v>
        <stp/>
        <stp>BDP|11817127964882381589</stp>
        <tr r="J490" s="2"/>
      </tp>
      <tp t="s">
        <v>#N/A N/A</v>
        <stp/>
        <stp>BDP|12901599073731451024</stp>
        <tr r="M225" s="2"/>
      </tp>
      <tp t="s">
        <v>#N/A N/A</v>
        <stp/>
        <stp>BDP|13688179392953247941</stp>
        <tr r="N105" s="2"/>
      </tp>
      <tp t="s">
        <v>#N/A N/A</v>
        <stp/>
        <stp>BDP|15914965214395936978</stp>
        <tr r="L432" s="2"/>
      </tp>
      <tp t="s">
        <v>#N/A N/A</v>
        <stp/>
        <stp>BDP|12693785115123884669</stp>
        <tr r="F364" s="2"/>
      </tp>
      <tp t="s">
        <v>#N/A N/A</v>
        <stp/>
        <stp>BDP|16163357756461770001</stp>
        <tr r="D280" s="2"/>
      </tp>
      <tp t="s">
        <v>#N/A N/A</v>
        <stp/>
        <stp>BDP|15524078027941977796</stp>
        <tr r="O438" s="2"/>
      </tp>
      <tp t="s">
        <v>#N/A N/A</v>
        <stp/>
        <stp>BDP|16923590634476605777</stp>
        <tr r="D301" s="2"/>
      </tp>
      <tp t="s">
        <v>#N/A N/A</v>
        <stp/>
        <stp>BDP|16604644206548451955</stp>
        <tr r="K260" s="2"/>
      </tp>
      <tp t="s">
        <v>#N/A N/A</v>
        <stp/>
        <stp>BDP|12047651206932259749</stp>
        <tr r="I360" s="2"/>
      </tp>
      <tp t="s">
        <v>#N/A N/A</v>
        <stp/>
        <stp>BDP|10523185509487506743</stp>
        <tr r="M179" s="2"/>
      </tp>
      <tp t="s">
        <v>#N/A N/A</v>
        <stp/>
        <stp>BDP|10383470817292095663</stp>
        <tr r="I138" s="2"/>
      </tp>
      <tp t="s">
        <v>#N/A N/A</v>
        <stp/>
        <stp>BDP|15306720291102563807</stp>
        <tr r="G45" s="2"/>
      </tp>
      <tp t="s">
        <v>#N/A N/A</v>
        <stp/>
        <stp>BDP|16744315922322806495</stp>
        <tr r="H315" s="2"/>
      </tp>
      <tp t="s">
        <v>#N/A N/A</v>
        <stp/>
        <stp>BDP|15173682143754902265</stp>
        <tr r="F27" s="2"/>
      </tp>
      <tp t="s">
        <v>#N/A N/A</v>
        <stp/>
        <stp>BDP|12107674575701506335</stp>
        <tr r="D42" s="2"/>
      </tp>
      <tp t="s">
        <v>#N/A N/A</v>
        <stp/>
        <stp>BDP|18197674133995771977</stp>
        <tr r="G499" s="2"/>
      </tp>
      <tp t="s">
        <v>#N/A N/A</v>
        <stp/>
        <stp>BDP|15558512563504688351</stp>
        <tr r="Q273" s="2"/>
      </tp>
      <tp t="s">
        <v>#N/A N/A</v>
        <stp/>
        <stp>BDP|12397979324569593117</stp>
        <tr r="N22" s="2"/>
      </tp>
      <tp t="s">
        <v>#N/A N/A</v>
        <stp/>
        <stp>BDP|12828502500950923652</stp>
        <tr r="H237" s="2"/>
      </tp>
      <tp t="s">
        <v>#N/A N/A</v>
        <stp/>
        <stp>BDP|11376393835065384584</stp>
        <tr r="J20" s="2"/>
      </tp>
      <tp t="s">
        <v>#N/A N/A</v>
        <stp/>
        <stp>BDP|11599194252593800720</stp>
        <tr r="C276" s="2"/>
      </tp>
      <tp t="s">
        <v>#N/A N/A</v>
        <stp/>
        <stp>BDP|10816319768192527604</stp>
        <tr r="N425" s="2"/>
      </tp>
      <tp t="s">
        <v>#N/A N/A</v>
        <stp/>
        <stp>BDP|10731900590276270718</stp>
        <tr r="M492" s="2"/>
      </tp>
      <tp t="s">
        <v>#N/A N/A</v>
        <stp/>
        <stp>BDP|10539716312446352119</stp>
        <tr r="K74" s="2"/>
      </tp>
      <tp t="s">
        <v>#N/A N/A</v>
        <stp/>
        <stp>BDP|12166216350466188251</stp>
        <tr r="J409" s="2"/>
      </tp>
      <tp t="s">
        <v>#N/A N/A</v>
        <stp/>
        <stp>BDP|12910897926430770958</stp>
        <tr r="Q27" s="2"/>
      </tp>
      <tp t="s">
        <v>#N/A N/A</v>
        <stp/>
        <stp>BDP|17436210017302795714</stp>
        <tr r="H462" s="2"/>
      </tp>
      <tp t="s">
        <v>#N/A N/A</v>
        <stp/>
        <stp>BDP|12794147621444219447</stp>
        <tr r="R103" s="2"/>
      </tp>
      <tp t="s">
        <v>#N/A N/A</v>
        <stp/>
        <stp>BDP|13169994842778787791</stp>
        <tr r="H463" s="2"/>
      </tp>
      <tp t="s">
        <v>#N/A N/A</v>
        <stp/>
        <stp>BDP|12757093926859480884</stp>
        <tr r="Q493" s="2"/>
      </tp>
      <tp t="s">
        <v>#N/A N/A</v>
        <stp/>
        <stp>BDP|11242645472788578953</stp>
        <tr r="F102" s="2"/>
      </tp>
      <tp t="s">
        <v>#N/A N/A</v>
        <stp/>
        <stp>BDP|11066618471719094841</stp>
        <tr r="Q437" s="2"/>
      </tp>
      <tp t="s">
        <v>#N/A N/A</v>
        <stp/>
        <stp>BDP|11909302935308807801</stp>
        <tr r="K65" s="2"/>
      </tp>
      <tp t="s">
        <v>#N/A N/A</v>
        <stp/>
        <stp>BDP|16323246442646100702</stp>
        <tr r="D109" s="2"/>
      </tp>
      <tp t="s">
        <v>#N/A N/A</v>
        <stp/>
        <stp>BDP|13593102473882516675</stp>
        <tr r="E420" s="2"/>
      </tp>
      <tp t="s">
        <v>#N/A N/A</v>
        <stp/>
        <stp>BDP|10181486025846005181</stp>
        <tr r="Q194" s="2"/>
      </tp>
      <tp t="s">
        <v>#N/A N/A</v>
        <stp/>
        <stp>BDP|11418825947605312965</stp>
        <tr r="Q500" s="2"/>
      </tp>
      <tp t="s">
        <v>#N/A N/A</v>
        <stp/>
        <stp>BDP|13112630202794104053</stp>
        <tr r="G322" s="2"/>
      </tp>
      <tp t="s">
        <v>#N/A N/A</v>
        <stp/>
        <stp>BDP|12108244752582062632</stp>
        <tr r="C366" s="2"/>
      </tp>
      <tp t="s">
        <v>#N/A N/A</v>
        <stp/>
        <stp>BDP|10886504178467557418</stp>
        <tr r="N402" s="2"/>
      </tp>
      <tp t="s">
        <v>#N/A N/A</v>
        <stp/>
        <stp>BDP|13293199561641752496</stp>
        <tr r="G181" s="2"/>
      </tp>
      <tp t="s">
        <v>#N/A N/A</v>
        <stp/>
        <stp>BDP|12734287737135674799</stp>
        <tr r="O373" s="2"/>
      </tp>
      <tp t="s">
        <v>#N/A N/A</v>
        <stp/>
        <stp>BDP|13389463952173419041</stp>
        <tr r="C480" s="2"/>
      </tp>
      <tp t="s">
        <v>#N/A N/A</v>
        <stp/>
        <stp>BDP|16111937983263564538</stp>
        <tr r="Q170" s="2"/>
      </tp>
      <tp t="s">
        <v>#N/A N/A</v>
        <stp/>
        <stp>BDP|11076262130938268933</stp>
        <tr r="N206" s="2"/>
      </tp>
      <tp t="s">
        <v>#N/A N/A</v>
        <stp/>
        <stp>BDP|18317918827494552671</stp>
        <tr r="F65" s="2"/>
      </tp>
      <tp t="s">
        <v>#N/A N/A</v>
        <stp/>
        <stp>BDP|14597300310405072225</stp>
        <tr r="P141" s="2"/>
      </tp>
      <tp t="s">
        <v>#N/A N/A</v>
        <stp/>
        <stp>BDP|17132752204440285153</stp>
        <tr r="O187" s="2"/>
      </tp>
      <tp t="s">
        <v>#N/A N/A</v>
        <stp/>
        <stp>BDP|10950281395388124228</stp>
        <tr r="K275" s="2"/>
      </tp>
      <tp t="s">
        <v>#N/A N/A</v>
        <stp/>
        <stp>BDP|13418750176212462048</stp>
        <tr r="R180" s="2"/>
      </tp>
      <tp t="s">
        <v>#N/A N/A</v>
        <stp/>
        <stp>BDP|10361464707216587305</stp>
        <tr r="R445" s="2"/>
      </tp>
      <tp t="s">
        <v>#N/A N/A</v>
        <stp/>
        <stp>BDP|10710550060003342166</stp>
        <tr r="G214" s="2"/>
      </tp>
      <tp t="s">
        <v>#N/A N/A</v>
        <stp/>
        <stp>BDP|14805832591630556483</stp>
        <tr r="K339" s="2"/>
      </tp>
      <tp t="s">
        <v>#N/A N/A</v>
        <stp/>
        <stp>BDP|12336640367860622318</stp>
        <tr r="C129" s="2"/>
      </tp>
      <tp t="s">
        <v>#N/A N/A</v>
        <stp/>
        <stp>BDP|14123055218053211790</stp>
        <tr r="I63" s="2"/>
      </tp>
      <tp t="s">
        <v>#N/A N/A</v>
        <stp/>
        <stp>BDP|12436939403722787843</stp>
        <tr r="F86" s="2"/>
      </tp>
      <tp t="s">
        <v>#N/A N/A</v>
        <stp/>
        <stp>BDP|14527489278737087121</stp>
        <tr r="C19" s="2"/>
      </tp>
      <tp t="s">
        <v>#N/A N/A</v>
        <stp/>
        <stp>BDP|12752435247380561311</stp>
        <tr r="G177" s="2"/>
      </tp>
      <tp t="s">
        <v>#N/A N/A</v>
        <stp/>
        <stp>BDP|13007935795322844089</stp>
        <tr r="L496" s="2"/>
      </tp>
      <tp t="s">
        <v>#N/A N/A</v>
        <stp/>
        <stp>BDP|12394758742670348019</stp>
        <tr r="Q199" s="2"/>
      </tp>
      <tp t="s">
        <v>#N/A N/A</v>
        <stp/>
        <stp>BDP|14380720767351938590</stp>
        <tr r="L232" s="2"/>
      </tp>
      <tp t="s">
        <v>#N/A N/A</v>
        <stp/>
        <stp>BDP|10604493214013582784</stp>
        <tr r="O287" s="2"/>
      </tp>
      <tp t="s">
        <v>#N/A N/A</v>
        <stp/>
        <stp>BDP|12869397770583523429</stp>
        <tr r="O382" s="2"/>
      </tp>
      <tp t="s">
        <v>#N/A N/A</v>
        <stp/>
        <stp>BDP|14085503747972980685</stp>
        <tr r="O476" s="2"/>
      </tp>
      <tp t="s">
        <v>#N/A N/A</v>
        <stp/>
        <stp>BDP|10740462635496398017</stp>
        <tr r="R295" s="2"/>
      </tp>
      <tp t="s">
        <v>#N/A N/A</v>
        <stp/>
        <stp>BDP|16705414016274375652</stp>
        <tr r="R51" s="2"/>
      </tp>
      <tp t="s">
        <v>#N/A N/A</v>
        <stp/>
        <stp>BDP|12933757654410907173</stp>
        <tr r="M123" s="2"/>
      </tp>
      <tp t="s">
        <v>#N/A N/A</v>
        <stp/>
        <stp>BDP|10949195292701125856</stp>
        <tr r="J467" s="2"/>
      </tp>
      <tp t="s">
        <v>#N/A N/A</v>
        <stp/>
        <stp>BDP|16615393148547969783</stp>
        <tr r="P86" s="2"/>
      </tp>
      <tp t="s">
        <v>#N/A N/A</v>
        <stp/>
        <stp>BDP|15872457388291137920</stp>
        <tr r="D457" s="2"/>
      </tp>
      <tp t="s">
        <v>#N/A N/A</v>
        <stp/>
        <stp>BDP|11257716038237890359</stp>
        <tr r="E183" s="2"/>
      </tp>
      <tp t="s">
        <v>#N/A N/A</v>
        <stp/>
        <stp>BDP|12753304137234305752</stp>
        <tr r="J262" s="2"/>
      </tp>
      <tp t="s">
        <v>#N/A N/A</v>
        <stp/>
        <stp>BDP|15814340132273862704</stp>
        <tr r="P139" s="2"/>
      </tp>
      <tp t="s">
        <v>#N/A N/A</v>
        <stp/>
        <stp>BDP|12474874585766615564</stp>
        <tr r="D431" s="2"/>
      </tp>
      <tp t="s">
        <v>#N/A N/A</v>
        <stp/>
        <stp>BDP|17322435465937391300</stp>
        <tr r="K385" s="2"/>
      </tp>
      <tp t="s">
        <v>#N/A N/A</v>
        <stp/>
        <stp>BDP|17507519055834542222</stp>
        <tr r="E25" s="2"/>
      </tp>
      <tp t="s">
        <v>#N/A N/A</v>
        <stp/>
        <stp>BDP|10393938433279453210</stp>
        <tr r="J104" s="2"/>
      </tp>
      <tp>
        <v>0.631600022315979</v>
        <stp/>
        <stp>BDP|18030286456699254|22</stp>
        <stp>VRSK UW Equity</stp>
        <stp>RT_PX_CHG_PCT_1D</stp>
        <tr r="B59" s="2"/>
      </tp>
      <tp t="s">
        <v>#N/A N/A</v>
        <stp/>
        <stp>BDP|11795929090185527298</stp>
        <tr r="C461" s="2"/>
      </tp>
      <tp t="s">
        <v>#N/A N/A</v>
        <stp/>
        <stp>BDP|17026332647831969747</stp>
        <tr r="J193" s="2"/>
      </tp>
      <tp t="s">
        <v>#N/A N/A</v>
        <stp/>
        <stp>BDP|15948389089828089014</stp>
        <tr r="P440" s="2"/>
      </tp>
      <tp t="s">
        <v>#N/A N/A</v>
        <stp/>
        <stp>BDP|16732650462779899910</stp>
        <tr r="N186" s="2"/>
      </tp>
      <tp t="s">
        <v>#N/A N/A</v>
        <stp/>
        <stp>BDP|14013211372033392494</stp>
        <tr r="H159" s="2"/>
      </tp>
      <tp t="s">
        <v>#N/A N/A</v>
        <stp/>
        <stp>BDP|17312366649885243378</stp>
        <tr r="N321" s="2"/>
      </tp>
      <tp t="s">
        <v>#N/A N/A</v>
        <stp/>
        <stp>BDP|15341381097328439116</stp>
        <tr r="H111" s="2"/>
      </tp>
      <tp t="s">
        <v>#N/A N/A</v>
        <stp/>
        <stp>BDP|12551253832831949429</stp>
        <tr r="I21" s="2"/>
      </tp>
      <tp t="s">
        <v>#N/A N/A</v>
        <stp/>
        <stp>BDP|13579165716184823143</stp>
        <tr r="O174" s="2"/>
      </tp>
      <tp t="s">
        <v>#N/A N/A</v>
        <stp/>
        <stp>BDP|12924050187555243901</stp>
        <tr r="K409" s="2"/>
      </tp>
      <tp t="s">
        <v>#N/A N/A</v>
        <stp/>
        <stp>BDP|14060594272055278504</stp>
        <tr r="R220" s="2"/>
      </tp>
      <tp t="s">
        <v>#N/A N/A</v>
        <stp/>
        <stp>BDP|15328170070554853154</stp>
        <tr r="L112" s="2"/>
      </tp>
      <tp t="s">
        <v>#N/A N/A</v>
        <stp/>
        <stp>BDP|11879200439034008281</stp>
        <tr r="K468" s="2"/>
      </tp>
      <tp t="s">
        <v>#N/A N/A</v>
        <stp/>
        <stp>BDP|14000871988765606702</stp>
        <tr r="C221" s="2"/>
      </tp>
      <tp t="s">
        <v>#N/A N/A</v>
        <stp/>
        <stp>BDP|15929539030554007125</stp>
        <tr r="F472" s="2"/>
      </tp>
      <tp t="s">
        <v>#N/A N/A</v>
        <stp/>
        <stp>BDP|14215838866519834577</stp>
        <tr r="P89" s="2"/>
      </tp>
      <tp t="s">
        <v>#N/A N/A</v>
        <stp/>
        <stp>BDP|14515061718902741142</stp>
        <tr r="F222" s="2"/>
      </tp>
      <tp t="s">
        <v>#N/A N/A</v>
        <stp/>
        <stp>BDP|17353503113561890404</stp>
        <tr r="E477" s="2"/>
      </tp>
      <tp t="s">
        <v>#N/A N/A</v>
        <stp/>
        <stp>BDP|10346655946213185796</stp>
        <tr r="Q334" s="2"/>
      </tp>
      <tp t="s">
        <v>#N/A N/A</v>
        <stp/>
        <stp>BDP|18021667785506297695</stp>
        <tr r="P484" s="2"/>
      </tp>
      <tp t="s">
        <v>#N/A N/A</v>
        <stp/>
        <stp>BDP|16027085908942049286</stp>
        <tr r="F328" s="2"/>
      </tp>
      <tp t="s">
        <v>#N/A N/A</v>
        <stp/>
        <stp>BDP|11835656633591356356</stp>
        <tr r="J277" s="2"/>
      </tp>
      <tp t="s">
        <v>#N/A N/A</v>
        <stp/>
        <stp>BDP|13611730272807739289</stp>
        <tr r="J180" s="2"/>
      </tp>
      <tp t="s">
        <v>#N/A N/A</v>
        <stp/>
        <stp>BDP|14256610549514544477</stp>
        <tr r="F327" s="2"/>
      </tp>
      <tp t="s">
        <v>#N/A N/A</v>
        <stp/>
        <stp>BDP|15171412048916881587</stp>
        <tr r="M432" s="2"/>
      </tp>
      <tp t="s">
        <v>#N/A N/A</v>
        <stp/>
        <stp>BDP|13147401665681406681</stp>
        <tr r="K344" s="2"/>
      </tp>
      <tp t="s">
        <v>#N/A N/A</v>
        <stp/>
        <stp>BDP|13492700328577568718</stp>
        <tr r="C279" s="2"/>
      </tp>
      <tp t="s">
        <v>#N/A N/A</v>
        <stp/>
        <stp>BDP|15225693295658178472</stp>
        <tr r="E17" s="2"/>
      </tp>
      <tp t="s">
        <v>#N/A N/A</v>
        <stp/>
        <stp>BDP|15013380432775062622</stp>
        <tr r="I454" s="2"/>
      </tp>
      <tp t="s">
        <v>#N/A N/A</v>
        <stp/>
        <stp>BDP|11000695645324519117</stp>
        <tr r="O78" s="2"/>
      </tp>
      <tp t="s">
        <v>#N/A N/A</v>
        <stp/>
        <stp>BDP|13092694716854339646</stp>
        <tr r="K247" s="2"/>
      </tp>
      <tp t="s">
        <v>#N/A N/A</v>
        <stp/>
        <stp>BDP|15363271689371669832</stp>
        <tr r="F445" s="2"/>
      </tp>
      <tp t="s">
        <v>#N/A N/A</v>
        <stp/>
        <stp>BDP|10150772955314983028</stp>
        <tr r="D443" s="2"/>
      </tp>
      <tp t="s">
        <v>#N/A N/A</v>
        <stp/>
        <stp>BDP|16420760986958964766</stp>
        <tr r="C116" s="2"/>
      </tp>
      <tp t="s">
        <v>#N/A N/A</v>
        <stp/>
        <stp>BDP|12478103277824848607</stp>
        <tr r="F83" s="2"/>
      </tp>
      <tp t="s">
        <v>#N/A N/A</v>
        <stp/>
        <stp>BDP|11356719603470900034</stp>
        <tr r="C390" s="2"/>
      </tp>
      <tp t="s">
        <v>#N/A N/A</v>
        <stp/>
        <stp>BDP|17134299836017691733</stp>
        <tr r="N422" s="2"/>
      </tp>
      <tp t="s">
        <v>#N/A N/A</v>
        <stp/>
        <stp>BDP|11678699633122774008</stp>
        <tr r="Q328" s="2"/>
      </tp>
      <tp t="s">
        <v>#N/A N/A</v>
        <stp/>
        <stp>BDP|14484547270637301789</stp>
        <tr r="R99" s="2"/>
      </tp>
      <tp t="s">
        <v>#N/A N/A</v>
        <stp/>
        <stp>BDP|17871925986023369344</stp>
        <tr r="L64" s="2"/>
      </tp>
      <tp t="s">
        <v>#N/A N/A</v>
        <stp/>
        <stp>BDP|10745281926097255107</stp>
        <tr r="R331" s="2"/>
      </tp>
      <tp t="s">
        <v>#N/A N/A</v>
        <stp/>
        <stp>BDP|17520281833951225163</stp>
        <tr r="F136" s="2"/>
      </tp>
      <tp t="s">
        <v>#N/A N/A</v>
        <stp/>
        <stp>BDP|14938021925243612329</stp>
        <tr r="H360" s="2"/>
      </tp>
      <tp t="s">
        <v>#N/A N/A</v>
        <stp/>
        <stp>BDP|16093256411117658485</stp>
        <tr r="C306" s="2"/>
      </tp>
      <tp t="s">
        <v>#N/A N/A</v>
        <stp/>
        <stp>BDP|16317605563183331397</stp>
        <tr r="D392" s="2"/>
      </tp>
      <tp t="s">
        <v>#N/A N/A</v>
        <stp/>
        <stp>BDP|17770808397050985037</stp>
        <tr r="L328" s="2"/>
      </tp>
      <tp t="s">
        <v>#N/A N/A</v>
        <stp/>
        <stp>BDP|14606052816530798389</stp>
        <tr r="O432" s="2"/>
      </tp>
      <tp t="s">
        <v>#N/A N/A</v>
        <stp/>
        <stp>BDP|13243820918335125931</stp>
        <tr r="C486" s="2"/>
      </tp>
      <tp t="s">
        <v>#N/A N/A</v>
        <stp/>
        <stp>BDP|10183533888478735307</stp>
        <tr r="K295" s="2"/>
      </tp>
      <tp t="s">
        <v>#N/A N/A</v>
        <stp/>
        <stp>BDP|11992166835151724405</stp>
        <tr r="Q49" s="2"/>
      </tp>
      <tp t="s">
        <v>#N/A N/A</v>
        <stp/>
        <stp>BDP|13719503032976944516</stp>
        <tr r="R109" s="2"/>
      </tp>
      <tp t="s">
        <v>#N/A N/A</v>
        <stp/>
        <stp>BDP|13947330923814496008</stp>
        <tr r="P136" s="2"/>
      </tp>
      <tp t="s">
        <v>#N/A N/A</v>
        <stp/>
        <stp>BDP|14898835197080679377</stp>
        <tr r="K213" s="2"/>
      </tp>
      <tp t="s">
        <v>#N/A N/A</v>
        <stp/>
        <stp>BDP|10865462493643266824</stp>
        <tr r="H320" s="2"/>
      </tp>
      <tp t="s">
        <v>#N/A N/A</v>
        <stp/>
        <stp>BDP|13502611802327904425</stp>
        <tr r="K255" s="2"/>
      </tp>
      <tp t="s">
        <v>#N/A N/A</v>
        <stp/>
        <stp>BDP|16576993186612636316</stp>
        <tr r="O272" s="2"/>
      </tp>
      <tp t="s">
        <v>#N/A N/A</v>
        <stp/>
        <stp>BDP|13093004452928915863</stp>
        <tr r="Q138" s="2"/>
      </tp>
      <tp t="s">
        <v>#N/A N/A</v>
        <stp/>
        <stp>BDP|10258147968667321603</stp>
        <tr r="O379" s="2"/>
      </tp>
      <tp t="s">
        <v>#N/A N/A</v>
        <stp/>
        <stp>BDP|11282195556786590557</stp>
        <tr r="D371" s="2"/>
      </tp>
      <tp t="s">
        <v>#N/A N/A</v>
        <stp/>
        <stp>BDP|12498174178700760206</stp>
        <tr r="I481" s="2"/>
      </tp>
      <tp t="s">
        <v>#N/A N/A</v>
        <stp/>
        <stp>BDP|12411051848036182640</stp>
        <tr r="N319" s="2"/>
      </tp>
      <tp t="s">
        <v>#N/A N/A</v>
        <stp/>
        <stp>BDP|11557493337925091579</stp>
        <tr r="C498" s="2"/>
      </tp>
      <tp t="s">
        <v>#N/A N/A</v>
        <stp/>
        <stp>BDP|14422877862929413593</stp>
        <tr r="F396" s="2"/>
      </tp>
      <tp t="s">
        <v>#N/A N/A</v>
        <stp/>
        <stp>BDP|13592299324546028344</stp>
        <tr r="I359" s="2"/>
      </tp>
      <tp t="s">
        <v>#N/A N/A</v>
        <stp/>
        <stp>BDP|14026136964123251693</stp>
        <tr r="F464" s="2"/>
      </tp>
      <tp t="s">
        <v>#N/A N/A</v>
        <stp/>
        <stp>BDP|16131846922039962320</stp>
        <tr r="G293" s="2"/>
      </tp>
      <tp t="s">
        <v>#N/A N/A</v>
        <stp/>
        <stp>BDP|17701594544208160871</stp>
        <tr r="P151" s="2"/>
      </tp>
      <tp t="s">
        <v>#N/A N/A</v>
        <stp/>
        <stp>BDP|11371083918675604395</stp>
        <tr r="O257" s="2"/>
      </tp>
      <tp t="s">
        <v>#N/A N/A</v>
        <stp/>
        <stp>BDP|12662585369386864130</stp>
        <tr r="M160" s="2"/>
      </tp>
      <tp t="s">
        <v>#N/A N/A</v>
        <stp/>
        <stp>BDP|14968855491151085222</stp>
        <tr r="D66" s="2"/>
      </tp>
      <tp t="s">
        <v>#N/A N/A</v>
        <stp/>
        <stp>BDP|13350017463116891562</stp>
        <tr r="D163" s="2"/>
      </tp>
      <tp t="s">
        <v>#N/A N/A</v>
        <stp/>
        <stp>BDP|14889436421082206676</stp>
        <tr r="L91" s="2"/>
      </tp>
      <tp t="s">
        <v>#N/A N/A</v>
        <stp/>
        <stp>BDP|12864847995143093666</stp>
        <tr r="K59" s="2"/>
      </tp>
      <tp t="s">
        <v>#N/A N/A</v>
        <stp/>
        <stp>BDP|11091590230752324351</stp>
        <tr r="C63" s="2"/>
      </tp>
      <tp t="s">
        <v>#N/A N/A</v>
        <stp/>
        <stp>BDP|13911323124353319733</stp>
        <tr r="L222" s="2"/>
      </tp>
      <tp t="s">
        <v>#N/A N/A</v>
        <stp/>
        <stp>BDP|18025453076205451887</stp>
        <tr r="N376" s="2"/>
      </tp>
      <tp t="s">
        <v>#N/A N/A</v>
        <stp/>
        <stp>BDP|17525041588120471924</stp>
        <tr r="R314" s="2"/>
      </tp>
      <tp t="s">
        <v>#N/A N/A</v>
        <stp/>
        <stp>BDP|11679665777481967717</stp>
        <tr r="C22" s="2"/>
      </tp>
      <tp t="s">
        <v>#N/A N/A</v>
        <stp/>
        <stp>BDP|13831764347895002369</stp>
        <tr r="D68" s="2"/>
      </tp>
      <tp t="s">
        <v>#N/A N/A</v>
        <stp/>
        <stp>BDP|11842574542217392100</stp>
        <tr r="I361" s="2"/>
      </tp>
      <tp t="s">
        <v>#N/A N/A</v>
        <stp/>
        <stp>BDP|12094580634593137135</stp>
        <tr r="D74" s="2"/>
      </tp>
      <tp t="s">
        <v>#N/A N/A</v>
        <stp/>
        <stp>BDP|13865474100859437853</stp>
        <tr r="F97" s="2"/>
      </tp>
      <tp t="s">
        <v>#N/A N/A</v>
        <stp/>
        <stp>BDP|13893441072752272420</stp>
        <tr r="Q352" s="2"/>
      </tp>
      <tp t="s">
        <v>#N/A N/A</v>
        <stp/>
        <stp>BDP|11372065979435081521</stp>
        <tr r="D391" s="2"/>
      </tp>
      <tp t="s">
        <v>#N/A N/A</v>
        <stp/>
        <stp>BDP|12885193475067923536</stp>
        <tr r="L140" s="2"/>
      </tp>
      <tp t="s">
        <v>#N/A N/A</v>
        <stp/>
        <stp>BDP|17936936322459046368</stp>
        <tr r="R315" s="2"/>
      </tp>
      <tp t="s">
        <v>#N/A N/A</v>
        <stp/>
        <stp>BDP|13185177921787035196</stp>
        <tr r="K294" s="2"/>
      </tp>
      <tp t="s">
        <v>#N/A N/A</v>
        <stp/>
        <stp>BDP|16960761554442286077</stp>
        <tr r="R142" s="2"/>
      </tp>
      <tp t="s">
        <v>#N/A N/A</v>
        <stp/>
        <stp>BDP|10366935151412825879</stp>
        <tr r="K274" s="2"/>
      </tp>
      <tp t="s">
        <v>#N/A N/A</v>
        <stp/>
        <stp>BDP|17686430093924007883</stp>
        <tr r="K253" s="2"/>
      </tp>
      <tp t="s">
        <v>#N/A N/A</v>
        <stp/>
        <stp>BDP|11883263678420992216</stp>
        <tr r="H228" s="2"/>
      </tp>
      <tp t="s">
        <v>#N/A N/A</v>
        <stp/>
        <stp>BDP|12924351830687201305</stp>
        <tr r="M359" s="2"/>
      </tp>
      <tp t="s">
        <v>#N/A N/A</v>
        <stp/>
        <stp>BDP|12194846927468543698</stp>
        <tr r="N184" s="2"/>
      </tp>
      <tp t="s">
        <v>#N/A N/A</v>
        <stp/>
        <stp>BDP|16179384556563947584</stp>
        <tr r="F18" s="2"/>
      </tp>
      <tp t="s">
        <v>#N/A N/A</v>
        <stp/>
        <stp>BDP|11633968989560284650</stp>
        <tr r="M47" s="2"/>
      </tp>
      <tp t="s">
        <v>#N/A N/A</v>
        <stp/>
        <stp>BDP|11149555038725078427</stp>
        <tr r="R161" s="2"/>
      </tp>
      <tp t="s">
        <v>#N/A N/A</v>
        <stp/>
        <stp>BDP|12761160343154968554</stp>
        <tr r="K243" s="2"/>
      </tp>
      <tp t="s">
        <v>#N/A N/A</v>
        <stp/>
        <stp>BDP|16354838087747705712</stp>
        <tr r="P289" s="2"/>
      </tp>
      <tp t="s">
        <v>#N/A N/A</v>
        <stp/>
        <stp>BDP|18159988316963832568</stp>
        <tr r="C417" s="2"/>
      </tp>
      <tp t="s">
        <v>#N/A N/A</v>
        <stp/>
        <stp>BDP|11729118771621133072</stp>
        <tr r="R500" s="2"/>
      </tp>
      <tp t="s">
        <v>#N/A N/A</v>
        <stp/>
        <stp>BDP|12198389045174550785</stp>
        <tr r="M39" s="2"/>
      </tp>
      <tp t="s">
        <v>#N/A N/A</v>
        <stp/>
        <stp>BDP|16029125661022705556</stp>
        <tr r="I94" s="2"/>
      </tp>
      <tp t="s">
        <v>#N/A N/A</v>
        <stp/>
        <stp>BDP|10314862930138018542</stp>
        <tr r="O407" s="2"/>
      </tp>
      <tp t="s">
        <v>#N/A N/A</v>
        <stp/>
        <stp>BDP|12493768226677174640</stp>
        <tr r="D333" s="2"/>
      </tp>
      <tp t="s">
        <v>#N/A N/A</v>
        <stp/>
        <stp>BDP|17331287574131706592</stp>
        <tr r="M221" s="2"/>
      </tp>
      <tp t="s">
        <v>#N/A N/A</v>
        <stp/>
        <stp>BDP|15101072777160912494</stp>
        <tr r="R296" s="2"/>
      </tp>
      <tp t="s">
        <v>#N/A N/A</v>
        <stp/>
        <stp>BDP|14531081728752039243</stp>
        <tr r="K342" s="2"/>
      </tp>
      <tp t="s">
        <v>#N/A N/A</v>
        <stp/>
        <stp>BDP|10986323029656389101</stp>
        <tr r="L400" s="2"/>
      </tp>
      <tp t="s">
        <v>#N/A N/A</v>
        <stp/>
        <stp>BDP|17414901200168581012</stp>
        <tr r="H81" s="2"/>
      </tp>
      <tp t="s">
        <v>#N/A N/A</v>
        <stp/>
        <stp>BDP|12897777730037620796</stp>
        <tr r="K42" s="2"/>
      </tp>
      <tp t="s">
        <v>#N/A N/A</v>
        <stp/>
        <stp>BDP|16884865099758043974</stp>
        <tr r="D20" s="2"/>
      </tp>
      <tp t="s">
        <v>#N/A N/A</v>
        <stp/>
        <stp>BDP|15790369510856329722</stp>
        <tr r="D358" s="2"/>
      </tp>
      <tp t="s">
        <v>#N/A N/A</v>
        <stp/>
        <stp>BDP|13734852250269128139</stp>
        <tr r="N451" s="2"/>
      </tp>
      <tp t="s">
        <v>#N/A N/A</v>
        <stp/>
        <stp>BDP|14758617703855530101</stp>
        <tr r="C139" s="2"/>
      </tp>
      <tp t="s">
        <v>#N/A N/A</v>
        <stp/>
        <stp>BDP|14442502297548189626</stp>
        <tr r="D464" s="2"/>
      </tp>
      <tp t="s">
        <v>#N/A N/A</v>
        <stp/>
        <stp>BDP|12890570256993052796</stp>
        <tr r="N23" s="2"/>
      </tp>
      <tp t="s">
        <v>#N/A N/A</v>
        <stp/>
        <stp>BDP|11782318066935199713</stp>
        <tr r="E467" s="2"/>
      </tp>
      <tp t="s">
        <v>#N/A N/A</v>
        <stp/>
        <stp>BDP|15942492533775345106</stp>
        <tr r="N382" s="2"/>
      </tp>
      <tp t="s">
        <v>#N/A N/A</v>
        <stp/>
        <stp>BDP|16802453730751404697</stp>
        <tr r="L59" s="2"/>
      </tp>
      <tp t="s">
        <v>#N/A N/A</v>
        <stp/>
        <stp>BDP|12540144602700012537</stp>
        <tr r="O460" s="2"/>
      </tp>
      <tp t="s">
        <v>#N/A N/A</v>
        <stp/>
        <stp>BDP|10265449317226592545</stp>
        <tr r="K38" s="2"/>
      </tp>
      <tp t="s">
        <v>#N/A N/A</v>
        <stp/>
        <stp>BDP|16320305622244956580</stp>
        <tr r="D362" s="2"/>
      </tp>
      <tp t="s">
        <v>#N/A N/A</v>
        <stp/>
        <stp>BDP|15020833287537218462</stp>
        <tr r="Q111" s="2"/>
      </tp>
      <tp t="s">
        <v>#N/A N/A</v>
        <stp/>
        <stp>BDP|13785338503246063073</stp>
        <tr r="R501" s="2"/>
      </tp>
      <tp t="s">
        <v>#N/A N/A</v>
        <stp/>
        <stp>BDP|16885782264013572218</stp>
        <tr r="E338" s="2"/>
      </tp>
      <tp t="s">
        <v>#N/A N/A</v>
        <stp/>
        <stp>BDP|11752494179472353645</stp>
        <tr r="J484" s="2"/>
      </tp>
      <tp t="s">
        <v>#N/A N/A</v>
        <stp/>
        <stp>BDP|10363717407300444113</stp>
        <tr r="C435" s="2"/>
      </tp>
      <tp t="s">
        <v>#N/A N/A</v>
        <stp/>
        <stp>BDP|15946712814734625198</stp>
        <tr r="N438" s="2"/>
      </tp>
      <tp t="s">
        <v>#N/A N/A</v>
        <stp/>
        <stp>BDP|11698157227063712705</stp>
        <tr r="Q495" s="2"/>
      </tp>
      <tp t="s">
        <v>#N/A N/A</v>
        <stp/>
        <stp>BDP|15248701015484401109</stp>
        <tr r="C189" s="2"/>
      </tp>
      <tp t="s">
        <v>#N/A N/A</v>
        <stp/>
        <stp>BDP|16538578302424745145</stp>
        <tr r="E12" s="2"/>
      </tp>
      <tp t="s">
        <v>#N/A N/A</v>
        <stp/>
        <stp>BDP|17855126404990468092</stp>
        <tr r="O43" s="2"/>
      </tp>
      <tp t="s">
        <v>#N/A N/A</v>
        <stp/>
        <stp>BDP|12667134505580329509</stp>
        <tr r="E128" s="2"/>
      </tp>
      <tp t="s">
        <v>#N/A N/A</v>
        <stp/>
        <stp>BDP|10702842526435627907</stp>
        <tr r="O503" s="2"/>
      </tp>
      <tp t="s">
        <v>#N/A N/A</v>
        <stp/>
        <stp>BDP|10077469019261964258</stp>
        <tr r="C473" s="2"/>
      </tp>
      <tp t="s">
        <v>#N/A N/A</v>
        <stp/>
        <stp>BDP|16650407885108010403</stp>
        <tr r="M384" s="2"/>
      </tp>
      <tp t="s">
        <v>#N/A N/A</v>
        <stp/>
        <stp>BDP|13593740996472757939</stp>
        <tr r="E26" s="2"/>
      </tp>
      <tp t="s">
        <v>#N/A N/A</v>
        <stp/>
        <stp>BDP|15473660609580803502</stp>
        <tr r="L77" s="2"/>
      </tp>
      <tp t="s">
        <v>#N/A N/A</v>
        <stp/>
        <stp>BDP|10195910372758428059</stp>
        <tr r="C202" s="2"/>
      </tp>
      <tp t="s">
        <v>#N/A N/A</v>
        <stp/>
        <stp>BDP|11016261085758274525</stp>
        <tr r="E309" s="2"/>
      </tp>
      <tp t="s">
        <v>#N/A N/A</v>
        <stp/>
        <stp>BDP|17376788401604888215</stp>
        <tr r="H428" s="2"/>
      </tp>
      <tp t="s">
        <v>#N/A N/A</v>
        <stp/>
        <stp>BDP|10682642938842109186</stp>
        <tr r="L238" s="2"/>
      </tp>
      <tp t="s">
        <v>#N/A N/A</v>
        <stp/>
        <stp>BDP|12627753706765049679</stp>
        <tr r="M460" s="2"/>
      </tp>
      <tp t="s">
        <v>#N/A N/A</v>
        <stp/>
        <stp>BDP|11391555244101213727</stp>
        <tr r="G469" s="2"/>
      </tp>
      <tp t="s">
        <v>#N/A N/A</v>
        <stp/>
        <stp>BDP|14286531556485579700</stp>
        <tr r="D154" s="2"/>
      </tp>
      <tp t="s">
        <v>#N/A N/A</v>
        <stp/>
        <stp>BDP|17636274158473888533</stp>
        <tr r="I67" s="2"/>
      </tp>
      <tp t="s">
        <v>#N/A N/A</v>
        <stp/>
        <stp>BDP|17319159304898998891</stp>
        <tr r="E495" s="2"/>
      </tp>
      <tp t="s">
        <v>#N/A N/A</v>
        <stp/>
        <stp>BDP|14424467443132799045</stp>
        <tr r="K313" s="2"/>
      </tp>
      <tp t="s">
        <v>#N/A N/A</v>
        <stp/>
        <stp>BDP|16197024721027335531</stp>
        <tr r="Q343" s="2"/>
      </tp>
      <tp t="s">
        <v>#N/A N/A</v>
        <stp/>
        <stp>BDP|16130398406466871546</stp>
        <tr r="N336" s="2"/>
      </tp>
      <tp t="s">
        <v>#N/A N/A</v>
        <stp/>
        <stp>BDP|10287000371467070615</stp>
        <tr r="L67" s="2"/>
      </tp>
      <tp t="s">
        <v>#N/A N/A</v>
        <stp/>
        <stp>BDP|12673329502093105453</stp>
        <tr r="M502" s="2"/>
      </tp>
      <tp t="s">
        <v>#N/A N/A</v>
        <stp/>
        <stp>BDP|17248928104789026164</stp>
        <tr r="K29" s="2"/>
      </tp>
      <tp t="s">
        <v>#N/A N/A</v>
        <stp/>
        <stp>BDP|16253702924704781134</stp>
        <tr r="K484" s="2"/>
      </tp>
      <tp t="s">
        <v>#N/A N/A</v>
        <stp/>
        <stp>BDP|16759344453055624340</stp>
        <tr r="C352" s="2"/>
      </tp>
      <tp t="s">
        <v>#N/A N/A</v>
        <stp/>
        <stp>BDP|11667127860312595238</stp>
        <tr r="L347" s="2"/>
      </tp>
      <tp t="s">
        <v>#N/A N/A</v>
        <stp/>
        <stp>BDP|17575185552212846756</stp>
        <tr r="L8" s="2"/>
      </tp>
      <tp t="s">
        <v>#N/A N/A</v>
        <stp/>
        <stp>BDP|11981445584972851933</stp>
        <tr r="F499" s="2"/>
      </tp>
      <tp t="s">
        <v>#N/A N/A</v>
        <stp/>
        <stp>BDP|17765844276289500721</stp>
        <tr r="C11" s="2"/>
      </tp>
      <tp t="s">
        <v>#N/A N/A</v>
        <stp/>
        <stp>BDP|13063253814873593562</stp>
        <tr r="R146" s="2"/>
      </tp>
      <tp t="s">
        <v>#N/A N/A</v>
        <stp/>
        <stp>BDP|13553463270176622070</stp>
        <tr r="L325" s="2"/>
      </tp>
      <tp t="s">
        <v>#N/A N/A</v>
        <stp/>
        <stp>BDP|12512481868893784505</stp>
        <tr r="O499" s="2"/>
      </tp>
      <tp t="s">
        <v>#N/A N/A</v>
        <stp/>
        <stp>BDP|14414966204423555813</stp>
        <tr r="O310" s="2"/>
      </tp>
      <tp t="s">
        <v>#N/A N/A</v>
        <stp/>
        <stp>BDP|11215268385775722848</stp>
        <tr r="E376" s="2"/>
      </tp>
      <tp t="s">
        <v>#N/A N/A</v>
        <stp/>
        <stp>BDP|14292422769482857241</stp>
        <tr r="I256" s="2"/>
      </tp>
      <tp t="s">
        <v>#N/A N/A</v>
        <stp/>
        <stp>BDP|17305519307251269527</stp>
        <tr r="N457" s="2"/>
      </tp>
      <tp t="s">
        <v>#N/A N/A</v>
        <stp/>
        <stp>BDP|10679050946903027106</stp>
        <tr r="K290" s="2"/>
      </tp>
      <tp t="s">
        <v>#N/A N/A</v>
        <stp/>
        <stp>BDP|10802356727451881673</stp>
        <tr r="R157" s="2"/>
      </tp>
      <tp t="s">
        <v>#N/A N/A</v>
        <stp/>
        <stp>BDP|16045930126019197215</stp>
        <tr r="M234" s="2"/>
      </tp>
      <tp t="s">
        <v>#N/A N/A</v>
        <stp/>
        <stp>BDP|10257225463684787611</stp>
        <tr r="C24" s="2"/>
      </tp>
      <tp t="s">
        <v>#N/A N/A</v>
        <stp/>
        <stp>BDP|16764704971792787242</stp>
        <tr r="D147" s="2"/>
      </tp>
      <tp t="s">
        <v>#N/A N/A</v>
        <stp/>
        <stp>BDP|13982360348670682248</stp>
        <tr r="K210" s="2"/>
      </tp>
      <tp t="s">
        <v>#N/A N/A</v>
        <stp/>
        <stp>BDP|12612073335874318326</stp>
        <tr r="I396" s="2"/>
      </tp>
      <tp t="s">
        <v>#N/A N/A</v>
        <stp/>
        <stp>BDP|12710642246782398430</stp>
        <tr r="M174" s="2"/>
      </tp>
      <tp t="s">
        <v>#N/A N/A</v>
        <stp/>
        <stp>BDP|14768326530784973693</stp>
        <tr r="C440" s="2"/>
      </tp>
      <tp t="s">
        <v>#N/A N/A</v>
        <stp/>
        <stp>BDP|14327966640596927991</stp>
        <tr r="O265" s="2"/>
      </tp>
      <tp t="s">
        <v>#N/A N/A</v>
        <stp/>
        <stp>BDP|15956486505655527240</stp>
        <tr r="F140" s="2"/>
      </tp>
      <tp t="s">
        <v>#N/A N/A</v>
        <stp/>
        <stp>BDP|16265816349294709886</stp>
        <tr r="Q142" s="2"/>
      </tp>
      <tp t="s">
        <v>#N/A N/A</v>
        <stp/>
        <stp>BDP|16193264755627269046</stp>
        <tr r="N177" s="2"/>
      </tp>
      <tp t="s">
        <v>#N/A N/A</v>
        <stp/>
        <stp>BDP|12596353174440935093</stp>
        <tr r="L491" s="2"/>
      </tp>
      <tp t="s">
        <v>#N/A N/A</v>
        <stp/>
        <stp>BDP|14781016939264947525</stp>
        <tr r="H406" s="2"/>
      </tp>
      <tp t="s">
        <v>#N/A N/A</v>
        <stp/>
        <stp>BDP|13752024667481592230</stp>
        <tr r="G374" s="2"/>
      </tp>
      <tp t="s">
        <v>#N/A N/A</v>
        <stp/>
        <stp>BDP|13365277953756638459</stp>
        <tr r="J399" s="2"/>
      </tp>
      <tp t="s">
        <v>#N/A N/A</v>
        <stp/>
        <stp>BDP|18055977107831165650</stp>
        <tr r="K163" s="2"/>
      </tp>
      <tp t="s">
        <v>#N/A N/A</v>
        <stp/>
        <stp>BDP|11206163740382405042</stp>
        <tr r="I232" s="2"/>
      </tp>
      <tp t="s">
        <v>#N/A N/A</v>
        <stp/>
        <stp>BDP|11343446701575653640</stp>
        <tr r="F185" s="2"/>
      </tp>
      <tp t="s">
        <v>#N/A N/A</v>
        <stp/>
        <stp>BDP|18222926800286451102</stp>
        <tr r="C52" s="2"/>
      </tp>
      <tp t="s">
        <v>#N/A N/A</v>
        <stp/>
        <stp>BDP|17064377947383201562</stp>
        <tr r="M381" s="2"/>
      </tp>
      <tp t="s">
        <v>#N/A N/A</v>
        <stp/>
        <stp>BDP|18372734691836323669</stp>
        <tr r="C409" s="2"/>
      </tp>
      <tp t="s">
        <v>#N/A N/A</v>
        <stp/>
        <stp>BDP|13414797728640970087</stp>
        <tr r="I392" s="2"/>
      </tp>
      <tp t="s">
        <v>#N/A N/A</v>
        <stp/>
        <stp>BDP|12853411894100129987</stp>
        <tr r="F50" s="2"/>
      </tp>
      <tp t="s">
        <v>#N/A N/A</v>
        <stp/>
        <stp>BDP|14361303115005319513</stp>
        <tr r="E494" s="2"/>
      </tp>
      <tp t="s">
        <v>#N/A N/A</v>
        <stp/>
        <stp>BDP|11447375465371713355</stp>
        <tr r="J411" s="2"/>
      </tp>
      <tp t="s">
        <v>#N/A N/A</v>
        <stp/>
        <stp>BDP|12217108841130453138</stp>
        <tr r="N6" s="2"/>
      </tp>
      <tp t="s">
        <v>#N/A N/A</v>
        <stp/>
        <stp>BDP|13935604293462625885</stp>
        <tr r="I61" s="2"/>
      </tp>
      <tp t="s">
        <v>#N/A N/A</v>
        <stp/>
        <stp>BDP|17966455945875969476</stp>
        <tr r="E50" s="2"/>
      </tp>
      <tp t="s">
        <v>#N/A N/A</v>
        <stp/>
        <stp>BDP|15483399429961155327</stp>
        <tr r="D295" s="2"/>
      </tp>
      <tp t="s">
        <v>#N/A N/A</v>
        <stp/>
        <stp>BDP|11449119241861543368</stp>
        <tr r="P231" s="2"/>
      </tp>
      <tp t="s">
        <v>#N/A N/A</v>
        <stp/>
        <stp>BDP|10806693311421498036</stp>
        <tr r="P57" s="2"/>
      </tp>
      <tp t="s">
        <v>#N/A N/A</v>
        <stp/>
        <stp>BDP|12155707581778441339</stp>
        <tr r="D195" s="2"/>
      </tp>
      <tp t="s">
        <v>#N/A N/A</v>
        <stp/>
        <stp>BDP|14098296934774244784</stp>
        <tr r="N495" s="2"/>
      </tp>
      <tp t="s">
        <v>#N/A N/A</v>
        <stp/>
        <stp>BDP|10442828980367986189</stp>
        <tr r="G313" s="2"/>
      </tp>
      <tp t="s">
        <v>#N/A N/A</v>
        <stp/>
        <stp>BDP|11513265037182707446</stp>
        <tr r="J67" s="2"/>
      </tp>
      <tp t="s">
        <v>#N/A N/A</v>
        <stp/>
        <stp>BDP|17359999539482224968</stp>
        <tr r="P310" s="2"/>
      </tp>
      <tp t="s">
        <v>#N/A N/A</v>
        <stp/>
        <stp>BDP|17005772086438472620</stp>
        <tr r="P242" s="2"/>
      </tp>
      <tp t="s">
        <v>#N/A N/A</v>
        <stp/>
        <stp>BDP|12683765232804330467</stp>
        <tr r="C165" s="2"/>
      </tp>
      <tp t="s">
        <v>#N/A N/A</v>
        <stp/>
        <stp>BDP|12656211338860039589</stp>
        <tr r="M375" s="2"/>
      </tp>
      <tp t="s">
        <v>#N/A N/A</v>
        <stp/>
        <stp>BDP|10696662353080349579</stp>
        <tr r="G94" s="2"/>
      </tp>
      <tp t="s">
        <v>#N/A N/A</v>
        <stp/>
        <stp>BDP|15204155211737993491</stp>
        <tr r="H231" s="2"/>
      </tp>
      <tp t="s">
        <v>#N/A N/A</v>
        <stp/>
        <stp>BDP|16886818442339825558</stp>
        <tr r="Q316" s="2"/>
      </tp>
      <tp t="s">
        <v>#N/A N/A</v>
        <stp/>
        <stp>BDP|14751151970175295164</stp>
        <tr r="K91" s="2"/>
      </tp>
      <tp t="s">
        <v>#N/A N/A</v>
        <stp/>
        <stp>BDP|16610218370552274734</stp>
        <tr r="Q61" s="2"/>
      </tp>
      <tp t="s">
        <v>#N/A N/A</v>
        <stp/>
        <stp>BDP|12625499376305769280</stp>
        <tr r="R136" s="2"/>
      </tp>
      <tp t="s">
        <v>#N/A N/A</v>
        <stp/>
        <stp>BDP|10296255855596039747</stp>
        <tr r="J162" s="2"/>
      </tp>
      <tp t="s">
        <v>#N/A N/A</v>
        <stp/>
        <stp>BDP|11200154862022313208</stp>
        <tr r="K189" s="2"/>
      </tp>
      <tp t="s">
        <v>#N/A N/A</v>
        <stp/>
        <stp>BDP|10390964236215549907</stp>
        <tr r="F226" s="2"/>
      </tp>
      <tp t="s">
        <v>#N/A N/A</v>
        <stp/>
        <stp>BDP|16968475812544275183</stp>
        <tr r="Q315" s="2"/>
      </tp>
      <tp t="s">
        <v>#N/A N/A</v>
        <stp/>
        <stp>BDP|17286202317264397601</stp>
        <tr r="O136" s="2"/>
      </tp>
      <tp t="s">
        <v>#N/A N/A</v>
        <stp/>
        <stp>BDP|12147304456063842193</stp>
        <tr r="P77" s="2"/>
      </tp>
      <tp t="s">
        <v>#N/A N/A</v>
        <stp/>
        <stp>BDP|15319007630661604136</stp>
        <tr r="C288" s="2"/>
      </tp>
      <tp t="s">
        <v>#N/A N/A</v>
        <stp/>
        <stp>BDP|17770880231609049383</stp>
        <tr r="M121" s="2"/>
      </tp>
      <tp t="s">
        <v>#N/A N/A</v>
        <stp/>
        <stp>BDP|10742754563035576222</stp>
        <tr r="G496" s="2"/>
      </tp>
      <tp t="s">
        <v>#N/A N/A</v>
        <stp/>
        <stp>BDP|14283091155300327642</stp>
        <tr r="G233" s="2"/>
      </tp>
      <tp t="s">
        <v>#N/A N/A</v>
        <stp/>
        <stp>BDP|16570923311918614196</stp>
        <tr r="N12" s="2"/>
      </tp>
      <tp t="s">
        <v>#N/A N/A</v>
        <stp/>
        <stp>BDP|12868608851921217729</stp>
        <tr r="G48" s="2"/>
      </tp>
      <tp t="s">
        <v>#N/A N/A</v>
        <stp/>
        <stp>BDP|12903107272451294204</stp>
        <tr r="L190" s="2"/>
      </tp>
      <tp t="s">
        <v>#N/A N/A</v>
        <stp/>
        <stp>BDP|17024306132457893734</stp>
        <tr r="P64" s="2"/>
      </tp>
      <tp t="s">
        <v>#N/A N/A</v>
        <stp/>
        <stp>BDP|13560995061589593213</stp>
        <tr r="C452" s="2"/>
      </tp>
      <tp t="s">
        <v>#N/A N/A</v>
        <stp/>
        <stp>BDP|10408625838907531523</stp>
        <tr r="P109" s="2"/>
      </tp>
      <tp t="s">
        <v>#N/A N/A</v>
        <stp/>
        <stp>BDP|16921380377697617296</stp>
        <tr r="N408" s="2"/>
      </tp>
      <tp t="s">
        <v>#N/A N/A</v>
        <stp/>
        <stp>BDP|11642030267828371888</stp>
        <tr r="Q75" s="2"/>
      </tp>
      <tp t="s">
        <v>#N/A N/A</v>
        <stp/>
        <stp>BDP|11423092046096272407</stp>
        <tr r="I368" s="2"/>
      </tp>
      <tp t="s">
        <v>#N/A N/A</v>
        <stp/>
        <stp>BDP|13994525859637247399</stp>
        <tr r="F135" s="2"/>
      </tp>
      <tp t="s">
        <v>#N/A N/A</v>
        <stp/>
        <stp>BDP|10858734572707931093</stp>
        <tr r="D175" s="2"/>
      </tp>
      <tp t="s">
        <v>#N/A N/A</v>
        <stp/>
        <stp>BDP|13936380079424590448</stp>
        <tr r="Q322" s="2"/>
      </tp>
      <tp t="s">
        <v>#N/A N/A</v>
        <stp/>
        <stp>BDP|13305255971116959774</stp>
        <tr r="P300" s="2"/>
      </tp>
      <tp t="s">
        <v>#N/A N/A</v>
        <stp/>
        <stp>BDP|10576430554241834733</stp>
        <tr r="F377" s="2"/>
      </tp>
      <tp t="s">
        <v>#N/A N/A</v>
        <stp/>
        <stp>BDP|16104185340996516259</stp>
        <tr r="Q11" s="2"/>
      </tp>
      <tp t="s">
        <v>#N/A N/A</v>
        <stp/>
        <stp>BDP|10248312145878924876</stp>
        <tr r="G295" s="2"/>
      </tp>
      <tp t="s">
        <v>#N/A N/A</v>
        <stp/>
        <stp>BDP|14271396946220010458</stp>
        <tr r="M374" s="2"/>
      </tp>
      <tp t="s">
        <v>#N/A N/A</v>
        <stp/>
        <stp>BDP|17720876379976507947</stp>
        <tr r="H226" s="2"/>
      </tp>
      <tp t="s">
        <v>#N/A N/A</v>
        <stp/>
        <stp>BDP|17631945379898202616</stp>
        <tr r="O143" s="2"/>
      </tp>
      <tp t="s">
        <v>#N/A N/A</v>
        <stp/>
        <stp>BDP|14251928406143748996</stp>
        <tr r="I206" s="2"/>
      </tp>
      <tp t="s">
        <v>#N/A N/A</v>
        <stp/>
        <stp>BDP|11540598654416745072</stp>
        <tr r="H215" s="2"/>
      </tp>
      <tp t="s">
        <v>#N/A N/A</v>
        <stp/>
        <stp>BDP|12078289724706120356</stp>
        <tr r="E431" s="2"/>
      </tp>
      <tp t="s">
        <v>#N/A N/A</v>
        <stp/>
        <stp>BDP|16519320053095948259</stp>
        <tr r="H254" s="2"/>
      </tp>
      <tp t="s">
        <v>#N/A N/A</v>
        <stp/>
        <stp>BDP|17563751561459184888</stp>
        <tr r="J91" s="2"/>
      </tp>
      <tp t="s">
        <v>#N/A N/A</v>
        <stp/>
        <stp>BDP|16384997387563029359</stp>
        <tr r="F44" s="2"/>
      </tp>
      <tp t="s">
        <v>#N/A N/A</v>
        <stp/>
        <stp>BDP|12372687495373644906</stp>
        <tr r="M459" s="2"/>
      </tp>
      <tp t="s">
        <v>#N/A N/A</v>
        <stp/>
        <stp>BDP|10457241964266926554</stp>
        <tr r="F96" s="2"/>
      </tp>
      <tp t="s">
        <v>#N/A N/A</v>
        <stp/>
        <stp>BDP|10318487714370668213</stp>
        <tr r="N194" s="2"/>
      </tp>
      <tp t="s">
        <v>#N/A N/A</v>
        <stp/>
        <stp>BDP|11265091762294138406</stp>
        <tr r="D84" s="2"/>
      </tp>
      <tp t="s">
        <v>#N/A N/A</v>
        <stp/>
        <stp>BDP|11873214601147645361</stp>
        <tr r="E184" s="2"/>
      </tp>
      <tp t="s">
        <v>#N/A N/A</v>
        <stp/>
        <stp>BDP|10187012225695580082</stp>
        <tr r="N363" s="2"/>
      </tp>
      <tp t="s">
        <v>#N/A N/A</v>
        <stp/>
        <stp>BDP|14132955733068751185</stp>
        <tr r="I190" s="2"/>
      </tp>
      <tp t="s">
        <v>#N/A N/A</v>
        <stp/>
        <stp>BDP|17966344702515392648</stp>
        <tr r="L391" s="2"/>
      </tp>
      <tp t="s">
        <v>#N/A N/A</v>
        <stp/>
        <stp>BDP|12940622442995981282</stp>
        <tr r="H438" s="2"/>
      </tp>
      <tp t="s">
        <v>#N/A N/A</v>
        <stp/>
        <stp>BDP|14116860558397101967</stp>
        <tr r="R438" s="2"/>
      </tp>
      <tp t="s">
        <v>#N/A N/A</v>
        <stp/>
        <stp>BDP|18336024132519356582</stp>
        <tr r="Q401" s="2"/>
      </tp>
      <tp t="s">
        <v>#N/A N/A</v>
        <stp/>
        <stp>BDP|13226369976019804910</stp>
        <tr r="C414" s="2"/>
      </tp>
      <tp t="s">
        <v>#N/A N/A</v>
        <stp/>
        <stp>BDP|10554642803941912006</stp>
        <tr r="P100" s="2"/>
      </tp>
      <tp t="s">
        <v>#N/A N/A</v>
        <stp/>
        <stp>BDP|13987092930996283195</stp>
        <tr r="F458" s="2"/>
      </tp>
      <tp t="s">
        <v>#N/A N/A</v>
        <stp/>
        <stp>BDP|17005688512581772667</stp>
        <tr r="K19" s="2"/>
      </tp>
      <tp t="s">
        <v>#N/A N/A</v>
        <stp/>
        <stp>BDP|17326396764292524705</stp>
        <tr r="D240" s="2"/>
      </tp>
      <tp t="s">
        <v>#N/A N/A</v>
        <stp/>
        <stp>BDP|15187881590713092021</stp>
        <tr r="R217" s="2"/>
      </tp>
      <tp t="s">
        <v>#N/A N/A</v>
        <stp/>
        <stp>BDP|13632137858436382643</stp>
        <tr r="C147" s="2"/>
      </tp>
      <tp t="s">
        <v>#N/A N/A</v>
        <stp/>
        <stp>BDP|16711781018582988546</stp>
        <tr r="O427" s="2"/>
      </tp>
      <tp t="s">
        <v>#N/A N/A</v>
        <stp/>
        <stp>BDP|15563383033934554610</stp>
        <tr r="I450" s="2"/>
      </tp>
      <tp t="s">
        <v>#N/A N/A</v>
        <stp/>
        <stp>BDP|11725151751810143281</stp>
        <tr r="M19" s="2"/>
      </tp>
      <tp t="s">
        <v>#N/A N/A</v>
        <stp/>
        <stp>BDP|14663113921835479587</stp>
        <tr r="N465" s="2"/>
      </tp>
      <tp t="s">
        <v>#N/A N/A</v>
        <stp/>
        <stp>BDP|11822415441536277008</stp>
        <tr r="M218" s="2"/>
      </tp>
      <tp t="s">
        <v>#N/A N/A</v>
        <stp/>
        <stp>BDP|14835966532169511039</stp>
        <tr r="O471" s="2"/>
      </tp>
      <tp t="s">
        <v>#N/A N/A</v>
        <stp/>
        <stp>BDP|18246347478742342973</stp>
        <tr r="H241" s="2"/>
      </tp>
      <tp t="s">
        <v>#N/A N/A</v>
        <stp/>
        <stp>BDP|16019289471956032230</stp>
        <tr r="M407" s="2"/>
      </tp>
      <tp t="s">
        <v>#N/A N/A</v>
        <stp/>
        <stp>BDP|14822444406830879788</stp>
        <tr r="O337" s="2"/>
      </tp>
      <tp t="s">
        <v>#N/A N/A</v>
        <stp/>
        <stp>BDP|14714314407688336885</stp>
        <tr r="E103" s="2"/>
      </tp>
      <tp t="s">
        <v>#N/A N/A</v>
        <stp/>
        <stp>BDP|15987714043428187905</stp>
        <tr r="G105" s="2"/>
      </tp>
      <tp t="s">
        <v>#N/A N/A</v>
        <stp/>
        <stp>BDP|17135995133413019917</stp>
        <tr r="K475" s="2"/>
      </tp>
      <tp t="s">
        <v>#N/A N/A</v>
        <stp/>
        <stp>BDP|16522909253435984853</stp>
        <tr r="N306" s="2"/>
      </tp>
      <tp t="s">
        <v>#N/A N/A</v>
        <stp/>
        <stp>BDP|13854924273528456275</stp>
        <tr r="F72" s="2"/>
      </tp>
      <tp t="s">
        <v>#N/A N/A</v>
        <stp/>
        <stp>BDP|11860141860934444550</stp>
        <tr r="H342" s="2"/>
      </tp>
      <tp t="s">
        <v>#N/A N/A</v>
        <stp/>
        <stp>BDP|10480289567810359355</stp>
        <tr r="H502" s="2"/>
      </tp>
      <tp t="s">
        <v>#N/A N/A</v>
        <stp/>
        <stp>BDP|10043678611799316985</stp>
        <tr r="P469" s="2"/>
      </tp>
      <tp t="s">
        <v>#N/A N/A</v>
        <stp/>
        <stp>BDP|13475575908922610304</stp>
        <tr r="O59" s="2"/>
      </tp>
      <tp t="s">
        <v>#N/A N/A</v>
        <stp/>
        <stp>BDP|17268797245837169421</stp>
        <tr r="L39" s="2"/>
      </tp>
      <tp t="s">
        <v>#N/A N/A</v>
        <stp/>
        <stp>BDP|11667552838305705514</stp>
        <tr r="I204" s="2"/>
      </tp>
      <tp t="s">
        <v>#N/A N/A</v>
        <stp/>
        <stp>BDP|17640401056475912443</stp>
        <tr r="F116" s="2"/>
      </tp>
      <tp t="s">
        <v>#N/A N/A</v>
        <stp/>
        <stp>BDP|13700647456856090185</stp>
        <tr r="I187" s="2"/>
      </tp>
      <tp t="s">
        <v>#N/A N/A</v>
        <stp/>
        <stp>BDP|17007119394760050888</stp>
        <tr r="Q296" s="2"/>
      </tp>
      <tp t="s">
        <v>#N/A N/A</v>
        <stp/>
        <stp>BDP|16560017791091872904</stp>
        <tr r="G283" s="2"/>
      </tp>
      <tp t="s">
        <v>#N/A N/A</v>
        <stp/>
        <stp>BDP|14406374774675889228</stp>
        <tr r="I84" s="2"/>
      </tp>
      <tp t="s">
        <v>#N/A N/A</v>
        <stp/>
        <stp>BDP|15433990321179646077</stp>
        <tr r="G356" s="2"/>
      </tp>
      <tp t="s">
        <v>#N/A N/A</v>
        <stp/>
        <stp>BDP|15886164127951061043</stp>
        <tr r="E262" s="2"/>
      </tp>
      <tp t="s">
        <v>#N/A N/A</v>
        <stp/>
        <stp>BDP|17383664749996512443</stp>
        <tr r="N50" s="2"/>
      </tp>
      <tp t="s">
        <v>#N/A N/A</v>
        <stp/>
        <stp>BDP|10420644659310277465</stp>
        <tr r="K348" s="2"/>
      </tp>
      <tp t="s">
        <v>#N/A N/A</v>
        <stp/>
        <stp>BDP|12203411795128337098</stp>
        <tr r="M235" s="2"/>
      </tp>
      <tp t="s">
        <v>#N/A N/A</v>
        <stp/>
        <stp>BDP|10745008532574837011</stp>
        <tr r="K244" s="2"/>
      </tp>
      <tp t="s">
        <v>#N/A N/A</v>
        <stp/>
        <stp>BDP|13232447830353811029</stp>
        <tr r="G124" s="2"/>
      </tp>
      <tp t="s">
        <v>#N/A N/A</v>
        <stp/>
        <stp>BDP|12581927019345404860</stp>
        <tr r="N317" s="2"/>
      </tp>
      <tp t="s">
        <v>#N/A N/A</v>
        <stp/>
        <stp>BDP|14829261513011959186</stp>
        <tr r="F106" s="2"/>
      </tp>
      <tp t="s">
        <v>#N/A N/A</v>
        <stp/>
        <stp>BDP|13135506374873827518</stp>
        <tr r="M24" s="2"/>
      </tp>
      <tp t="s">
        <v>#N/A N/A</v>
        <stp/>
        <stp>BDP|14089709618204761133</stp>
        <tr r="H51" s="2"/>
      </tp>
      <tp t="s">
        <v>#N/A N/A</v>
        <stp/>
        <stp>BDP|17056009391171508889</stp>
        <tr r="O446" s="2"/>
      </tp>
      <tp t="s">
        <v>#N/A N/A</v>
        <stp/>
        <stp>BDP|15492988505033798812</stp>
        <tr r="I133" s="2"/>
      </tp>
      <tp t="s">
        <v>#N/A N/A</v>
        <stp/>
        <stp>BDP|12267189099954596995</stp>
        <tr r="I177" s="2"/>
      </tp>
      <tp t="s">
        <v>#N/A N/A</v>
        <stp/>
        <stp>BDP|16873796957580047399</stp>
        <tr r="L283" s="2"/>
      </tp>
      <tp t="s">
        <v>#N/A N/A</v>
        <stp/>
        <stp>BDP|12742545810629812849</stp>
        <tr r="F417" s="2"/>
      </tp>
      <tp t="s">
        <v>#N/A N/A</v>
        <stp/>
        <stp>BDP|11316015948192709028</stp>
        <tr r="N211" s="2"/>
      </tp>
      <tp t="s">
        <v>#N/A N/A</v>
        <stp/>
        <stp>BDP|11048410172060468581</stp>
        <tr r="R442" s="2"/>
      </tp>
      <tp t="s">
        <v>#N/A N/A</v>
        <stp/>
        <stp>BDP|12802057869546203590</stp>
        <tr r="H86" s="2"/>
      </tp>
      <tp t="s">
        <v>#N/A N/A</v>
        <stp/>
        <stp>BDP|17008197653793509701</stp>
        <tr r="J451" s="2"/>
      </tp>
      <tp t="s">
        <v>#N/A N/A</v>
        <stp/>
        <stp>BDP|10018811621754961960</stp>
        <tr r="D328" s="2"/>
      </tp>
      <tp t="s">
        <v>#N/A N/A</v>
        <stp/>
        <stp>BDP|15161561567840661198</stp>
        <tr r="D14" s="2"/>
      </tp>
      <tp t="s">
        <v>#N/A N/A</v>
        <stp/>
        <stp>BDP|11855337705922083712</stp>
        <tr r="H359" s="2"/>
      </tp>
      <tp t="s">
        <v>#N/A N/A</v>
        <stp/>
        <stp>BDP|11302770638313739140</stp>
        <tr r="N164" s="2"/>
      </tp>
      <tp t="s">
        <v>#N/A N/A</v>
        <stp/>
        <stp>BDP|10412339065710899253</stp>
        <tr r="D468" s="2"/>
      </tp>
      <tp t="s">
        <v>#N/A N/A</v>
        <stp/>
        <stp>BDP|18172103931005861868</stp>
        <tr r="E83" s="2"/>
      </tp>
      <tp t="s">
        <v>#N/A N/A</v>
        <stp/>
        <stp>BDP|15658866009499396344</stp>
        <tr r="N41" s="2"/>
      </tp>
      <tp t="s">
        <v>#N/A N/A</v>
        <stp/>
        <stp>BDP|16404627815947836154</stp>
        <tr r="P180" s="2"/>
      </tp>
      <tp t="s">
        <v>#N/A N/A</v>
        <stp/>
        <stp>BDP|14178197060971342552</stp>
        <tr r="M168" s="2"/>
      </tp>
      <tp t="s">
        <v>#N/A N/A</v>
        <stp/>
        <stp>BDP|18412434358886071815</stp>
        <tr r="G49" s="2"/>
      </tp>
      <tp t="s">
        <v>#N/A N/A</v>
        <stp/>
        <stp>BDP|14971578752405703654</stp>
        <tr r="K4" s="2"/>
      </tp>
      <tp t="s">
        <v>#N/A N/A</v>
        <stp/>
        <stp>BDP|17218848741609040595</stp>
        <tr r="I448" s="2"/>
      </tp>
      <tp t="s">
        <v>#N/A N/A</v>
        <stp/>
        <stp>BDP|18005748709780100823</stp>
        <tr r="M51" s="2"/>
      </tp>
      <tp t="s">
        <v>#N/A N/A</v>
        <stp/>
        <stp>BDP|12113334223926686298</stp>
        <tr r="H60" s="2"/>
      </tp>
      <tp t="s">
        <v>#N/A N/A</v>
        <stp/>
        <stp>BDP|16066016968241687619</stp>
        <tr r="L340" s="2"/>
      </tp>
      <tp t="s">
        <v>#N/A N/A</v>
        <stp/>
        <stp>BDP|13924612202492121057</stp>
        <tr r="C111" s="2"/>
      </tp>
      <tp t="s">
        <v>#N/A N/A</v>
        <stp/>
        <stp>BDP|16387261739355694543</stp>
        <tr r="N287" s="2"/>
      </tp>
      <tp t="s">
        <v>#N/A N/A</v>
        <stp/>
        <stp>BDP|12018840268068123334</stp>
        <tr r="C501" s="2"/>
      </tp>
      <tp t="s">
        <v>#N/A N/A</v>
        <stp/>
        <stp>BDP|14174588127671196517</stp>
        <tr r="R15" s="2"/>
      </tp>
      <tp t="s">
        <v>#N/A N/A</v>
        <stp/>
        <stp>BDP|16445276042475860277</stp>
        <tr r="G154" s="2"/>
      </tp>
      <tp t="s">
        <v>#N/A N/A</v>
        <stp/>
        <stp>BDP|18279493182276202550</stp>
        <tr r="L7" s="2"/>
      </tp>
      <tp t="s">
        <v>#N/A N/A</v>
        <stp/>
        <stp>BDP|13399686033738817912</stp>
        <tr r="L268" s="2"/>
      </tp>
      <tp t="s">
        <v>#N/A N/A</v>
        <stp/>
        <stp>BDP|10526096458022670039</stp>
        <tr r="O41" s="2"/>
      </tp>
      <tp t="s">
        <v>#N/A N/A</v>
        <stp/>
        <stp>BDP|10327140337416160309</stp>
        <tr r="C35" s="2"/>
      </tp>
      <tp t="s">
        <v>#N/A N/A</v>
        <stp/>
        <stp>BDP|18136921064955561535</stp>
        <tr r="G436" s="2"/>
      </tp>
      <tp t="s">
        <v>#N/A N/A</v>
        <stp/>
        <stp>BDP|17336209413431083219</stp>
        <tr r="J465" s="2"/>
      </tp>
      <tp t="s">
        <v>#N/A N/A</v>
        <stp/>
        <stp>BDP|17945457249030059048</stp>
        <tr r="F431" s="2"/>
      </tp>
      <tp t="s">
        <v>#N/A N/A</v>
        <stp/>
        <stp>BDP|11093666896418555140</stp>
        <tr r="M201" s="2"/>
      </tp>
      <tp t="s">
        <v>#N/A N/A</v>
        <stp/>
        <stp>BDP|16391122936686631502</stp>
        <tr r="Q424" s="2"/>
      </tp>
      <tp t="s">
        <v>#N/A N/A</v>
        <stp/>
        <stp>BDP|14253711967640621233</stp>
        <tr r="R422" s="2"/>
      </tp>
      <tp t="s">
        <v>#N/A N/A</v>
        <stp/>
        <stp>BDP|18429114144233261920</stp>
        <tr r="J280" s="2"/>
      </tp>
      <tp t="s">
        <v>#N/A N/A</v>
        <stp/>
        <stp>BDP|12280287696227576988</stp>
        <tr r="P6" s="2"/>
      </tp>
      <tp t="s">
        <v>#N/A N/A</v>
        <stp/>
        <stp>BDP|16297917286969030941</stp>
        <tr r="R184" s="2"/>
      </tp>
      <tp t="s">
        <v>#N/A N/A</v>
        <stp/>
        <stp>BDP|12458071772250922290</stp>
        <tr r="G338" s="2"/>
      </tp>
      <tp t="s">
        <v>#N/A N/A</v>
        <stp/>
        <stp>BDP|11400520518412677089</stp>
        <tr r="F475" s="2"/>
      </tp>
      <tp t="s">
        <v>#N/A N/A</v>
        <stp/>
        <stp>BDP|12556173645235285555</stp>
        <tr r="G215" s="2"/>
      </tp>
      <tp t="s">
        <v>#N/A N/A</v>
        <stp/>
        <stp>BDP|15514289555241938411</stp>
        <tr r="F432" s="2"/>
      </tp>
      <tp t="s">
        <v>#N/A N/A</v>
        <stp/>
        <stp>BDP|10302691605088699997</stp>
        <tr r="L492" s="2"/>
      </tp>
      <tp t="s">
        <v>#N/A N/A</v>
        <stp/>
        <stp>BDP|11465613358471872459</stp>
        <tr r="G142" s="2"/>
      </tp>
      <tp t="s">
        <v>#N/A N/A</v>
        <stp/>
        <stp>BDP|10157823283945495248</stp>
        <tr r="O486" s="2"/>
      </tp>
      <tp t="s">
        <v>#N/A N/A</v>
        <stp/>
        <stp>BDP|14484511442754663616</stp>
        <tr r="R77" s="2"/>
      </tp>
      <tp t="s">
        <v>#N/A N/A</v>
        <stp/>
        <stp>BDP|10866179452920439399</stp>
        <tr r="C466" s="2"/>
      </tp>
      <tp t="s">
        <v>#N/A N/A</v>
        <stp/>
        <stp>BDP|11143775304586468761</stp>
        <tr r="K203" s="2"/>
      </tp>
      <tp t="s">
        <v>#N/A N/A</v>
        <stp/>
        <stp>BDP|11174602344157425314</stp>
        <tr r="N134" s="2"/>
      </tp>
      <tp t="s">
        <v>#N/A N/A</v>
        <stp/>
        <stp>BDP|10803389892858014521</stp>
        <tr r="K363" s="2"/>
      </tp>
      <tp t="s">
        <v>#N/A N/A</v>
        <stp/>
        <stp>BDP|14726991438279365057</stp>
        <tr r="R374" s="2"/>
      </tp>
      <tp t="s">
        <v>#N/A N/A</v>
        <stp/>
        <stp>BDP|13598629192743358865</stp>
        <tr r="N342" s="2"/>
      </tp>
      <tp t="s">
        <v>#N/A N/A</v>
        <stp/>
        <stp>BDP|12805387365079125940</stp>
        <tr r="F57" s="2"/>
      </tp>
      <tp t="s">
        <v>#N/A N/A</v>
        <stp/>
        <stp>BDP|11895618559954064135</stp>
        <tr r="F452" s="2"/>
      </tp>
      <tp t="s">
        <v>#N/A N/A</v>
        <stp/>
        <stp>BDP|13284141145560800187</stp>
        <tr r="D492" s="2"/>
      </tp>
      <tp t="s">
        <v>#N/A N/A</v>
        <stp/>
        <stp>BDP|12002565600889068951</stp>
        <tr r="O114" s="2"/>
      </tp>
      <tp t="s">
        <v>#N/A N/A</v>
        <stp/>
        <stp>BDP|12089993092701953410</stp>
        <tr r="R244" s="2"/>
      </tp>
      <tp t="s">
        <v>#N/A N/A</v>
        <stp/>
        <stp>BDP|16777047530760765278</stp>
        <tr r="K320" s="2"/>
      </tp>
      <tp t="s">
        <v>#N/A N/A</v>
        <stp/>
        <stp>BDP|11311671437057398431</stp>
        <tr r="G388" s="2"/>
      </tp>
      <tp t="s">
        <v>#N/A N/A</v>
        <stp/>
        <stp>BDP|15300746704346050308</stp>
        <tr r="N340" s="2"/>
      </tp>
      <tp t="s">
        <v>#N/A N/A</v>
        <stp/>
        <stp>BDP|13871441708118712809</stp>
        <tr r="H328" s="2"/>
      </tp>
      <tp t="s">
        <v>#N/A N/A</v>
        <stp/>
        <stp>BDP|12006260513872459420</stp>
        <tr r="I22" s="2"/>
      </tp>
      <tp t="s">
        <v>#N/A N/A</v>
        <stp/>
        <stp>BDP|14694431646744756777</stp>
        <tr r="Q252" s="2"/>
      </tp>
      <tp t="s">
        <v>#N/A N/A</v>
        <stp/>
        <stp>BDP|13296517934415130755</stp>
        <tr r="N295" s="2"/>
      </tp>
      <tp t="s">
        <v>#N/A N/A</v>
        <stp/>
        <stp>BDP|11111948027468526543</stp>
        <tr r="G349" s="2"/>
      </tp>
      <tp t="s">
        <v>#N/A N/A</v>
        <stp/>
        <stp>BDP|12833264708646170147</stp>
        <tr r="H152" s="2"/>
      </tp>
      <tp t="s">
        <v>#N/A N/A</v>
        <stp/>
        <stp>BDP|10605573545435418336</stp>
        <tr r="J177" s="2"/>
      </tp>
      <tp t="s">
        <v>#N/A N/A</v>
        <stp/>
        <stp>BDP|17036493615130817570</stp>
        <tr r="C270" s="2"/>
      </tp>
      <tp t="s">
        <v>#N/A N/A</v>
        <stp/>
        <stp>BDP|18260659522948170371</stp>
        <tr r="N471" s="2"/>
      </tp>
      <tp t="s">
        <v>#N/A N/A</v>
        <stp/>
        <stp>BDP|15241655102620594439</stp>
        <tr r="M126" s="2"/>
      </tp>
      <tp t="s">
        <v>#N/A N/A</v>
        <stp/>
        <stp>BDP|15066440488319836773</stp>
        <tr r="C496" s="2"/>
      </tp>
      <tp t="s">
        <v>#N/A N/A</v>
        <stp/>
        <stp>BDP|17265183628466131507</stp>
        <tr r="F460" s="2"/>
      </tp>
      <tp t="s">
        <v>#N/A N/A</v>
        <stp/>
        <stp>BDP|17025048377542583552</stp>
        <tr r="O148" s="2"/>
      </tp>
      <tp t="s">
        <v>#N/A N/A</v>
        <stp/>
        <stp>BDP|13659682618525214668</stp>
        <tr r="F311" s="2"/>
      </tp>
      <tp t="s">
        <v>#N/A N/A</v>
        <stp/>
        <stp>BDP|15912494942397595554</stp>
        <tr r="H130" s="2"/>
      </tp>
      <tp t="s">
        <v>#N/A N/A</v>
        <stp/>
        <stp>BDP|13221266932202205768</stp>
        <tr r="C488" s="2"/>
      </tp>
      <tp t="s">
        <v>#N/A N/A</v>
        <stp/>
        <stp>BDP|16151253802685669628</stp>
        <tr r="J321" s="2"/>
      </tp>
      <tp t="s">
        <v>#N/A N/A</v>
        <stp/>
        <stp>BDP|15212989037650837873</stp>
        <tr r="K162" s="2"/>
      </tp>
      <tp t="s">
        <v>#N/A N/A</v>
        <stp/>
        <stp>BDP|15599511848513755095</stp>
        <tr r="L191" s="2"/>
      </tp>
      <tp t="s">
        <v>#N/A N/A</v>
        <stp/>
        <stp>BDP|13283205516055104270</stp>
        <tr r="F291" s="2"/>
      </tp>
      <tp t="s">
        <v>#N/A N/A</v>
        <stp/>
        <stp>BDP|17416103995411613954</stp>
        <tr r="Q137" s="2"/>
      </tp>
      <tp t="s">
        <v>#N/A N/A</v>
        <stp/>
        <stp>BDP|11618894671919585097</stp>
        <tr r="J176" s="2"/>
      </tp>
      <tp t="s">
        <v>#N/A N/A</v>
        <stp/>
        <stp>BDP|14419844589511248297</stp>
        <tr r="I194" s="2"/>
      </tp>
      <tp t="s">
        <v>#N/A N/A</v>
        <stp/>
        <stp>BDP|15566441376669269875</stp>
        <tr r="C286" s="2"/>
      </tp>
      <tp t="s">
        <v>#N/A N/A</v>
        <stp/>
        <stp>BDP|10314126523401310533</stp>
        <tr r="E195" s="2"/>
      </tp>
      <tp t="s">
        <v>#N/A N/A</v>
        <stp/>
        <stp>BDP|14617143117264427732</stp>
        <tr r="C343" s="2"/>
      </tp>
      <tp t="s">
        <v>#N/A N/A</v>
        <stp/>
        <stp>BDP|11106777748241815444</stp>
        <tr r="R55" s="2"/>
      </tp>
      <tp t="s">
        <v>#N/A N/A</v>
        <stp/>
        <stp>BDP|13000137545564330576</stp>
        <tr r="L210" s="2"/>
      </tp>
      <tp t="s">
        <v>#N/A N/A</v>
        <stp/>
        <stp>BDP|11458961683785103226</stp>
        <tr r="H200" s="2"/>
      </tp>
      <tp t="s">
        <v>#N/A N/A</v>
        <stp/>
        <stp>BDP|11622274417695170053</stp>
        <tr r="I79" s="2"/>
      </tp>
      <tp t="s">
        <v>#N/A N/A</v>
        <stp/>
        <stp>BDP|13624663622221551152</stp>
        <tr r="C102" s="2"/>
      </tp>
      <tp t="s">
        <v>#N/A N/A</v>
        <stp/>
        <stp>BDP|11671326363853155048</stp>
        <tr r="M328" s="2"/>
      </tp>
      <tp t="s">
        <v>#N/A N/A</v>
        <stp/>
        <stp>BDP|17795423057154562559</stp>
        <tr r="I433" s="2"/>
      </tp>
      <tp t="s">
        <v>#N/A N/A</v>
        <stp/>
        <stp>BDP|10685737105744479416</stp>
        <tr r="D342" s="2"/>
      </tp>
      <tp t="s">
        <v>#N/A N/A</v>
        <stp/>
        <stp>BDP|11150988478389628125</stp>
        <tr r="K316" s="2"/>
      </tp>
      <tp t="s">
        <v>#N/A N/A</v>
        <stp/>
        <stp>BDP|13618760977912023623</stp>
        <tr r="D324" s="2"/>
      </tp>
      <tp t="s">
        <v>#N/A N/A</v>
        <stp/>
        <stp>BDP|16192358391482822989</stp>
        <tr r="E94" s="2"/>
      </tp>
      <tp t="s">
        <v>#N/A N/A</v>
        <stp/>
        <stp>BDP|14612791714153789694</stp>
        <tr r="P366" s="2"/>
      </tp>
      <tp t="s">
        <v>#N/A N/A</v>
        <stp/>
        <stp>BDP|14687462243506513533</stp>
        <tr r="E252" s="2"/>
      </tp>
      <tp t="s">
        <v>#N/A N/A</v>
        <stp/>
        <stp>BDP|11665521333892120231</stp>
        <tr r="N18" s="2"/>
      </tp>
      <tp t="s">
        <v>#N/A N/A</v>
        <stp/>
        <stp>BDP|12999175637201843649</stp>
        <tr r="L251" s="2"/>
      </tp>
      <tp t="s">
        <v>#N/A N/A</v>
        <stp/>
        <stp>BDP|17472201227610726010</stp>
        <tr r="K68" s="2"/>
      </tp>
      <tp t="s">
        <v>#N/A N/A</v>
        <stp/>
        <stp>BDP|17446435964367164574</stp>
        <tr r="J154" s="2"/>
      </tp>
      <tp t="s">
        <v>#N/A N/A</v>
        <stp/>
        <stp>BDP|13214271151667746462</stp>
        <tr r="O145" s="2"/>
      </tp>
      <tp t="s">
        <v>#N/A N/A</v>
        <stp/>
        <stp>BDP|15264129222448537928</stp>
        <tr r="J405" s="2"/>
      </tp>
      <tp t="s">
        <v>#N/A N/A</v>
        <stp/>
        <stp>BDP|11595863141913148960</stp>
        <tr r="K62" s="2"/>
      </tp>
      <tp t="s">
        <v>#N/A N/A</v>
        <stp/>
        <stp>BDP|15111367846016718330</stp>
        <tr r="E32" s="2"/>
      </tp>
      <tp t="s">
        <v>#N/A N/A</v>
        <stp/>
        <stp>BDP|17694964780597271679</stp>
        <tr r="N42" s="2"/>
      </tp>
      <tp t="s">
        <v>#N/A N/A</v>
        <stp/>
        <stp>BDP|15938237225374311693</stp>
        <tr r="J377" s="2"/>
      </tp>
      <tp t="s">
        <v>#N/A N/A</v>
        <stp/>
        <stp>BDP|10772054022704593108</stp>
        <tr r="E250" s="2"/>
      </tp>
      <tp t="s">
        <v>#N/A N/A</v>
        <stp/>
        <stp>BDP|17078798359922356067</stp>
        <tr r="M371" s="2"/>
      </tp>
      <tp t="s">
        <v>#N/A N/A</v>
        <stp/>
        <stp>BDP|11146280059036074757</stp>
        <tr r="Q346" s="2"/>
      </tp>
      <tp t="s">
        <v>#N/A N/A</v>
        <stp/>
        <stp>BDP|16055649746786576532</stp>
        <tr r="N326" s="2"/>
      </tp>
      <tp t="s">
        <v>#N/A N/A</v>
        <stp/>
        <stp>BDP|13781209196969469610</stp>
        <tr r="N31" s="2"/>
      </tp>
      <tp t="s">
        <v>#N/A N/A</v>
        <stp/>
        <stp>BDP|13168502526893373006</stp>
        <tr r="D483" s="2"/>
      </tp>
      <tp t="s">
        <v>#N/A N/A</v>
        <stp/>
        <stp>BDP|12551768332580697131</stp>
        <tr r="N60" s="2"/>
      </tp>
      <tp t="s">
        <v>#N/A N/A</v>
        <stp/>
        <stp>BDP|14706023699589067380</stp>
        <tr r="P127" s="2"/>
      </tp>
      <tp t="s">
        <v>#N/A N/A</v>
        <stp/>
        <stp>BDP|17198404678442911148</stp>
        <tr r="D249" s="2"/>
      </tp>
      <tp t="s">
        <v>#N/A N/A</v>
        <stp/>
        <stp>BDP|14163682686675223890</stp>
        <tr r="E134" s="2"/>
      </tp>
      <tp t="s">
        <v>#N/A N/A</v>
        <stp/>
        <stp>BDP|16511172954491060421</stp>
        <tr r="F427" s="2"/>
      </tp>
      <tp t="s">
        <v>#N/A N/A</v>
        <stp/>
        <stp>BDP|17209245036127534610</stp>
        <tr r="M107" s="2"/>
      </tp>
      <tp t="s">
        <v>#N/A N/A</v>
        <stp/>
        <stp>BDP|13377130015090577447</stp>
        <tr r="N56" s="2"/>
      </tp>
      <tp t="s">
        <v>#N/A N/A</v>
        <stp/>
        <stp>BDP|10342057804863472429</stp>
        <tr r="N446" s="2"/>
      </tp>
      <tp t="s">
        <v>#N/A N/A</v>
        <stp/>
        <stp>BDP|12444060535913258522</stp>
        <tr r="P212" s="2"/>
      </tp>
      <tp t="s">
        <v>#N/A N/A</v>
        <stp/>
        <stp>BDP|13294665160896141228</stp>
        <tr r="P40" s="2"/>
      </tp>
      <tp t="s">
        <v>#N/A N/A</v>
        <stp/>
        <stp>BDP|16314978957105777837</stp>
        <tr r="C229" s="2"/>
      </tp>
      <tp t="s">
        <v>#N/A N/A</v>
        <stp/>
        <stp>BDP|14299380258093603631</stp>
        <tr r="E434" s="2"/>
      </tp>
      <tp t="s">
        <v>#N/A N/A</v>
        <stp/>
        <stp>BDP|16125009559481885578</stp>
        <tr r="J471" s="2"/>
      </tp>
      <tp t="s">
        <v>#N/A N/A</v>
        <stp/>
        <stp>BDP|17326356625191334079</stp>
        <tr r="P357" s="2"/>
      </tp>
      <tp t="s">
        <v>#N/A N/A</v>
        <stp/>
        <stp>BDP|16306287559165789321</stp>
        <tr r="N250" s="2"/>
      </tp>
      <tp t="s">
        <v>#N/A N/A</v>
        <stp/>
        <stp>BDP|12628277036346005208</stp>
        <tr r="N107" s="2"/>
      </tp>
      <tp t="s">
        <v>#N/A N/A</v>
        <stp/>
        <stp>BDP|17501205214015109679</stp>
        <tr r="K153" s="2"/>
      </tp>
      <tp t="s">
        <v>#N/A N/A</v>
        <stp/>
        <stp>BDP|17334249015105295673</stp>
        <tr r="R393" s="2"/>
      </tp>
      <tp t="s">
        <v>#N/A N/A</v>
        <stp/>
        <stp>BDP|13859498175827557060</stp>
        <tr r="E478" s="2"/>
      </tp>
      <tp t="s">
        <v>#N/A N/A</v>
        <stp/>
        <stp>BDP|10139073165547700632</stp>
        <tr r="F369" s="2"/>
      </tp>
      <tp t="s">
        <v>#N/A N/A</v>
        <stp/>
        <stp>BDP|13841206847650164295</stp>
        <tr r="J63" s="2"/>
      </tp>
      <tp t="s">
        <v>#N/A N/A</v>
        <stp/>
        <stp>BDP|12554209145687397445</stp>
        <tr r="R462" s="2"/>
      </tp>
      <tp t="s">
        <v>#N/A N/A</v>
        <stp/>
        <stp>BDP|15042477310766812183</stp>
        <tr r="D339" s="2"/>
      </tp>
      <tp t="s">
        <v>#N/A N/A</v>
        <stp/>
        <stp>BDP|16352052843390732551</stp>
        <tr r="O420" s="2"/>
      </tp>
      <tp t="s">
        <v>#N/A N/A</v>
        <stp/>
        <stp>BDP|11296618358737816243</stp>
        <tr r="N435" s="2"/>
      </tp>
      <tp t="s">
        <v>#N/A N/A</v>
        <stp/>
        <stp>BDP|10025095599237268948</stp>
        <tr r="R372" s="2"/>
      </tp>
      <tp t="s">
        <v>#N/A N/A</v>
        <stp/>
        <stp>BDP|16882573122654338284</stp>
        <tr r="L457" s="2"/>
      </tp>
      <tp t="s">
        <v>#N/A N/A</v>
        <stp/>
        <stp>BDP|13158467426326591420</stp>
        <tr r="G290" s="2"/>
      </tp>
      <tp t="s">
        <v>#N/A N/A</v>
        <stp/>
        <stp>BDP|17184164573310553672</stp>
        <tr r="J486" s="2"/>
      </tp>
      <tp t="s">
        <v>#N/A N/A</v>
        <stp/>
        <stp>BDP|11644842955878709361</stp>
        <tr r="K426" s="2"/>
      </tp>
      <tp t="s">
        <v>#N/A N/A</v>
        <stp/>
        <stp>BDP|10582750323100079250</stp>
        <tr r="P466" s="2"/>
      </tp>
      <tp t="s">
        <v>#N/A N/A</v>
        <stp/>
        <stp>BDP|13658079586845423958</stp>
        <tr r="C87" s="2"/>
      </tp>
      <tp t="s">
        <v>#N/A N/A</v>
        <stp/>
        <stp>BDP|13897098824106351008</stp>
        <tr r="K435" s="2"/>
      </tp>
      <tp t="s">
        <v>#N/A N/A</v>
        <stp/>
        <stp>BDP|15058370055196480200</stp>
        <tr r="K329" s="2"/>
      </tp>
      <tp t="s">
        <v>#N/A N/A</v>
        <stp/>
        <stp>BDP|10914587388729965364</stp>
        <tr r="F446" s="2"/>
      </tp>
      <tp t="s">
        <v>#N/A N/A</v>
        <stp/>
        <stp>BDP|10471219022631890693</stp>
        <tr r="N271" s="2"/>
      </tp>
      <tp t="s">
        <v>#N/A N/A</v>
        <stp/>
        <stp>BDP|17558432811955388027</stp>
        <tr r="C465" s="2"/>
      </tp>
      <tp t="s">
        <v>#N/A N/A</v>
        <stp/>
        <stp>BDP|15539794858788363816</stp>
        <tr r="F225" s="2"/>
      </tp>
      <tp t="s">
        <v>#N/A N/A</v>
        <stp/>
        <stp>BDP|18346006348528507387</stp>
        <tr r="L201" s="2"/>
      </tp>
      <tp t="s">
        <v>#N/A N/A</v>
        <stp/>
        <stp>BDP|12467063781558779522</stp>
        <tr r="C76" s="2"/>
      </tp>
      <tp t="s">
        <v>#N/A N/A</v>
        <stp/>
        <stp>BDP|14517175786079085329</stp>
        <tr r="G240" s="2"/>
      </tp>
      <tp t="s">
        <v>#N/A N/A</v>
        <stp/>
        <stp>BDP|11879461807117936560</stp>
        <tr r="K28" s="2"/>
      </tp>
      <tp t="s">
        <v>#N/A N/A</v>
        <stp/>
        <stp>BDP|17764596195587294805</stp>
        <tr r="H206" s="2"/>
      </tp>
      <tp t="s">
        <v>#N/A N/A</v>
        <stp/>
        <stp>BDP|14596510863983782091</stp>
        <tr r="I88" s="2"/>
      </tp>
      <tp t="s">
        <v>#N/A N/A</v>
        <stp/>
        <stp>BDP|16309122847771849679</stp>
        <tr r="N349" s="2"/>
      </tp>
      <tp t="s">
        <v>#N/A N/A</v>
        <stp/>
        <stp>BDP|14658882541469522539</stp>
        <tr r="P98" s="2"/>
      </tp>
      <tp t="s">
        <v>#N/A N/A</v>
        <stp/>
        <stp>BDP|15536381200063685125</stp>
        <tr r="F151" s="2"/>
      </tp>
      <tp t="s">
        <v>#N/A N/A</v>
        <stp/>
        <stp>BDP|10480693536580242107</stp>
        <tr r="K406" s="2"/>
      </tp>
      <tp t="s">
        <v>#N/A N/A</v>
        <stp/>
        <stp>BDP|17341132840107921108</stp>
        <tr r="H58" s="2"/>
      </tp>
      <tp t="s">
        <v>#N/A N/A</v>
        <stp/>
        <stp>BDP|10103031634990725786</stp>
        <tr r="C237" s="2"/>
      </tp>
      <tp t="s">
        <v>#N/A N/A</v>
        <stp/>
        <stp>BDP|11382197940334233413</stp>
        <tr r="H30" s="2"/>
      </tp>
      <tp t="s">
        <v>#N/A N/A</v>
        <stp/>
        <stp>BDP|13928403035864618434</stp>
        <tr r="D265" s="2"/>
      </tp>
      <tp t="s">
        <v>#N/A N/A</v>
        <stp/>
        <stp>BDP|17985233300910275116</stp>
        <tr r="K416" s="2"/>
      </tp>
      <tp t="s">
        <v>#N/A N/A</v>
        <stp/>
        <stp>BDP|10955114466071240257</stp>
        <tr r="N62" s="2"/>
      </tp>
      <tp t="s">
        <v>#N/A N/A</v>
        <stp/>
        <stp>BDP|16041879245937806936</stp>
        <tr r="Q286" s="2"/>
      </tp>
      <tp t="s">
        <v>#N/A N/A</v>
        <stp/>
        <stp>BDP|14407032221745913766</stp>
        <tr r="Q58" s="2"/>
      </tp>
      <tp t="s">
        <v>#N/A N/A</v>
        <stp/>
        <stp>BDP|11014889795073263768</stp>
        <tr r="G87" s="2"/>
      </tp>
      <tp t="s">
        <v>#N/A N/A</v>
        <stp/>
        <stp>BDP|17400090666744580179</stp>
        <tr r="L295" s="2"/>
      </tp>
      <tp t="s">
        <v>#N/A N/A</v>
        <stp/>
        <stp>BDP|12643782017510674061</stp>
        <tr r="K466" s="2"/>
      </tp>
      <tp t="s">
        <v>#N/A N/A</v>
        <stp/>
        <stp>BDP|17196595851315575643</stp>
        <tr r="K230" s="2"/>
      </tp>
      <tp t="s">
        <v>#N/A N/A</v>
        <stp/>
        <stp>BDP|10297525228597936492</stp>
        <tr r="Q311" s="2"/>
      </tp>
      <tp t="s">
        <v>#N/A N/A</v>
        <stp/>
        <stp>BDP|16328404974477893675</stp>
        <tr r="H259" s="2"/>
      </tp>
      <tp t="s">
        <v>#N/A N/A</v>
        <stp/>
        <stp>BDP|10687005298568763513</stp>
        <tr r="G348" s="2"/>
      </tp>
      <tp t="s">
        <v>#N/A N/A</v>
        <stp/>
        <stp>BDP|16547563979860018023</stp>
        <tr r="D336" s="2"/>
      </tp>
      <tp t="s">
        <v>#N/A N/A</v>
        <stp/>
        <stp>BDP|13705022928156571308</stp>
        <tr r="O242" s="2"/>
      </tp>
      <tp t="s">
        <v>#N/A N/A</v>
        <stp/>
        <stp>BDP|10754327865162024381</stp>
        <tr r="D337" s="2"/>
      </tp>
      <tp t="s">
        <v>#N/A N/A</v>
        <stp/>
        <stp>BDP|10801252793096747916</stp>
        <tr r="C289" s="2"/>
      </tp>
      <tp t="s">
        <v>#N/A N/A</v>
        <stp/>
        <stp>BDP|15705033348985335079</stp>
        <tr r="N412" s="2"/>
      </tp>
      <tp t="s">
        <v>#N/A N/A</v>
        <stp/>
        <stp>BDP|12256776237737242580</stp>
        <tr r="L61" s="2"/>
      </tp>
      <tp t="s">
        <v>#N/A N/A</v>
        <stp/>
        <stp>BDP|11247610225841986072</stp>
        <tr r="J273" s="2"/>
      </tp>
      <tp t="s">
        <v>#N/A N/A</v>
        <stp/>
        <stp>BDP|17369055853776437093</stp>
        <tr r="O95" s="2"/>
      </tp>
      <tp t="s">
        <v>#N/A N/A</v>
        <stp/>
        <stp>BDP|13643187521607516320</stp>
        <tr r="R385" s="2"/>
      </tp>
      <tp t="s">
        <v>#N/A N/A</v>
        <stp/>
        <stp>BDP|13879723244536315268</stp>
        <tr r="D83" s="2"/>
      </tp>
      <tp t="s">
        <v>#N/A N/A</v>
        <stp/>
        <stp>BDP|17219164232249585887</stp>
        <tr r="P321" s="2"/>
      </tp>
      <tp t="s">
        <v>#N/A N/A</v>
        <stp/>
        <stp>BDP|11652812994471949518</stp>
        <tr r="I408" s="2"/>
      </tp>
      <tp t="s">
        <v>#N/A N/A</v>
        <stp/>
        <stp>BDP|15184252763527866246</stp>
        <tr r="F34" s="2"/>
      </tp>
      <tp t="s">
        <v>#N/A N/A</v>
        <stp/>
        <stp>BDP|14669373821972348385</stp>
        <tr r="N474" s="2"/>
      </tp>
      <tp t="s">
        <v>#N/A N/A</v>
        <stp/>
        <stp>BDP|16508489065024263413</stp>
        <tr r="H473" s="2"/>
      </tp>
      <tp t="s">
        <v>#N/A N/A</v>
        <stp/>
        <stp>BDP|13859561872826548324</stp>
        <tr r="M341" s="2"/>
      </tp>
      <tp t="s">
        <v>#N/A N/A</v>
        <stp/>
        <stp>BDP|13012208553493018380</stp>
        <tr r="M368" s="2"/>
      </tp>
      <tp t="s">
        <v>#N/A N/A</v>
        <stp/>
        <stp>BDP|14028507695288667483</stp>
        <tr r="Q239" s="2"/>
      </tp>
      <tp t="s">
        <v>#N/A N/A</v>
        <stp/>
        <stp>BDP|16830261167005004322</stp>
        <tr r="K136" s="2"/>
      </tp>
      <tp t="s">
        <v>#N/A N/A</v>
        <stp/>
        <stp>BDP|13341300677547917460</stp>
        <tr r="I338" s="2"/>
      </tp>
      <tp t="s">
        <v>#N/A N/A</v>
        <stp/>
        <stp>BDP|10372222377844987545</stp>
        <tr r="E124" s="2"/>
      </tp>
      <tp t="s">
        <v>#N/A N/A</v>
        <stp/>
        <stp>BDP|17833613504517515234</stp>
        <tr r="I445" s="2"/>
      </tp>
      <tp t="s">
        <v>#N/A N/A</v>
        <stp/>
        <stp>BDP|13842735964704602221</stp>
        <tr r="L257" s="2"/>
      </tp>
      <tp t="s">
        <v>#N/A N/A</v>
        <stp/>
        <stp>BDP|17581247963836182189</stp>
        <tr r="C119" s="2"/>
      </tp>
      <tp t="s">
        <v>#N/A N/A</v>
        <stp/>
        <stp>BDP|11517261079164206437</stp>
        <tr r="O8" s="2"/>
      </tp>
      <tp t="s">
        <v>#N/A N/A</v>
        <stp/>
        <stp>BDP|12916348807167183205</stp>
        <tr r="K356" s="2"/>
      </tp>
      <tp t="s">
        <v>#N/A N/A</v>
        <stp/>
        <stp>BDP|12871398024830836761</stp>
        <tr r="G55" s="2"/>
      </tp>
      <tp t="s">
        <v>#N/A N/A</v>
        <stp/>
        <stp>BDP|12862305103720397539</stp>
        <tr r="R503" s="2"/>
      </tp>
      <tp t="s">
        <v>#N/A N/A</v>
        <stp/>
        <stp>BDP|10663463546261531580</stp>
        <tr r="C310" s="2"/>
      </tp>
      <tp t="s">
        <v>#N/A N/A</v>
        <stp/>
        <stp>BDP|13180440377964083082</stp>
        <tr r="L258" s="2"/>
      </tp>
      <tp t="s">
        <v>#N/A N/A</v>
        <stp/>
        <stp>BDP|12887753452523208774</stp>
        <tr r="D206" s="2"/>
      </tp>
      <tp t="s">
        <v>#N/A N/A</v>
        <stp/>
        <stp>BDP|17885184838149601847</stp>
        <tr r="E297" s="2"/>
      </tp>
      <tp t="s">
        <v>#N/A N/A</v>
        <stp/>
        <stp>BDP|11721175996064978958</stp>
        <tr r="C375" s="2"/>
      </tp>
      <tp t="s">
        <v>#N/A N/A</v>
        <stp/>
        <stp>BDP|13780521449694305252</stp>
        <tr r="O209" s="2"/>
      </tp>
      <tp t="s">
        <v>#N/A N/A</v>
        <stp/>
        <stp>BDP|13951054901803720406</stp>
        <tr r="P417" s="2"/>
      </tp>
      <tp t="s">
        <v>#N/A N/A</v>
        <stp/>
        <stp>BDP|14304678068453029363</stp>
        <tr r="I192" s="2"/>
      </tp>
      <tp t="s">
        <v>#N/A N/A</v>
        <stp/>
        <stp>BDP|11136681153844904297</stp>
        <tr r="E91" s="2"/>
      </tp>
      <tp t="s">
        <v>#N/A N/A</v>
        <stp/>
        <stp>BDP|12954698443036185288</stp>
        <tr r="H192" s="2"/>
      </tp>
      <tp t="s">
        <v>#N/A N/A</v>
        <stp/>
        <stp>BDP|15893460526165240200</stp>
        <tr r="N84" s="2"/>
      </tp>
      <tp t="s">
        <v>#N/A N/A</v>
        <stp/>
        <stp>BDP|10898313855474748619</stp>
        <tr r="P78" s="2"/>
      </tp>
      <tp t="s">
        <v>#N/A N/A</v>
        <stp/>
        <stp>BDP|10354745231793976353</stp>
        <tr r="O3" s="2"/>
      </tp>
      <tp t="s">
        <v>#N/A N/A</v>
        <stp/>
        <stp>BDP|11635742806531644383</stp>
        <tr r="R74" s="2"/>
      </tp>
      <tp t="s">
        <v>#N/A N/A</v>
        <stp/>
        <stp>BDP|14954193637152925046</stp>
        <tr r="R33" s="2"/>
      </tp>
      <tp t="s">
        <v>#N/A N/A</v>
        <stp/>
        <stp>BDP|10738795078403977754</stp>
        <tr r="N453" s="2"/>
      </tp>
      <tp t="s">
        <v>#N/A N/A</v>
        <stp/>
        <stp>BDP|10493589177680472650</stp>
        <tr r="K276" s="2"/>
      </tp>
      <tp t="s">
        <v>#N/A N/A</v>
        <stp/>
        <stp>BDP|17382716041219987905</stp>
        <tr r="J79" s="2"/>
      </tp>
      <tp t="s">
        <v>#N/A N/A</v>
        <stp/>
        <stp>BDP|10538096727722832491</stp>
        <tr r="K271" s="2"/>
      </tp>
      <tp t="s">
        <v>#N/A N/A</v>
        <stp/>
        <stp>BDP|16143504871153326393</stp>
        <tr r="J469" s="2"/>
      </tp>
      <tp t="s">
        <v>#N/A N/A</v>
        <stp/>
        <stp>BDP|10204771666335012093</stp>
        <tr r="Q298" s="2"/>
      </tp>
      <tp t="s">
        <v>#N/A N/A</v>
        <stp/>
        <stp>BDP|14323099961246592047</stp>
        <tr r="F470" s="2"/>
      </tp>
      <tp t="s">
        <v>#N/A N/A</v>
        <stp/>
        <stp>BDP|15524114828296471425</stp>
        <tr r="E377" s="2"/>
      </tp>
      <tp t="s">
        <v>#N/A N/A</v>
        <stp/>
        <stp>BDP|13405644956823987750</stp>
        <tr r="L65" s="2"/>
      </tp>
      <tp t="s">
        <v>#N/A N/A</v>
        <stp/>
        <stp>BDP|12674799703289964881</stp>
        <tr r="K405" s="2"/>
      </tp>
      <tp t="s">
        <v>#N/A N/A</v>
        <stp/>
        <stp>BDP|15253046656301802558</stp>
        <tr r="R355" s="2"/>
      </tp>
      <tp t="s">
        <v>#N/A N/A</v>
        <stp/>
        <stp>BDP|11491381553866025521</stp>
        <tr r="D235" s="2"/>
      </tp>
      <tp t="s">
        <v>#N/A N/A</v>
        <stp/>
        <stp>BDP|15246769942402293092</stp>
        <tr r="I502" s="2"/>
      </tp>
      <tp t="s">
        <v>#N/A N/A</v>
        <stp/>
        <stp>BDP|14034685547901074328</stp>
        <tr r="D429" s="2"/>
      </tp>
      <tp t="s">
        <v>#N/A N/A</v>
        <stp/>
        <stp>BDP|11993536743645458108</stp>
        <tr r="P175" s="2"/>
      </tp>
      <tp t="s">
        <v>#N/A N/A</v>
        <stp/>
        <stp>BDP|16242177739941239123</stp>
        <tr r="E188" s="2"/>
      </tp>
      <tp t="s">
        <v>#N/A N/A</v>
        <stp/>
        <stp>BDP|16900336776347979198</stp>
        <tr r="E411" s="2"/>
      </tp>
      <tp t="s">
        <v>#N/A N/A</v>
        <stp/>
        <stp>BDP|10988403050483024652</stp>
        <tr r="E96" s="2"/>
      </tp>
      <tp t="s">
        <v>#N/A N/A</v>
        <stp/>
        <stp>BDP|14998982784309906805</stp>
        <tr r="M500" s="2"/>
      </tp>
      <tp t="s">
        <v>#N/A N/A</v>
        <stp/>
        <stp>BDP|14830447575935588609</stp>
        <tr r="N311" s="2"/>
      </tp>
      <tp t="s">
        <v>#N/A N/A</v>
        <stp/>
        <stp>BDP|14147551204417884245</stp>
        <tr r="F13" s="2"/>
      </tp>
      <tp t="s">
        <v>#N/A N/A</v>
        <stp/>
        <stp>BDP|12041048026440899462</stp>
        <tr r="I12" s="2"/>
      </tp>
      <tp t="s">
        <v>#N/A N/A</v>
        <stp/>
        <stp>BDP|13054725988360745814</stp>
        <tr r="J107" s="2"/>
      </tp>
      <tp t="s">
        <v>#N/A N/A</v>
        <stp/>
        <stp>BDP|11172777378693043621</stp>
        <tr r="C180" s="2"/>
      </tp>
      <tp t="s">
        <v>#N/A N/A</v>
        <stp/>
        <stp>BDP|17227386435407779445</stp>
        <tr r="H422" s="2"/>
      </tp>
      <tp t="s">
        <v>#N/A N/A</v>
        <stp/>
        <stp>BDP|17672755909391660506</stp>
        <tr r="R49" s="2"/>
      </tp>
      <tp t="s">
        <v>#N/A N/A</v>
        <stp/>
        <stp>BDP|18354134419518703425</stp>
        <tr r="R486" s="2"/>
      </tp>
      <tp t="s">
        <v>#N/A N/A</v>
        <stp/>
        <stp>BDP|14858144829891105289</stp>
        <tr r="F188" s="2"/>
      </tp>
      <tp t="s">
        <v>#N/A N/A</v>
        <stp/>
        <stp>BDP|14890004284978674063</stp>
        <tr r="L307" s="2"/>
      </tp>
      <tp t="s">
        <v>#N/A N/A</v>
        <stp/>
        <stp>BDP|17240887354557754953</stp>
        <tr r="F70" s="2"/>
      </tp>
      <tp t="s">
        <v>#N/A N/A</v>
        <stp/>
        <stp>BDP|15127398745964039217</stp>
        <tr r="L280" s="2"/>
      </tp>
      <tp t="s">
        <v>#N/A N/A</v>
        <stp/>
        <stp>BDP|10421074507644065081</stp>
        <tr r="C65" s="2"/>
      </tp>
      <tp t="s">
        <v>#N/A N/A</v>
        <stp/>
        <stp>BDP|12894348927372154562</stp>
        <tr r="E475" s="2"/>
      </tp>
      <tp t="s">
        <v>#N/A N/A</v>
        <stp/>
        <stp>BDP|13838133207256942092</stp>
        <tr r="D434" s="2"/>
      </tp>
      <tp t="s">
        <v>#N/A N/A</v>
        <stp/>
        <stp>BDP|14788076129102529009</stp>
        <tr r="L57" s="2"/>
      </tp>
      <tp t="s">
        <v>#N/A N/A</v>
        <stp/>
        <stp>BDP|12828546068636898330</stp>
        <tr r="N424" s="2"/>
      </tp>
      <tp t="s">
        <v>#N/A N/A</v>
        <stp/>
        <stp>BDP|10274452479296496154</stp>
        <tr r="N491" s="2"/>
      </tp>
      <tp t="s">
        <v>#N/A N/A</v>
        <stp/>
        <stp>BDP|11810478460886896181</stp>
        <tr r="J159" s="2"/>
      </tp>
      <tp t="s">
        <v>#N/A N/A</v>
        <stp/>
        <stp>BDP|18003812735722952528</stp>
        <tr r="O489" s="2"/>
      </tp>
      <tp t="s">
        <v>#N/A N/A</v>
        <stp/>
        <stp>BDP|10469989411755120935</stp>
        <tr r="N227" s="2"/>
      </tp>
      <tp t="s">
        <v>#N/A N/A</v>
        <stp/>
        <stp>BDP|17393351611472106392</stp>
        <tr r="F323" s="2"/>
      </tp>
      <tp t="s">
        <v>#N/A N/A</v>
        <stp/>
        <stp>BDP|12572936468379593046</stp>
        <tr r="K97" s="2"/>
      </tp>
      <tp t="s">
        <v>#N/A N/A</v>
        <stp/>
        <stp>BDP|10927109267673917080</stp>
        <tr r="P477" s="2"/>
      </tp>
      <tp t="s">
        <v>#N/A N/A</v>
        <stp/>
        <stp>BDP|17116509764077293782</stp>
        <tr r="C428" s="2"/>
      </tp>
      <tp t="s">
        <v>#N/A N/A</v>
        <stp/>
        <stp>BDP|16943528097958441672</stp>
        <tr r="M131" s="2"/>
      </tp>
      <tp t="s">
        <v>#N/A N/A</v>
        <stp/>
        <stp>BDP|15058854374209948774</stp>
        <tr r="Q113" s="2"/>
      </tp>
      <tp t="s">
        <v>#N/A N/A</v>
        <stp/>
        <stp>BDP|13241064809137115032</stp>
        <tr r="J223" s="2"/>
      </tp>
      <tp t="s">
        <v>#N/A N/A</v>
        <stp/>
        <stp>BDP|12713254179980340379</stp>
        <tr r="F166" s="2"/>
      </tp>
      <tp t="s">
        <v>#N/A N/A</v>
        <stp/>
        <stp>BDP|13730686145440437513</stp>
        <tr r="H432" s="2"/>
      </tp>
      <tp t="s">
        <v>#N/A N/A</v>
        <stp/>
        <stp>BDP|15691962683333400388</stp>
        <tr r="K237" s="2"/>
      </tp>
      <tp t="s">
        <v>#N/A N/A</v>
        <stp/>
        <stp>BDP|17361128248020492627</stp>
        <tr r="I174" s="2"/>
      </tp>
      <tp t="s">
        <v>#N/A N/A</v>
        <stp/>
        <stp>BDP|17967763977606207555</stp>
        <tr r="L265" s="2"/>
      </tp>
      <tp t="s">
        <v>#N/A N/A</v>
        <stp/>
        <stp>BDP|15947934990841588006</stp>
        <tr r="K501" s="2"/>
      </tp>
      <tp t="s">
        <v>#N/A N/A</v>
        <stp/>
        <stp>BDP|12255676410519843827</stp>
        <tr r="Q93" s="2"/>
      </tp>
      <tp t="s">
        <v>#N/A N/A</v>
        <stp/>
        <stp>BDP|11885694775543233781</stp>
        <tr r="I113" s="2"/>
      </tp>
      <tp t="s">
        <v>#N/A N/A</v>
        <stp/>
        <stp>BDP|11574984777838056344</stp>
        <tr r="D480" s="2"/>
      </tp>
      <tp t="s">
        <v>#N/A N/A</v>
        <stp/>
        <stp>BDP|16031083235288625959</stp>
        <tr r="Q222" s="2"/>
      </tp>
      <tp t="s">
        <v>#N/A N/A</v>
        <stp/>
        <stp>BDP|10986366351343029100</stp>
        <tr r="G192" s="2"/>
      </tp>
      <tp t="s">
        <v>#N/A N/A</v>
        <stp/>
        <stp>BDP|13198887797397174114</stp>
        <tr r="H227" s="2"/>
      </tp>
      <tp t="s">
        <v>#N/A N/A</v>
        <stp/>
        <stp>BDP|12534983333144249828</stp>
        <tr r="G318" s="2"/>
      </tp>
      <tp t="s">
        <v>#N/A N/A</v>
        <stp/>
        <stp>BDP|16692899698042946109</stp>
        <tr r="G14" s="2"/>
      </tp>
      <tp t="s">
        <v>#N/A N/A</v>
        <stp/>
        <stp>BDP|16605417930056132388</stp>
        <tr r="P184" s="2"/>
      </tp>
      <tp t="s">
        <v>#N/A N/A</v>
        <stp/>
        <stp>BDP|18389926962736478592</stp>
        <tr r="M77" s="2"/>
      </tp>
      <tp t="s">
        <v>#N/A N/A</v>
        <stp/>
        <stp>BDP|17733257739915278779</stp>
        <tr r="L453" s="2"/>
      </tp>
      <tp t="s">
        <v>#N/A N/A</v>
        <stp/>
        <stp>BDP|11431424954966592294</stp>
        <tr r="I483" s="2"/>
      </tp>
      <tp t="s">
        <v>#N/A N/A</v>
        <stp/>
        <stp>BDP|13760375224005901332</stp>
        <tr r="M35" s="2"/>
      </tp>
      <tp t="s">
        <v>#N/A N/A</v>
        <stp/>
        <stp>BDP|16689081726147480720</stp>
        <tr r="J342" s="2"/>
      </tp>
      <tp t="s">
        <v>#N/A N/A</v>
        <stp/>
        <stp>BDP|11592250218015182371</stp>
        <tr r="F71" s="2"/>
      </tp>
      <tp t="s">
        <v>#N/A N/A</v>
        <stp/>
        <stp>BDP|15266317369656159256</stp>
        <tr r="J426" s="2"/>
      </tp>
      <tp t="s">
        <v>#N/A N/A</v>
        <stp/>
        <stp>BDP|11376373326167854344</stp>
        <tr r="P217" s="2"/>
      </tp>
      <tp t="s">
        <v>#N/A N/A</v>
        <stp/>
        <stp>BDP|10177716755992021443</stp>
        <tr r="F469" s="2"/>
      </tp>
      <tp t="s">
        <v>#N/A N/A</v>
        <stp/>
        <stp>BDP|16955910142186388983</stp>
        <tr r="H47" s="2"/>
      </tp>
      <tp t="s">
        <v>#N/A N/A</v>
        <stp/>
        <stp>BDP|14671846592506597742</stp>
        <tr r="C135" s="2"/>
      </tp>
      <tp t="s">
        <v>#N/A N/A</v>
        <stp/>
        <stp>BDP|16982132939916788654</stp>
        <tr r="C353" s="2"/>
      </tp>
      <tp t="s">
        <v>#N/A N/A</v>
        <stp/>
        <stp>BDP|17488084217696221484</stp>
        <tr r="R409" s="2"/>
      </tp>
      <tp t="s">
        <v>#N/A N/A</v>
        <stp/>
        <stp>BDP|17478284204721125085</stp>
        <tr r="M157" s="2"/>
      </tp>
      <tp t="s">
        <v>#N/A N/A</v>
        <stp/>
        <stp>BDP|12098497469954410054</stp>
        <tr r="D91" s="2"/>
      </tp>
      <tp t="s">
        <v>#N/A N/A</v>
        <stp/>
        <stp>BDP|14694415303195185144</stp>
        <tr r="O110" s="2"/>
      </tp>
      <tp t="s">
        <v>#N/A N/A</v>
        <stp/>
        <stp>BDP|11679169665894001647</stp>
        <tr r="J71" s="2"/>
      </tp>
      <tp t="s">
        <v>#N/A N/A</v>
        <stp/>
        <stp>BDP|13361366555005082419</stp>
        <tr r="M23" s="2"/>
      </tp>
      <tp t="s">
        <v>#N/A N/A</v>
        <stp/>
        <stp>BDP|15468526869522743090</stp>
        <tr r="M153" s="2"/>
      </tp>
      <tp t="s">
        <v>#N/A N/A</v>
        <stp/>
        <stp>BDP|12048357554420302037</stp>
        <tr r="L451" s="2"/>
      </tp>
      <tp t="s">
        <v>#N/A N/A</v>
        <stp/>
        <stp>BDP|14879815590672855306</stp>
        <tr r="N270" s="2"/>
      </tp>
      <tp t="s">
        <v>#N/A N/A</v>
        <stp/>
        <stp>BDP|16662423489968828649</stp>
        <tr r="H26" s="2"/>
      </tp>
      <tp t="s">
        <v>#N/A N/A</v>
        <stp/>
        <stp>BDP|13526657545232234762</stp>
        <tr r="C266" s="2"/>
      </tp>
      <tp t="s">
        <v>#N/A N/A</v>
        <stp/>
        <stp>BDP|10344719060233196620</stp>
        <tr r="E305" s="2"/>
      </tp>
      <tp t="s">
        <v>#N/A N/A</v>
        <stp/>
        <stp>BDP|14712349264775691003</stp>
        <tr r="N57" s="2"/>
      </tp>
      <tp t="s">
        <v>#N/A N/A</v>
        <stp/>
        <stp>BDP|12241843800069720701</stp>
        <tr r="H175" s="2"/>
      </tp>
      <tp t="s">
        <v>#N/A N/A</v>
        <stp/>
        <stp>BDP|17215788036293912451</stp>
        <tr r="D153" s="2"/>
      </tp>
      <tp t="s">
        <v>#N/A N/A</v>
        <stp/>
        <stp>BDP|10163772291339797305</stp>
        <tr r="M119" s="2"/>
      </tp>
      <tp t="s">
        <v>#N/A N/A</v>
        <stp/>
        <stp>BDP|10996000317746952371</stp>
        <tr r="P253" s="2"/>
      </tp>
      <tp t="s">
        <v>#N/A N/A</v>
        <stp/>
        <stp>BDP|14824678741082929072</stp>
        <tr r="E89" s="2"/>
      </tp>
      <tp t="s">
        <v>#N/A N/A</v>
        <stp/>
        <stp>BDP|15515354030205969498</stp>
        <tr r="K315" s="2"/>
      </tp>
      <tp t="s">
        <v>#N/A N/A</v>
        <stp/>
        <stp>BDP|17562622440877502623</stp>
        <tr r="I117" s="2"/>
      </tp>
      <tp t="s">
        <v>#N/A N/A</v>
        <stp/>
        <stp>BDP|16201369103163514226</stp>
        <tr r="M346" s="2"/>
      </tp>
      <tp t="s">
        <v>#N/A N/A</v>
        <stp/>
        <stp>BDP|14172949386262611350</stp>
        <tr r="I7" s="2"/>
      </tp>
      <tp t="s">
        <v>#N/A N/A</v>
        <stp/>
        <stp>BDP|16598781227603344496</stp>
        <tr r="Q187" s="2"/>
      </tp>
      <tp t="s">
        <v>#N/A N/A</v>
        <stp/>
        <stp>BDP|17963961929930073865</stp>
        <tr r="C446" s="2"/>
      </tp>
      <tp t="s">
        <v>#N/A N/A</v>
        <stp/>
        <stp>BDP|16323038242884306211</stp>
        <tr r="M170" s="2"/>
      </tp>
      <tp t="s">
        <v>#N/A N/A</v>
        <stp/>
        <stp>BDP|17200028031579262938</stp>
        <tr r="M250" s="2"/>
      </tp>
      <tp t="s">
        <v>#N/A N/A</v>
        <stp/>
        <stp>BDP|11069553266516070031</stp>
        <tr r="G294" s="2"/>
      </tp>
      <tp t="s">
        <v>#N/A N/A</v>
        <stp/>
        <stp>BDP|15156582439200613762</stp>
        <tr r="L339" s="2"/>
      </tp>
      <tp t="s">
        <v>#N/A N/A</v>
        <stp/>
        <stp>BDP|10315564217163413360</stp>
        <tr r="G7" s="2"/>
      </tp>
      <tp t="s">
        <v>#N/A N/A</v>
        <stp/>
        <stp>BDP|10538057674591688212</stp>
        <tr r="C31" s="2"/>
      </tp>
      <tp t="s">
        <v>#N/A N/A</v>
        <stp/>
        <stp>BDP|13623468127148058944</stp>
        <tr r="K375" s="2"/>
      </tp>
      <tp t="s">
        <v>#N/A N/A</v>
        <stp/>
        <stp>BDP|18284031259260216990</stp>
        <tr r="N100" s="2"/>
      </tp>
      <tp t="s">
        <v>#N/A N/A</v>
        <stp/>
        <stp>BDP|12997938389241583651</stp>
        <tr r="L99" s="2"/>
      </tp>
      <tp t="s">
        <v>#N/A N/A</v>
        <stp/>
        <stp>BDP|14960759999659432722</stp>
        <tr r="C46" s="2"/>
      </tp>
      <tp t="s">
        <v>#N/A N/A</v>
        <stp/>
        <stp>BDP|15395763854625772654</stp>
        <tr r="N488" s="2"/>
      </tp>
      <tp t="s">
        <v>#N/A N/A</v>
        <stp/>
        <stp>BDP|12237268047101603165</stp>
        <tr r="Q21" s="2"/>
      </tp>
      <tp t="s">
        <v>#N/A N/A</v>
        <stp/>
        <stp>BDP|12655713155972126603</stp>
        <tr r="O424" s="2"/>
      </tp>
      <tp t="s">
        <v>#N/A N/A</v>
        <stp/>
        <stp>BDP|17091413534601161577</stp>
        <tr r="P225" s="2"/>
      </tp>
      <tp t="s">
        <v>#N/A N/A</v>
        <stp/>
        <stp>BDP|17619910975499753463</stp>
        <tr r="E435" s="2"/>
      </tp>
      <tp t="s">
        <v>#N/A N/A</v>
        <stp/>
        <stp>BDP|15555643522514738172</stp>
        <tr r="I395" s="2"/>
      </tp>
      <tp t="s">
        <v>#N/A N/A</v>
        <stp/>
        <stp>BDP|15450262001026113517</stp>
        <tr r="F288" s="2"/>
      </tp>
      <tp t="s">
        <v>#N/A N/A</v>
        <stp/>
        <stp>BDP|13683353575927537400</stp>
        <tr r="H179" s="2"/>
      </tp>
      <tp t="s">
        <v>#N/A N/A</v>
        <stp/>
        <stp>BDP|11305333063956380632</stp>
        <tr r="J473" s="2"/>
      </tp>
      <tp t="s">
        <v>#N/A N/A</v>
        <stp/>
        <stp>BDP|12251666368013836576</stp>
        <tr r="H402" s="2"/>
      </tp>
      <tp t="s">
        <v>#N/A N/A</v>
        <stp/>
        <stp>BDP|10590150120917409074</stp>
        <tr r="J185" s="2"/>
      </tp>
      <tp t="s">
        <v>#N/A N/A</v>
        <stp/>
        <stp>BDP|17048051451512780413</stp>
        <tr r="D428" s="2"/>
      </tp>
      <tp t="s">
        <v>#N/A N/A</v>
        <stp/>
        <stp>BDP|11618675004246397546</stp>
        <tr r="O334" s="2"/>
      </tp>
      <tp t="s">
        <v>#N/A N/A</v>
        <stp/>
        <stp>BDP|17009894267784489982</stp>
        <tr r="N176" s="2"/>
      </tp>
      <tp t="s">
        <v>#N/A N/A</v>
        <stp/>
        <stp>BDP|14035262721988138842</stp>
        <tr r="I348" s="2"/>
      </tp>
      <tp t="s">
        <v>#N/A N/A</v>
        <stp/>
        <stp>BDP|17020436401722220529</stp>
        <tr r="N391" s="2"/>
      </tp>
      <tp t="s">
        <v>#N/A N/A</v>
        <stp/>
        <stp>BDP|12575608206329545945</stp>
        <tr r="N170" s="2"/>
      </tp>
      <tp t="s">
        <v>#N/A N/A</v>
        <stp/>
        <stp>BDP|17604751278522813119</stp>
        <tr r="E412" s="2"/>
      </tp>
      <tp t="s">
        <v>#N/A N/A</v>
        <stp/>
        <stp>BDP|11065309880008548678</stp>
        <tr r="I134" s="2"/>
      </tp>
      <tp t="s">
        <v>#N/A N/A</v>
        <stp/>
        <stp>BDP|15771338258047997074</stp>
        <tr r="L35" s="2"/>
      </tp>
      <tp t="s">
        <v>#N/A N/A</v>
        <stp/>
        <stp>BDP|17763571299557264896</stp>
        <tr r="M58" s="2"/>
      </tp>
      <tp t="s">
        <v>#N/A N/A</v>
        <stp/>
        <stp>BDP|16617550307345545237</stp>
        <tr r="N494" s="2"/>
      </tp>
      <tp t="s">
        <v>#N/A N/A</v>
        <stp/>
        <stp>BDP|17755232152456255267</stp>
        <tr r="R478" s="2"/>
      </tp>
      <tp t="s">
        <v>#N/A N/A</v>
        <stp/>
        <stp>BDP|14827796351854681644</stp>
        <tr r="J169" s="2"/>
      </tp>
      <tp t="s">
        <v>#N/A N/A</v>
        <stp/>
        <stp>BDP|14694253974587395261</stp>
        <tr r="P206" s="2"/>
      </tp>
      <tp t="s">
        <v>#N/A N/A</v>
        <stp/>
        <stp>BDP|17614850193296480410</stp>
        <tr r="P491" s="2"/>
      </tp>
      <tp t="s">
        <v>#N/A N/A</v>
        <stp/>
        <stp>BDP|16139523215796584064</stp>
        <tr r="H471" s="2"/>
      </tp>
      <tp t="s">
        <v>#N/A N/A</v>
        <stp/>
        <stp>BDP|11223764017061488227</stp>
        <tr r="D56" s="2"/>
      </tp>
      <tp t="s">
        <v>#N/A N/A</v>
        <stp/>
        <stp>BDP|11321487036410904218</stp>
        <tr r="J266" s="2"/>
      </tp>
      <tp t="s">
        <v>#N/A N/A</v>
        <stp/>
        <stp>BDP|10596581159776615276</stp>
        <tr r="K5" s="2"/>
      </tp>
      <tp t="s">
        <v>#N/A N/A</v>
        <stp/>
        <stp>BDP|10895684427091439166</stp>
        <tr r="E392" s="2"/>
      </tp>
      <tp t="s">
        <v>#N/A N/A</v>
        <stp/>
        <stp>BDP|13120411361480407508</stp>
        <tr r="M399" s="2"/>
      </tp>
      <tp t="s">
        <v>#N/A N/A</v>
        <stp/>
        <stp>BDP|17297275682370419961</stp>
        <tr r="Q129" s="2"/>
      </tp>
      <tp t="s">
        <v>#N/A N/A</v>
        <stp/>
        <stp>BDP|13124714834994523742</stp>
        <tr r="K234" s="2"/>
      </tp>
      <tp t="s">
        <v>#N/A N/A</v>
        <stp/>
        <stp>BDP|13686217934273409523</stp>
        <tr r="E384" s="2"/>
      </tp>
      <tp t="s">
        <v>#N/A N/A</v>
        <stp/>
        <stp>BDP|11017067086225289871</stp>
        <tr r="F198" s="2"/>
      </tp>
      <tp t="s">
        <v>#N/A N/A</v>
        <stp/>
        <stp>BDP|13377029004190762774</stp>
        <tr r="H312" s="2"/>
      </tp>
      <tp t="s">
        <v>#N/A N/A</v>
        <stp/>
        <stp>BDP|14885516577501953323</stp>
        <tr r="C206" s="2"/>
      </tp>
      <tp t="s">
        <v>#N/A N/A</v>
        <stp/>
        <stp>BDP|11084185746171803130</stp>
        <tr r="L412" s="2"/>
      </tp>
      <tp t="s">
        <v>#N/A N/A</v>
        <stp/>
        <stp>BDP|14936868730332930937</stp>
        <tr r="E156" s="2"/>
      </tp>
      <tp t="s">
        <v>#N/A N/A</v>
        <stp/>
        <stp>BDP|11928302622852695682</stp>
        <tr r="Q275" s="2"/>
      </tp>
      <tp t="s">
        <v>#N/A N/A</v>
        <stp/>
        <stp>BDP|17779235495468450007</stp>
        <tr r="Q502" s="2"/>
      </tp>
      <tp t="s">
        <v>#N/A N/A</v>
        <stp/>
        <stp>BDP|12878616164271058782</stp>
        <tr r="L459" s="2"/>
      </tp>
      <tp t="s">
        <v>#N/A N/A</v>
        <stp/>
        <stp>BDP|17777235575764587206</stp>
        <tr r="N133" s="2"/>
      </tp>
      <tp t="s">
        <v>#N/A N/A</v>
        <stp/>
        <stp>BDP|14387569325847010042</stp>
        <tr r="P274" s="2"/>
      </tp>
      <tp t="s">
        <v>#N/A N/A</v>
        <stp/>
        <stp>BDP|15590679555970122221</stp>
        <tr r="F314" s="2"/>
      </tp>
      <tp t="s">
        <v>#N/A N/A</v>
        <stp/>
        <stp>BDP|10241129600603517613</stp>
        <tr r="L439" s="2"/>
      </tp>
      <tp t="s">
        <v>#N/A N/A</v>
        <stp/>
        <stp>BDP|14292439830455183244</stp>
        <tr r="N193" s="2"/>
      </tp>
      <tp t="s">
        <v>#N/A N/A</v>
        <stp/>
        <stp>BDP|10425627237540689136</stp>
        <tr r="O155" s="2"/>
      </tp>
      <tp t="s">
        <v>#N/A N/A</v>
        <stp/>
        <stp>BDP|15160355995203399865</stp>
        <tr r="G400" s="2"/>
      </tp>
      <tp t="s">
        <v>#N/A N/A</v>
        <stp/>
        <stp>BDP|13447239621477079022</stp>
        <tr r="P454" s="2"/>
      </tp>
      <tp t="s">
        <v>#N/A N/A</v>
        <stp/>
        <stp>BDP|14447693013536269187</stp>
        <tr r="J364" s="2"/>
      </tp>
      <tp t="s">
        <v>#N/A N/A</v>
        <stp/>
        <stp>BDP|10148904260703362862</stp>
        <tr r="H277" s="2"/>
      </tp>
      <tp t="s">
        <v>#N/A N/A</v>
        <stp/>
        <stp>BDP|17079083262212747793</stp>
        <tr r="E343" s="2"/>
      </tp>
      <tp t="s">
        <v>#N/A N/A</v>
        <stp/>
        <stp>BDP|12477037707716422004</stp>
        <tr r="C208" s="2"/>
      </tp>
      <tp t="s">
        <v>#N/A N/A</v>
        <stp/>
        <stp>BDP|11973691464154917196</stp>
        <tr r="C262" s="2"/>
      </tp>
      <tp t="s">
        <v>#N/A N/A</v>
        <stp/>
        <stp>BDP|15760852967387698878</stp>
        <tr r="M29" s="2"/>
      </tp>
      <tp t="s">
        <v>#N/A N/A</v>
        <stp/>
        <stp>BDP|14501681121324079083</stp>
        <tr r="M213" s="2"/>
      </tp>
      <tp t="s">
        <v>#N/A N/A</v>
        <stp/>
        <stp>BDP|14394466264670096256</stp>
        <tr r="R61" s="2"/>
      </tp>
      <tp t="s">
        <v>#N/A N/A</v>
        <stp/>
        <stp>BDP|11086001651913343360</stp>
        <tr r="L378" s="2"/>
      </tp>
      <tp t="s">
        <v>#N/A N/A</v>
        <stp/>
        <stp>BDP|14684321950481601756</stp>
        <tr r="M195" s="2"/>
      </tp>
      <tp t="s">
        <v>#N/A N/A</v>
        <stp/>
        <stp>BDP|15332169336651570211</stp>
        <tr r="H221" s="2"/>
      </tp>
      <tp t="s">
        <v>#N/A N/A</v>
        <stp/>
        <stp>BDP|10519618748695376380</stp>
        <tr r="J77" s="2"/>
      </tp>
      <tp t="s">
        <v>#N/A N/A</v>
        <stp/>
        <stp>BDP|14438887594562772388</stp>
        <tr r="C132" s="2"/>
      </tp>
      <tp t="s">
        <v>#N/A N/A</v>
        <stp/>
        <stp>BDP|12968768269391916682</stp>
        <tr r="G354" s="2"/>
      </tp>
      <tp t="s">
        <v>#N/A N/A</v>
        <stp/>
        <stp>BDP|12616534901611098237</stp>
        <tr r="I183" s="2"/>
      </tp>
      <tp t="s">
        <v>#N/A N/A</v>
        <stp/>
        <stp>BDP|13485067526563010636</stp>
        <tr r="F394" s="2"/>
      </tp>
      <tp t="s">
        <v>#N/A N/A</v>
        <stp/>
        <stp>BDP|11753322643435364728</stp>
        <tr r="M480" s="2"/>
      </tp>
      <tp t="s">
        <v>#N/A N/A</v>
        <stp/>
        <stp>BDP|14611577376313556153</stp>
        <tr r="P486" s="2"/>
      </tp>
      <tp t="s">
        <v>#N/A N/A</v>
        <stp/>
        <stp>BDP|10395244975610388161</stp>
        <tr r="C28" s="2"/>
      </tp>
      <tp t="s">
        <v>#N/A N/A</v>
        <stp/>
        <stp>BDP|14614772215175747347</stp>
        <tr r="Q292" s="2"/>
      </tp>
      <tp t="s">
        <v>#N/A N/A</v>
        <stp/>
        <stp>BDP|15404297869825489077</stp>
        <tr r="J236" s="2"/>
      </tp>
      <tp t="s">
        <v>#N/A N/A</v>
        <stp/>
        <stp>BDP|11810276765465820451</stp>
        <tr r="E362" s="2"/>
      </tp>
      <tp t="s">
        <v>#N/A N/A</v>
        <stp/>
        <stp>BDP|13807314109053013775</stp>
        <tr r="E302" s="2"/>
      </tp>
      <tp t="s">
        <v>#N/A N/A</v>
        <stp/>
        <stp>BDP|16796603556497398657</stp>
        <tr r="E31" s="2"/>
      </tp>
      <tp t="s">
        <v>#N/A N/A</v>
        <stp/>
        <stp>BDP|10038770248066052181</stp>
        <tr r="R426" s="2"/>
      </tp>
      <tp t="s">
        <v>#N/A N/A</v>
        <stp/>
        <stp>BDP|16713527435796727204</stp>
        <tr r="E312" s="2"/>
      </tp>
      <tp t="s">
        <v>#N/A N/A</v>
        <stp/>
        <stp>BDP|11439359127980458450</stp>
        <tr r="D167" s="2"/>
      </tp>
      <tp t="s">
        <v>#N/A N/A</v>
        <stp/>
        <stp>BDP|16383524386469070614</stp>
        <tr r="L483" s="2"/>
      </tp>
      <tp t="s">
        <v>#N/A N/A</v>
        <stp/>
        <stp>BDP|12685265757102671370</stp>
        <tr r="C492" s="2"/>
      </tp>
      <tp t="s">
        <v>#N/A N/A</v>
        <stp/>
        <stp>BDP|12590120875980624028</stp>
        <tr r="J171" s="2"/>
      </tp>
      <tp t="s">
        <v>#N/A N/A</v>
        <stp/>
        <stp>BDP|12278312580939617434</stp>
        <tr r="K182" s="2"/>
      </tp>
      <tp t="s">
        <v>#N/A N/A</v>
        <stp/>
        <stp>BDP|14588968897852180239</stp>
        <tr r="C364" s="2"/>
      </tp>
      <tp t="s">
        <v>#N/A N/A</v>
        <stp/>
        <stp>BDP|17423926262999108534</stp>
        <tr r="I51" s="2"/>
      </tp>
      <tp t="s">
        <v>#N/A N/A</v>
        <stp/>
        <stp>BDP|17627258105104268520</stp>
        <tr r="H220" s="2"/>
      </tp>
      <tp t="s">
        <v>#N/A N/A</v>
        <stp/>
        <stp>BDP|11049044741305085436</stp>
        <tr r="F141" s="2"/>
      </tp>
      <tp t="s">
        <v>#N/A N/A</v>
        <stp/>
        <stp>BDP|11038523250820267562</stp>
        <tr r="D364" s="2"/>
      </tp>
      <tp t="s">
        <v>#N/A N/A</v>
        <stp/>
        <stp>BDP|17614904501069887391</stp>
        <tr r="N168" s="2"/>
      </tp>
      <tp t="s">
        <v>#N/A N/A</v>
        <stp/>
        <stp>BDP|17444646611732325644</stp>
        <tr r="P46" s="2"/>
      </tp>
      <tp t="s">
        <v>#N/A N/A</v>
        <stp/>
        <stp>BDP|13130390606324023081</stp>
        <tr r="J116" s="2"/>
      </tp>
      <tp t="s">
        <v>#N/A N/A</v>
        <stp/>
        <stp>BDP|10946194616266370236</stp>
        <tr r="F422" s="2"/>
      </tp>
      <tp t="s">
        <v>#N/A N/A</v>
        <stp/>
        <stp>BDP|10254214713832091560</stp>
        <tr r="E379" s="2"/>
      </tp>
      <tp t="s">
        <v>#N/A N/A</v>
        <stp/>
        <stp>BDP|15639316400333195109</stp>
        <tr r="H16" s="2"/>
      </tp>
      <tp t="s">
        <v>#N/A N/A</v>
        <stp/>
        <stp>BDP|14370501214270831492</stp>
        <tr r="G268" s="2"/>
      </tp>
      <tp>
        <v>1.916100025177002</v>
        <stp/>
        <stp>BDP|32322525041567959|22</stp>
        <stp>WDAY UW Equity</stp>
        <stp>RT_PX_CHG_PCT_1D</stp>
        <tr r="B498" s="2"/>
      </tp>
      <tp t="s">
        <v>#N/A N/A</v>
        <stp/>
        <stp>BDP|12458152303282865438</stp>
        <tr r="P273" s="2"/>
      </tp>
      <tp t="s">
        <v>#N/A N/A</v>
        <stp/>
        <stp>BDP|17289435549162105006</stp>
        <tr r="P265" s="2"/>
      </tp>
      <tp t="s">
        <v>#N/A N/A</v>
        <stp/>
        <stp>BDP|17179099766730725404</stp>
        <tr r="L471" s="2"/>
      </tp>
      <tp t="s">
        <v>#N/A N/A</v>
        <stp/>
        <stp>BDP|17420703324370157788</stp>
        <tr r="P372" s="2"/>
      </tp>
      <tp t="s">
        <v>#N/A N/A</v>
        <stp/>
        <stp>BDP|15976376332906235675</stp>
        <tr r="I469" s="2"/>
      </tp>
      <tp t="s">
        <v>#N/A N/A</v>
        <stp/>
        <stp>BDP|15089565712617946342</stp>
        <tr r="J464" s="2"/>
      </tp>
      <tp t="s">
        <v>#N/A N/A</v>
        <stp/>
        <stp>BDP|15969466469407971561</stp>
        <tr r="G18" s="2"/>
      </tp>
      <tp t="s">
        <v>#N/A N/A</v>
        <stp/>
        <stp>BDP|17826047390493390869</stp>
        <tr r="D248" s="2"/>
      </tp>
      <tp t="s">
        <v>#N/A N/A</v>
        <stp/>
        <stp>BDP|12546600118708771835</stp>
        <tr r="I46" s="2"/>
      </tp>
      <tp t="s">
        <v>#N/A N/A</v>
        <stp/>
        <stp>BDP|13430457149596165007</stp>
        <tr r="D38" s="2"/>
      </tp>
      <tp t="s">
        <v>#N/A N/A</v>
        <stp/>
        <stp>BDP|15418585661401066240</stp>
        <tr r="D2" s="2"/>
      </tp>
      <tp t="s">
        <v>#N/A N/A</v>
        <stp/>
        <stp>BDP|14155326101134203697</stp>
        <tr r="R275" s="2"/>
      </tp>
      <tp t="s">
        <v>#N/A N/A</v>
        <stp/>
        <stp>BDP|18301486797841118155</stp>
        <tr r="C220" s="2"/>
      </tp>
      <tp t="s">
        <v>#N/A N/A</v>
        <stp/>
        <stp>BDP|16805002625257737629</stp>
        <tr r="I377" s="2"/>
      </tp>
      <tp t="s">
        <v>#N/A N/A</v>
        <stp/>
        <stp>BDP|17187693472197519476</stp>
        <tr r="N272" s="2"/>
      </tp>
      <tp t="s">
        <v>#N/A N/A</v>
        <stp/>
        <stp>BDP|15565886932052087974</stp>
        <tr r="I251" s="2"/>
      </tp>
      <tp t="s">
        <v>#N/A N/A</v>
        <stp/>
        <stp>BDP|18263468475557973900</stp>
        <tr r="N301" s="2"/>
      </tp>
      <tp t="s">
        <v>#N/A N/A</v>
        <stp/>
        <stp>BDP|12859274143086550717</stp>
        <tr r="J70" s="2"/>
      </tp>
      <tp t="s">
        <v>#N/A N/A</v>
        <stp/>
        <stp>BDP|17489077345887815164</stp>
        <tr r="R47" s="2"/>
      </tp>
      <tp t="s">
        <v>#N/A N/A</v>
        <stp/>
        <stp>BDP|12218788659273326688</stp>
        <tr r="R185" s="2"/>
      </tp>
      <tp t="s">
        <v>#N/A N/A</v>
        <stp/>
        <stp>BDP|12520600138893292172</stp>
        <tr r="M307" s="2"/>
      </tp>
      <tp t="s">
        <v>#N/A N/A</v>
        <stp/>
        <stp>BDP|13267425848426577051</stp>
        <tr r="M61" s="2"/>
      </tp>
      <tp t="s">
        <v>#N/A N/A</v>
        <stp/>
        <stp>BDP|12198296439991850713</stp>
        <tr r="G384" s="2"/>
      </tp>
      <tp t="s">
        <v>#N/A N/A</v>
        <stp/>
        <stp>BDP|11870110883319379413</stp>
        <tr r="E108" s="2"/>
      </tp>
      <tp t="s">
        <v>#N/A N/A</v>
        <stp/>
        <stp>BDP|14648306849123341547</stp>
        <tr r="I473" s="2"/>
      </tp>
      <tp t="s">
        <v>#N/A N/A</v>
        <stp/>
        <stp>BDP|16511743191539070487</stp>
        <tr r="R399" s="2"/>
      </tp>
      <tp t="s">
        <v>#N/A N/A</v>
        <stp/>
        <stp>BDP|12040541906980812228</stp>
        <tr r="O120" s="2"/>
      </tp>
      <tp t="s">
        <v>#N/A N/A</v>
        <stp/>
        <stp>BDP|14832030036826570437</stp>
        <tr r="J278" s="2"/>
      </tp>
      <tp t="s">
        <v>#N/A N/A</v>
        <stp/>
        <stp>BDP|13503531108467665439</stp>
        <tr r="R85" s="2"/>
      </tp>
      <tp t="s">
        <v>#N/A N/A</v>
        <stp/>
        <stp>BDP|17098463830957492293</stp>
        <tr r="E292" s="2"/>
      </tp>
      <tp t="s">
        <v>#N/A N/A</v>
        <stp/>
        <stp>BDP|15318832264829616792</stp>
        <tr r="H411" s="2"/>
      </tp>
      <tp t="s">
        <v>#N/A N/A</v>
        <stp/>
        <stp>BDP|17628437870555886460</stp>
        <tr r="H503" s="2"/>
      </tp>
      <tp t="s">
        <v>#N/A N/A</v>
        <stp/>
        <stp>BDP|17690797604132997799</stp>
        <tr r="H214" s="2"/>
      </tp>
      <tp t="s">
        <v>#N/A N/A</v>
        <stp/>
        <stp>BDP|14009175574961000682</stp>
        <tr r="D448" s="2"/>
      </tp>
      <tp t="s">
        <v>#N/A N/A</v>
        <stp/>
        <stp>BDP|10151505879927125026</stp>
        <tr r="J216" s="2"/>
      </tp>
      <tp t="s">
        <v>#N/A N/A</v>
        <stp/>
        <stp>BDP|16690535675754805536</stp>
        <tr r="F410" s="2"/>
      </tp>
      <tp t="s">
        <v>#N/A N/A</v>
        <stp/>
        <stp>BDP|17327980296161171377</stp>
        <tr r="C238" s="2"/>
      </tp>
      <tp t="s">
        <v>#N/A N/A</v>
        <stp/>
        <stp>BDP|12322469637899040995</stp>
        <tr r="P170" s="2"/>
      </tp>
      <tp t="s">
        <v>#N/A N/A</v>
        <stp/>
        <stp>BDP|17104186551952152428</stp>
        <tr r="M52" s="2"/>
      </tp>
      <tp t="s">
        <v>#N/A N/A</v>
        <stp/>
        <stp>BDP|17822151019214804670</stp>
        <tr r="N132" s="2"/>
      </tp>
      <tp t="s">
        <v>#N/A N/A</v>
        <stp/>
        <stp>BDP|16296388566001592728</stp>
        <tr r="H39" s="2"/>
      </tp>
      <tp t="s">
        <v>#N/A N/A</v>
        <stp/>
        <stp>BDP|15634793847544437771</stp>
        <tr r="Q447" s="2"/>
      </tp>
      <tp t="s">
        <v>#N/A N/A</v>
        <stp/>
        <stp>BDP|18032336088844126218</stp>
        <tr r="P302" s="2"/>
      </tp>
      <tp t="s">
        <v>#N/A N/A</v>
        <stp/>
        <stp>BDP|15046580906190771524</stp>
        <tr r="O275" s="2"/>
      </tp>
      <tp t="s">
        <v>#N/A N/A</v>
        <stp/>
        <stp>BDP|17580243709016344609</stp>
        <tr r="J208" s="2"/>
      </tp>
      <tp t="s">
        <v>#N/A N/A</v>
        <stp/>
        <stp>BDP|11297019738037668063</stp>
        <tr r="J209" s="2"/>
      </tp>
      <tp t="s">
        <v>#N/A N/A</v>
        <stp/>
        <stp>BDP|14316881776696735811</stp>
        <tr r="J212" s="2"/>
      </tp>
      <tp t="s">
        <v>#N/A N/A</v>
        <stp/>
        <stp>BDP|10365983851691022808</stp>
        <tr r="G70" s="2"/>
      </tp>
      <tp t="s">
        <v>#N/A N/A</v>
        <stp/>
        <stp>BDP|16229394054077682230</stp>
        <tr r="P268" s="2"/>
      </tp>
      <tp t="s">
        <v>#N/A N/A</v>
        <stp/>
        <stp>BDP|15748224513034876749</stp>
        <tr r="R193" s="2"/>
      </tp>
      <tp t="s">
        <v>#N/A N/A</v>
        <stp/>
        <stp>BDP|16883118677440112558</stp>
        <tr r="F29" s="2"/>
      </tp>
      <tp t="s">
        <v>#N/A N/A</v>
        <stp/>
        <stp>BDP|13169916199111586765</stp>
        <tr r="R444" s="2"/>
      </tp>
      <tp t="s">
        <v>#N/A N/A</v>
        <stp/>
        <stp>BDP|11803285002804109291</stp>
        <tr r="R307" s="2"/>
      </tp>
      <tp t="s">
        <v>#N/A N/A</v>
        <stp/>
        <stp>BDP|17112377886009267083</stp>
        <tr r="R204" s="2"/>
      </tp>
      <tp t="s">
        <v>#N/A N/A</v>
        <stp/>
        <stp>BDP|15976836695466402714</stp>
        <tr r="Q152" s="2"/>
      </tp>
      <tp t="s">
        <v>#N/A N/A</v>
        <stp/>
        <stp>BDP|13053702576220846646</stp>
        <tr r="C418" s="2"/>
      </tp>
      <tp t="s">
        <v>#N/A N/A</v>
        <stp/>
        <stp>BDP|12699728636571876206</stp>
        <tr r="J454" s="2"/>
      </tp>
      <tp t="s">
        <v>#N/A N/A</v>
        <stp/>
        <stp>BDP|16506587933365250064</stp>
        <tr r="L145" s="2"/>
      </tp>
      <tp t="s">
        <v>#N/A N/A</v>
        <stp/>
        <stp>BDP|15876201800877083522</stp>
        <tr r="H477" s="2"/>
      </tp>
      <tp t="s">
        <v>#N/A N/A</v>
        <stp/>
        <stp>BDP|17811153651685869399</stp>
        <tr r="D204" s="2"/>
      </tp>
      <tp t="s">
        <v>#N/A N/A</v>
        <stp/>
        <stp>BDP|17540758781669473484</stp>
        <tr r="E162" s="2"/>
      </tp>
      <tp t="s">
        <v>#N/A N/A</v>
        <stp/>
        <stp>BDP|10742597640184552068</stp>
        <tr r="O324" s="2"/>
      </tp>
      <tp t="s">
        <v>#N/A N/A</v>
        <stp/>
        <stp>BDP|14538702779938946983</stp>
        <tr r="N232" s="2"/>
      </tp>
      <tp t="s">
        <v>#N/A N/A</v>
        <stp/>
        <stp>BDP|15983017007671116137</stp>
        <tr r="M335" s="2"/>
      </tp>
      <tp t="s">
        <v>#N/A N/A</v>
        <stp/>
        <stp>BDP|12087368042314074499</stp>
        <tr r="D4" s="2"/>
      </tp>
      <tp t="s">
        <v>#N/A N/A</v>
        <stp/>
        <stp>BDP|18245285271590610809</stp>
        <tr r="K390" s="2"/>
      </tp>
      <tp t="s">
        <v>#N/A N/A</v>
        <stp/>
        <stp>BDP|16883867105333729812</stp>
        <tr r="M491" s="2"/>
      </tp>
      <tp t="s">
        <v>#N/A N/A</v>
        <stp/>
        <stp>BDP|15266381114401596368</stp>
        <tr r="H217" s="2"/>
      </tp>
      <tp t="s">
        <v>#N/A N/A</v>
        <stp/>
        <stp>BDP|15893204924921450156</stp>
        <tr r="M7" s="2"/>
      </tp>
      <tp t="s">
        <v>#N/A N/A</v>
        <stp/>
        <stp>BDP|16768885081527295419</stp>
        <tr r="M363" s="2"/>
      </tp>
      <tp t="s">
        <v>#N/A N/A</v>
        <stp/>
        <stp>BDP|15474496300557205322</stp>
        <tr r="E381" s="2"/>
      </tp>
      <tp t="s">
        <v>#N/A N/A</v>
        <stp/>
        <stp>BDP|13356146384236707997</stp>
        <tr r="I250" s="2"/>
      </tp>
      <tp t="s">
        <v>#N/A N/A</v>
        <stp/>
        <stp>BDP|12843603857316208202</stp>
        <tr r="E493" s="2"/>
      </tp>
      <tp t="s">
        <v>#N/A N/A</v>
        <stp/>
        <stp>BDP|11849187068672372167</stp>
        <tr r="H44" s="2"/>
      </tp>
      <tp t="s">
        <v>#N/A N/A</v>
        <stp/>
        <stp>BDP|17419260551400692588</stp>
        <tr r="Q121" s="2"/>
      </tp>
      <tp t="s">
        <v>#N/A N/A</v>
        <stp/>
        <stp>BDP|10764055409474585124</stp>
        <tr r="K454" s="2"/>
      </tp>
      <tp t="s">
        <v>#N/A N/A</v>
        <stp/>
        <stp>BDP|17309262628805057711</stp>
        <tr r="C494" s="2"/>
      </tp>
      <tp t="s">
        <v>#N/A N/A</v>
        <stp/>
        <stp>BDP|11258076278725687671</stp>
        <tr r="K123" s="2"/>
      </tp>
      <tp t="s">
        <v>#N/A N/A</v>
        <stp/>
        <stp>BDP|15346452515071884472</stp>
        <tr r="K207" s="2"/>
      </tp>
      <tp t="s">
        <v>#N/A N/A</v>
        <stp/>
        <stp>BDP|14606327648741228723</stp>
        <tr r="M138" s="2"/>
      </tp>
      <tp t="s">
        <v>#N/A N/A</v>
        <stp/>
        <stp>BDP|17636515120292341780</stp>
        <tr r="M418" s="2"/>
      </tp>
      <tp t="s">
        <v>#N/A N/A</v>
        <stp/>
        <stp>BDP|12043371284404648895</stp>
        <tr r="K338" s="2"/>
      </tp>
      <tp t="s">
        <v>#N/A N/A</v>
        <stp/>
        <stp>BDP|16541169348651331748</stp>
        <tr r="K12" s="2"/>
      </tp>
      <tp t="s">
        <v>#N/A N/A</v>
        <stp/>
        <stp>BDP|13749483739017398698</stp>
        <tr r="F380" s="2"/>
      </tp>
      <tp t="s">
        <v>#N/A N/A</v>
        <stp/>
        <stp>BDP|12925726986130215830</stp>
        <tr r="O208" s="2"/>
      </tp>
      <tp t="s">
        <v>#N/A N/A</v>
        <stp/>
        <stp>BDP|15060191621820509324</stp>
        <tr r="J43" s="2"/>
      </tp>
      <tp t="s">
        <v>#N/A N/A</v>
        <stp/>
        <stp>BDP|12774208954102825245</stp>
        <tr r="H124" s="2"/>
      </tp>
      <tp t="s">
        <v>#N/A N/A</v>
        <stp/>
        <stp>BDP|10707528824494813664</stp>
        <tr r="I265" s="2"/>
      </tp>
      <tp t="s">
        <v>#N/A N/A</v>
        <stp/>
        <stp>BDP|13774898787947264149</stp>
        <tr r="D255" s="2"/>
      </tp>
      <tp t="s">
        <v>#N/A N/A</v>
        <stp/>
        <stp>BDP|15013044467870841641</stp>
        <tr r="N378" s="2"/>
      </tp>
      <tp t="s">
        <v>#N/A N/A</v>
        <stp/>
        <stp>BDP|16730393313482528378</stp>
        <tr r="L388" s="2"/>
      </tp>
      <tp t="s">
        <v>#N/A N/A</v>
        <stp/>
        <stp>BDP|13166667498840751971</stp>
        <tr r="G24" s="2"/>
      </tp>
      <tp t="s">
        <v>#N/A N/A</v>
        <stp/>
        <stp>BDP|15434209978281058431</stp>
        <tr r="Q301" s="2"/>
      </tp>
      <tp t="s">
        <v>#N/A N/A</v>
        <stp/>
        <stp>BDP|15369362381848870339</stp>
        <tr r="C358" s="2"/>
      </tp>
      <tp t="s">
        <v>#N/A N/A</v>
        <stp/>
        <stp>BDP|15440085903741606164</stp>
        <tr r="G39" s="2"/>
      </tp>
      <tp t="s">
        <v>#N/A N/A</v>
        <stp/>
        <stp>BDP|17033818397780142389</stp>
        <tr r="G91" s="2"/>
      </tp>
      <tp t="s">
        <v>#N/A N/A</v>
        <stp/>
        <stp>BDP|14488543744701993122</stp>
        <tr r="J97" s="2"/>
      </tp>
      <tp t="s">
        <v>#N/A N/A</v>
        <stp/>
        <stp>BDP|15581636600477945109</stp>
        <tr r="E449" s="2"/>
      </tp>
      <tp t="s">
        <v>#N/A N/A</v>
        <stp/>
        <stp>BDP|13744336009396751351</stp>
        <tr r="I490" s="2"/>
      </tp>
      <tp t="s">
        <v>#N/A N/A</v>
        <stp/>
        <stp>BDP|10499428536272901066</stp>
        <tr r="J68" s="2"/>
      </tp>
      <tp t="s">
        <v>#N/A N/A</v>
        <stp/>
        <stp>BDP|15425533958877431751</stp>
        <tr r="G262" s="2"/>
      </tp>
      <tp t="s">
        <v>#N/A N/A</v>
        <stp/>
        <stp>BDP|15270202624452012289</stp>
        <tr r="R280" s="2"/>
      </tp>
      <tp t="s">
        <v>#N/A N/A</v>
        <stp/>
        <stp>BDP|10971704370386094371</stp>
        <tr r="Q160" s="2"/>
      </tp>
      <tp t="s">
        <v>#N/A N/A</v>
        <stp/>
        <stp>BDP|14071186564912425462</stp>
        <tr r="P172" s="2"/>
      </tp>
      <tp t="s">
        <v>#N/A N/A</v>
        <stp/>
        <stp>BDP|14589714511446388188</stp>
        <tr r="Q87" s="2"/>
      </tp>
      <tp t="s">
        <v>#N/A N/A</v>
        <stp/>
        <stp>BDP|10104893462162759938</stp>
        <tr r="O66" s="2"/>
      </tp>
      <tp t="s">
        <v>#N/A N/A</v>
        <stp/>
        <stp>BDP|11733442430546538589</stp>
        <tr r="L503" s="2"/>
      </tp>
      <tp t="s">
        <v>#N/A N/A</v>
        <stp/>
        <stp>BDP|10228849656169631184</stp>
        <tr r="F258" s="2"/>
      </tp>
      <tp t="s">
        <v>#N/A N/A</v>
        <stp/>
        <stp>BDP|11712397141733845098</stp>
        <tr r="N323" s="2"/>
      </tp>
      <tp t="s">
        <v>#N/A N/A</v>
        <stp/>
        <stp>BDP|16731676818822488628</stp>
        <tr r="F114" s="2"/>
      </tp>
      <tp t="s">
        <v>#N/A N/A</v>
        <stp/>
        <stp>BDP|14473510005484926072</stp>
        <tr r="I95" s="2"/>
      </tp>
      <tp t="s">
        <v>#N/A N/A</v>
        <stp/>
        <stp>BDP|18244781115849864298</stp>
        <tr r="O293" s="2"/>
      </tp>
      <tp t="s">
        <v>#N/A N/A</v>
        <stp/>
        <stp>BDP|14930475706325521035</stp>
        <tr r="F177" s="2"/>
      </tp>
      <tp t="s">
        <v>#N/A N/A</v>
        <stp/>
        <stp>BDP|16389113640216513098</stp>
        <tr r="F412" s="2"/>
      </tp>
      <tp t="s">
        <v>#N/A N/A</v>
        <stp/>
        <stp>BDP|13726972328344468925</stp>
        <tr r="D124" s="2"/>
      </tp>
      <tp t="s">
        <v>#N/A N/A</v>
        <stp/>
        <stp>BDP|16217277233142842004</stp>
        <tr r="Q339" s="2"/>
      </tp>
      <tp t="s">
        <v>#N/A N/A</v>
        <stp/>
        <stp>BDP|11438407935541758282</stp>
        <tr r="M464" s="2"/>
      </tp>
      <tp t="s">
        <v>#N/A N/A</v>
        <stp/>
        <stp>BDP|17291494907575276309</stp>
        <tr r="Q179" s="2"/>
      </tp>
      <tp t="s">
        <v>#N/A N/A</v>
        <stp/>
        <stp>BDP|14917567602070256415</stp>
        <tr r="I32" s="2"/>
      </tp>
      <tp t="s">
        <v>#N/A N/A</v>
        <stp/>
        <stp>BDP|15727959190932468280</stp>
        <tr r="G27" s="2"/>
      </tp>
      <tp t="s">
        <v>#N/A N/A</v>
        <stp/>
        <stp>BDP|17252677331451324690</stp>
        <tr r="E358" s="2"/>
      </tp>
      <tp t="s">
        <v>#N/A N/A</v>
        <stp/>
        <stp>BDP|13600338813763202754</stp>
        <tr r="M402" s="2"/>
      </tp>
      <tp t="s">
        <v>#N/A N/A</v>
        <stp/>
        <stp>BDP|11587303564012449344</stp>
        <tr r="Q302" s="2"/>
      </tp>
      <tp t="s">
        <v>#N/A N/A</v>
        <stp/>
        <stp>BDP|13380552922215155447</stp>
        <tr r="H386" s="2"/>
      </tp>
      <tp t="s">
        <v>#N/A N/A</v>
        <stp/>
        <stp>BDP|15946519966151613297</stp>
        <tr r="O276" s="2"/>
      </tp>
      <tp t="s">
        <v>#N/A N/A</v>
        <stp/>
        <stp>BDP|10234561164865846397</stp>
        <tr r="I356" s="2"/>
      </tp>
      <tp t="s">
        <v>#N/A N/A</v>
        <stp/>
        <stp>BDP|13116244214194799174</stp>
        <tr r="P280" s="2"/>
      </tp>
      <tp t="s">
        <v>#N/A N/A</v>
        <stp/>
        <stp>BDP|11186656079480550591</stp>
        <tr r="L10" s="2"/>
      </tp>
      <tp t="s">
        <v>#N/A N/A</v>
        <stp/>
        <stp>BDP|11186162430660740616</stp>
        <tr r="L404" s="2"/>
      </tp>
      <tp t="s">
        <v>#N/A N/A</v>
        <stp/>
        <stp>BDP|11420001248856421697</stp>
        <tr r="P37" s="2"/>
      </tp>
      <tp t="s">
        <v>#N/A N/A</v>
        <stp/>
        <stp>BDP|17508132066263999684</stp>
        <tr r="E92" s="2"/>
      </tp>
      <tp t="s">
        <v>#N/A N/A</v>
        <stp/>
        <stp>BDP|10608304054382334108</stp>
        <tr r="G309" s="2"/>
      </tp>
      <tp t="s">
        <v>#N/A N/A</v>
        <stp/>
        <stp>BDP|14482757342185191735</stp>
        <tr r="L132" s="2"/>
      </tp>
      <tp t="s">
        <v>#N/A N/A</v>
        <stp/>
        <stp>BDP|11816074179930173369</stp>
        <tr r="R265" s="2"/>
      </tp>
      <tp t="s">
        <v>#N/A N/A</v>
        <stp/>
        <stp>BDP|11674324387166587978</stp>
        <tr r="E235" s="2"/>
      </tp>
      <tp t="s">
        <v>#N/A N/A</v>
        <stp/>
        <stp>BDP|12161445644642842583</stp>
        <tr r="G176" s="2"/>
      </tp>
      <tp t="s">
        <v>#N/A N/A</v>
        <stp/>
        <stp>BDP|15889286050602488552</stp>
        <tr r="J174" s="2"/>
      </tp>
      <tp t="s">
        <v>#N/A N/A</v>
        <stp/>
        <stp>BDP|14287017358914319096</stp>
        <tr r="R437" s="2"/>
      </tp>
      <tp t="s">
        <v>#N/A N/A</v>
        <stp/>
        <stp>BDP|16668242713762324231</stp>
        <tr r="H468" s="2"/>
      </tp>
      <tp t="s">
        <v>#N/A N/A</v>
        <stp/>
        <stp>BDP|17749543543734133704</stp>
        <tr r="E19" s="2"/>
      </tp>
      <tp t="s">
        <v>#N/A N/A</v>
        <stp/>
        <stp>BDP|16591249950342755671</stp>
        <tr r="I216" s="2"/>
      </tp>
      <tp t="s">
        <v>#N/A N/A</v>
        <stp/>
        <stp>BDP|14386864611061080953</stp>
        <tr r="C389" s="2"/>
      </tp>
      <tp t="s">
        <v>#N/A N/A</v>
        <stp/>
        <stp>BDP|17015255507128203812</stp>
        <tr r="E77" s="2"/>
      </tp>
      <tp t="s">
        <v>#N/A N/A</v>
        <stp/>
        <stp>BDP|15150326192232637867</stp>
        <tr r="G502" s="2"/>
      </tp>
      <tp t="s">
        <v>#N/A N/A</v>
        <stp/>
        <stp>BDP|15623651681536257816</stp>
        <tr r="E486" s="2"/>
      </tp>
      <tp t="s">
        <v>#N/A N/A</v>
        <stp/>
        <stp>BDP|16210805318702372880</stp>
        <tr r="E199" s="2"/>
      </tp>
      <tp t="s">
        <v>#N/A N/A</v>
        <stp/>
        <stp>BDP|11133944607165397815</stp>
        <tr r="L108" s="2"/>
      </tp>
      <tp t="s">
        <v>#N/A N/A</v>
        <stp/>
        <stp>BDP|10016003766840629301</stp>
        <tr r="E289" s="2"/>
      </tp>
      <tp t="s">
        <v>#N/A N/A</v>
        <stp/>
        <stp>BDP|13705740460810624752</stp>
        <tr r="R213" s="2"/>
      </tp>
      <tp t="s">
        <v>#N/A N/A</v>
        <stp/>
        <stp>BDP|17558921157378910699</stp>
        <tr r="H302" s="2"/>
      </tp>
      <tp t="s">
        <v>#N/A N/A</v>
        <stp/>
        <stp>BDP|12981682357573306750</stp>
        <tr r="L50" s="2"/>
      </tp>
      <tp t="s">
        <v>#N/A N/A</v>
        <stp/>
        <stp>BDP|14013453437176180035</stp>
        <tr r="C433" s="2"/>
      </tp>
      <tp t="s">
        <v>#N/A N/A</v>
        <stp/>
        <stp>BDP|13943559334646850602</stp>
        <tr r="K140" s="2"/>
      </tp>
      <tp t="s">
        <v>#N/A N/A</v>
        <stp/>
        <stp>BDP|14835598446512099275</stp>
        <tr r="I220" s="2"/>
      </tp>
      <tp t="s">
        <v>#N/A N/A</v>
        <stp/>
        <stp>BDP|11092029200226452265</stp>
        <tr r="L20" s="2"/>
      </tp>
      <tp t="s">
        <v>#N/A N/A</v>
        <stp/>
        <stp>BDP|18177817321576420155</stp>
        <tr r="J439" s="2"/>
      </tp>
      <tp t="s">
        <v>#N/A N/A</v>
        <stp/>
        <stp>BDP|16627916999180724396</stp>
        <tr r="I484" s="2"/>
      </tp>
      <tp t="s">
        <v>#N/A N/A</v>
        <stp/>
        <stp>BDP|16565703810343655633</stp>
        <tr r="M247" s="2"/>
      </tp>
      <tp t="s">
        <v>#N/A N/A</v>
        <stp/>
        <stp>BDP|11715522702992084372</stp>
        <tr r="G101" s="2"/>
      </tp>
      <tp t="s">
        <v>#N/A N/A</v>
        <stp/>
        <stp>BDP|14982374724358278888</stp>
        <tr r="H274" s="2"/>
      </tp>
      <tp t="s">
        <v>#N/A N/A</v>
        <stp/>
        <stp>BDP|15438762267476435710</stp>
        <tr r="O380" s="2"/>
      </tp>
      <tp t="s">
        <v>#N/A N/A</v>
        <stp/>
        <stp>BDP|17574531684777731857</stp>
        <tr r="C235" s="2"/>
      </tp>
      <tp t="s">
        <v>#N/A N/A</v>
        <stp/>
        <stp>BDP|10429606542502395563</stp>
        <tr r="I119" s="2"/>
      </tp>
      <tp t="s">
        <v>#N/A N/A</v>
        <stp/>
        <stp>BDP|12882103137367460285</stp>
        <tr r="N420" s="2"/>
      </tp>
      <tp t="s">
        <v>#N/A N/A</v>
        <stp/>
        <stp>BDP|14505712032756797325</stp>
        <tr r="N72" s="2"/>
      </tp>
      <tp t="s">
        <v>#N/A N/A</v>
        <stp/>
        <stp>BDP|16040368545897920399</stp>
        <tr r="R199" s="2"/>
      </tp>
      <tp t="s">
        <v>#N/A N/A</v>
        <stp/>
        <stp>BDP|16073708304434412034</stp>
        <tr r="F266" s="2"/>
      </tp>
      <tp t="s">
        <v>#N/A N/A</v>
        <stp/>
        <stp>BDP|18175028669282902900</stp>
        <tr r="Q263" s="2"/>
      </tp>
      <tp t="s">
        <v>#N/A N/A</v>
        <stp/>
        <stp>BDP|14274645855813908197</stp>
        <tr r="C213" s="2"/>
      </tp>
      <tp t="s">
        <v>#N/A N/A</v>
        <stp/>
        <stp>BDP|14050335339611186082</stp>
        <tr r="F193" s="2"/>
      </tp>
      <tp t="s">
        <v>#N/A N/A</v>
        <stp/>
        <stp>BDP|13563260139503907400</stp>
        <tr r="K419" s="2"/>
      </tp>
      <tp t="s">
        <v>#N/A N/A</v>
        <stp/>
        <stp>BDP|17085583529964186139</stp>
        <tr r="E76" s="2"/>
      </tp>
      <tp t="s">
        <v>#N/A N/A</v>
        <stp/>
        <stp>BDP|18379900451728885999</stp>
        <tr r="M485" s="2"/>
      </tp>
      <tp t="s">
        <v>#N/A N/A</v>
        <stp/>
        <stp>BDP|10324247845516788569</stp>
        <tr r="H334" s="2"/>
      </tp>
      <tp t="s">
        <v>#N/A N/A</v>
        <stp/>
        <stp>BDP|17279660704090320404</stp>
        <tr r="Q321" s="2"/>
      </tp>
      <tp t="s">
        <v>#N/A N/A</v>
        <stp/>
        <stp>BDP|11317723547162719522</stp>
        <tr r="R168" s="2"/>
      </tp>
      <tp t="s">
        <v>#N/A N/A</v>
        <stp/>
        <stp>BDP|14824591754769246840</stp>
        <tr r="N450" s="2"/>
      </tp>
      <tp t="s">
        <v>#N/A N/A</v>
        <stp/>
        <stp>BDP|10064807934598420631</stp>
        <tr r="F142" s="2"/>
      </tp>
      <tp t="s">
        <v>#N/A N/A</v>
        <stp/>
        <stp>BDP|11434468194179381079</stp>
        <tr r="I315" s="2"/>
      </tp>
      <tp t="s">
        <v>#N/A N/A</v>
        <stp/>
        <stp>BDP|15287001822956309419</stp>
        <tr r="I323" s="2"/>
      </tp>
      <tp t="s">
        <v>#N/A N/A</v>
        <stp/>
        <stp>BDP|15843908299932195224</stp>
        <tr r="J170" s="2"/>
      </tp>
      <tp t="s">
        <v>#N/A N/A</v>
        <stp/>
        <stp>BDP|15066070103947505732</stp>
        <tr r="O462" s="2"/>
      </tp>
      <tp t="s">
        <v>#N/A N/A</v>
        <stp/>
        <stp>BDP|14212524945630385047</stp>
        <tr r="C397" s="2"/>
      </tp>
      <tp t="s">
        <v>#N/A N/A</v>
        <stp/>
        <stp>BDP|11919983688974366181</stp>
        <tr r="J204" s="2"/>
      </tp>
      <tp t="s">
        <v>#N/A N/A</v>
        <stp/>
        <stp>BDP|17412147107844743729</stp>
        <tr r="I231" s="2"/>
      </tp>
      <tp t="s">
        <v>#N/A N/A</v>
        <stp/>
        <stp>BDP|16609245956740333452</stp>
        <tr r="J33" s="2"/>
      </tp>
      <tp t="s">
        <v>#N/A N/A</v>
        <stp/>
        <stp>BDP|16078588941640985223</stp>
        <tr r="E395" s="2"/>
      </tp>
      <tp t="s">
        <v>#N/A N/A</v>
        <stp/>
        <stp>BDP|13910220725937805149</stp>
        <tr r="D258" s="2"/>
      </tp>
      <tp t="s">
        <v>#N/A N/A</v>
        <stp/>
        <stp>BDP|16745093764115006086</stp>
        <tr r="K218" s="2"/>
      </tp>
      <tp t="s">
        <v>#N/A N/A</v>
        <stp/>
        <stp>BDP|14492578584438168446</stp>
        <tr r="N269" s="2"/>
      </tp>
      <tp t="s">
        <v>#N/A N/A</v>
        <stp/>
        <stp>BDP|13664557805346011546</stp>
        <tr r="Q335" s="2"/>
      </tp>
      <tp t="s">
        <v>#N/A N/A</v>
        <stp/>
        <stp>BDP|12177348065435019750</stp>
        <tr r="K3" s="2"/>
      </tp>
      <tp t="s">
        <v>#N/A N/A</v>
        <stp/>
        <stp>BDP|16778174894513359829</stp>
        <tr r="R232" s="2"/>
      </tp>
      <tp t="s">
        <v>#N/A N/A</v>
        <stp/>
        <stp>BDP|16272636759604893454</stp>
        <tr r="R382" s="2"/>
      </tp>
      <tp t="s">
        <v>#N/A N/A</v>
        <stp/>
        <stp>BDP|10110681638919066946</stp>
        <tr r="R333" s="2"/>
      </tp>
      <tp t="s">
        <v>#N/A N/A</v>
        <stp/>
        <stp>BDP|10540050825520496740</stp>
        <tr r="F26" s="2"/>
      </tp>
      <tp t="s">
        <v>#N/A N/A</v>
        <stp/>
        <stp>BDP|16710540160416602608</stp>
        <tr r="E122" s="2"/>
      </tp>
      <tp t="s">
        <v>#N/A N/A</v>
        <stp/>
        <stp>BDP|17013048583643227901</stp>
        <tr r="E328" s="2"/>
      </tp>
      <tp t="s">
        <v>#N/A N/A</v>
        <stp/>
        <stp>BDP|12125047093619498779</stp>
        <tr r="D199" s="2"/>
      </tp>
      <tp t="s">
        <v>#N/A N/A</v>
        <stp/>
        <stp>BDP|17778044876926788371</stp>
        <tr r="O168" s="2"/>
      </tp>
      <tp t="s">
        <v>#N/A N/A</v>
        <stp/>
        <stp>BDP|14534068513262202278</stp>
        <tr r="H439" s="2"/>
      </tp>
      <tp t="s">
        <v>#N/A N/A</v>
        <stp/>
        <stp>BDP|10606068954410340028</stp>
        <tr r="R28" s="2"/>
      </tp>
      <tp t="s">
        <v>#N/A N/A</v>
        <stp/>
        <stp>BDP|17294780409254082163</stp>
        <tr r="P131" s="2"/>
      </tp>
      <tp t="s">
        <v>#N/A N/A</v>
        <stp/>
        <stp>BDP|16979339707498084882</stp>
        <tr r="O260" s="2"/>
      </tp>
      <tp t="s">
        <v>#N/A N/A</v>
        <stp/>
        <stp>BDP|17171123818603659181</stp>
        <tr r="I179" s="2"/>
      </tp>
      <tp t="s">
        <v>#N/A N/A</v>
        <stp/>
        <stp>BDP|12990582117172372108</stp>
        <tr r="E499" s="2"/>
      </tp>
      <tp t="s">
        <v>#N/A N/A</v>
        <stp/>
        <stp>BDP|13785463341773095550</stp>
        <tr r="C313" s="2"/>
      </tp>
      <tp t="s">
        <v>#N/A N/A</v>
        <stp/>
        <stp>BDP|10284061090758493452</stp>
        <tr r="G144" s="2"/>
      </tp>
      <tp t="s">
        <v>#N/A N/A</v>
        <stp/>
        <stp>BDP|17410170064003625658</stp>
        <tr r="J55" s="2"/>
      </tp>
      <tp t="s">
        <v>#N/A N/A</v>
        <stp/>
        <stp>BDP|11565038725280574621</stp>
        <tr r="F36" s="2"/>
      </tp>
      <tp t="s">
        <v>#N/A N/A</v>
        <stp/>
        <stp>BDP|12769866327174439968</stp>
        <tr r="Q256" s="2"/>
      </tp>
      <tp t="s">
        <v>#N/A N/A</v>
        <stp/>
        <stp>BDP|14195031767397732060</stp>
        <tr r="O283" s="2"/>
      </tp>
      <tp t="s">
        <v>#N/A N/A</v>
        <stp/>
        <stp>BDP|17334736326354672349</stp>
        <tr r="H445" s="2"/>
      </tp>
      <tp t="s">
        <v>#N/A N/A</v>
        <stp/>
        <stp>BDP|12549520720990218013</stp>
        <tr r="N106" s="2"/>
      </tp>
      <tp t="s">
        <v>#N/A N/A</v>
        <stp/>
        <stp>BDP|14708321532954003534</stp>
        <tr r="R256" s="2"/>
      </tp>
      <tp t="s">
        <v>#N/A N/A</v>
        <stp/>
        <stp>BDP|15309130823575703609</stp>
        <tr r="C416" s="2"/>
      </tp>
      <tp t="s">
        <v>#N/A N/A</v>
        <stp/>
        <stp>BDP|12667055769905689480</stp>
        <tr r="L180" s="2"/>
      </tp>
      <tp t="s">
        <v>#N/A N/A</v>
        <stp/>
        <stp>BDP|15350069619969803807</stp>
        <tr r="H12" s="2"/>
      </tp>
      <tp t="s">
        <v>#N/A N/A</v>
        <stp/>
        <stp>BDP|16996176701970314285</stp>
        <tr r="H260" s="2"/>
      </tp>
      <tp t="s">
        <v>#N/A N/A</v>
        <stp/>
        <stp>BDP|17359369056937214355</stp>
        <tr r="K34" s="2"/>
      </tp>
      <tp t="s">
        <v>#N/A N/A</v>
        <stp/>
        <stp>BDP|13361753453916194204</stp>
        <tr r="M105" s="2"/>
      </tp>
      <tp t="s">
        <v>#N/A N/A</v>
        <stp/>
        <stp>BDP|15658952280151240052</stp>
        <tr r="J305" s="2"/>
      </tp>
      <tp t="s">
        <v>#N/A N/A</v>
        <stp/>
        <stp>BDP|16461376956510030516</stp>
        <tr r="J493" s="2"/>
      </tp>
      <tp t="s">
        <v>#N/A N/A</v>
        <stp/>
        <stp>BDP|12118459591379257339</stp>
        <tr r="E490" s="2"/>
      </tp>
      <tp t="s">
        <v>#N/A N/A</v>
        <stp/>
        <stp>BDP|12945036939437511322</stp>
        <tr r="M283" s="2"/>
      </tp>
      <tp t="s">
        <v>#N/A N/A</v>
        <stp/>
        <stp>BDP|17090961361834058931</stp>
        <tr r="M68" s="2"/>
      </tp>
      <tp t="s">
        <v>#N/A N/A</v>
        <stp/>
        <stp>BDP|16645049431034634425</stp>
        <tr r="I403" s="2"/>
      </tp>
      <tp t="s">
        <v>#N/A N/A</v>
        <stp/>
        <stp>BDP|14404842036849085318</stp>
        <tr r="P214" s="2"/>
      </tp>
      <tp t="s">
        <v>#N/A N/A</v>
        <stp/>
        <stp>BDP|11061744535805301553</stp>
        <tr r="P241" s="2"/>
      </tp>
      <tp t="s">
        <v>#N/A N/A</v>
        <stp/>
        <stp>BDP|14251875393935451555</stp>
        <tr r="L125" s="2"/>
      </tp>
      <tp t="s">
        <v>#N/A N/A</v>
        <stp/>
        <stp>BDP|14829954492828876906</stp>
        <tr r="F346" s="2"/>
      </tp>
      <tp t="s">
        <v>#N/A N/A</v>
        <stp/>
        <stp>BDP|12914456752467947108</stp>
        <tr r="L146" s="2"/>
      </tp>
      <tp t="s">
        <v>#N/A N/A</v>
        <stp/>
        <stp>BDP|18100987831735784286</stp>
        <tr r="E319" s="2"/>
      </tp>
      <tp t="s">
        <v>#N/A N/A</v>
        <stp/>
        <stp>BDP|13471117521801730445</stp>
        <tr r="M284" s="2"/>
      </tp>
      <tp t="s">
        <v>#N/A N/A</v>
        <stp/>
        <stp>BDP|14881523776517826432</stp>
        <tr r="D212" s="2"/>
      </tp>
      <tp t="s">
        <v>#N/A N/A</v>
        <stp/>
        <stp>BDP|17493872952427759814</stp>
        <tr r="G36" s="2"/>
      </tp>
      <tp t="s">
        <v>#N/A N/A</v>
        <stp/>
        <stp>BDP|13849152268428299905</stp>
        <tr r="P249" s="2"/>
      </tp>
      <tp t="s">
        <v>#N/A N/A</v>
        <stp/>
        <stp>BDP|10509877686935523060</stp>
        <tr r="P227" s="2"/>
      </tp>
      <tp t="s">
        <v>#N/A N/A</v>
        <stp/>
        <stp>BDP|14986091566653954486</stp>
        <tr r="J382" s="2"/>
      </tp>
      <tp t="s">
        <v>#N/A N/A</v>
        <stp/>
        <stp>BDP|16127333925042526050</stp>
        <tr r="L202" s="2"/>
      </tp>
      <tp t="s">
        <v>#N/A N/A</v>
        <stp/>
        <stp>BDP|17697827753907338837</stp>
        <tr r="G188" s="2"/>
      </tp>
      <tp t="s">
        <v>#N/A N/A</v>
        <stp/>
        <stp>BDP|15115583219203502723</stp>
        <tr r="N113" s="2"/>
      </tp>
      <tp t="s">
        <v>#N/A N/A</v>
        <stp/>
        <stp>BDP|12329815987345623244</stp>
        <tr r="L58" s="2"/>
      </tp>
      <tp t="s">
        <v>#N/A N/A</v>
        <stp/>
        <stp>BDP|17084480836867858217</stp>
        <tr r="N490" s="2"/>
      </tp>
      <tp t="s">
        <v>#N/A N/A</v>
        <stp/>
        <stp>BDP|11169364504112774535</stp>
        <tr r="G113" s="2"/>
      </tp>
      <tp t="s">
        <v>#N/A N/A</v>
        <stp/>
        <stp>BDP|17892502300585697290</stp>
        <tr r="Q337" s="2"/>
      </tp>
      <tp t="s">
        <v>#N/A N/A</v>
        <stp/>
        <stp>BDP|16470471139082545686</stp>
        <tr r="O230" s="2"/>
      </tp>
      <tp t="s">
        <v>#N/A N/A</v>
        <stp/>
        <stp>BDP|17635958039090816841</stp>
        <tr r="N286" s="2"/>
      </tp>
      <tp t="s">
        <v>#N/A N/A</v>
        <stp/>
        <stp>BDP|10182273932736743251</stp>
        <tr r="R116" s="2"/>
      </tp>
      <tp t="s">
        <v>#N/A N/A</v>
        <stp/>
        <stp>BDP|13037765835870502206</stp>
        <tr r="O304" s="2"/>
      </tp>
      <tp t="s">
        <v>#N/A N/A</v>
        <stp/>
        <stp>BDP|12520402229377852629</stp>
        <tr r="H164" s="2"/>
      </tp>
      <tp t="s">
        <v>#N/A N/A</v>
        <stp/>
        <stp>BDP|12728205442196587760</stp>
        <tr r="L187" s="2"/>
      </tp>
      <tp t="s">
        <v>#N/A N/A</v>
        <stp/>
        <stp>BDP|13580215443585105505</stp>
        <tr r="H310" s="2"/>
      </tp>
      <tp t="s">
        <v>#N/A N/A</v>
        <stp/>
        <stp>BDP|16045963592330409369</stp>
        <tr r="R225" s="2"/>
      </tp>
      <tp t="s">
        <v>#N/A N/A</v>
        <stp/>
        <stp>BDP|11180022425673631562</stp>
        <tr r="L488" s="2"/>
      </tp>
      <tp t="s">
        <v>#N/A N/A</v>
        <stp/>
        <stp>BDP|12780572483302066853</stp>
        <tr r="J60" s="2"/>
      </tp>
      <tp t="s">
        <v>#N/A N/A</v>
        <stp/>
        <stp>BDP|16379341661360854682</stp>
        <tr r="F5" s="2"/>
      </tp>
      <tp t="s">
        <v>#N/A N/A</v>
        <stp/>
        <stp>BDP|17771708650352858298</stp>
        <tr r="Q148" s="2"/>
      </tp>
      <tp t="s">
        <v>#N/A N/A</v>
        <stp/>
        <stp>BDP|13816723199009443117</stp>
        <tr r="L418" s="2"/>
      </tp>
      <tp t="s">
        <v>#N/A N/A</v>
        <stp/>
        <stp>BDP|11956279288976464844</stp>
        <tr r="E247" s="2"/>
      </tp>
      <tp t="s">
        <v>#N/A N/A</v>
        <stp/>
        <stp>BDP|12078344943933681375</stp>
        <tr r="R261" s="2"/>
      </tp>
      <tp t="s">
        <v>#N/A N/A</v>
        <stp/>
        <stp>BDP|16563086406581911242</stp>
        <tr r="Q219" s="2"/>
      </tp>
      <tp t="s">
        <v>#N/A N/A</v>
        <stp/>
        <stp>BDP|15680508426216753111</stp>
        <tr r="H132" s="2"/>
      </tp>
      <tp t="s">
        <v>#N/A N/A</v>
        <stp/>
        <stp>BDP|17403676127057142136</stp>
        <tr r="K72" s="2"/>
      </tp>
      <tp t="s">
        <v>#N/A N/A</v>
        <stp/>
        <stp>BDP|10115315913651738625</stp>
        <tr r="K32" s="2"/>
      </tp>
    </main>
    <main first="bofaddin.rtdserver">
      <tp t="s">
        <v>#N/A N/A</v>
        <stp/>
        <stp>BDP|7874601072070078</stp>
        <tr r="Q345" s="2"/>
      </tp>
      <tp t="s">
        <v>#N/A N/A</v>
        <stp/>
        <stp>BDP|5332774939517578</stp>
        <tr r="G275" s="2"/>
      </tp>
      <tp t="s">
        <v>#N/A N/A</v>
        <stp/>
        <stp>BDP|3682398233900175</stp>
        <tr r="H17" s="2"/>
      </tp>
      <tp t="s">
        <v>#N/A N/A</v>
        <stp/>
        <stp>BDP|1162176796733446</stp>
        <tr r="Q344" s="2"/>
      </tp>
      <tp>
        <v>-4.7781000137329102</v>
        <stp/>
        <stp>BDP|7006576260241030378|22</stp>
        <stp>CMCSA UW Equity</stp>
        <stp>RT_PX_CHG_PCT_1D</stp>
        <tr r="B246" s="2"/>
      </tp>
      <tp>
        <v>1.8650000095367432</v>
        <stp/>
        <stp>BDP|14374549247863394432|22</stp>
        <stp>F UN Equity</stp>
        <stp>RT_PX_CHG_PCT_1D</stp>
        <tr r="B120" s="2"/>
      </tp>
      <tp>
        <v>0.95029997825622559</v>
        <stp/>
        <stp>BDP|8537553595926006664|22</stp>
        <stp>BK UN Equity</stp>
        <stp>RT_PX_CHG_PCT_1D</stp>
        <tr r="B69" s="2"/>
      </tp>
      <tp>
        <v>3.0762999057769775</v>
        <stp/>
        <stp>BDP|6231023830056298711|22</stp>
        <stp>WY UN Equity</stp>
        <stp>RT_PX_CHG_PCT_1D</stp>
        <tr r="B234" s="2"/>
      </tp>
      <tp>
        <v>1.6058000326156616</v>
        <stp/>
        <stp>BDP|1235874221361286156|22</stp>
        <stp>IP UN Equity</stp>
        <stp>RT_PX_CHG_PCT_1D</stp>
        <tr r="B49" s="2"/>
      </tp>
      <tp>
        <v>-0.20679999887943268</v>
        <stp/>
        <stp>BDP|14850375645172857287|22</stp>
        <stp>O UN Equity</stp>
        <stp>RT_PX_CHG_PCT_1D</stp>
        <tr r="B441" s="2"/>
      </tp>
      <tp>
        <v>-7.0000000298023224E-2</v>
        <stp/>
        <stp>BDP|6632817564693713542|22</stp>
        <stp>GD UN Equity</stp>
        <stp>RT_PX_CHG_PCT_1D</stp>
        <tr r="B127" s="2"/>
      </tp>
      <tp>
        <v>-0.32109999656677246</v>
        <stp/>
        <stp>BDP|1683181905930911030|22</stp>
        <stp>PG UN Equity</stp>
        <stp>RT_PX_CHG_PCT_1D</stp>
        <tr r="B32" s="2"/>
      </tp>
      <tp>
        <v>1.2968000173568726</v>
        <stp/>
        <stp>BDP|2091284053612384193|22</stp>
        <stp>DD UN Equity</stp>
        <stp>RT_PX_CHG_PCT_1D</stp>
        <tr r="B170" s="2"/>
      </tp>
      <tp>
        <v>5.5409002304077148</v>
        <stp/>
        <stp>BDP|3435638136501949197|22</stp>
        <stp>EW UN Equity</stp>
        <stp>RT_PX_CHG_PCT_1D</stp>
        <tr r="B396" s="2"/>
      </tp>
      <tp>
        <v>-1.2711000442504883</v>
        <stp/>
        <stp>BDP|1264895309369751931|22</stp>
        <stp>KR UN Equity</stp>
        <stp>RT_PX_CHG_PCT_1D</stp>
        <tr r="B156" s="2"/>
      </tp>
      <tp>
        <v>0.36840000748634338</v>
        <stp/>
        <stp>BDP|3267220001590514024|22</stp>
        <stp>SO UN Equity</stp>
        <stp>RT_PX_CHG_PCT_1D</stp>
        <tr r="B211" s="2"/>
      </tp>
      <tp>
        <v>1.3626999855041504</v>
        <stp/>
        <stp>BDP|4987864713759220585|22</stp>
        <stp>GS UN Equity</stp>
        <stp>RT_PX_CHG_PCT_1D</stp>
        <tr r="B366" s="2"/>
      </tp>
      <tp>
        <v>-0.42070001363754272</v>
        <stp/>
        <stp>BDP|9545045936776735172|22</stp>
        <stp>MU UW Equity</stp>
        <stp>RT_PX_CHG_PCT_1D</stp>
        <tr r="B171" s="2"/>
      </tp>
      <tp>
        <v>0.27669999003410339</v>
        <stp/>
        <stp>BDP|5511229776409496316|22</stp>
        <stp>BR UN Equity</stp>
        <stp>RT_PX_CHG_PCT_1D</stp>
        <tr r="B153" s="2"/>
      </tp>
      <tp>
        <v>-1.0197999477386475</v>
        <stp/>
        <stp>BDP|6643326541677147902|22</stp>
        <stp>LH UN Equity</stp>
        <stp>RT_PX_CHG_PCT_1D</stp>
        <tr r="B232" s="2"/>
      </tp>
      <tp>
        <v>0.6031000018119812</v>
        <stp/>
        <stp>BDP|4389933873479501321|22</stp>
        <stp>HD UN Equity</stp>
        <stp>RT_PX_CHG_PCT_1D</stp>
        <tr r="B21" s="2"/>
      </tp>
      <tp>
        <v>0.43830001354217529</v>
        <stp/>
        <stp>BDP|14952955434952430831|22</stp>
        <stp>L UN Equity</stp>
        <stp>RT_PX_CHG_PCT_1D</stp>
        <tr r="B160" s="2"/>
      </tp>
      <tp>
        <v>0.92869997024536133</v>
        <stp/>
        <stp>BDP|13146331568412245066|22</stp>
        <stp>J UN Equity</stp>
        <stp>RT_PX_CHG_PCT_1D</stp>
        <tr r="B435" s="2"/>
      </tp>
      <tp>
        <v>0.72200000286102295</v>
        <stp/>
        <stp>BDP|8011577098845431096|22</stp>
        <stp>BRK/B UN Equity</stp>
        <stp>RT_PX_CHG_PCT_1D</stp>
        <tr r="B73" s="2"/>
      </tp>
      <tp>
        <v>0.10130000114440918</v>
        <stp/>
        <stp>BDP|4966519993037751067|22</stp>
        <stp>KO UN Equity</stp>
        <stp>RT_PX_CHG_PCT_1D</stp>
        <tr r="B12" s="2"/>
      </tp>
      <tp>
        <v>0.3578999936580658</v>
        <stp/>
        <stp>BDP|6044274796501258089|22</stp>
        <stp>MS UN Equity</stp>
        <stp>RT_PX_CHG_PCT_1D</stp>
        <tr r="B294" s="2"/>
      </tp>
      <tp>
        <v>4.183499813079834</v>
        <stp/>
        <stp>BDP|1620481285097422260|22</stp>
        <stp>EL UN Equity</stp>
        <stp>RT_PX_CHG_PCT_1D</stp>
        <tr r="B331" s="2"/>
      </tp>
      <tp>
        <v>0.83009999990463257</v>
        <stp/>
        <stp>BDP|4659139782733643582|22</stp>
        <stp>CI UN Equity</stp>
        <stp>RT_PX_CHG_PCT_1D</stp>
        <tr r="B43" s="2"/>
      </tp>
      <tp>
        <v>0.8375999927520752</v>
        <stp/>
        <stp>BDP|6017494927383297750|22</stp>
        <stp>MA UN Equity</stp>
        <stp>RT_PX_CHG_PCT_1D</stp>
        <tr r="B402" s="2"/>
      </tp>
      <tp>
        <v>-0.21389999985694885</v>
        <stp/>
        <stp>BDP|1633032779789506573|22</stp>
        <stp>CF UN Equity</stp>
        <stp>RT_PX_CHG_PCT_1D</stp>
        <tr r="B419" s="2"/>
      </tp>
      <tp>
        <v>-0.40759998559951782</v>
        <stp/>
        <stp>BDP|4753007686193623596|22</stp>
        <stp>WM UN Equity</stp>
        <stp>RT_PX_CHG_PCT_1D</stp>
        <tr r="B290" s="2"/>
      </tp>
      <tp>
        <v>2.0251998901367188</v>
        <stp/>
        <stp>BDP|2900867950495435053|22</stp>
        <stp>GM UN Equity</stp>
        <stp>RT_PX_CHG_PCT_1D</stp>
        <tr r="B40" s="2"/>
      </tp>
      <tp>
        <v>0.5285000205039978</v>
        <stp/>
        <stp>BDP|2537240828509110165|22</stp>
        <stp>DE UN Equity</stp>
        <stp>RT_PX_CHG_PCT_1D</stp>
        <tr r="B98" s="2"/>
      </tp>
      <tp>
        <v>0</v>
        <stp/>
        <stp>BDP|2530714321238961528|22</stp>
        <stp>VZ UN Equity</stp>
        <stp>RT_PX_CHG_PCT_1D</stp>
        <tr r="B4" s="2"/>
      </tp>
      <tp>
        <v>0.45629999041557312</v>
        <stp/>
        <stp>BDP|6710292393286161633|22</stp>
        <stp>RF UN Equity</stp>
        <stp>RT_PX_CHG_PCT_1D</stp>
        <tr r="B414" s="2"/>
      </tp>
      <tp>
        <v>-0.17630000412464142</v>
        <stp/>
        <stp>BDP|7616582253737735658|22</stp>
        <stp>DG UN Equity</stp>
        <stp>RT_PX_CHG_PCT_1D</stp>
        <tr r="B42" s="2"/>
      </tp>
      <tp>
        <v>0.71289998292922974</v>
        <stp/>
        <stp>BDP|14037925597553699840|22</stp>
        <stp>C UN Equity</stp>
        <stp>RT_PX_CHG_PCT_1D</stp>
        <tr r="B45" s="2"/>
      </tp>
      <tp>
        <v>0.14040000736713409</v>
        <stp/>
        <stp>BDP|8332619288045456426|22</stp>
        <stp>IT UN Equity</stp>
        <stp>RT_PX_CHG_PCT_1D</stp>
        <tr r="B117" s="2"/>
      </tp>
      <tp>
        <v>1.5881999731063843</v>
        <stp/>
        <stp>BDP|7875134518354601698|22</stp>
        <stp>IR UN Equity</stp>
        <stp>RT_PX_CHG_PCT_1D</stp>
        <tr r="B389" s="2"/>
      </tp>
      <tp>
        <v>3.838900089263916</v>
        <stp/>
        <stp>BDP|8383747189656340608|22</stp>
        <stp>LW UN Equity</stp>
        <stp>RT_PX_CHG_PCT_1D</stp>
        <tr r="B256" s="2"/>
      </tp>
      <tp>
        <v>0.31619998812675476</v>
        <stp/>
        <stp>BDP|3075094911378766825|22</stp>
        <stp>ES UN Equity</stp>
        <stp>RT_PX_CHG_PCT_1D</stp>
        <tr r="B179" s="2"/>
      </tp>
      <tp t="s">
        <v>#N/A N/A</v>
        <stp/>
        <stp>BDP|6419723547989216090</stp>
        <tr r="M55" s="2"/>
      </tp>
      <tp t="s">
        <v>#N/A N/A</v>
        <stp/>
        <stp>BDP|2404899464897798744</stp>
        <tr r="L18" s="2"/>
      </tp>
      <tp t="s">
        <v>#N/A N/A</v>
        <stp/>
        <stp>BDP|6717848355090941751</stp>
        <tr r="C470" s="2"/>
      </tp>
      <tp t="s">
        <v>#N/A N/A</v>
        <stp/>
        <stp>BDP|8122702773365085184</stp>
        <tr r="G141" s="2"/>
      </tp>
      <tp t="s">
        <v>#N/A N/A</v>
        <stp/>
        <stp>BDP|4043783577091639935</stp>
        <tr r="K326" s="2"/>
      </tp>
      <tp t="s">
        <v>#N/A N/A</v>
        <stp/>
        <stp>BDP|8973633118175853600</stp>
        <tr r="F322" s="2"/>
      </tp>
      <tp t="s">
        <v>#N/A N/A</v>
        <stp/>
        <stp>BDP|2674072255122963971</stp>
        <tr r="P449" s="2"/>
      </tp>
      <tp t="s">
        <v>#N/A N/A</v>
        <stp/>
        <stp>BDP|5098398483726717474</stp>
        <tr r="K439" s="2"/>
      </tp>
      <tp t="s">
        <v>#N/A N/A</v>
        <stp/>
        <stp>BDP|5030237098671307320</stp>
        <tr r="C439" s="2"/>
      </tp>
      <tp t="s">
        <v>#N/A N/A</v>
        <stp/>
        <stp>BDP|4953185492416061697</stp>
        <tr r="R68" s="2"/>
      </tp>
      <tp t="s">
        <v>#N/A N/A</v>
        <stp/>
        <stp>BDP|8925712085732417933</stp>
        <tr r="L142" s="2"/>
      </tp>
      <tp t="s">
        <v>#N/A N/A</v>
        <stp/>
        <stp>BDP|4991533562552238909</stp>
        <tr r="O240" s="2"/>
      </tp>
      <tp t="s">
        <v>#N/A N/A</v>
        <stp/>
        <stp>BDP|4347993285998139154</stp>
        <tr r="M281" s="2"/>
      </tp>
      <tp t="s">
        <v>#N/A N/A</v>
        <stp/>
        <stp>BDP|1595968055945906441</stp>
        <tr r="H488" s="2"/>
      </tp>
      <tp t="s">
        <v>#N/A N/A</v>
        <stp/>
        <stp>BDP|6012838368476804284</stp>
        <tr r="J56" s="2"/>
      </tp>
      <tp t="s">
        <v>#N/A N/A</v>
        <stp/>
        <stp>BDP|5494281608268809371</stp>
        <tr r="H133" s="2"/>
      </tp>
      <tp t="s">
        <v>#N/A N/A</v>
        <stp/>
        <stp>BDP|6861469923409713511</stp>
        <tr r="J315" s="2"/>
      </tp>
      <tp t="s">
        <v>#N/A N/A</v>
        <stp/>
        <stp>BDP|6892023747508525637</stp>
        <tr r="D422" s="2"/>
      </tp>
      <tp t="s">
        <v>#N/A N/A</v>
        <stp/>
        <stp>BDP|7613816663855611093</stp>
        <tr r="E373" s="2"/>
      </tp>
      <tp t="s">
        <v>#N/A N/A</v>
        <stp/>
        <stp>BDP|5339573497960969510</stp>
        <tr r="D373" s="2"/>
      </tp>
      <tp t="s">
        <v>#N/A N/A</v>
        <stp/>
        <stp>BDP|2474197981440444730</stp>
        <tr r="K88" s="2"/>
      </tp>
      <tp t="s">
        <v>#N/A N/A</v>
        <stp/>
        <stp>BDP|7978940553535116243</stp>
        <tr r="G35" s="2"/>
      </tp>
      <tp t="s">
        <v>#N/A N/A</v>
        <stp/>
        <stp>BDP|9124411301535919434</stp>
        <tr r="H338" s="2"/>
      </tp>
      <tp t="s">
        <v>#N/A N/A</v>
        <stp/>
        <stp>BDP|8837621605723314176</stp>
        <tr r="H433" s="2"/>
      </tp>
      <tp>
        <v>1.3617000579833984</v>
        <stp/>
        <stp>BDP|7862793475231014930|22</stp>
        <stp>NCLH UN Equity</stp>
        <stp>RT_PX_CHG_PCT_1D</stp>
        <tr r="B285" s="2"/>
      </tp>
      <tp t="s">
        <v>#N/A N/A</v>
        <stp/>
        <stp>BDP|1412325043349897357</stp>
        <tr r="K387" s="2"/>
      </tp>
      <tp t="s">
        <v>#N/A N/A</v>
        <stp/>
        <stp>BDP|7106652887874944127</stp>
        <tr r="C360" s="2"/>
      </tp>
      <tp t="s">
        <v>#N/A N/A</v>
        <stp/>
        <stp>BDP|9097143506523340793</stp>
        <tr r="N89" s="2"/>
      </tp>
      <tp t="s">
        <v>#N/A N/A</v>
        <stp/>
        <stp>BDP|6414830820911663195</stp>
        <tr r="O491" s="2"/>
      </tp>
      <tp t="s">
        <v>#N/A N/A</v>
        <stp/>
        <stp>BDP|2451393130857220976</stp>
        <tr r="L312" s="2"/>
      </tp>
      <tp t="s">
        <v>#N/A N/A</v>
        <stp/>
        <stp>BDP|6203126888574189711</stp>
        <tr r="M385" s="2"/>
      </tp>
      <tp t="s">
        <v>#N/A N/A</v>
        <stp/>
        <stp>BDP|5717396162364699820</stp>
        <tr r="F12" s="2"/>
      </tp>
      <tp t="s">
        <v>#N/A N/A</v>
        <stp/>
        <stp>BDP|7356497232435816989</stp>
        <tr r="P485" s="2"/>
      </tp>
      <tp t="s">
        <v>#N/A N/A</v>
        <stp/>
        <stp>BDP|6742981848540869776</stp>
        <tr r="L291" s="2"/>
      </tp>
      <tp t="s">
        <v>#N/A N/A</v>
        <stp/>
        <stp>BDP|6688146483914167781</stp>
        <tr r="H376" s="2"/>
      </tp>
      <tp t="s">
        <v>#N/A N/A</v>
        <stp/>
        <stp>BDP|5978845305696905797</stp>
        <tr r="M209" s="2"/>
      </tp>
      <tp t="s">
        <v>#N/A N/A</v>
        <stp/>
        <stp>BDP|5322054780108707995</stp>
        <tr r="G42" s="2"/>
      </tp>
      <tp t="s">
        <v>#N/A N/A</v>
        <stp/>
        <stp>BDP|6525735928326431923</stp>
        <tr r="J417" s="2"/>
      </tp>
      <tp t="s">
        <v>#N/A N/A</v>
        <stp/>
        <stp>BDP|2929828161394082427</stp>
        <tr r="J17" s="2"/>
      </tp>
      <tp>
        <v>1.6239000558853149</v>
        <stp/>
        <stp>BDP|2989401271169221429|22</stp>
        <stp>CARR UN Equity</stp>
        <stp>RT_PX_CHG_PCT_1D</stp>
        <tr r="B68" s="2"/>
      </tp>
      <tp t="s">
        <v>#N/A N/A</v>
        <stp/>
        <stp>BDP|8734287621902252653</stp>
        <tr r="L121" s="2"/>
      </tp>
      <tp t="s">
        <v>#N/A N/A</v>
        <stp/>
        <stp>BDP|4679616559528673318</stp>
        <tr r="R117" s="2"/>
      </tp>
      <tp t="s">
        <v>#N/A N/A</v>
        <stp/>
        <stp>BDP|3986672694555632551</stp>
        <tr r="P39" s="2"/>
      </tp>
      <tp t="s">
        <v>#N/A N/A</v>
        <stp/>
        <stp>BDP|8392606171304370187</stp>
        <tr r="H258" s="2"/>
      </tp>
      <tp t="s">
        <v>#N/A N/A</v>
        <stp/>
        <stp>BDP|6638584961479153077</stp>
        <tr r="K488" s="2"/>
      </tp>
      <tp t="s">
        <v>#N/A N/A</v>
        <stp/>
        <stp>BDP|4631983281320700912</stp>
        <tr r="K465" s="2"/>
      </tp>
      <tp t="s">
        <v>#N/A N/A</v>
        <stp/>
        <stp>BDP|7822637994846789215</stp>
        <tr r="E337" s="2"/>
      </tp>
      <tp t="s">
        <v>#N/A N/A</v>
        <stp/>
        <stp>BDP|8298191375863401130</stp>
        <tr r="E191" s="2"/>
      </tp>
      <tp t="s">
        <v>#N/A N/A</v>
        <stp/>
        <stp>BDP|9826175575423405071</stp>
        <tr r="K489" s="2"/>
      </tp>
      <tp t="s">
        <v>#N/A N/A</v>
        <stp/>
        <stp>BDP|7335722870008020386</stp>
        <tr r="I460" s="2"/>
      </tp>
      <tp t="s">
        <v>#N/A N/A</v>
        <stp/>
        <stp>BDP|9190066381154930969</stp>
        <tr r="R210" s="2"/>
      </tp>
      <tp t="s">
        <v>#N/A N/A</v>
        <stp/>
        <stp>BDP|3277893739204327083</stp>
        <tr r="R386" s="2"/>
      </tp>
      <tp t="s">
        <v>#N/A N/A</v>
        <stp/>
        <stp>BDP|8245517954412825662</stp>
        <tr r="Q489" s="2"/>
      </tp>
      <tp t="s">
        <v>#N/A N/A</v>
        <stp/>
        <stp>BDP|3307306992504919114</stp>
        <tr r="G232" s="2"/>
      </tp>
      <tp t="s">
        <v>#N/A N/A</v>
        <stp/>
        <stp>BDP|6639569735139593594</stp>
        <tr r="R325" s="2"/>
      </tp>
      <tp t="s">
        <v>#N/A N/A</v>
        <stp/>
        <stp>BDP|2652395775133380971</stp>
        <tr r="P304" s="2"/>
      </tp>
      <tp t="s">
        <v>#N/A N/A</v>
        <stp/>
        <stp>BDP|6193842402654149681</stp>
        <tr r="C357" s="2"/>
      </tp>
      <tp t="s">
        <v>#N/A N/A</v>
        <stp/>
        <stp>BDP|4267751565279898047</stp>
        <tr r="C321" s="2"/>
      </tp>
      <tp t="s">
        <v>#N/A N/A</v>
        <stp/>
        <stp>BDP|8393836160049940371</stp>
        <tr r="H497" s="2"/>
      </tp>
      <tp t="s">
        <v>#N/A N/A</v>
        <stp/>
        <stp>BDP|3150876498718898680</stp>
        <tr r="H276" s="2"/>
      </tp>
      <tp t="s">
        <v>#N/A N/A</v>
        <stp/>
        <stp>BDP|5462425905239887457</stp>
        <tr r="N299" s="2"/>
      </tp>
      <tp t="s">
        <v>#N/A N/A</v>
        <stp/>
        <stp>BDP|4206950777464801265</stp>
        <tr r="P444" s="2"/>
      </tp>
      <tp t="s">
        <v>#N/A N/A</v>
        <stp/>
        <stp>BDP|4505635729614826891</stp>
        <tr r="M441" s="2"/>
      </tp>
      <tp t="s">
        <v>#N/A N/A</v>
        <stp/>
        <stp>BDP|1137426703758737192</stp>
        <tr r="M358" s="2"/>
      </tp>
      <tp t="s">
        <v>#N/A N/A</v>
        <stp/>
        <stp>BDP|3555361091415501095</stp>
        <tr r="P375" s="2"/>
      </tp>
      <tp t="s">
        <v>#N/A N/A</v>
        <stp/>
        <stp>BDP|8952911242159046046</stp>
        <tr r="F270" s="2"/>
      </tp>
      <tp>
        <v>-2.2900000214576721E-2</v>
        <stp/>
        <stp>BDP|2803028782901565663|22</stp>
        <stp>NFLX UW Equity</stp>
        <stp>RT_PX_CHG_PCT_1D</stp>
        <tr r="B380" s="2"/>
      </tp>
      <tp t="s">
        <v>#N/A N/A</v>
        <stp/>
        <stp>BDP|6831573751963293939</stp>
        <tr r="R34" s="2"/>
      </tp>
      <tp t="s">
        <v>#N/A N/A</v>
        <stp/>
        <stp>BDP|3025289036528125604</stp>
        <tr r="Q475" s="2"/>
      </tp>
      <tp t="s">
        <v>#N/A N/A</v>
        <stp/>
        <stp>BDP|2140119453018830244</stp>
        <tr r="M109" s="2"/>
      </tp>
      <tp t="s">
        <v>#N/A N/A</v>
        <stp/>
        <stp>BDP|8808320241333310078</stp>
        <tr r="I224" s="2"/>
      </tp>
      <tp t="s">
        <v>#N/A N/A</v>
        <stp/>
        <stp>BDP|8505978780040802555</stp>
        <tr r="D54" s="2"/>
      </tp>
      <tp t="s">
        <v>#N/A N/A</v>
        <stp/>
        <stp>BDP|3661747348569412518</stp>
        <tr r="I47" s="2"/>
      </tp>
      <tp t="s">
        <v>#N/A N/A</v>
        <stp/>
        <stp>BDP|8597275066806386681</stp>
        <tr r="D174" s="2"/>
      </tp>
      <tp t="s">
        <v>#N/A N/A</v>
        <stp/>
        <stp>BDP|7423394040894232800</stp>
        <tr r="R89" s="2"/>
      </tp>
      <tp t="s">
        <v>#N/A N/A</v>
        <stp/>
        <stp>BDP|3871872473351034139</stp>
        <tr r="F281" s="2"/>
      </tp>
      <tp t="s">
        <v>#N/A N/A</v>
        <stp/>
        <stp>BDP|9360424559835170161</stp>
        <tr r="K286" s="2"/>
      </tp>
      <tp t="s">
        <v>#N/A N/A</v>
        <stp/>
        <stp>BDP|9913472542877633258</stp>
        <tr r="F366" s="2"/>
      </tp>
      <tp t="s">
        <v>#N/A N/A</v>
        <stp/>
        <stp>BDP|8325114026234915326</stp>
        <tr r="Q232" s="2"/>
      </tp>
      <tp t="s">
        <v>#N/A N/A</v>
        <stp/>
        <stp>BDP|8927619626110710069</stp>
        <tr r="K376" s="2"/>
      </tp>
      <tp t="s">
        <v>#N/A N/A</v>
        <stp/>
        <stp>BDP|6074012598071334253</stp>
        <tr r="O253" s="2"/>
      </tp>
      <tp t="s">
        <v>#N/A N/A</v>
        <stp/>
        <stp>BDP|9973152876797657433</stp>
        <tr r="N443" s="2"/>
      </tp>
      <tp t="s">
        <v>#N/A N/A</v>
        <stp/>
        <stp>BDP|8817563652964280017</stp>
        <tr r="N92" s="2"/>
      </tp>
      <tp t="s">
        <v>#N/A N/A</v>
        <stp/>
        <stp>BDP|6085427188515184346</stp>
        <tr r="I436" s="2"/>
      </tp>
      <tp t="s">
        <v>#N/A N/A</v>
        <stp/>
        <stp>BDP|9222469658610316408</stp>
        <tr r="F77" s="2"/>
      </tp>
      <tp t="s">
        <v>#N/A N/A</v>
        <stp/>
        <stp>BDP|5916264886147525432</stp>
        <tr r="K49" s="2"/>
      </tp>
      <tp t="s">
        <v>#N/A N/A</v>
        <stp/>
        <stp>BDP|6831658195953332679</stp>
        <tr r="F133" s="2"/>
      </tp>
      <tp t="s">
        <v>#N/A N/A</v>
        <stp/>
        <stp>BDP|5919702361569485106</stp>
        <tr r="P262" s="2"/>
      </tp>
      <tp t="s">
        <v>#N/A N/A</v>
        <stp/>
        <stp>BDP|7284317362237945942</stp>
        <tr r="C311" s="2"/>
      </tp>
      <tp t="s">
        <v>#N/A N/A</v>
        <stp/>
        <stp>BDP|3501296037158681615</stp>
        <tr r="M324" s="2"/>
      </tp>
      <tp t="s">
        <v>#N/A N/A</v>
        <stp/>
        <stp>BDP|4674338555228452682</stp>
        <tr r="J425" s="2"/>
      </tp>
      <tp t="s">
        <v>#N/A N/A</v>
        <stp/>
        <stp>BDP|8822066412245588052</stp>
        <tr r="O496" s="2"/>
      </tp>
      <tp t="s">
        <v>#N/A N/A</v>
        <stp/>
        <stp>BDP|6190727635259848727</stp>
        <tr r="H128" s="2"/>
      </tp>
      <tp t="s">
        <v>#N/A N/A</v>
        <stp/>
        <stp>BDP|9039880886745363011</stp>
        <tr r="P128" s="2"/>
      </tp>
      <tp t="s">
        <v>#N/A N/A</v>
        <stp/>
        <stp>BDP|7449861038437468725</stp>
        <tr r="O261" s="2"/>
      </tp>
      <tp t="s">
        <v>#N/A N/A</v>
        <stp/>
        <stp>BDP|1090551715330572999</stp>
        <tr r="M311" s="2"/>
      </tp>
      <tp t="s">
        <v>#N/A N/A</v>
        <stp/>
        <stp>BDP|1644435746995766889</stp>
        <tr r="H299" s="2"/>
      </tp>
      <tp t="s">
        <v>#N/A N/A</v>
        <stp/>
        <stp>BDP|7338989582229283376</stp>
        <tr r="G63" s="2"/>
      </tp>
      <tp t="s">
        <v>#N/A N/A</v>
        <stp/>
        <stp>BDP|9682812971229327383</stp>
        <tr r="H76" s="2"/>
      </tp>
      <tp t="s">
        <v>#N/A N/A</v>
        <stp/>
        <stp>BDP|3832321676858650374</stp>
        <tr r="P221" s="2"/>
      </tp>
      <tp t="s">
        <v>#N/A N/A</v>
        <stp/>
        <stp>BDP|8174195444477391625</stp>
        <tr r="J300" s="2"/>
      </tp>
      <tp t="s">
        <v>#N/A N/A</v>
        <stp/>
        <stp>BDP|8986195918341156541</stp>
        <tr r="O152" s="2"/>
      </tp>
      <tp t="s">
        <v>#N/A N/A</v>
        <stp/>
        <stp>BDP|8580510745024517195</stp>
        <tr r="I218" s="2"/>
      </tp>
      <tp t="s">
        <v>#N/A N/A</v>
        <stp/>
        <stp>BDP|8364886322966691820</stp>
        <tr r="P361" s="2"/>
      </tp>
      <tp t="s">
        <v>#N/A N/A</v>
        <stp/>
        <stp>BDP|8931967655171652910</stp>
        <tr r="J310" s="2"/>
      </tp>
      <tp t="s">
        <v>#N/A N/A</v>
        <stp/>
        <stp>BDP|6127910524752093399</stp>
        <tr r="H450" s="2"/>
      </tp>
      <tp t="s">
        <v>#N/A N/A</v>
        <stp/>
        <stp>BDP|4528293955447316873</stp>
        <tr r="R420" s="2"/>
      </tp>
      <tp t="s">
        <v>#N/A N/A</v>
        <stp/>
        <stp>BDP|9616891542638758174</stp>
        <tr r="P260" s="2"/>
      </tp>
      <tp t="s">
        <v>#N/A N/A</v>
        <stp/>
        <stp>BDP|1585637884896455549</stp>
        <tr r="R128" s="2"/>
      </tp>
      <tp t="s">
        <v>#N/A N/A</v>
        <stp/>
        <stp>BDP|1004700412933750877</stp>
        <tr r="J167" s="2"/>
      </tp>
      <tp t="s">
        <v>#N/A N/A</v>
        <stp/>
        <stp>BDP|5151747486663806599</stp>
        <tr r="P56" s="2"/>
      </tp>
      <tp t="s">
        <v>#N/A N/A</v>
        <stp/>
        <stp>BDP|2015038060928447059</stp>
        <tr r="R334" s="2"/>
      </tp>
      <tp t="s">
        <v>#N/A N/A</v>
        <stp/>
        <stp>BDP|9498746008065830721</stp>
        <tr r="H444" s="2"/>
      </tp>
      <tp t="s">
        <v>#N/A N/A</v>
        <stp/>
        <stp>BDP|9070995745721888961</stp>
        <tr r="L281" s="2"/>
      </tp>
      <tp t="s">
        <v>#N/A N/A</v>
        <stp/>
        <stp>BDP|9588405476526817095</stp>
        <tr r="D353" s="2"/>
      </tp>
      <tp t="s">
        <v>#N/A N/A</v>
        <stp/>
        <stp>BDP|2689320156661119911</stp>
        <tr r="C181" s="2"/>
      </tp>
      <tp t="s">
        <v>#N/A N/A</v>
        <stp/>
        <stp>BDP|1234524146119765531</stp>
        <tr r="I74" s="2"/>
      </tp>
      <tp t="s">
        <v>#N/A N/A</v>
        <stp/>
        <stp>BDP|3521050302858736778</stp>
        <tr r="K70" s="2"/>
      </tp>
      <tp t="s">
        <v>#N/A N/A</v>
        <stp/>
        <stp>BDP|9639049913976645256</stp>
        <tr r="M182" s="2"/>
      </tp>
      <tp t="s">
        <v>#N/A N/A</v>
        <stp/>
        <stp>BDP|3802762449724652830</stp>
        <tr r="D220" s="2"/>
      </tp>
      <tp t="s">
        <v>#N/A N/A</v>
        <stp/>
        <stp>BDP|9710934120769147776</stp>
        <tr r="N498" s="2"/>
      </tp>
      <tp t="s">
        <v>#N/A N/A</v>
        <stp/>
        <stp>BDP|9459930681905655129</stp>
        <tr r="J440" s="2"/>
      </tp>
      <tp t="s">
        <v>#N/A N/A</v>
        <stp/>
        <stp>BDP|9736656030500271025</stp>
        <tr r="J94" s="2"/>
      </tp>
      <tp t="s">
        <v>#N/A N/A</v>
        <stp/>
        <stp>BDP|7717361364666310845</stp>
        <tr r="M430" s="2"/>
      </tp>
      <tp t="s">
        <v>#N/A N/A</v>
        <stp/>
        <stp>BDP|8681042120795599351</stp>
        <tr r="G465" s="2"/>
      </tp>
      <tp t="s">
        <v>#N/A N/A</v>
        <stp/>
        <stp>BDP|4599670822415202908</stp>
        <tr r="M92" s="2"/>
      </tp>
      <tp t="s">
        <v>#N/A N/A</v>
        <stp/>
        <stp>BDP|4197378298711977354</stp>
        <tr r="D311" s="2"/>
      </tp>
      <tp t="s">
        <v>#N/A N/A</v>
        <stp/>
        <stp>BDP|4561979397749742108</stp>
        <tr r="L259" s="2"/>
      </tp>
      <tp t="s">
        <v>#N/A N/A</v>
        <stp/>
        <stp>BDP|6901043983201820347</stp>
        <tr r="N423" s="2"/>
      </tp>
      <tp t="s">
        <v>#N/A N/A</v>
        <stp/>
        <stp>BDP|3199428035341429907</stp>
        <tr r="N191" s="2"/>
      </tp>
      <tp t="s">
        <v>#N/A N/A</v>
        <stp/>
        <stp>BDP|7245742083454640011</stp>
        <tr r="G198" s="2"/>
      </tp>
      <tp t="s">
        <v>#N/A N/A</v>
        <stp/>
        <stp>BDP|8135489915837951670</stp>
        <tr r="M28" s="2"/>
      </tp>
      <tp t="s">
        <v>#N/A N/A</v>
        <stp/>
        <stp>BDP|4137866453233256644</stp>
        <tr r="J200" s="2"/>
      </tp>
      <tp t="s">
        <v>#N/A N/A</v>
        <stp/>
        <stp>BDP|4353614027009175560</stp>
        <tr r="G319" s="2"/>
      </tp>
      <tp t="s">
        <v>#N/A N/A</v>
        <stp/>
        <stp>BDP|7222750143758605003</stp>
        <tr r="C53" s="2"/>
      </tp>
      <tp t="s">
        <v>#N/A N/A</v>
        <stp/>
        <stp>BDP|8886896493910466558</stp>
        <tr r="R421" s="2"/>
      </tp>
      <tp t="s">
        <v>#N/A N/A</v>
        <stp/>
        <stp>BDP|3632280887085981032</stp>
        <tr r="E46" s="2"/>
      </tp>
      <tp t="s">
        <v>#N/A N/A</v>
        <stp/>
        <stp>BDP|9408914092814635126</stp>
        <tr r="Q76" s="2"/>
      </tp>
      <tp t="s">
        <v>#N/A N/A</v>
        <stp/>
        <stp>BDP|8368423966870403607</stp>
        <tr r="N151" s="2"/>
      </tp>
      <tp t="s">
        <v>#N/A N/A</v>
        <stp/>
        <stp>BDP|3448722359828979553</stp>
        <tr r="E332" s="2"/>
      </tp>
      <tp t="s">
        <v>#N/A N/A</v>
        <stp/>
        <stp>BDP|8281252720366714235</stp>
        <tr r="N251" s="2"/>
      </tp>
      <tp t="s">
        <v>#N/A N/A</v>
        <stp/>
        <stp>BDP|6579515816829761763</stp>
        <tr r="H414" s="2"/>
      </tp>
      <tp t="s">
        <v>#N/A N/A</v>
        <stp/>
        <stp>BDP|7080846473177181358</stp>
        <tr r="K499" s="2"/>
      </tp>
      <tp t="s">
        <v>#N/A N/A</v>
        <stp/>
        <stp>BDP|8188031450712276336</stp>
        <tr r="J102" s="2"/>
      </tp>
      <tp t="s">
        <v>#N/A N/A</v>
        <stp/>
        <stp>BDP|9579947803139997586</stp>
        <tr r="I45" s="2"/>
      </tp>
      <tp t="s">
        <v>#N/A N/A</v>
        <stp/>
        <stp>BDP|1311017742029496071</stp>
        <tr r="K259" s="2"/>
      </tp>
      <tp t="s">
        <v>#N/A N/A</v>
        <stp/>
        <stp>BDP|8742362229642977729</stp>
        <tr r="J123" s="2"/>
      </tp>
      <tp t="s">
        <v>#N/A N/A</v>
        <stp/>
        <stp>BDP|5803432851829927106</stp>
        <tr r="L239" s="2"/>
      </tp>
      <tp t="s">
        <v>#N/A N/A</v>
        <stp/>
        <stp>BDP|4807947732306515485</stp>
        <tr r="H384" s="2"/>
      </tp>
      <tp t="s">
        <v>#N/A N/A</v>
        <stp/>
        <stp>BDP|4544752115338650602</stp>
        <tr r="E296" s="2"/>
      </tp>
      <tp t="s">
        <v>#N/A N/A</v>
        <stp/>
        <stp>BDP|6901000197672535187</stp>
        <tr r="J54" s="2"/>
      </tp>
      <tp t="s">
        <v>#N/A N/A</v>
        <stp/>
        <stp>BDP|7138805011441213311</stp>
        <tr r="N501" s="2"/>
      </tp>
      <tp t="s">
        <v>#N/A N/A</v>
        <stp/>
        <stp>BDP|6773266883333650375</stp>
        <tr r="C133" s="2"/>
      </tp>
      <tp t="s">
        <v>#N/A N/A</v>
        <stp/>
        <stp>BDP|9193131660915855793</stp>
        <tr r="P370" s="2"/>
      </tp>
      <tp t="s">
        <v>#N/A N/A</v>
        <stp/>
        <stp>BDP|7181663373019439301</stp>
        <tr r="C348" s="2"/>
      </tp>
      <tp t="s">
        <v>#N/A N/A</v>
        <stp/>
        <stp>BDP|9642465831996678477</stp>
        <tr r="D396" s="2"/>
      </tp>
      <tp t="s">
        <v>#N/A N/A</v>
        <stp/>
        <stp>BDP|5664774691947564056</stp>
        <tr r="E249" s="2"/>
      </tp>
      <tp t="s">
        <v>#N/A N/A</v>
        <stp/>
        <stp>BDP|2359961022222151769</stp>
        <tr r="F255" s="2"/>
      </tp>
      <tp t="s">
        <v>#N/A N/A</v>
        <stp/>
        <stp>BDP|8485023967446422457</stp>
        <tr r="G143" s="2"/>
      </tp>
      <tp t="s">
        <v>#N/A N/A</v>
        <stp/>
        <stp>BDP|8347464310427783623</stp>
        <tr r="P167" s="2"/>
      </tp>
      <tp t="s">
        <v>#N/A N/A</v>
        <stp/>
        <stp>BDP|5011543092862067763</stp>
        <tr r="K317" s="2"/>
      </tp>
      <tp t="s">
        <v>#N/A N/A</v>
        <stp/>
        <stp>BDP|4589887742774908067</stp>
        <tr r="L46" s="2"/>
      </tp>
      <tp t="s">
        <v>#N/A N/A</v>
        <stp/>
        <stp>BDP|1346105282612311628</stp>
        <tr r="P436" s="2"/>
      </tp>
      <tp t="s">
        <v>#N/A N/A</v>
        <stp/>
        <stp>BDP|4519867142737468359</stp>
        <tr r="R119" s="2"/>
      </tp>
      <tp t="s">
        <v>#N/A N/A</v>
        <stp/>
        <stp>BDP|9240534914781705026</stp>
        <tr r="I447" s="2"/>
      </tp>
      <tp t="s">
        <v>#N/A N/A</v>
        <stp/>
        <stp>BDP|2753084075600352993</stp>
        <tr r="O393" s="2"/>
      </tp>
      <tp t="s">
        <v>#N/A N/A</v>
        <stp/>
        <stp>BDP|6993291261929427753</stp>
        <tr r="Q12" s="2"/>
      </tp>
      <tp t="s">
        <v>#N/A N/A</v>
        <stp/>
        <stp>BDP|5497629964718328115</stp>
        <tr r="D40" s="2"/>
      </tp>
      <tp t="s">
        <v>#N/A N/A</v>
        <stp/>
        <stp>BDP|5961576759819220059</stp>
        <tr r="M42" s="2"/>
      </tp>
      <tp t="s">
        <v>#N/A N/A</v>
        <stp/>
        <stp>BDP|7208334744388605434</stp>
        <tr r="E323" s="2"/>
      </tp>
      <tp t="s">
        <v>#N/A N/A</v>
        <stp/>
        <stp>BDP|7501456683665217214</stp>
        <tr r="F108" s="2"/>
      </tp>
      <tp t="s">
        <v>#N/A N/A</v>
        <stp/>
        <stp>BDP|7063860814031039321</stp>
        <tr r="J100" s="2"/>
      </tp>
      <tp t="s">
        <v>#N/A N/A</v>
        <stp/>
        <stp>BDP|8409378362189090814</stp>
        <tr r="O15" s="2"/>
      </tp>
      <tp t="s">
        <v>#N/A N/A</v>
        <stp/>
        <stp>BDP|2348605683244270420</stp>
        <tr r="P228" s="2"/>
      </tp>
      <tp t="s">
        <v>#N/A N/A</v>
        <stp/>
        <stp>BDP|3946396576013606805</stp>
        <tr r="M287" s="2"/>
      </tp>
      <tp t="s">
        <v>#N/A N/A</v>
        <stp/>
        <stp>BDP|2475951373724602446</stp>
        <tr r="P71" s="2"/>
      </tp>
      <tp t="s">
        <v>#N/A N/A</v>
        <stp/>
        <stp>BDP|1371464631533287968</stp>
        <tr r="D158" s="2"/>
      </tp>
      <tp t="s">
        <v>#N/A N/A</v>
        <stp/>
        <stp>BDP|4192591598435788172</stp>
        <tr r="M98" s="2"/>
      </tp>
      <tp t="s">
        <v>#N/A N/A</v>
        <stp/>
        <stp>BDP|5932095811041025912</stp>
        <tr r="M75" s="2"/>
      </tp>
      <tp t="s">
        <v>#N/A N/A</v>
        <stp/>
        <stp>BDP|1301548877447144803</stp>
        <tr r="D194" s="2"/>
      </tp>
      <tp t="s">
        <v>#N/A N/A</v>
        <stp/>
        <stp>BDP|4873560636417899916</stp>
        <tr r="D101" s="2"/>
      </tp>
      <tp t="s">
        <v>#N/A N/A</v>
        <stp/>
        <stp>BDP|9244042254813434372</stp>
        <tr r="P318" s="2"/>
      </tp>
      <tp t="s">
        <v>#N/A N/A</v>
        <stp/>
        <stp>BDP|2216560542489435639</stp>
        <tr r="J317" s="2"/>
      </tp>
      <tp t="s">
        <v>#N/A N/A</v>
        <stp/>
        <stp>BDP|8704928394444505052</stp>
        <tr r="L367" s="2"/>
      </tp>
      <tp t="s">
        <v>#N/A N/A</v>
        <stp/>
        <stp>BDP|5530140216150427921</stp>
        <tr r="O249" s="2"/>
      </tp>
      <tp t="s">
        <v>#N/A N/A</v>
        <stp/>
        <stp>BDP|6268804722278430851</stp>
        <tr r="D131" s="2"/>
      </tp>
      <tp t="s">
        <v>#N/A N/A</v>
        <stp/>
        <stp>BDP|4260445602084156843</stp>
        <tr r="E390" s="2"/>
      </tp>
      <tp t="s">
        <v>#N/A N/A</v>
        <stp/>
        <stp>BDP|9839393315513573407</stp>
        <tr r="P396" s="2"/>
      </tp>
      <tp t="s">
        <v>#N/A N/A</v>
        <stp/>
        <stp>BDP|3196969430081134474</stp>
        <tr r="R152" s="2"/>
      </tp>
      <tp t="s">
        <v>#N/A N/A</v>
        <stp/>
        <stp>BDP|7789518103179506716</stp>
        <tr r="D453" s="2"/>
      </tp>
      <tp t="s">
        <v>#N/A N/A</v>
        <stp/>
        <stp>BDP|6168999769096674311</stp>
        <tr r="M73" s="2"/>
      </tp>
      <tp t="s">
        <v>#N/A N/A</v>
        <stp/>
        <stp>BDP|2935902554573863139</stp>
        <tr r="R335" s="2"/>
      </tp>
      <tp t="s">
        <v>#N/A N/A</v>
        <stp/>
        <stp>BDP|8097296749203260140</stp>
        <tr r="R484" s="2"/>
      </tp>
      <tp t="s">
        <v>#N/A N/A</v>
        <stp/>
        <stp>BDP|8169551666853634426</stp>
        <tr r="E463" s="2"/>
      </tp>
      <tp t="s">
        <v>#N/A N/A</v>
        <stp/>
        <stp>BDP|7821518453458551394</stp>
        <tr r="H284" s="2"/>
      </tp>
      <tp t="s">
        <v>#N/A N/A</v>
        <stp/>
        <stp>BDP|2044350135318416629</stp>
        <tr r="I89" s="2"/>
      </tp>
      <tp t="s">
        <v>#N/A N/A</v>
        <stp/>
        <stp>BDP|8666016841425581553</stp>
        <tr r="I28" s="2"/>
      </tp>
      <tp t="s">
        <v>#N/A N/A</v>
        <stp/>
        <stp>BDP|2284250952369628058</stp>
        <tr r="C18" s="2"/>
      </tp>
      <tp t="s">
        <v>#N/A N/A</v>
        <stp/>
        <stp>BDP|5143424934179098718</stp>
        <tr r="R24" s="2"/>
      </tp>
      <tp t="s">
        <v>#N/A N/A</v>
        <stp/>
        <stp>BDP|4182580169533380855</stp>
        <tr r="M185" s="2"/>
      </tp>
      <tp t="s">
        <v>#N/A N/A</v>
        <stp/>
        <stp>BDP|2616014442689742347</stp>
        <tr r="G167" s="2"/>
      </tp>
      <tp t="s">
        <v>#N/A N/A</v>
        <stp/>
        <stp>BDP|7888175186336988463</stp>
        <tr r="P460" s="2"/>
      </tp>
      <tp t="s">
        <v>#N/A N/A</v>
        <stp/>
        <stp>BDP|9017583378352627507</stp>
        <tr r="D246" s="2"/>
      </tp>
      <tp t="s">
        <v>#N/A N/A</v>
        <stp/>
        <stp>BDP|6099838101046135456</stp>
        <tr r="E14" s="2"/>
      </tp>
      <tp t="s">
        <v>#N/A N/A</v>
        <stp/>
        <stp>BDP|7336046996197372545</stp>
        <tr r="F87" s="2"/>
      </tp>
      <tp t="s">
        <v>#N/A N/A</v>
        <stp/>
        <stp>BDP|4189051163479626766</stp>
        <tr r="K215" s="2"/>
      </tp>
      <tp t="s">
        <v>#N/A N/A</v>
        <stp/>
        <stp>BDP|5978289090460474224</stp>
        <tr r="R25" s="2"/>
      </tp>
      <tp t="s">
        <v>#N/A N/A</v>
        <stp/>
        <stp>BDP|7800448526474810955</stp>
        <tr r="H426" s="2"/>
      </tp>
      <tp t="s">
        <v>#N/A N/A</v>
        <stp/>
        <stp>BDP|9866087555093129338</stp>
        <tr r="O258" s="2"/>
      </tp>
      <tp t="s">
        <v>#N/A N/A</v>
        <stp/>
        <stp>BDP|8250459633717173421</stp>
        <tr r="J314" s="2"/>
      </tp>
      <tp t="s">
        <v>#N/A N/A</v>
        <stp/>
        <stp>BDP|6848223090634954549</stp>
        <tr r="E49" s="2"/>
      </tp>
      <tp t="s">
        <v>#N/A N/A</v>
        <stp/>
        <stp>BDP|2009413830509619008</stp>
        <tr r="F48" s="2"/>
      </tp>
      <tp t="s">
        <v>#N/A N/A</v>
        <stp/>
        <stp>BDP|3016930514310843787</stp>
        <tr r="D156" s="2"/>
      </tp>
      <tp t="s">
        <v>#N/A N/A</v>
        <stp/>
        <stp>BDP|9087413585921173822</stp>
        <tr r="E192" s="2"/>
      </tp>
      <tp t="s">
        <v>#N/A N/A</v>
        <stp/>
        <stp>BDP|4739446728577473981</stp>
        <tr r="D173" s="2"/>
      </tp>
      <tp t="s">
        <v>#N/A N/A</v>
        <stp/>
        <stp>BDP|8934307062107902668</stp>
        <tr r="I412" s="2"/>
      </tp>
      <tp t="s">
        <v>#N/A N/A</v>
        <stp/>
        <stp>BDP|7616329240545670966</stp>
        <tr r="I280" s="2"/>
      </tp>
      <tp t="s">
        <v>#N/A N/A</v>
        <stp/>
        <stp>BDP|2077764213010151809</stp>
        <tr r="I470" s="2"/>
      </tp>
      <tp t="s">
        <v>#N/A N/A</v>
        <stp/>
        <stp>BDP|9306330114823343433</stp>
        <tr r="G367" s="2"/>
      </tp>
      <tp t="s">
        <v>#N/A N/A</v>
        <stp/>
        <stp>BDP|4827191785676884783</stp>
        <tr r="F414" s="2"/>
      </tp>
      <tp t="s">
        <v>#N/A N/A</v>
        <stp/>
        <stp>BDP|5975981372105538225</stp>
        <tr r="C169" s="2"/>
      </tp>
      <tp t="s">
        <v>#N/A N/A</v>
        <stp/>
        <stp>BDP|1383499294824824428</stp>
        <tr r="G242" s="2"/>
      </tp>
      <tp t="s">
        <v>#N/A N/A</v>
        <stp/>
        <stp>BDP|9536723424803422339</stp>
        <tr r="L351" s="2"/>
      </tp>
      <tp t="s">
        <v>#N/A N/A</v>
        <stp/>
        <stp>BDP|1103450390202543255</stp>
        <tr r="L379" s="2"/>
      </tp>
      <tp t="s">
        <v>#N/A N/A</v>
        <stp/>
        <stp>BDP|9830607768470329571</stp>
        <tr r="C401" s="2"/>
      </tp>
      <tp t="s">
        <v>#N/A N/A</v>
        <stp/>
        <stp>BDP|3313929287526295806</stp>
        <tr r="H405" s="2"/>
      </tp>
      <tp t="s">
        <v>#N/A N/A</v>
        <stp/>
        <stp>BDP|5042303821481149945</stp>
        <tr r="J260" s="2"/>
      </tp>
      <tp t="s">
        <v>#N/A N/A</v>
        <stp/>
        <stp>BDP|7265946696359770231</stp>
        <tr r="E130" s="2"/>
      </tp>
      <tp t="s">
        <v>#N/A N/A</v>
        <stp/>
        <stp>BDP|7026843054797591119</stp>
        <tr r="H272" s="2"/>
      </tp>
      <tp t="s">
        <v>#N/A N/A</v>
        <stp/>
        <stp>BDP|8643179040697756637</stp>
        <tr r="R13" s="2"/>
      </tp>
      <tp t="s">
        <v>#N/A N/A</v>
        <stp/>
        <stp>BDP|7112948738228073984</stp>
        <tr r="L352" s="2"/>
      </tp>
      <tp t="s">
        <v>#N/A N/A</v>
        <stp/>
        <stp>BDP|4038485725027987916</stp>
        <tr r="C72" s="2"/>
      </tp>
      <tp t="s">
        <v>#N/A N/A</v>
        <stp/>
        <stp>BDP|8234934089592880757</stp>
        <tr r="J309" s="2"/>
      </tp>
      <tp t="s">
        <v>#N/A N/A</v>
        <stp/>
        <stp>BDP|2725253037766214929</stp>
        <tr r="M65" s="2"/>
      </tp>
      <tp t="s">
        <v>#N/A N/A</v>
        <stp/>
        <stp>BDP|4164778249873279881</stp>
        <tr r="J355" s="2"/>
      </tp>
      <tp t="s">
        <v>#N/A N/A</v>
        <stp/>
        <stp>BDP|6179720791554653017</stp>
        <tr r="J435" s="2"/>
      </tp>
      <tp t="s">
        <v>#N/A N/A</v>
        <stp/>
        <stp>BDP|4428769756199982380</stp>
        <tr r="N102" s="2"/>
      </tp>
      <tp t="s">
        <v>#N/A N/A</v>
        <stp/>
        <stp>BDP|1131248066841645805</stp>
        <tr r="J242" s="2"/>
      </tp>
      <tp t="s">
        <v>#N/A N/A</v>
        <stp/>
        <stp>BDP|3003615849528428590</stp>
        <tr r="I260" s="2"/>
      </tp>
      <tp t="s">
        <v>#N/A N/A</v>
        <stp/>
        <stp>BDP|5362630381061255661</stp>
        <tr r="G288" s="2"/>
      </tp>
      <tp t="s">
        <v>#N/A N/A</v>
        <stp/>
        <stp>BDP|3649005022248152504</stp>
        <tr r="F492" s="2"/>
      </tp>
      <tp t="s">
        <v>#N/A N/A</v>
        <stp/>
        <stp>BDP|4134919691390623829</stp>
        <tr r="K497" s="2"/>
      </tp>
      <tp t="s">
        <v>#N/A N/A</v>
        <stp/>
        <stp>BDP|1309198109629730518</stp>
        <tr r="C460" s="2"/>
      </tp>
      <tp t="s">
        <v>#N/A N/A</v>
        <stp/>
        <stp>BDP|8565024871607759445</stp>
        <tr r="L169" s="2"/>
      </tp>
      <tp t="s">
        <v>#N/A N/A</v>
        <stp/>
        <stp>BDP|5572610382611169623</stp>
        <tr r="F272" s="2"/>
      </tp>
      <tp>
        <v>-3.229999914765358E-2</v>
        <stp/>
        <stp>BDP|11780969686450131749|22</stp>
        <stp>SHW UN Equity</stp>
        <stp>RT_PX_CHG_PCT_1D</stp>
        <tr r="B205" s="2"/>
      </tp>
      <tp>
        <v>-0.35199999809265137</v>
        <stp/>
        <stp>BDP|16289027153686601476|22</stp>
        <stp>XOM UN Equity</stp>
        <stp>RT_PX_CHG_PCT_1D</stp>
        <tr r="B17" s="2"/>
      </tp>
      <tp>
        <v>-0.15029999613761902</v>
        <stp/>
        <stp>BDP|12471715406298765779|22</stp>
        <stp>LUV UN Equity</stp>
        <stp>RT_PX_CHG_PCT_1D</stp>
        <tr r="B213" s="2"/>
      </tp>
      <tp>
        <v>-0.64609998464584351</v>
        <stp/>
        <stp>BDP|16294947637979314009|22</stp>
        <stp>GLW UN Equity</stp>
        <stp>RT_PX_CHG_PCT_1D</stp>
        <tr r="B91" s="2"/>
      </tp>
      <tp>
        <v>0.82840001583099365</v>
        <stp/>
        <stp>BDP|16293473282784634981|22</stp>
        <stp>DRI UN Equity</stp>
        <stp>RT_PX_CHG_PCT_1D</stp>
        <tr r="B322" s="2"/>
      </tp>
      <tp>
        <v>-0.10689999908208847</v>
        <stp/>
        <stp>BDP|10294671767356427006|22</stp>
        <stp>HON UW Equity</stp>
        <stp>RT_PX_CHG_PCT_1D</stp>
        <tr r="B468" s="2"/>
      </tp>
      <tp>
        <v>0.54970002174377441</v>
        <stp/>
        <stp>BDP|17189480793297753390|22</stp>
        <stp>LOW UN Equity</stp>
        <stp>RT_PX_CHG_PCT_1D</stp>
        <tr r="B161" s="2"/>
      </tp>
      <tp>
        <v>0.66829997301101685</v>
        <stp/>
        <stp>BDP|18001112952989715253|22</stp>
        <stp>NI UN Equity</stp>
        <stp>RT_PX_CHG_PCT_1D</stp>
        <tr r="B176" s="2"/>
      </tp>
      <tp>
        <v>-3.0631999969482422</v>
        <stp/>
        <stp>BDP|7739129969127049276|22</stp>
        <stp>ERIE UW Equity</stp>
        <stp>RT_PX_CHG_PCT_1D</stp>
        <tr r="B263" s="2"/>
      </tp>
      <tp>
        <v>0.98629999160766602</v>
        <stp/>
        <stp>BDP|5282665341407171008|22</stp>
        <stp>NTRS UW Equity</stp>
        <stp>RT_PX_CHG_PCT_1D</stp>
        <tr r="B274" s="2"/>
      </tp>
      <tp t="s">
        <v>#N/A N/A</v>
        <stp/>
        <stp>BDP|2305645192320761089</stp>
        <tr r="C231" s="2"/>
      </tp>
      <tp t="s">
        <v>#N/A N/A</v>
        <stp/>
        <stp>BDP|8702599656087329214</stp>
        <tr r="P397" s="2"/>
      </tp>
      <tp t="s">
        <v>#N/A N/A</v>
        <stp/>
        <stp>BDP|7276130161024904939</stp>
        <tr r="R310" s="2"/>
      </tp>
      <tp t="s">
        <v>#N/A N/A</v>
        <stp/>
        <stp>BDP|1345882070555224632</stp>
        <tr r="F350" s="2"/>
      </tp>
      <tp t="s">
        <v>#N/A N/A</v>
        <stp/>
        <stp>BDP|4696358210258125382</stp>
        <tr r="P251" s="2"/>
      </tp>
      <tp t="s">
        <v>#N/A N/A</v>
        <stp/>
        <stp>BDP|1378767635149303192</stp>
        <tr r="O302" s="2"/>
      </tp>
      <tp t="s">
        <v>#N/A N/A</v>
        <stp/>
        <stp>BDP|1201504185722913340</stp>
        <tr r="J78" s="2"/>
      </tp>
      <tp t="s">
        <v>#N/A N/A</v>
        <stp/>
        <stp>BDP|4589778289900122609</stp>
        <tr r="H419" s="2"/>
      </tp>
      <tp t="s">
        <v>#N/A N/A</v>
        <stp/>
        <stp>BDP|8289834048338291114</stp>
        <tr r="D176" s="2"/>
      </tp>
      <tp t="s">
        <v>#N/A N/A</v>
        <stp/>
        <stp>BDP|5672879118332233319</stp>
        <tr r="R57" s="2"/>
      </tp>
      <tp t="s">
        <v>#N/A N/A</v>
        <stp/>
        <stp>BDP|8991043746345175408</stp>
        <tr r="K389" s="2"/>
      </tp>
      <tp t="s">
        <v>#N/A N/A</v>
        <stp/>
        <stp>BDP|8464691149902985570</stp>
        <tr r="F15" s="2"/>
      </tp>
      <tp t="s">
        <v>#N/A N/A</v>
        <stp/>
        <stp>BDP|5433676688505707366</stp>
        <tr r="N217" s="2"/>
      </tp>
      <tp t="s">
        <v>#N/A N/A</v>
        <stp/>
        <stp>BDP|2095092773650888883</stp>
        <tr r="L298" s="2"/>
      </tp>
      <tp t="s">
        <v>#N/A N/A</v>
        <stp/>
        <stp>BDP|8196248609981322643</stp>
        <tr r="F305" s="2"/>
      </tp>
      <tp t="s">
        <v>#N/A N/A</v>
        <stp/>
        <stp>BDP|2645062028185079838</stp>
        <tr r="R93" s="2"/>
      </tp>
      <tp t="s">
        <v>#N/A N/A</v>
        <stp/>
        <stp>BDP|9241601011576183590</stp>
        <tr r="G320" s="2"/>
      </tp>
      <tp t="s">
        <v>#N/A N/A</v>
        <stp/>
        <stp>BDP|5507450481290390493</stp>
        <tr r="N28" s="2"/>
      </tp>
      <tp t="s">
        <v>#N/A N/A</v>
        <stp/>
        <stp>BDP|4671147930558071399</stp>
        <tr r="C342" s="2"/>
      </tp>
      <tp t="s">
        <v>#N/A N/A</v>
        <stp/>
        <stp>BDP|3938741011301139963</stp>
        <tr r="H224" s="2"/>
      </tp>
      <tp t="s">
        <v>#N/A N/A</v>
        <stp/>
        <stp>BDP|3745227564582947833</stp>
        <tr r="I166" s="2"/>
      </tp>
      <tp t="s">
        <v>#N/A N/A</v>
        <stp/>
        <stp>BDP|4562875080100114983</stp>
        <tr r="M309" s="2"/>
      </tp>
      <tp t="s">
        <v>#N/A N/A</v>
        <stp/>
        <stp>BDP|7365917200086038592</stp>
        <tr r="M417" s="2"/>
      </tp>
      <tp t="s">
        <v>#N/A N/A</v>
        <stp/>
        <stp>BDP|9304551778161376764</stp>
        <tr r="P328" s="2"/>
      </tp>
      <tp t="s">
        <v>#N/A N/A</v>
        <stp/>
        <stp>BDP|5980339185792273163</stp>
        <tr r="M122" s="2"/>
      </tp>
      <tp t="s">
        <v>#N/A N/A</v>
        <stp/>
        <stp>BDP|7980394585928993978</stp>
        <tr r="K233" s="2"/>
      </tp>
      <tp t="s">
        <v>#N/A N/A</v>
        <stp/>
        <stp>BDP|8182466067914250396</stp>
        <tr r="K504" s="2"/>
      </tp>
      <tp t="s">
        <v>#N/A N/A</v>
        <stp/>
        <stp>BDP|7876226814279116044</stp>
        <tr r="O487" s="2"/>
      </tp>
      <tp t="s">
        <v>#N/A N/A</v>
        <stp/>
        <stp>BDP|6617556461828216087</stp>
        <tr r="M231" s="2"/>
      </tp>
      <tp t="s">
        <v>#N/A N/A</v>
        <stp/>
        <stp>BDP|7494794082535278054</stp>
        <tr r="E400" s="2"/>
      </tp>
      <tp t="s">
        <v>#N/A N/A</v>
        <stp/>
        <stp>BDP|8844259364533666274</stp>
        <tr r="G243" s="2"/>
      </tp>
      <tp t="s">
        <v>#N/A N/A</v>
        <stp/>
        <stp>BDP|7817780881812101785</stp>
        <tr r="R260" s="2"/>
      </tp>
      <tp t="s">
        <v>#N/A N/A</v>
        <stp/>
        <stp>BDP|4250889414942729218</stp>
        <tr r="N345" s="2"/>
      </tp>
      <tp t="s">
        <v>#N/A N/A</v>
        <stp/>
        <stp>BDP|9833133916985356162</stp>
        <tr r="D216" s="2"/>
      </tp>
      <tp t="s">
        <v>#N/A N/A</v>
        <stp/>
        <stp>BDP|4120915516362683382</stp>
        <tr r="K299" s="2"/>
      </tp>
      <tp t="s">
        <v>#N/A N/A</v>
        <stp/>
        <stp>BDP|9891155475930428249</stp>
        <tr r="R104" s="2"/>
      </tp>
      <tp t="s">
        <v>#N/A N/A</v>
        <stp/>
        <stp>BDP|7730851271901824438</stp>
        <tr r="N210" s="2"/>
      </tp>
      <tp t="s">
        <v>#N/A N/A</v>
        <stp/>
        <stp>BDP|9357624848585807395</stp>
        <tr r="L224" s="2"/>
      </tp>
      <tp t="s">
        <v>#N/A N/A</v>
        <stp/>
        <stp>BDP|5944047390181039052</stp>
        <tr r="K127" s="2"/>
      </tp>
      <tp t="s">
        <v>#N/A N/A</v>
        <stp/>
        <stp>BDP|1306730982127966434</stp>
        <tr r="Q307" s="2"/>
      </tp>
      <tp t="s">
        <v>#N/A N/A</v>
        <stp/>
        <stp>BDP|7986395226918913377</stp>
        <tr r="O434" s="2"/>
      </tp>
      <tp t="s">
        <v>#N/A N/A</v>
        <stp/>
        <stp>BDP|8031086367116560527</stp>
        <tr r="L181" s="2"/>
      </tp>
      <tp t="s">
        <v>#N/A N/A</v>
        <stp/>
        <stp>BDP|1657944975470703282</stp>
        <tr r="C122" s="2"/>
      </tp>
      <tp t="s">
        <v>#N/A N/A</v>
        <stp/>
        <stp>BDP|4056689787921151666</stp>
        <tr r="O280" s="2"/>
      </tp>
      <tp t="s">
        <v>#N/A N/A</v>
        <stp/>
        <stp>BDP|1309264399866476112</stp>
        <tr r="I375" s="2"/>
      </tp>
      <tp t="s">
        <v>#N/A N/A</v>
        <stp/>
        <stp>BDP|2920389388034276024</stp>
        <tr r="K452" s="2"/>
      </tp>
      <tp t="s">
        <v>#N/A N/A</v>
        <stp/>
        <stp>BDP|7263398486683161256</stp>
        <tr r="N394" s="2"/>
      </tp>
      <tp t="s">
        <v>#N/A N/A</v>
        <stp/>
        <stp>BDP|5000809305332854244</stp>
        <tr r="N476" s="2"/>
      </tp>
      <tp t="s">
        <v>#N/A N/A</v>
        <stp/>
        <stp>BDP|7852434057752481913</stp>
        <tr r="Q333" s="2"/>
      </tp>
      <tp t="s">
        <v>#N/A N/A</v>
        <stp/>
        <stp>BDP|2153352356679880034</stp>
        <tr r="D449" s="2"/>
      </tp>
      <tp t="s">
        <v>#N/A N/A</v>
        <stp/>
        <stp>BDP|1335135108835935880</stp>
        <tr r="C59" s="2"/>
      </tp>
      <tp t="s">
        <v>#N/A N/A</v>
        <stp/>
        <stp>BDP|2225334659220983983</stp>
        <tr r="G325" s="2"/>
      </tp>
      <tp t="s">
        <v>#N/A N/A</v>
        <stp/>
        <stp>BDP|1804176357521115903</stp>
        <tr r="Q431" s="2"/>
      </tp>
      <tp t="s">
        <v>#N/A N/A</v>
        <stp/>
        <stp>BDP|9417723120502906366</stp>
        <tr r="C66" s="2"/>
      </tp>
      <tp t="s">
        <v>#N/A N/A</v>
        <stp/>
        <stp>BDP|7694179195817929549</stp>
        <tr r="C216" s="2"/>
      </tp>
      <tp t="s">
        <v>#N/A N/A</v>
        <stp/>
        <stp>BDP|6464997239531817057</stp>
        <tr r="K441" s="2"/>
      </tp>
      <tp t="s">
        <v>#N/A N/A</v>
        <stp/>
        <stp>BDP|4656004397599076981</stp>
        <tr r="J228" s="2"/>
      </tp>
      <tp t="s">
        <v>#N/A N/A</v>
        <stp/>
        <stp>BDP|3721131829308763533</stp>
        <tr r="N155" s="2"/>
      </tp>
      <tp t="s">
        <v>#N/A N/A</v>
        <stp/>
        <stp>BDP|9714945483136858315</stp>
        <tr r="N26" s="2"/>
      </tp>
      <tp t="s">
        <v>#N/A N/A</v>
        <stp/>
        <stp>BDP|3842164143392423905</stp>
        <tr r="L165" s="2"/>
      </tp>
      <tp t="s">
        <v>#N/A N/A</v>
        <stp/>
        <stp>BDP|3788838609437614122</stp>
        <tr r="E212" s="2"/>
      </tp>
      <tp t="s">
        <v>#N/A N/A</v>
        <stp/>
        <stp>BDP|4715027893628876870</stp>
        <tr r="L47" s="2"/>
      </tp>
      <tp t="s">
        <v>#N/A N/A</v>
        <stp/>
        <stp>BDP|7703114391152861065</stp>
        <tr r="J205" s="2"/>
      </tp>
      <tp t="s">
        <v>#N/A N/A</v>
        <stp/>
        <stp>BDP|8042592636690677301</stp>
        <tr r="O182" s="2"/>
      </tp>
      <tp t="s">
        <v>#N/A N/A</v>
        <stp/>
        <stp>BDP|3034590891895000760</stp>
        <tr r="L81" s="2"/>
      </tp>
      <tp t="s">
        <v>#N/A N/A</v>
        <stp/>
        <stp>BDP|4569856354990318492</stp>
        <tr r="J92" s="2"/>
      </tp>
      <tp t="s">
        <v>#N/A N/A</v>
        <stp/>
        <stp>BDP|6825319263609127753</stp>
        <tr r="N373" s="2"/>
      </tp>
      <tp t="s">
        <v>#N/A N/A</v>
        <stp/>
        <stp>BDP|2783474768174780919</stp>
        <tr r="J272" s="2"/>
      </tp>
      <tp t="s">
        <v>#N/A N/A</v>
        <stp/>
        <stp>BDP|7158870533048232999</stp>
        <tr r="C120" s="2"/>
      </tp>
      <tp t="s">
        <v>#N/A N/A</v>
        <stp/>
        <stp>BDP|2995794258548423529</stp>
        <tr r="L320" s="2"/>
      </tp>
      <tp t="s">
        <v>#N/A N/A</v>
        <stp/>
        <stp>BDP|3803425004263030906</stp>
        <tr r="H466" s="2"/>
      </tp>
      <tp t="s">
        <v>#N/A N/A</v>
        <stp/>
        <stp>BDP|1944734814008438246</stp>
        <tr r="P51" s="2"/>
      </tp>
      <tp t="s">
        <v>#N/A N/A</v>
        <stp/>
        <stp>BDP|8854442314189416922</stp>
        <tr r="I97" s="2"/>
      </tp>
      <tp t="s">
        <v>#N/A N/A</v>
        <stp/>
        <stp>BDP|6075596284004618257</stp>
        <tr r="F249" s="2"/>
      </tp>
      <tp t="s">
        <v>#N/A N/A</v>
        <stp/>
        <stp>BDP|3478354476878094294</stp>
        <tr r="E61" s="2"/>
      </tp>
      <tp t="s">
        <v>#N/A N/A</v>
        <stp/>
        <stp>BDP|9812829584534339027</stp>
        <tr r="C188" s="2"/>
      </tp>
      <tp t="s">
        <v>#N/A N/A</v>
        <stp/>
        <stp>BDP|1848373498460183696</stp>
        <tr r="G485" s="2"/>
      </tp>
      <tp t="s">
        <v>#N/A N/A</v>
        <stp/>
        <stp>BDP|5413885630854323702</stp>
        <tr r="R488" s="2"/>
      </tp>
      <tp t="s">
        <v>#N/A N/A</v>
        <stp/>
        <stp>BDP|3567916218253098537</stp>
        <tr r="G254" s="2"/>
      </tp>
      <tp t="s">
        <v>#N/A N/A</v>
        <stp/>
        <stp>BDP|4859958556377027242</stp>
        <tr r="H481" s="2"/>
      </tp>
      <tp t="s">
        <v>#N/A N/A</v>
        <stp/>
        <stp>BDP|8724731028616116624</stp>
        <tr r="Q158" s="2"/>
      </tp>
      <tp t="s">
        <v>#N/A N/A</v>
        <stp/>
        <stp>BDP|6140385627529631374</stp>
        <tr r="K80" s="2"/>
      </tp>
      <tp t="s">
        <v>#N/A N/A</v>
        <stp/>
        <stp>BDP|9137664368310765471</stp>
        <tr r="M380" s="2"/>
      </tp>
      <tp t="s">
        <v>#N/A N/A</v>
        <stp/>
        <stp>BDP|7428084194070035376</stp>
        <tr r="C73" s="2"/>
      </tp>
      <tp t="s">
        <v>#N/A N/A</v>
        <stp/>
        <stp>BDP|1368065487236933247</stp>
        <tr r="O328" s="2"/>
      </tp>
      <tp>
        <v>-0.80699998140335083</v>
        <stp/>
        <stp>BDP|3837174452690616697|22</stp>
        <stp>BIIB UW Equity</stp>
        <stp>RT_PX_CHG_PCT_1D</stp>
        <tr r="B273" s="2"/>
      </tp>
      <tp t="s">
        <v>#N/A N/A</v>
        <stp/>
        <stp>BDP|5423373288220523328</stp>
        <tr r="J87" s="2"/>
      </tp>
      <tp t="s">
        <v>#N/A N/A</v>
        <stp/>
        <stp>BDP|9434890093336217309</stp>
        <tr r="C183" s="2"/>
      </tp>
      <tp t="s">
        <v>#N/A N/A</v>
        <stp/>
        <stp>BDP|8150719628008708834</stp>
        <tr r="F37" s="2"/>
      </tp>
      <tp t="s">
        <v>#N/A N/A</v>
        <stp/>
        <stp>BDP|4092030191486861660</stp>
        <tr r="E313" s="2"/>
      </tp>
      <tp t="s">
        <v>#N/A N/A</v>
        <stp/>
        <stp>BDP|2656220628519727678</stp>
        <tr r="Q297" s="2"/>
      </tp>
      <tp t="s">
        <v>#N/A N/A</v>
        <stp/>
        <stp>BDP|9587182376373333146</stp>
        <tr r="D455" s="2"/>
      </tp>
      <tp t="s">
        <v>#N/A N/A</v>
        <stp/>
        <stp>BDP|9801339514574320202</stp>
        <tr r="R35" s="2"/>
      </tp>
      <tp t="s">
        <v>#N/A N/A</v>
        <stp/>
        <stp>BDP|4523885051440740478</stp>
        <tr r="C177" s="2"/>
      </tp>
      <tp t="s">
        <v>#N/A N/A</v>
        <stp/>
        <stp>BDP|3004233755371892827</stp>
        <tr r="Q465" s="2"/>
      </tp>
      <tp t="s">
        <v>#N/A N/A</v>
        <stp/>
        <stp>BDP|9709633929498477851</stp>
        <tr r="M476" s="2"/>
      </tp>
      <tp t="s">
        <v>#N/A N/A</v>
        <stp/>
        <stp>BDP|9958517003945124468</stp>
        <tr r="L147" s="2"/>
      </tp>
      <tp t="s">
        <v>#N/A N/A</v>
        <stp/>
        <stp>BDP|3493568389422202155</stp>
        <tr r="F98" s="2"/>
      </tp>
      <tp t="s">
        <v>#N/A N/A</v>
        <stp/>
        <stp>BDP|2162428298982372040</stp>
        <tr r="K201" s="2"/>
      </tp>
      <tp t="s">
        <v>#N/A N/A</v>
        <stp/>
        <stp>BDP|9113757548141925696</stp>
        <tr r="F84" s="2"/>
      </tp>
      <tp t="s">
        <v>#N/A N/A</v>
        <stp/>
        <stp>BDP|4736098490733482361</stp>
        <tr r="D123" s="2"/>
      </tp>
      <tp t="s">
        <v>#N/A N/A</v>
        <stp/>
        <stp>BDP|5826711541682517911</stp>
        <tr r="O180" s="2"/>
      </tp>
      <tp t="s">
        <v>#N/A N/A</v>
        <stp/>
        <stp>BDP|3560111613689836737</stp>
        <tr r="J98" s="2"/>
      </tp>
      <tp t="s">
        <v>#N/A N/A</v>
        <stp/>
        <stp>BDP|4846914721923256168</stp>
        <tr r="O467" s="2"/>
      </tp>
      <tp t="s">
        <v>#N/A N/A</v>
        <stp/>
        <stp>BDP|6405263864616251987</stp>
        <tr r="C197" s="2"/>
      </tp>
      <tp t="s">
        <v>#N/A N/A</v>
        <stp/>
        <stp>BDP|7323007865549942533</stp>
        <tr r="N297" s="2"/>
      </tp>
      <tp t="s">
        <v>#N/A N/A</v>
        <stp/>
        <stp>BDP|7506942906470379387</stp>
        <tr r="D303" s="2"/>
      </tp>
      <tp t="s">
        <v>#N/A N/A</v>
        <stp/>
        <stp>BDP|9870637758470897765</stp>
        <tr r="F467" s="2"/>
      </tp>
      <tp t="s">
        <v>#N/A N/A</v>
        <stp/>
        <stp>BDP|4912728817589522646</stp>
        <tr r="Q247" s="2"/>
      </tp>
      <tp t="s">
        <v>#N/A N/A</v>
        <stp/>
        <stp>BDP|2001764232928801313</stp>
        <tr r="Q162" s="2"/>
      </tp>
      <tp t="s">
        <v>#N/A N/A</v>
        <stp/>
        <stp>BDP|7558063992150527394</stp>
        <tr r="D499" s="2"/>
      </tp>
      <tp t="s">
        <v>#N/A N/A</v>
        <stp/>
        <stp>BDP|8407726127059563990</stp>
        <tr r="E348" s="2"/>
      </tp>
      <tp t="s">
        <v>#N/A N/A</v>
        <stp/>
        <stp>BDP|2603817191459374784</stp>
        <tr r="P147" s="2"/>
      </tp>
      <tp t="s">
        <v>#N/A N/A</v>
        <stp/>
        <stp>BDP|6722033440249167687</stp>
        <tr r="D305" s="2"/>
      </tp>
      <tp t="s">
        <v>#N/A N/A</v>
        <stp/>
        <stp>BDP|7506814901080867205</stp>
        <tr r="C370" s="2"/>
      </tp>
      <tp t="s">
        <v>#N/A N/A</v>
        <stp/>
        <stp>BDP|9876170957739372960</stp>
        <tr r="C170" s="2"/>
      </tp>
      <tp>
        <v>2.2360999584197998</v>
        <stp/>
        <stp>BDP|8323221126009198208|22</stp>
        <stp>DELL UN Equity</stp>
        <stp>RT_PX_CHG_PCT_1D</stp>
        <tr r="B109" s="2"/>
      </tp>
      <tp t="s">
        <v>#N/A N/A</v>
        <stp/>
        <stp>BDP|4751627427054183913</stp>
        <tr r="G434" s="2"/>
      </tp>
      <tp t="s">
        <v>#N/A N/A</v>
        <stp/>
        <stp>BDP|2746665847418403508</stp>
        <tr r="H119" s="2"/>
      </tp>
      <tp t="s">
        <v>#N/A N/A</v>
        <stp/>
        <stp>BDP|8392232026153032646</stp>
        <tr r="I98" s="2"/>
      </tp>
      <tp t="s">
        <v>#N/A N/A</v>
        <stp/>
        <stp>BDP|1396359045098078318</stp>
        <tr r="D166" s="2"/>
      </tp>
      <tp t="s">
        <v>#N/A N/A</v>
        <stp/>
        <stp>BDP|6991750109319585523</stp>
        <tr r="E160" s="2"/>
      </tp>
      <tp t="s">
        <v>#N/A N/A</v>
        <stp/>
        <stp>BDP|1075592700508900120</stp>
        <tr r="P130" s="2"/>
      </tp>
      <tp t="s">
        <v>#N/A N/A</v>
        <stp/>
        <stp>BDP|4954601590186847031</stp>
        <tr r="L216" s="2"/>
      </tp>
      <tp t="s">
        <v>#N/A N/A</v>
        <stp/>
        <stp>BDP|2360782483155344592</stp>
        <tr r="J175" s="2"/>
      </tp>
      <tp t="s">
        <v>#N/A N/A</v>
        <stp/>
        <stp>BDP|4345923154900042578</stp>
        <tr r="H365" s="2"/>
      </tp>
      <tp t="s">
        <v>#N/A N/A</v>
        <stp/>
        <stp>BDP|1922365048092366963</stp>
        <tr r="O222" s="2"/>
      </tp>
      <tp t="s">
        <v>#N/A N/A</v>
        <stp/>
        <stp>BDP|5911977659503618737</stp>
        <tr r="P500" s="2"/>
      </tp>
      <tp t="s">
        <v>#N/A N/A</v>
        <stp/>
        <stp>BDP|2386816903431385607</stp>
        <tr r="I25" s="2"/>
      </tp>
      <tp t="s">
        <v>#N/A N/A</v>
        <stp/>
        <stp>BDP|4403342053446633971</stp>
        <tr r="G389" s="2"/>
      </tp>
      <tp t="s">
        <v>#N/A N/A</v>
        <stp/>
        <stp>BDP|5456547536378762630</stp>
        <tr r="R337" s="2"/>
      </tp>
      <tp t="s">
        <v>#N/A N/A</v>
        <stp/>
        <stp>BDP|1548437424509351334</stp>
        <tr r="L40" s="2"/>
      </tp>
      <tp t="s">
        <v>#N/A N/A</v>
        <stp/>
        <stp>BDP|9729264770026731743</stp>
        <tr r="K141" s="2"/>
      </tp>
      <tp t="s">
        <v>#N/A N/A</v>
        <stp/>
        <stp>BDP|3455629443239326555</stp>
        <tr r="J368" s="2"/>
      </tp>
      <tp t="s">
        <v>#N/A N/A</v>
        <stp/>
        <stp>BDP|1998806870247228486</stp>
        <tr r="R300" s="2"/>
      </tp>
      <tp t="s">
        <v>#N/A N/A</v>
        <stp/>
        <stp>BDP|6077512153988953380</stp>
        <tr r="F30" s="2"/>
      </tp>
      <tp t="s">
        <v>#N/A N/A</v>
        <stp/>
        <stp>BDP|5789838734271583263</stp>
        <tr r="C318" s="2"/>
      </tp>
      <tp t="s">
        <v>#N/A N/A</v>
        <stp/>
        <stp>BDP|3782235875088051323</stp>
        <tr r="M397" s="2"/>
      </tp>
      <tp t="s">
        <v>#N/A N/A</v>
        <stp/>
        <stp>BDP|8870435318300444048</stp>
        <tr r="E432" s="2"/>
      </tp>
      <tp t="s">
        <v>#N/A N/A</v>
        <stp/>
        <stp>BDP|6541295580135980464</stp>
        <tr r="O313" s="2"/>
      </tp>
      <tp t="s">
        <v>#N/A N/A</v>
        <stp/>
        <stp>BDP|8306004807401552429</stp>
        <tr r="P92" s="2"/>
      </tp>
      <tp t="s">
        <v>#N/A N/A</v>
        <stp/>
        <stp>BDP|4680831603340239176</stp>
        <tr r="P239" s="2"/>
      </tp>
      <tp t="s">
        <v>#N/A N/A</v>
        <stp/>
        <stp>BDP|8124026656870484027</stp>
        <tr r="K197" s="2"/>
      </tp>
      <tp t="s">
        <v>#N/A N/A</v>
        <stp/>
        <stp>BDP|7496657842250662869</stp>
        <tr r="L241" s="2"/>
      </tp>
      <tp t="s">
        <v>#N/A N/A</v>
        <stp/>
        <stp>BDP|8421015545236722745</stp>
        <tr r="N195" s="2"/>
      </tp>
      <tp t="s">
        <v>#N/A N/A</v>
        <stp/>
        <stp>BDP|3831879809861512706</stp>
        <tr r="G453" s="2"/>
      </tp>
      <tp t="s">
        <v>#N/A N/A</v>
        <stp/>
        <stp>BDP|1750088606205330998</stp>
        <tr r="L377" s="2"/>
      </tp>
      <tp t="s">
        <v>#N/A N/A</v>
        <stp/>
        <stp>BDP|5790573384975407037</stp>
        <tr r="H493" s="2"/>
      </tp>
      <tp t="s">
        <v>#N/A N/A</v>
        <stp/>
        <stp>BDP|2729263436679778737</stp>
        <tr r="O212" s="2"/>
      </tp>
      <tp t="s">
        <v>#N/A N/A</v>
        <stp/>
        <stp>BDP|3933214384243445789</stp>
        <tr r="O92" s="2"/>
      </tp>
      <tp t="s">
        <v>#N/A N/A</v>
        <stp/>
        <stp>BDP|3551792272729719799</stp>
        <tr r="H45" s="2"/>
      </tp>
      <tp t="s">
        <v>#N/A N/A</v>
        <stp/>
        <stp>BDP|3855452594222994107</stp>
        <tr r="O326" s="2"/>
      </tp>
      <tp t="s">
        <v>#N/A N/A</v>
        <stp/>
        <stp>BDP|2662226180862609725</stp>
        <tr r="F134" s="2"/>
      </tp>
      <tp t="s">
        <v>#N/A N/A</v>
        <stp/>
        <stp>BDP|6105426044792593925</stp>
        <tr r="C472" s="2"/>
      </tp>
      <tp t="s">
        <v>#N/A N/A</v>
        <stp/>
        <stp>BDP|8143431120936479566</stp>
        <tr r="Q9" s="2"/>
      </tp>
      <tp t="s">
        <v>#N/A N/A</v>
        <stp/>
        <stp>BDP|7636011062839628534</stp>
        <tr r="N125" s="2"/>
      </tp>
      <tp t="s">
        <v>#N/A N/A</v>
        <stp/>
        <stp>BDP|8894006440039813801</stp>
        <tr r="M337" s="2"/>
      </tp>
      <tp t="s">
        <v>#N/A N/A</v>
        <stp/>
        <stp>BDP|3558881730891854456</stp>
        <tr r="C211" s="2"/>
      </tp>
      <tp t="s">
        <v>#N/A N/A</v>
        <stp/>
        <stp>BDP|9907139169713327002</stp>
        <tr r="K401" s="2"/>
      </tp>
      <tp t="s">
        <v>#N/A N/A</v>
        <stp/>
        <stp>BDP|1901050355718836114</stp>
        <tr r="K288" s="2"/>
      </tp>
      <tp t="s">
        <v>#N/A N/A</v>
        <stp/>
        <stp>BDP|1630920524146717173</stp>
        <tr r="R96" s="2"/>
      </tp>
      <tp t="s">
        <v>#N/A N/A</v>
        <stp/>
        <stp>BDP|6396939324649573911</stp>
        <tr r="K85" s="2"/>
      </tp>
      <tp t="s">
        <v>#N/A N/A</v>
        <stp/>
        <stp>BDP|9024382404635566293</stp>
        <tr r="P2" s="2"/>
      </tp>
      <tp t="s">
        <v>#N/A N/A</v>
        <stp/>
        <stp>BDP|2467486505508000397</stp>
        <tr r="K352" s="2"/>
      </tp>
      <tp t="s">
        <v>#N/A N/A</v>
        <stp/>
        <stp>BDP|1896527475828961664</stp>
        <tr r="G92" s="2"/>
      </tp>
      <tp t="s">
        <v>#N/A N/A</v>
        <stp/>
        <stp>BDP|8713714933401024057</stp>
        <tr r="R327" s="2"/>
      </tp>
      <tp t="s">
        <v>#N/A N/A</v>
        <stp/>
        <stp>BDP|3860835128450683458</stp>
        <tr r="C344" s="2"/>
      </tp>
      <tp t="s">
        <v>#N/A N/A</v>
        <stp/>
        <stp>BDP|2704357796283034640</stp>
        <tr r="D469" s="2"/>
      </tp>
      <tp t="s">
        <v>#N/A N/A</v>
        <stp/>
        <stp>BDP|8351168953116728707</stp>
        <tr r="I340" s="2"/>
      </tp>
      <tp t="s">
        <v>#N/A N/A</v>
        <stp/>
        <stp>BDP|3704955933613371739</stp>
        <tr r="J86" s="2"/>
      </tp>
      <tp t="s">
        <v>#N/A N/A</v>
        <stp/>
        <stp>BDP|9749022436183498463</stp>
        <tr r="N21" s="2"/>
      </tp>
      <tp t="s">
        <v>#N/A N/A</v>
        <stp/>
        <stp>BDP|7234643682457682330</stp>
        <tr r="K292" s="2"/>
      </tp>
      <tp t="s">
        <v>#N/A N/A</v>
        <stp/>
        <stp>BDP|9492568263683512457</stp>
        <tr r="L267" s="2"/>
      </tp>
      <tp t="s">
        <v>#N/A N/A</v>
        <stp/>
        <stp>BDP|6855983651493427440</stp>
        <tr r="M99" s="2"/>
      </tp>
      <tp t="s">
        <v>#N/A N/A</v>
        <stp/>
        <stp>BDP|5194095396128681996</stp>
        <tr r="F404" s="2"/>
      </tp>
      <tp t="s">
        <v>#N/A N/A</v>
        <stp/>
        <stp>BDP|8439914876779032221</stp>
        <tr r="H223" s="2"/>
      </tp>
      <tp t="s">
        <v>#N/A N/A</v>
        <stp/>
        <stp>BDP|9881356568960558110</stp>
        <tr r="K190" s="2"/>
      </tp>
      <tp t="s">
        <v>#N/A N/A</v>
        <stp/>
        <stp>BDP|2456780389808107858</stp>
        <tr r="I181" s="2"/>
      </tp>
      <tp t="s">
        <v>#N/A N/A</v>
        <stp/>
        <stp>BDP|8071218442901141234</stp>
        <tr r="P15" s="2"/>
      </tp>
      <tp t="s">
        <v>#N/A N/A</v>
        <stp/>
        <stp>BDP|2545721814789797022</stp>
        <tr r="F52" s="2"/>
      </tp>
      <tp t="s">
        <v>#N/A N/A</v>
        <stp/>
        <stp>BDP|2261877840946020532</stp>
        <tr r="M206" s="2"/>
      </tp>
      <tp t="s">
        <v>#N/A N/A</v>
        <stp/>
        <stp>BDP|2607235263613094801</stp>
        <tr r="F182" s="2"/>
      </tp>
      <tp t="s">
        <v>#N/A N/A</v>
        <stp/>
        <stp>BDP|6229145972624399913</stp>
        <tr r="H201" s="2"/>
      </tp>
      <tp t="s">
        <v>#N/A N/A</v>
        <stp/>
        <stp>BDP|7857825226914312495</stp>
        <tr r="P430" s="2"/>
      </tp>
      <tp t="s">
        <v>#N/A N/A</v>
        <stp/>
        <stp>BDP|1575327956768549220</stp>
        <tr r="E253" s="2"/>
      </tp>
      <tp t="s">
        <v>#N/A N/A</v>
        <stp/>
        <stp>BDP|6663391886488926864</stp>
        <tr r="C84" s="2"/>
      </tp>
      <tp t="s">
        <v>#N/A N/A</v>
        <stp/>
        <stp>BDP|6246841659232812412</stp>
        <tr r="O288" s="2"/>
      </tp>
      <tp t="s">
        <v>#N/A N/A</v>
        <stp/>
        <stp>BDP|5784313686150751318</stp>
        <tr r="Q277" s="2"/>
      </tp>
      <tp t="s">
        <v>#N/A N/A</v>
        <stp/>
        <stp>BDP|1979974699489768566</stp>
        <tr r="C77" s="2"/>
      </tp>
      <tp t="s">
        <v>#N/A N/A</v>
        <stp/>
        <stp>BDP|6949881937279447945</stp>
        <tr r="O269" s="2"/>
      </tp>
      <tp t="s">
        <v>#N/A N/A</v>
        <stp/>
        <stp>BDP|9577502648745396093</stp>
        <tr r="C128" s="2"/>
      </tp>
      <tp t="s">
        <v>#N/A N/A</v>
        <stp/>
        <stp>BDP|6872255604940928971</stp>
        <tr r="P487" s="2"/>
      </tp>
      <tp t="s">
        <v>#N/A N/A</v>
        <stp/>
        <stp>BDP|8208124118665886072</stp>
        <tr r="L293" s="2"/>
      </tp>
      <tp t="s">
        <v>#N/A N/A</v>
        <stp/>
        <stp>BDP|6391405528174922953</stp>
        <tr r="D60" s="2"/>
      </tp>
      <tp t="s">
        <v>#N/A N/A</v>
        <stp/>
        <stp>BDP|9179705617587294531</stp>
        <tr r="N404" s="2"/>
      </tp>
      <tp t="s">
        <v>#N/A N/A</v>
        <stp/>
        <stp>BDP|8454487769643396413</stp>
        <tr r="P416" s="2"/>
      </tp>
      <tp t="s">
        <v>#N/A N/A</v>
        <stp/>
        <stp>BDP|8943717292582860951</stp>
        <tr r="H380" s="2"/>
      </tp>
      <tp t="s">
        <v>#N/A N/A</v>
        <stp/>
        <stp>BDP|1722133236717471912</stp>
        <tr r="E399" s="2"/>
      </tp>
      <tp t="s">
        <v>#N/A N/A</v>
        <stp/>
        <stp>BDP|5029948016776483616</stp>
        <tr r="P159" s="2"/>
      </tp>
      <tp t="s">
        <v>#N/A N/A</v>
        <stp/>
        <stp>BDP|5658008395952164351</stp>
        <tr r="Q479" s="2"/>
      </tp>
      <tp t="s">
        <v>#N/A N/A</v>
        <stp/>
        <stp>BDP|7604133291291734341</stp>
        <tr r="G186" s="2"/>
      </tp>
      <tp t="s">
        <v>#N/A N/A</v>
        <stp/>
        <stp>BDP|2138331911279342476</stp>
        <tr r="K296" s="2"/>
      </tp>
      <tp t="s">
        <v>#N/A N/A</v>
        <stp/>
        <stp>BDP|6871980727756747671</stp>
        <tr r="D148" s="2"/>
      </tp>
      <tp t="s">
        <v>#N/A N/A</v>
        <stp/>
        <stp>BDP|9330872402815492955</stp>
        <tr r="E120" s="2"/>
      </tp>
      <tp t="s">
        <v>#N/A N/A</v>
        <stp/>
        <stp>BDP|3280520899234884667</stp>
        <tr r="M269" s="2"/>
      </tp>
      <tp t="s">
        <v>#N/A N/A</v>
        <stp/>
        <stp>BDP|3732926770714066423</stp>
        <tr r="D473" s="2"/>
      </tp>
      <tp t="s">
        <v>#N/A N/A</v>
        <stp/>
        <stp>BDP|3467939166533080264</stp>
        <tr r="Q399" s="2"/>
      </tp>
      <tp t="s">
        <v>#N/A N/A</v>
        <stp/>
        <stp>BDP|8240043167533434027</stp>
        <tr r="O75" s="2"/>
      </tp>
      <tp t="s">
        <v>#N/A N/A</v>
        <stp/>
        <stp>BDP|1154117797315139114</stp>
        <tr r="D132" s="2"/>
      </tp>
      <tp t="s">
        <v>#N/A N/A</v>
        <stp/>
        <stp>BDP|7850154212943343987</stp>
        <tr r="R221" s="2"/>
      </tp>
      <tp t="s">
        <v>#N/A N/A</v>
        <stp/>
        <stp>BDP|3062507836430487866</stp>
        <tr r="O4" s="2"/>
      </tp>
      <tp t="s">
        <v>#N/A N/A</v>
        <stp/>
        <stp>BDP|8710360111937358076</stp>
        <tr r="J257" s="2"/>
      </tp>
      <tp t="s">
        <v>#N/A N/A</v>
        <stp/>
        <stp>BDP|8264546603842842296</stp>
        <tr r="E461" s="2"/>
      </tp>
      <tp t="s">
        <v>#N/A N/A</v>
        <stp/>
        <stp>BDP|6744767216889398408</stp>
        <tr r="R276" s="2"/>
      </tp>
      <tp t="s">
        <v>#N/A N/A</v>
        <stp/>
        <stp>BDP|9367331224152983794</stp>
        <tr r="K158" s="2"/>
      </tp>
      <tp t="s">
        <v>#N/A N/A</v>
        <stp/>
        <stp>BDP|1392804986574536841</stp>
        <tr r="P150" s="2"/>
      </tp>
      <tp t="s">
        <v>#N/A N/A</v>
        <stp/>
        <stp>BDP|1161922151140180071</stp>
        <tr r="K53" s="2"/>
      </tp>
      <tp t="s">
        <v>#N/A N/A</v>
        <stp/>
        <stp>BDP|3422640666946524875</stp>
        <tr r="D382" s="2"/>
      </tp>
      <tp t="s">
        <v>#N/A N/A</v>
        <stp/>
        <stp>BDP|5437975670663283554</stp>
        <tr r="D27" s="2"/>
      </tp>
      <tp t="s">
        <v>#N/A N/A</v>
        <stp/>
        <stp>BDP|1671539327503026867</stp>
        <tr r="P5" s="2"/>
      </tp>
      <tp t="s">
        <v>#N/A N/A</v>
        <stp/>
        <stp>BDP|2057292815175837906</stp>
        <tr r="E460" s="2"/>
      </tp>
      <tp t="s">
        <v>#N/A N/A</v>
        <stp/>
        <stp>BDP|1432883742842389293</stp>
        <tr r="N183" s="2"/>
      </tp>
      <tp t="s">
        <v>#N/A N/A</v>
        <stp/>
        <stp>BDP|8921081806021321402</stp>
        <tr r="R487" s="2"/>
      </tp>
      <tp t="s">
        <v>#N/A N/A</v>
        <stp/>
        <stp>BDP|3674208039117323889</stp>
        <tr r="E73" s="2"/>
      </tp>
      <tp t="s">
        <v>#N/A N/A</v>
        <stp/>
        <stp>BDP|1460157769859443288</stp>
        <tr r="G126" s="2"/>
      </tp>
      <tp t="s">
        <v>#N/A N/A</v>
        <stp/>
        <stp>BDP|1214320988802545598</stp>
        <tr r="R383" s="2"/>
      </tp>
      <tp t="s">
        <v>#N/A N/A</v>
        <stp/>
        <stp>BDP|5470258089006480483</stp>
        <tr r="Q226" s="2"/>
      </tp>
      <tp t="s">
        <v>#N/A N/A</v>
        <stp/>
        <stp>BDP|1191271403848152603</stp>
        <tr r="P41" s="2"/>
      </tp>
      <tp t="s">
        <v>#N/A N/A</v>
        <stp/>
        <stp>BDP|5753268435581772866</stp>
        <tr r="O38" s="2"/>
      </tp>
      <tp t="s">
        <v>#N/A N/A</v>
        <stp/>
        <stp>BDP|4067766197750089747</stp>
        <tr r="F103" s="2"/>
      </tp>
      <tp t="s">
        <v>#N/A N/A</v>
        <stp/>
        <stp>BDP|9083516701477349665</stp>
        <tr r="P93" s="2"/>
      </tp>
      <tp t="s">
        <v>#N/A N/A</v>
        <stp/>
        <stp>BDP|6973835270956754284</stp>
        <tr r="I281" s="2"/>
      </tp>
      <tp t="s">
        <v>#N/A N/A</v>
        <stp/>
        <stp>BDP|8876867589830231501</stp>
        <tr r="F489" s="2"/>
      </tp>
      <tp t="s">
        <v>#N/A N/A</v>
        <stp/>
        <stp>BDP|1379146179633231999</stp>
        <tr r="E286" s="2"/>
      </tp>
      <tp t="s">
        <v>#N/A N/A</v>
        <stp/>
        <stp>BDP|8051603575294284023</stp>
        <tr r="C254" s="2"/>
      </tp>
      <tp t="s">
        <v>#N/A N/A</v>
        <stp/>
        <stp>BDP|9876558609050018110</stp>
        <tr r="N63" s="2"/>
      </tp>
      <tp t="s">
        <v>#N/A N/A</v>
        <stp/>
        <stp>BDP|6358713791275187072</stp>
        <tr r="G341" s="2"/>
      </tp>
      <tp t="s">
        <v>#N/A N/A</v>
        <stp/>
        <stp>BDP|5354834075876085100</stp>
        <tr r="Q44" s="2"/>
      </tp>
      <tp t="s">
        <v>#N/A N/A</v>
        <stp/>
        <stp>BDP|4325562795826187341</stp>
        <tr r="G448" s="2"/>
      </tp>
      <tp t="s">
        <v>#N/A N/A</v>
        <stp/>
        <stp>BDP|7162290327998399296</stp>
        <tr r="C290" s="2"/>
      </tp>
      <tp t="s">
        <v>#N/A N/A</v>
        <stp/>
        <stp>BDP|8351791651737967075</stp>
        <tr r="K48" s="2"/>
      </tp>
      <tp t="s">
        <v>#N/A N/A</v>
        <stp/>
        <stp>BDP|5246113775146612854</stp>
        <tr r="D85" s="2"/>
      </tp>
      <tp t="s">
        <v>#N/A N/A</v>
        <stp/>
        <stp>BDP|1407732859258253696</stp>
        <tr r="J75" s="2"/>
      </tp>
      <tp t="s">
        <v>#N/A N/A</v>
        <stp/>
        <stp>BDP|1930510181067436682</stp>
        <tr r="D297" s="2"/>
      </tp>
      <tp t="s">
        <v>#N/A N/A</v>
        <stp/>
        <stp>BDP|9065778960626187332</stp>
        <tr r="K75" s="2"/>
      </tp>
      <tp t="s">
        <v>#N/A N/A</v>
        <stp/>
        <stp>BDP|8898694105676615578</stp>
        <tr r="H429" s="2"/>
      </tp>
      <tp t="s">
        <v>#N/A N/A</v>
        <stp/>
        <stp>BDP|6259270893378721841</stp>
        <tr r="M333" s="2"/>
      </tp>
      <tp t="s">
        <v>#N/A N/A</v>
        <stp/>
        <stp>BDP|9613415603030725063</stp>
        <tr r="E423" s="2"/>
      </tp>
      <tp t="s">
        <v>#N/A N/A</v>
        <stp/>
        <stp>BDP|8326973162573002930</stp>
        <tr r="K272" s="2"/>
      </tp>
      <tp t="s">
        <v>#N/A N/A</v>
        <stp/>
        <stp>BDP|9325736366106630351</stp>
        <tr r="D416" s="2"/>
      </tp>
      <tp t="s">
        <v>#N/A N/A</v>
        <stp/>
        <stp>BDP|4415165610549647012</stp>
        <tr r="L196" s="2"/>
      </tp>
      <tp t="s">
        <v>#N/A N/A</v>
        <stp/>
        <stp>BDP|4723954001748435824</stp>
        <tr r="L489" s="2"/>
      </tp>
      <tp>
        <v>0.51340001821517944</v>
        <stp/>
        <stp>BDP|12591892011452420923|22</stp>
        <stp>TDG UN Equity</stp>
        <stp>RT_PX_CHG_PCT_1D</stp>
        <tr r="B351" s="2"/>
      </tp>
      <tp>
        <v>-1.2046999931335449</v>
        <stp/>
        <stp>BDP|13639309543452999969|22</stp>
        <stp>STX UW Equity</stp>
        <stp>RT_PX_CHG_PCT_1D</stp>
        <tr r="B471" s="2"/>
      </tp>
      <tp>
        <v>-2.7300000190734863E-2</v>
        <stp/>
        <stp>BDP|14393642975663906353|22</stp>
        <stp>PPL UN Equity</stp>
        <stp>RT_PX_CHG_PCT_1D</stp>
        <tr r="B190" s="2"/>
      </tp>
      <tp>
        <v>1.1614999771118164</v>
        <stp/>
        <stp>BDP|13961359019700468320|22</stp>
        <stp>VLO UN Equity</stp>
        <stp>RT_PX_CHG_PCT_1D</stp>
        <tr r="B347" s="2"/>
      </tp>
      <tp>
        <v>2.283099889755249</v>
        <stp/>
        <stp>BDP|12018500227306853289|22</stp>
        <stp>MAR UW Equity</stp>
        <stp>RT_PX_CHG_PCT_1D</stp>
        <tr r="B249" s="2"/>
      </tp>
      <tp>
        <v>0.67960000038146973</v>
        <stp/>
        <stp>BDP|16085154269485739225|22</stp>
        <stp>APD UN Equity</stp>
        <stp>RT_PX_CHG_PCT_1D</stp>
        <tr r="B53" s="2"/>
      </tp>
      <tp>
        <v>0.11379999667406082</v>
        <stp/>
        <stp>BDP|14437044582584594125|22</stp>
        <stp>EFX UN Equity</stp>
        <stp>RT_PX_CHG_PCT_1D</stp>
        <tr r="B114" s="2"/>
      </tp>
      <tp>
        <v>1.098099946975708</v>
        <stp/>
        <stp>BDP|15767994000756388783|22</stp>
        <stp>AIG UN Equity</stp>
        <stp>RT_PX_CHG_PCT_1D</stp>
        <tr r="B46" s="2"/>
      </tp>
      <tp>
        <v>0.29490000009536743</v>
        <stp/>
        <stp>BDP|14178512202335697461|22</stp>
        <stp>DTE UN Equity</stp>
        <stp>RT_PX_CHG_PCT_1D</stp>
        <tr r="B386" s="2"/>
      </tp>
      <tp>
        <v>0.29490000009536743</v>
        <stp/>
        <stp>BDP|10591303471679258237|22</stp>
        <stp>GEN UW Equity</stp>
        <stp>RT_PX_CHG_PCT_1D</stp>
        <tr r="B288" s="2"/>
      </tp>
      <tp>
        <v>1.7657999992370605</v>
        <stp/>
        <stp>BDP|13564415650567589680|22</stp>
        <stp>CEG UW Equity</stp>
        <stp>RT_PX_CHG_PCT_1D</stp>
        <tr r="B236" s="2"/>
      </tp>
      <tp>
        <v>0.74620002508163452</v>
        <stp/>
        <stp>BDP|15071441418449042588|22</stp>
        <stp>MSI UN Equity</stp>
        <stp>RT_PX_CHG_PCT_1D</stp>
        <tr r="B172" s="2"/>
      </tp>
      <tp>
        <v>0.20589999854564667</v>
        <stp/>
        <stp>BDP|14558448734620702415|22</stp>
        <stp>AME UN Equity</stp>
        <stp>RT_PX_CHG_PCT_1D</stp>
        <tr r="B209" s="2"/>
      </tp>
      <tp>
        <v>1.7072999477386475</v>
        <stp/>
        <stp>BDP|11639265033570270115|22</stp>
        <stp>SW UN Equity</stp>
        <stp>RT_PX_CHG_PCT_1D</stp>
        <tr r="B407" s="2"/>
      </tp>
      <tp>
        <v>1.1519999504089355</v>
        <stp/>
        <stp>BDP|5353027842385646900|22</stp>
        <stp>HUBB UN Equity</stp>
        <stp>RT_PX_CHG_PCT_1D</stp>
        <tr r="B162" s="2"/>
      </tp>
      <tp t="s">
        <v>#N/A N/A</v>
        <stp/>
        <stp>BDP|4181901600747234496</stp>
        <tr r="F122" s="2"/>
      </tp>
      <tp t="s">
        <v>#N/A N/A</v>
        <stp/>
        <stp>BDP|7756438959898394041</stp>
        <tr r="H431" s="2"/>
      </tp>
      <tp t="s">
        <v>#N/A N/A</v>
        <stp/>
        <stp>BDP|3485461931498993205</stp>
        <tr r="O51" s="2"/>
      </tp>
      <tp t="s">
        <v>#N/A N/A</v>
        <stp/>
        <stp>BDP|5794597407876204816</stp>
        <tr r="E374" s="2"/>
      </tp>
      <tp t="s">
        <v>#N/A N/A</v>
        <stp/>
        <stp>BDP|6811110122748157301</stp>
        <tr r="C43" s="2"/>
      </tp>
      <tp t="s">
        <v>#N/A N/A</v>
        <stp/>
        <stp>BDP|9252593064442371661</stp>
        <tr r="K227" s="2"/>
      </tp>
      <tp t="s">
        <v>#N/A N/A</v>
        <stp/>
        <stp>BDP|1139883031586576275</stp>
        <tr r="Q452" s="2"/>
      </tp>
      <tp t="s">
        <v>#N/A N/A</v>
        <stp/>
        <stp>BDP|5882184681637306593</stp>
        <tr r="H486" s="2"/>
      </tp>
      <tp t="s">
        <v>#N/A N/A</v>
        <stp/>
        <stp>BDP|2463659288991796356</stp>
        <tr r="D51" s="2"/>
      </tp>
      <tp t="s">
        <v>#N/A N/A</v>
        <stp/>
        <stp>BDP|3659988097019578471</stp>
        <tr r="Q164" s="2"/>
      </tp>
      <tp t="s">
        <v>#N/A N/A</v>
        <stp/>
        <stp>BDP|7657773795043686494</stp>
        <tr r="E88" s="2"/>
      </tp>
      <tp t="s">
        <v>#N/A N/A</v>
        <stp/>
        <stp>BDP|5364249857445830932</stp>
        <tr r="P476" s="2"/>
      </tp>
      <tp t="s">
        <v>#N/A N/A</v>
        <stp/>
        <stp>BDP|4280258119028446119</stp>
        <tr r="O164" s="2"/>
      </tp>
      <tp t="s">
        <v>#N/A N/A</v>
        <stp/>
        <stp>BDP|2897172403369505424</stp>
        <tr r="I59" s="2"/>
      </tp>
      <tp t="s">
        <v>#N/A N/A</v>
        <stp/>
        <stp>BDP|4880968994359694375</stp>
        <tr r="M108" s="2"/>
      </tp>
      <tp t="s">
        <v>#N/A N/A</v>
        <stp/>
        <stp>BDP|3758069628867137839</stp>
        <tr r="I33" s="2"/>
      </tp>
      <tp t="s">
        <v>#N/A N/A</v>
        <stp/>
        <stp>BDP|6902541493580666433</stp>
        <tr r="E190" s="2"/>
      </tp>
      <tp t="s">
        <v>#N/A N/A</v>
        <stp/>
        <stp>BDP|8537693657025031000</stp>
        <tr r="H104" s="2"/>
      </tp>
      <tp t="s">
        <v>#N/A N/A</v>
        <stp/>
        <stp>BDP|1220675081210922164</stp>
        <tr r="O264" s="2"/>
      </tp>
      <tp t="s">
        <v>#N/A N/A</v>
        <stp/>
        <stp>BDP|6360325888607604446</stp>
        <tr r="F184" s="2"/>
      </tp>
      <tp t="s">
        <v>#N/A N/A</v>
        <stp/>
        <stp>BDP|4838954671275220154</stp>
        <tr r="P107" s="2"/>
      </tp>
      <tp t="s">
        <v>#N/A N/A</v>
        <stp/>
        <stp>BDP|3861497650375259982</stp>
        <tr r="J181" s="2"/>
      </tp>
      <tp t="s">
        <v>#N/A N/A</v>
        <stp/>
        <stp>BDP|8907316624096053176</stp>
        <tr r="I462" s="2"/>
      </tp>
      <tp t="s">
        <v>#N/A N/A</v>
        <stp/>
        <stp>BDP|3579479694478486896</stp>
        <tr r="C219" s="2"/>
      </tp>
      <tp t="s">
        <v>#N/A N/A</v>
        <stp/>
        <stp>BDP|9781979495090918776</stp>
        <tr r="G217" s="2"/>
      </tp>
      <tp t="s">
        <v>#N/A N/A</v>
        <stp/>
        <stp>BDP|5959885373075829129</stp>
        <tr r="D348" s="2"/>
      </tp>
      <tp t="s">
        <v>#N/A N/A</v>
        <stp/>
        <stp>BDP|3881530886298325863</stp>
        <tr r="C499" s="2"/>
      </tp>
      <tp t="s">
        <v>#N/A N/A</v>
        <stp/>
        <stp>BDP|8700250559824467574</stp>
        <tr r="J494" s="2"/>
      </tp>
      <tp t="s">
        <v>#N/A N/A</v>
        <stp/>
        <stp>BDP|4004999530456415656</stp>
        <tr r="P154" s="2"/>
      </tp>
      <tp t="s">
        <v>#N/A N/A</v>
        <stp/>
        <stp>BDP|9350646631830912277</stp>
        <tr r="N229" s="2"/>
      </tp>
      <tp t="s">
        <v>#N/A N/A</v>
        <stp/>
        <stp>BDP|7963476251371769909</stp>
        <tr r="K429" s="2"/>
      </tp>
      <tp t="s">
        <v>#N/A N/A</v>
        <stp/>
        <stp>BDP|3043975868321090377</stp>
        <tr r="N360" s="2"/>
      </tp>
      <tp t="s">
        <v>#N/A N/A</v>
        <stp/>
        <stp>BDP|2703147799727403360</stp>
        <tr r="N237" s="2"/>
      </tp>
      <tp t="s">
        <v>#N/A N/A</v>
        <stp/>
        <stp>BDP|3878187985796839257</stp>
        <tr r="P344" s="2"/>
      </tp>
      <tp t="s">
        <v>#N/A N/A</v>
        <stp/>
        <stp>BDP|9552948789800561651</stp>
        <tr r="J359" s="2"/>
      </tp>
      <tp t="s">
        <v>#N/A N/A</v>
        <stp/>
        <stp>BDP|3102863368936685510</stp>
        <tr r="K357" s="2"/>
      </tp>
      <tp t="s">
        <v>#N/A N/A</v>
        <stp/>
        <stp>BDP|6300588988375302089</stp>
        <tr r="O190" s="2"/>
      </tp>
      <tp t="s">
        <v>#N/A N/A</v>
        <stp/>
        <stp>BDP|2439776040856982927</stp>
        <tr r="I453" s="2"/>
      </tp>
      <tp t="s">
        <v>#N/A N/A</v>
        <stp/>
        <stp>BDP|2671790693750250261</stp>
        <tr r="K81" s="2"/>
      </tp>
      <tp t="s">
        <v>#N/A N/A</v>
        <stp/>
        <stp>BDP|9965215843982264305</stp>
        <tr r="N273" s="2"/>
      </tp>
      <tp t="s">
        <v>#N/A N/A</v>
        <stp/>
        <stp>BDP|3552979153756020781</stp>
        <tr r="Q154" s="2"/>
      </tp>
      <tp t="s">
        <v>#N/A N/A</v>
        <stp/>
        <stp>BDP|7136823873931060795</stp>
        <tr r="F357" s="2"/>
      </tp>
      <tp t="s">
        <v>#N/A N/A</v>
        <stp/>
        <stp>BDP|9773014808552547528</stp>
        <tr r="Q268" s="2"/>
      </tp>
      <tp t="s">
        <v>#N/A N/A</v>
        <stp/>
        <stp>BDP|7471432009775260859</stp>
        <tr r="L255" s="2"/>
      </tp>
      <tp t="s">
        <v>#N/A N/A</v>
        <stp/>
        <stp>BDP|2782640077675945846</stp>
        <tr r="R170" s="2"/>
      </tp>
      <tp t="s">
        <v>#N/A N/A</v>
        <stp/>
        <stp>BDP|9282631537604953664</stp>
        <tr r="G51" s="2"/>
      </tp>
      <tp t="s">
        <v>#N/A N/A</v>
        <stp/>
        <stp>BDP|4625010956029948617</stp>
        <tr r="H197" s="2"/>
      </tp>
      <tp t="s">
        <v>#N/A N/A</v>
        <stp/>
        <stp>BDP|8775146874689813967</stp>
        <tr r="H443" s="2"/>
      </tp>
      <tp t="s">
        <v>#N/A N/A</v>
        <stp/>
        <stp>BDP|3070885510557342322</stp>
        <tr r="P291" s="2"/>
      </tp>
      <tp t="s">
        <v>#N/A N/A</v>
        <stp/>
        <stp>BDP|4933722314314533830</stp>
        <tr r="N122" s="2"/>
      </tp>
      <tp t="s">
        <v>#N/A N/A</v>
        <stp/>
        <stp>BDP|7751831250741874555</stp>
        <tr r="E111" s="2"/>
      </tp>
      <tp t="s">
        <v>#N/A N/A</v>
        <stp/>
        <stp>BDP|6140453330876470998</stp>
        <tr r="R309" s="2"/>
      </tp>
      <tp t="s">
        <v>#N/A N/A</v>
        <stp/>
        <stp>BDP|7217490107674100944</stp>
        <tr r="K206" s="2"/>
      </tp>
      <tp t="s">
        <v>#N/A N/A</v>
        <stp/>
        <stp>BDP|7107953203659780998</stp>
        <tr r="P79" s="2"/>
      </tp>
      <tp t="s">
        <v>#N/A N/A</v>
        <stp/>
        <stp>BDP|4728789591893319747</stp>
        <tr r="Q466" s="2"/>
      </tp>
      <tp t="s">
        <v>#N/A N/A</v>
        <stp/>
        <stp>BDP|7755682619156828871</stp>
        <tr r="K248" s="2"/>
      </tp>
      <tp t="s">
        <v>#N/A N/A</v>
        <stp/>
        <stp>BDP|3795419808541502820</stp>
        <tr r="F126" s="2"/>
      </tp>
      <tp t="s">
        <v>#N/A N/A</v>
        <stp/>
        <stp>BDP|8016535635267615793</stp>
        <tr r="J80" s="2"/>
      </tp>
      <tp t="s">
        <v>#N/A N/A</v>
        <stp/>
        <stp>BDP|2329921867337605497</stp>
        <tr r="D331" s="2"/>
      </tp>
      <tp t="s">
        <v>#N/A N/A</v>
        <stp/>
        <stp>BDP|3571586334488542357</stp>
        <tr r="G344" s="2"/>
      </tp>
      <tp t="s">
        <v>#N/A N/A</v>
        <stp/>
        <stp>BDP|1556981334441958493</stp>
        <tr r="G362" s="2"/>
      </tp>
      <tp t="s">
        <v>#N/A N/A</v>
        <stp/>
        <stp>BDP|4022234092597785683</stp>
        <tr r="K360" s="2"/>
      </tp>
      <tp t="s">
        <v>#N/A N/A</v>
        <stp/>
        <stp>BDP|9128829192446862071</stp>
        <tr r="L324" s="2"/>
      </tp>
      <tp t="s">
        <v>#N/A N/A</v>
        <stp/>
        <stp>BDP|8562735118609774979</stp>
        <tr r="P362" s="2"/>
      </tp>
      <tp t="s">
        <v>#N/A N/A</v>
        <stp/>
        <stp>BDP|7833304143196253878</stp>
        <tr r="R179" s="2"/>
      </tp>
      <tp t="s">
        <v>#N/A N/A</v>
        <stp/>
        <stp>BDP|8853136886888444772</stp>
        <tr r="F59" s="2"/>
      </tp>
      <tp t="s">
        <v>#N/A N/A</v>
        <stp/>
        <stp>BDP|8734132428996671342</stp>
        <tr r="N241" s="2"/>
      </tp>
      <tp t="s">
        <v>#N/A N/A</v>
        <stp/>
        <stp>BDP|1019470993753822128</stp>
        <tr r="C453" s="2"/>
      </tp>
      <tp t="s">
        <v>#N/A N/A</v>
        <stp/>
        <stp>BDP|1156821846910960327</stp>
        <tr r="K164" s="2"/>
      </tp>
      <tp t="s">
        <v>#N/A N/A</v>
        <stp/>
        <stp>BDP|8737740789698713138</stp>
        <tr r="H478" s="2"/>
      </tp>
      <tp t="s">
        <v>#N/A N/A</v>
        <stp/>
        <stp>BDP|4987846849294320291</stp>
        <tr r="K222" s="2"/>
      </tp>
      <tp t="s">
        <v>#N/A N/A</v>
        <stp/>
        <stp>BDP|6401639983362878423</stp>
        <tr r="K394" s="2"/>
      </tp>
      <tp t="s">
        <v>#N/A N/A</v>
        <stp/>
        <stp>BDP|8958686361550809667</stp>
        <tr r="L359" s="2"/>
      </tp>
      <tp t="s">
        <v>#N/A N/A</v>
        <stp/>
        <stp>BDP|4879725540040636920</stp>
        <tr r="R263" s="2"/>
      </tp>
      <tp t="s">
        <v>#N/A N/A</v>
        <stp/>
        <stp>BDP|6589194617001554909</stp>
        <tr r="E287" s="2"/>
      </tp>
      <tp t="s">
        <v>#N/A N/A</v>
        <stp/>
        <stp>BDP|4871864956592347551</stp>
        <tr r="H210" s="2"/>
      </tp>
      <tp t="s">
        <v>#N/A N/A</v>
        <stp/>
        <stp>BDP|8265486101042536000</stp>
        <tr r="O13" s="2"/>
      </tp>
      <tp t="s">
        <v>#N/A N/A</v>
        <stp/>
        <stp>BDP|1727929729333122738</stp>
        <tr r="O181" s="2"/>
      </tp>
      <tp t="s">
        <v>#N/A N/A</v>
        <stp/>
        <stp>BDP|3984972256667661608</stp>
        <tr r="L436" s="2"/>
      </tp>
      <tp t="s">
        <v>#N/A N/A</v>
        <stp/>
        <stp>BDP|9758194730667305232</stp>
        <tr r="H190" s="2"/>
      </tp>
      <tp t="s">
        <v>#N/A N/A</v>
        <stp/>
        <stp>BDP|5314247121063139890</stp>
        <tr r="L410" s="2"/>
      </tp>
      <tp t="s">
        <v>#N/A N/A</v>
        <stp/>
        <stp>BDP|5186811006824955712</stp>
        <tr r="P415" s="2"/>
      </tp>
      <tp t="s">
        <v>#N/A N/A</v>
        <stp/>
        <stp>BDP|3515317289020159625</stp>
        <tr r="G236" s="2"/>
      </tp>
      <tp t="s">
        <v>#N/A N/A</v>
        <stp/>
        <stp>BDP|1489810670889880921</stp>
        <tr r="O321" s="2"/>
      </tp>
      <tp t="s">
        <v>#N/A N/A</v>
        <stp/>
        <stp>BDP|8985242201773445772</stp>
        <tr r="G357" s="2"/>
      </tp>
      <tp t="s">
        <v>#N/A N/A</v>
        <stp/>
        <stp>BDP|5846776112699289406</stp>
        <tr r="D247" s="2"/>
      </tp>
      <tp t="s">
        <v>#N/A N/A</v>
        <stp/>
        <stp>BDP|9091268559078049809</stp>
        <tr r="R363" s="2"/>
      </tp>
      <tp t="s">
        <v>#N/A N/A</v>
        <stp/>
        <stp>BDP|8190382513046032258</stp>
        <tr r="Q4" s="2"/>
      </tp>
      <tp t="s">
        <v>#N/A N/A</v>
        <stp/>
        <stp>BDP|8502787924505317653</stp>
        <tr r="D196" s="2"/>
      </tp>
      <tp t="s">
        <v>#N/A N/A</v>
        <stp/>
        <stp>BDP|4406696215468333546</stp>
        <tr r="G303" s="2"/>
      </tp>
      <tp t="s">
        <v>#N/A N/A</v>
        <stp/>
        <stp>BDP|9314305458789624827</stp>
        <tr r="O97" s="2"/>
      </tp>
      <tp>
        <v>-0.61000001430511475</v>
        <stp/>
        <stp>BDP|6551349500033918899|22</stp>
        <stp>BF/B UN Equity</stp>
        <stp>RT_PX_CHG_PCT_1D</stp>
        <tr r="B77" s="2"/>
      </tp>
      <tp t="s">
        <v>#N/A N/A</v>
        <stp/>
        <stp>BDP|4921158361659936486</stp>
        <tr r="J495" s="2"/>
      </tp>
      <tp t="s">
        <v>#N/A N/A</v>
        <stp/>
        <stp>BDP|9187472339661546163</stp>
        <tr r="D327" s="2"/>
      </tp>
      <tp t="s">
        <v>#N/A N/A</v>
        <stp/>
        <stp>BDP|6501190595943064355</stp>
        <tr r="F329" s="2"/>
      </tp>
      <tp t="s">
        <v>#N/A N/A</v>
        <stp/>
        <stp>BDP|2122558611558954007</stp>
        <tr r="I285" s="2"/>
      </tp>
      <tp t="s">
        <v>#N/A N/A</v>
        <stp/>
        <stp>BDP|7194996016545676441</stp>
        <tr r="J137" s="2"/>
      </tp>
      <tp t="s">
        <v>#N/A N/A</v>
        <stp/>
        <stp>BDP|3167789746469464771</stp>
        <tr r="M220" s="2"/>
      </tp>
      <tp t="s">
        <v>#N/A N/A</v>
        <stp/>
        <stp>BDP|4493537742738876311</stp>
        <tr r="Q168" s="2"/>
      </tp>
      <tp t="s">
        <v>#N/A N/A</v>
        <stp/>
        <stp>BDP|8164182915681625762</stp>
        <tr r="F352" s="2"/>
      </tp>
      <tp t="s">
        <v>#N/A N/A</v>
        <stp/>
        <stp>BDP|2118589533639357359</stp>
        <tr r="J127" s="2"/>
      </tp>
      <tp t="s">
        <v>#N/A N/A</v>
        <stp/>
        <stp>BDP|5711413594014866261</stp>
        <tr r="E161" s="2"/>
      </tp>
      <tp t="s">
        <v>#N/A N/A</v>
        <stp/>
        <stp>BDP|9917077139250333481</stp>
        <tr r="Q20" s="2"/>
      </tp>
      <tp t="s">
        <v>#N/A N/A</v>
        <stp/>
        <stp>BDP|1691089890914772247</stp>
        <tr r="H97" s="2"/>
      </tp>
      <tp t="s">
        <v>#N/A N/A</v>
        <stp/>
        <stp>BDP|6653187683127381633</stp>
        <tr r="D447" s="2"/>
      </tp>
      <tp t="s">
        <v>#N/A N/A</v>
        <stp/>
        <stp>BDP|1442182511089283624</stp>
        <tr r="I156" s="2"/>
      </tp>
      <tp t="s">
        <v>#N/A N/A</v>
        <stp/>
        <stp>BDP|4899535395794167220</stp>
        <tr r="G65" s="2"/>
      </tp>
      <tp t="s">
        <v>#N/A N/A</v>
        <stp/>
        <stp>BDP|3938901685309997585</stp>
        <tr r="E464" s="2"/>
      </tp>
      <tp t="s">
        <v>#N/A N/A</v>
        <stp/>
        <stp>BDP|1399104805307257995</stp>
        <tr r="G255" s="2"/>
      </tp>
      <tp t="s">
        <v>#N/A N/A</v>
        <stp/>
        <stp>BDP|7373718593666466177</stp>
        <tr r="E10" s="2"/>
      </tp>
      <tp t="s">
        <v>#N/A N/A</v>
        <stp/>
        <stp>BDP|4454326593932300241</stp>
        <tr r="E315" s="2"/>
      </tp>
      <tp t="s">
        <v>#N/A N/A</v>
        <stp/>
        <stp>BDP|8507032325060390421</stp>
        <tr r="P163" s="2"/>
      </tp>
      <tp t="s">
        <v>#N/A N/A</v>
        <stp/>
        <stp>BDP|3473659081623671042</stp>
        <tr r="P169" s="2"/>
      </tp>
      <tp t="s">
        <v>#N/A N/A</v>
        <stp/>
        <stp>BDP|1615049588954987314</stp>
        <tr r="I449" s="2"/>
      </tp>
      <tp t="s">
        <v>#N/A N/A</v>
        <stp/>
        <stp>BDP|3750153722827573977</stp>
        <tr r="O390" s="2"/>
      </tp>
      <tp t="s">
        <v>#N/A N/A</v>
        <stp/>
        <stp>BDP|7465969481169498159</stp>
        <tr r="H177" s="2"/>
      </tp>
      <tp t="s">
        <v>#N/A N/A</v>
        <stp/>
        <stp>BDP|4445387219108770004</stp>
        <tr r="I92" s="2"/>
      </tp>
      <tp t="s">
        <v>#N/A N/A</v>
        <stp/>
        <stp>BDP|1076828859610194281</stp>
        <tr r="J140" s="2"/>
      </tp>
      <tp t="s">
        <v>#N/A N/A</v>
        <stp/>
        <stp>BDP|9643316523206584038</stp>
        <tr r="K374" s="2"/>
      </tp>
      <tp t="s">
        <v>#N/A N/A</v>
        <stp/>
        <stp>BDP|7774782912137671893</stp>
        <tr r="C323" s="2"/>
      </tp>
      <tp t="s">
        <v>#N/A N/A</v>
        <stp/>
        <stp>BDP|6199033611528241138</stp>
        <tr r="Q363" s="2"/>
      </tp>
      <tp t="s">
        <v>#N/A N/A</v>
        <stp/>
        <stp>BDP|4324921606363461014</stp>
        <tr r="E115" s="2"/>
      </tp>
      <tp t="s">
        <v>#N/A N/A</v>
        <stp/>
        <stp>BDP|4805532748163048815</stp>
        <tr r="N359" s="2"/>
      </tp>
      <tp t="s">
        <v>#N/A N/A</v>
        <stp/>
        <stp>BDP|7064661656279139333</stp>
        <tr r="Q332" s="2"/>
      </tp>
      <tp t="s">
        <v>#N/A N/A</v>
        <stp/>
        <stp>BDP|4702268931852575972</stp>
        <tr r="R209" s="2"/>
      </tp>
      <tp t="s">
        <v>#N/A N/A</v>
        <stp/>
        <stp>BDP|5433944107305149745</stp>
        <tr r="D361" s="2"/>
      </tp>
      <tp t="s">
        <v>#N/A N/A</v>
        <stp/>
        <stp>BDP|9774958835605640839</stp>
        <tr r="C5" s="2"/>
      </tp>
      <tp t="s">
        <v>#N/A N/A</v>
        <stp/>
        <stp>BDP|9680643404282643329</stp>
        <tr r="P442" s="2"/>
      </tp>
      <tp t="s">
        <v>#N/A N/A</v>
        <stp/>
        <stp>BDP|7113990935172918166</stp>
        <tr r="N354" s="2"/>
      </tp>
      <tp t="s">
        <v>#N/A N/A</v>
        <stp/>
        <stp>BDP|4926499083027110112</stp>
        <tr r="Q451" s="2"/>
      </tp>
      <tp t="s">
        <v>#N/A N/A</v>
        <stp/>
        <stp>BDP|4094375284062715376</stp>
        <tr r="G211" s="2"/>
      </tp>
      <tp t="s">
        <v>#N/A N/A</v>
        <stp/>
        <stp>BDP|4591813644256375004</stp>
        <tr r="E410" s="2"/>
      </tp>
      <tp t="s">
        <v>#N/A N/A</v>
        <stp/>
        <stp>BDP|2404847023877240120</stp>
        <tr r="J408" s="2"/>
      </tp>
      <tp t="s">
        <v>#N/A N/A</v>
        <stp/>
        <stp>BDP|8711099441796473485</stp>
        <tr r="F430" s="2"/>
      </tp>
      <tp t="s">
        <v>#N/A N/A</v>
        <stp/>
        <stp>BDP|8935774796241926929</stp>
        <tr r="I497" s="2"/>
      </tp>
      <tp t="s">
        <v>#N/A N/A</v>
        <stp/>
        <stp>BDP|7069737057182669917</stp>
        <tr r="I52" s="2"/>
      </tp>
      <tp t="s">
        <v>#N/A N/A</v>
        <stp/>
        <stp>BDP|6330077874249127625</stp>
        <tr r="O53" s="2"/>
      </tp>
      <tp t="s">
        <v>#N/A N/A</v>
        <stp/>
        <stp>BDP|1438617596683640366</stp>
        <tr r="L249" s="2"/>
      </tp>
      <tp t="s">
        <v>#N/A N/A</v>
        <stp/>
        <stp>BDP|4870878048960747632</stp>
        <tr r="E397" s="2"/>
      </tp>
      <tp t="s">
        <v>#N/A N/A</v>
        <stp/>
        <stp>BDP|3565925057373431270</stp>
        <tr r="H29" s="2"/>
      </tp>
      <tp t="s">
        <v>#N/A N/A</v>
        <stp/>
        <stp>BDP|1196648603080470915</stp>
        <tr r="P49" s="2"/>
      </tp>
      <tp t="s">
        <v>#N/A N/A</v>
        <stp/>
        <stp>BDP|9035234564471437202</stp>
        <tr r="N281" s="2"/>
      </tp>
      <tp t="s">
        <v>#N/A N/A</v>
        <stp/>
        <stp>BDP|6923955616210112080</stp>
        <tr r="L495" s="2"/>
      </tp>
      <tp t="s">
        <v>#N/A N/A</v>
        <stp/>
        <stp>BDP|8279368646762888394</stp>
        <tr r="I259" s="2"/>
      </tp>
      <tp t="s">
        <v>#N/A N/A</v>
        <stp/>
        <stp>BDP|5655013875445540941</stp>
        <tr r="M292" s="2"/>
      </tp>
      <tp t="s">
        <v>#N/A N/A</v>
        <stp/>
        <stp>BDP|9423028970940167042</stp>
        <tr r="E216" s="2"/>
      </tp>
      <tp t="s">
        <v>#N/A N/A</v>
        <stp/>
        <stp>BDP|8871887532165379821</stp>
        <tr r="Q381" s="2"/>
      </tp>
      <tp t="s">
        <v>#N/A N/A</v>
        <stp/>
        <stp>BDP|2864287392833581447</stp>
        <tr r="L71" s="2"/>
      </tp>
      <tp t="s">
        <v>#N/A N/A</v>
        <stp/>
        <stp>BDP|9938003405666688198</stp>
        <tr r="E456" s="2"/>
      </tp>
      <tp t="s">
        <v>#N/A N/A</v>
        <stp/>
        <stp>BDP|7711039480370076145</stp>
        <tr r="D143" s="2"/>
      </tp>
      <tp t="s">
        <v>#N/A N/A</v>
        <stp/>
        <stp>BDP|7687097935289268387</stp>
        <tr r="E342" s="2"/>
      </tp>
      <tp t="s">
        <v>#N/A N/A</v>
        <stp/>
        <stp>BDP|9333169311107435007</stp>
        <tr r="M361" s="2"/>
      </tp>
      <tp t="s">
        <v>#N/A N/A</v>
        <stp/>
        <stp>BDP|4420743192394183034</stp>
        <tr r="F60" s="2"/>
      </tp>
      <tp t="s">
        <v>#N/A N/A</v>
        <stp/>
        <stp>BDP|1850805632580310495</stp>
        <tr r="M190" s="2"/>
      </tp>
      <tp t="s">
        <v>#N/A N/A</v>
        <stp/>
        <stp>BDP|7331555452039363070</stp>
        <tr r="F261" s="2"/>
      </tp>
      <tp t="s">
        <v>#N/A N/A</v>
        <stp/>
        <stp>BDP|4231517084450053777</stp>
        <tr r="Q190" s="2"/>
      </tp>
      <tp t="s">
        <v>#N/A N/A</v>
        <stp/>
        <stp>BDP|1698901618164622389</stp>
        <tr r="R493" s="2"/>
      </tp>
      <tp t="s">
        <v>#N/A N/A</v>
        <stp/>
        <stp>BDP|1074839130503592765</stp>
        <tr r="I456" s="2"/>
      </tp>
      <tp t="s">
        <v>#N/A N/A</v>
        <stp/>
        <stp>BDP|4149083947518669683</stp>
        <tr r="G150" s="2"/>
      </tp>
      <tp t="s">
        <v>#N/A N/A</v>
        <stp/>
        <stp>BDP|5476078454619474727</stp>
        <tr r="K433" s="2"/>
      </tp>
      <tp t="s">
        <v>#N/A N/A</v>
        <stp/>
        <stp>BDP|8493092087197321981</stp>
        <tr r="E330" s="2"/>
      </tp>
      <tp t="s">
        <v>#N/A N/A</v>
        <stp/>
        <stp>BDP|6507168692594971491</stp>
        <tr r="C80" s="2"/>
      </tp>
      <tp t="s">
        <v>#N/A N/A</v>
        <stp/>
        <stp>BDP|9483710547103014732</stp>
        <tr r="Q464" s="2"/>
      </tp>
      <tp t="s">
        <v>#N/A N/A</v>
        <stp/>
        <stp>BDP|5951102429418463058</stp>
        <tr r="P483" s="2"/>
      </tp>
      <tp t="s">
        <v>#N/A N/A</v>
        <stp/>
        <stp>BDP|1261680854939659596</stp>
        <tr r="Q411" s="2"/>
      </tp>
      <tp t="s">
        <v>#N/A N/A</v>
        <stp/>
        <stp>BDP|7310256737351494942</stp>
        <tr r="Q88" s="2"/>
      </tp>
      <tp t="s">
        <v>#N/A N/A</v>
        <stp/>
        <stp>BDP|6370080183636839613</stp>
        <tr r="H446" s="2"/>
      </tp>
      <tp t="s">
        <v>#N/A N/A</v>
        <stp/>
        <stp>BDP|9733572167182155675</stp>
        <tr r="H54" s="2"/>
      </tp>
      <tp t="s">
        <v>#N/A N/A</v>
        <stp/>
        <stp>BDP|8645050128617985339</stp>
        <tr r="M424" s="2"/>
      </tp>
      <tp t="s">
        <v>#N/A N/A</v>
        <stp/>
        <stp>BDP|7635513197123417653</stp>
        <tr r="D349" s="2"/>
      </tp>
      <tp t="s">
        <v>#N/A N/A</v>
        <stp/>
        <stp>BDP|5014844923766105771</stp>
        <tr r="M89" s="2"/>
      </tp>
      <tp t="s">
        <v>#N/A N/A</v>
        <stp/>
        <stp>BDP|6234719702576542959</stp>
        <tr r="L6" s="2"/>
      </tp>
      <tp t="s">
        <v>#N/A N/A</v>
        <stp/>
        <stp>BDP|8632455769644311083</stp>
        <tr r="Q245" s="2"/>
      </tp>
      <tp t="s">
        <v>#N/A N/A</v>
        <stp/>
        <stp>BDP|5263954368397612385</stp>
        <tr r="J143" s="2"/>
      </tp>
      <tp t="s">
        <v>#N/A N/A</v>
        <stp/>
        <stp>BDP|8134354168231815253</stp>
        <tr r="C408" s="2"/>
      </tp>
      <tp t="s">
        <v>#N/A N/A</v>
        <stp/>
        <stp>BDP|4424987061791848440</stp>
        <tr r="F217" s="2"/>
      </tp>
      <tp t="s">
        <v>#N/A N/A</v>
        <stp/>
        <stp>BDP|3325214144243692867</stp>
        <tr r="G458" s="2"/>
      </tp>
      <tp t="s">
        <v>#N/A N/A</v>
        <stp/>
        <stp>BDP|5544089989744619747</stp>
        <tr r="L278" s="2"/>
      </tp>
      <tp t="s">
        <v>#N/A N/A</v>
        <stp/>
        <stp>BDP|6643167261927143862</stp>
        <tr r="R498" s="2"/>
      </tp>
      <tp t="s">
        <v>#N/A N/A</v>
        <stp/>
        <stp>BDP|9196322821725043346</stp>
        <tr r="C275" s="2"/>
      </tp>
      <tp t="s">
        <v>#N/A N/A</v>
        <stp/>
        <stp>BDP|8455503276615276164</stp>
        <tr r="K396" s="2"/>
      </tp>
      <tp t="s">
        <v>#N/A N/A</v>
        <stp/>
        <stp>BDP|3713012520799829682</stp>
        <tr r="N445" s="2"/>
      </tp>
      <tp t="s">
        <v>#N/A N/A</v>
        <stp/>
        <stp>BDP|5999810818481691303</stp>
        <tr r="D49" s="2"/>
      </tp>
      <tp t="s">
        <v>#N/A N/A</v>
        <stp/>
        <stp>BDP|9418756707743371330</stp>
        <tr r="E133" s="2"/>
      </tp>
      <tp t="s">
        <v>#N/A N/A</v>
        <stp/>
        <stp>BDP|1367944364995680535</stp>
        <tr r="J183" s="2"/>
      </tp>
      <tp t="s">
        <v>#N/A N/A</v>
        <stp/>
        <stp>BDP|5704633385393300646</stp>
        <tr r="M362" s="2"/>
      </tp>
      <tp t="s">
        <v>#N/A N/A</v>
        <stp/>
        <stp>BDP|9469552434076641749</stp>
        <tr r="N110" s="2"/>
      </tp>
      <tp t="s">
        <v>#N/A N/A</v>
        <stp/>
        <stp>BDP|9505918142459159306</stp>
        <tr r="C144" s="2"/>
      </tp>
      <tp t="s">
        <v>#N/A N/A</v>
        <stp/>
        <stp>BDP|5996156205722970871</stp>
        <tr r="F230" s="2"/>
      </tp>
      <tp t="s">
        <v>#N/A N/A</v>
        <stp/>
        <stp>BDP|1569510627791296969</stp>
        <tr r="C400" s="2"/>
      </tp>
      <tp t="s">
        <v>#N/A N/A</v>
        <stp/>
        <stp>BDP|2748931163551501251</stp>
        <tr r="P337" s="2"/>
      </tp>
      <tp t="s">
        <v>#N/A N/A</v>
        <stp/>
        <stp>BDP|9108872119207142994</stp>
        <tr r="G286" s="2"/>
      </tp>
      <tp t="s">
        <v>#N/A N/A</v>
        <stp/>
        <stp>BDP|5834253297214448495</stp>
        <tr r="L276" s="2"/>
      </tp>
      <tp t="s">
        <v>#N/A N/A</v>
        <stp/>
        <stp>BDP|8604156968982849349</stp>
        <tr r="G203" s="2"/>
      </tp>
      <tp t="s">
        <v>#N/A N/A</v>
        <stp/>
        <stp>BDP|6031134272086324857</stp>
        <tr r="D418" s="2"/>
      </tp>
      <tp t="s">
        <v>#N/A N/A</v>
        <stp/>
        <stp>BDP|2523887882215841906</stp>
        <tr r="Q436" s="2"/>
      </tp>
      <tp t="s">
        <v>#N/A N/A</v>
        <stp/>
        <stp>BDP|7813483878729717380</stp>
        <tr r="M233" s="2"/>
      </tp>
      <tp t="s">
        <v>#N/A N/A</v>
        <stp/>
        <stp>BDP|6105674870019737061</stp>
        <tr r="Q484" s="2"/>
      </tp>
      <tp t="s">
        <v>#N/A N/A</v>
        <stp/>
        <stp>BDP|6125946606651734008</stp>
        <tr r="M104" s="2"/>
      </tp>
      <tp t="s">
        <v>#N/A N/A</v>
        <stp/>
        <stp>BDP|3923525385913858323</stp>
        <tr r="O56" s="2"/>
      </tp>
      <tp t="s">
        <v>#N/A N/A</v>
        <stp/>
        <stp>BDP|1352742482690630078</stp>
        <tr r="R370" s="2"/>
      </tp>
      <tp t="s">
        <v>#N/A N/A</v>
        <stp/>
        <stp>BDP|5652334403258389011</stp>
        <tr r="M431" s="2"/>
      </tp>
      <tp t="s">
        <v>#N/A N/A</v>
        <stp/>
        <stp>BDP|6347548093050559454</stp>
        <tr r="I326" s="2"/>
      </tp>
      <tp t="s">
        <v>#N/A N/A</v>
        <stp/>
        <stp>BDP|9682443622074344573</stp>
        <tr r="L141" s="2"/>
      </tp>
      <tp t="s">
        <v>#N/A N/A</v>
        <stp/>
        <stp>BDP|6002561433149640778</stp>
        <tr r="O294" s="2"/>
      </tp>
      <tp t="s">
        <v>#N/A N/A</v>
        <stp/>
        <stp>BDP|7347428845779430044</stp>
        <tr r="K95" s="2"/>
      </tp>
      <tp t="s">
        <v>#N/A N/A</v>
        <stp/>
        <stp>BDP|5865539763831593990</stp>
        <tr r="Q397" s="2"/>
      </tp>
      <tp t="s">
        <v>#N/A N/A</v>
        <stp/>
        <stp>BDP|6613562768843480882</stp>
        <tr r="F168" s="2"/>
      </tp>
      <tp t="s">
        <v>#N/A N/A</v>
        <stp/>
        <stp>BDP|9007045366936069768</stp>
        <tr r="N347" s="2"/>
      </tp>
      <tp t="s">
        <v>#N/A N/A</v>
        <stp/>
        <stp>BDP|6581740492266773008</stp>
        <tr r="I351" s="2"/>
      </tp>
      <tp t="s">
        <v>#N/A N/A</v>
        <stp/>
        <stp>BDP|9968246026321956662</stp>
        <tr r="D335" s="2"/>
      </tp>
      <tp t="s">
        <v>#N/A N/A</v>
        <stp/>
        <stp>BDP|4354442368238974025</stp>
        <tr r="C336" s="2"/>
      </tp>
      <tp t="s">
        <v>#N/A N/A</v>
        <stp/>
        <stp>BDP|2493460175529189623</stp>
        <tr r="F211" s="2"/>
      </tp>
      <tp t="s">
        <v>#N/A N/A</v>
        <stp/>
        <stp>BDP|2678902751722206215</stp>
        <tr r="F156" s="2"/>
      </tp>
      <tp t="s">
        <v>#N/A N/A</v>
        <stp/>
        <stp>BDP|1282016504706479967</stp>
        <tr r="E208" s="2"/>
      </tp>
      <tp t="s">
        <v>#N/A N/A</v>
        <stp/>
        <stp>BDP|4766859472743132640</stp>
        <tr r="P338" s="2"/>
      </tp>
      <tp t="s">
        <v>#N/A N/A</v>
        <stp/>
        <stp>BDP|6328916492091497916</stp>
        <tr r="N36" s="2"/>
      </tp>
      <tp t="s">
        <v>#N/A N/A</v>
        <stp/>
        <stp>BDP|8544061237456989382</stp>
        <tr r="L159" s="2"/>
      </tp>
      <tp t="s">
        <v>#N/A N/A</v>
        <stp/>
        <stp>BDP|3860365285925756392</stp>
        <tr r="N296" s="2"/>
      </tp>
      <tp t="s">
        <v>#N/A N/A</v>
        <stp/>
        <stp>BDP|6727328618499045387</stp>
        <tr r="H71" s="2"/>
      </tp>
      <tp t="s">
        <v>#N/A N/A</v>
        <stp/>
        <stp>BDP|6624828350205363022</stp>
        <tr r="G378" s="2"/>
      </tp>
      <tp t="s">
        <v>#N/A N/A</v>
        <stp/>
        <stp>BDP|2972215460730596882</stp>
        <tr r="Q171" s="2"/>
      </tp>
      <tp t="s">
        <v>#N/A N/A</v>
        <stp/>
        <stp>BDP|7258533804224663863</stp>
        <tr r="P142" s="2"/>
      </tp>
      <tp t="s">
        <v>#N/A N/A</v>
        <stp/>
        <stp>BDP|6104176472878684677</stp>
        <tr r="C118" s="2"/>
      </tp>
      <tp t="s">
        <v>#N/A N/A</v>
        <stp/>
        <stp>BDP|7007830044361508472</stp>
        <tr r="F206" s="2"/>
      </tp>
      <tp t="s">
        <v>#N/A N/A</v>
        <stp/>
        <stp>BDP|1648491799636157427</stp>
        <tr r="I2" s="2"/>
      </tp>
      <tp t="s">
        <v>#N/A N/A</v>
        <stp/>
        <stp>BDP|2163224920704041860</stp>
        <tr r="L247" s="2"/>
      </tp>
      <tp t="s">
        <v>#N/A N/A</v>
        <stp/>
        <stp>BDP|3163836703383309673</stp>
        <tr r="R319" s="2"/>
      </tp>
      <tp t="s">
        <v>#N/A N/A</v>
        <stp/>
        <stp>BDP|4546821530035459460</stp>
        <tr r="I349" s="2"/>
      </tp>
      <tp t="s">
        <v>#N/A N/A</v>
        <stp/>
        <stp>BDP|7099760644272398841</stp>
        <tr r="O426" s="2"/>
      </tp>
      <tp t="s">
        <v>#N/A N/A</v>
        <stp/>
        <stp>BDP|1436742793674104575</stp>
        <tr r="G291" s="2"/>
      </tp>
      <tp t="s">
        <v>#N/A N/A</v>
        <stp/>
        <stp>BDP|3252633690311269366</stp>
        <tr r="D461" s="2"/>
      </tp>
      <tp t="s">
        <v>#N/A N/A</v>
        <stp/>
        <stp>BDP|2033696618472101957</stp>
        <tr r="C161" s="2"/>
      </tp>
      <tp t="s">
        <v>#N/A N/A</v>
        <stp/>
        <stp>BDP|8019160712343469552</stp>
        <tr r="R226" s="2"/>
      </tp>
      <tp>
        <v>1.0693999528884888</v>
        <stp/>
        <stp>BDP|12522852924888814334|22</stp>
        <stp>RTX UN Equity</stp>
        <stp>RT_PX_CHG_PCT_1D</stp>
        <tr r="B35" s="2"/>
      </tp>
      <tp>
        <v>-5.5858001708984375</v>
        <stp/>
        <stp>BDP|11621770681855650802|22</stp>
        <stp>WST UN Equity</stp>
        <stp>RT_PX_CHG_PCT_1D</stp>
        <tr r="B206" s="2"/>
      </tp>
      <tp>
        <v>0.55099999904632568</v>
        <stp/>
        <stp>BDP|12391167732299398428|22</stp>
        <stp>SYY UN Equity</stp>
        <stp>RT_PX_CHG_PCT_1D</stp>
        <tr r="B218" s="2"/>
      </tp>
      <tp>
        <v>1.3033000230789185</v>
        <stp/>
        <stp>BDP|11264280501954361774|22</stp>
        <stp>SPG UN Equity</stp>
        <stp>RT_PX_CHG_PCT_1D</stp>
        <tr r="B307" s="2"/>
      </tp>
      <tp>
        <v>9.0099997818470001E-2</v>
        <stp/>
        <stp>BDP|10308887855800733381|22</stp>
        <stp>UHS UN Equity</stp>
        <stp>RT_PX_CHG_PCT_1D</stp>
        <tr r="B334" s="2"/>
      </tp>
      <tp>
        <v>1.7319999933242798</v>
        <stp/>
        <stp>BDP|14768777523326871088|22</stp>
        <stp>SYK UN Equity</stp>
        <stp>RT_PX_CHG_PCT_1D</stp>
        <tr r="B254" s="2"/>
      </tp>
      <tp>
        <v>0.25699999928474426</v>
        <stp/>
        <stp>BDP|13094411048395360660|22</stp>
        <stp>MTD UN Equity</stp>
        <stp>RT_PX_CHG_PCT_1D</stp>
        <tr r="B432" s="2"/>
      </tp>
      <tp>
        <v>0.17200000584125519</v>
        <stp/>
        <stp>BDP|17327208153726983488|22</stp>
        <stp>GWW UN Equity</stp>
        <stp>RT_PX_CHG_PCT_1D</stp>
        <tr r="B131" s="2"/>
      </tp>
      <tp>
        <v>0.85500001907348633</v>
        <stp/>
        <stp>BDP|17813336091755796904|22</stp>
        <stp>CME UW Equity</stp>
        <stp>RT_PX_CHG_PCT_1D</stp>
        <tr r="B385" s="2"/>
      </tp>
      <tp>
        <v>-1.9799999892711639E-2</v>
        <stp/>
        <stp>BDP|13798598574802762372|22</stp>
        <stp>MAA UN Equity</stp>
        <stp>RT_PX_CHG_PCT_1D</stp>
        <tr r="B426" s="2"/>
      </tp>
      <tp>
        <v>-4.9699999392032623E-2</v>
        <stp/>
        <stp>BDP|10738498114512035280|22</stp>
        <stp>ITW UN Equity</stp>
        <stp>RT_PX_CHG_PCT_1D</stp>
        <tr r="B145" s="2"/>
      </tp>
      <tp>
        <v>-0.414000004529953</v>
        <stp/>
        <stp>BDP|16878428678460973601|22</stp>
        <stp>LNT UW Equity</stp>
        <stp>RT_PX_CHG_PCT_1D</stp>
        <tr r="B102" s="2"/>
      </tp>
      <tp>
        <v>0.38580000400543213</v>
        <stp/>
        <stp>BDP|12980382945463682315|22</stp>
        <stp>MO UN Equity</stp>
        <stp>RT_PX_CHG_PCT_1D</stp>
        <tr r="B47" s="2"/>
      </tp>
      <tp t="s">
        <v>#N/A N/A</v>
        <stp/>
        <stp>BDP|7854577680695697034</stp>
        <tr r="R423" s="2"/>
      </tp>
      <tp t="s">
        <v>#N/A N/A</v>
        <stp/>
        <stp>BDP|6070117151884801921</stp>
        <tr r="J285" s="2"/>
      </tp>
      <tp t="s">
        <v>#N/A N/A</v>
        <stp/>
        <stp>BDP|2497886641716617712</stp>
        <tr r="N401" s="2"/>
      </tp>
      <tp t="s">
        <v>#N/A N/A</v>
        <stp/>
        <stp>BDP|7213297010889832297</stp>
        <tr r="R45" s="2"/>
      </tp>
      <tp t="s">
        <v>#N/A N/A</v>
        <stp/>
        <stp>BDP|9995706403200878187</stp>
        <tr r="H403" s="2"/>
      </tp>
      <tp t="s">
        <v>#N/A N/A</v>
        <stp/>
        <stp>BDP|8639571053141885607</stp>
        <tr r="E465" s="2"/>
      </tp>
      <tp t="s">
        <v>#N/A N/A</v>
        <stp/>
        <stp>BDP|9210150348731207279</stp>
        <tr r="D239" s="2"/>
      </tp>
      <tp t="s">
        <v>#N/A N/A</v>
        <stp/>
        <stp>BDP|9985755817791764163</stp>
        <tr r="Q291" s="2"/>
      </tp>
      <tp t="s">
        <v>#N/A N/A</v>
        <stp/>
        <stp>BDP|5907318695457402732</stp>
        <tr r="R279" s="2"/>
      </tp>
      <tp t="s">
        <v>#N/A N/A</v>
        <stp/>
        <stp>BDP|1358358214118129490</stp>
        <tr r="D478" s="2"/>
      </tp>
      <tp t="s">
        <v>#N/A N/A</v>
        <stp/>
        <stp>BDP|7542461908984896894</stp>
        <tr r="N458" s="2"/>
      </tp>
      <tp t="s">
        <v>#N/A N/A</v>
        <stp/>
        <stp>BDP|2190985635611533639</stp>
        <tr r="J231" s="2"/>
      </tp>
      <tp t="s">
        <v>#N/A N/A</v>
        <stp/>
        <stp>BDP|8608679557916868245</stp>
        <tr r="J227" s="2"/>
      </tp>
      <tp t="s">
        <v>#N/A N/A</v>
        <stp/>
        <stp>BDP|1165731617079674193</stp>
        <tr r="I15" s="2"/>
      </tp>
      <tp t="s">
        <v>#N/A N/A</v>
        <stp/>
        <stp>BDP|7804975023470659306</stp>
        <tr r="Q258" s="2"/>
      </tp>
      <tp t="s">
        <v>#N/A N/A</v>
        <stp/>
        <stp>BDP|8751570177734519187</stp>
        <tr r="N377" s="2"/>
      </tp>
      <tp t="s">
        <v>#N/A N/A</v>
        <stp/>
        <stp>BDP|8324230613807822303</stp>
        <tr r="P464" s="2"/>
      </tp>
      <tp t="s">
        <v>#N/A N/A</v>
        <stp/>
        <stp>BDP|9117278569057558510</stp>
        <tr r="G369" s="2"/>
      </tp>
      <tp t="s">
        <v>#N/A N/A</v>
        <stp/>
        <stp>BDP|5913539377700392859</stp>
        <tr r="P122" s="2"/>
      </tp>
      <tp t="s">
        <v>#N/A N/A</v>
        <stp/>
        <stp>BDP|9762665878983638446</stp>
        <tr r="M100" s="2"/>
      </tp>
      <tp t="s">
        <v>#N/A N/A</v>
        <stp/>
        <stp>BDP|9379676029042304052</stp>
        <tr r="N74" s="2"/>
      </tp>
      <tp t="s">
        <v>#N/A N/A</v>
        <stp/>
        <stp>BDP|5356961538498411822</stp>
        <tr r="O40" s="2"/>
      </tp>
      <tp t="s">
        <v>#N/A N/A</v>
        <stp/>
        <stp>BDP|3789082482056192271</stp>
        <tr r="L253" s="2"/>
      </tp>
      <tp t="s">
        <v>#N/A N/A</v>
        <stp/>
        <stp>BDP|5820286879789070620</stp>
        <tr r="O186" s="2"/>
      </tp>
      <tp t="s">
        <v>#N/A N/A</v>
        <stp/>
        <stp>BDP|5399727008865267806</stp>
        <tr r="L229" s="2"/>
      </tp>
      <tp t="s">
        <v>#N/A N/A</v>
        <stp/>
        <stp>BDP|3989350680070289769</stp>
        <tr r="M503" s="2"/>
      </tp>
      <tp t="s">
        <v>#N/A N/A</v>
        <stp/>
        <stp>BDP|1606013876191990807</stp>
        <tr r="G488" s="2"/>
      </tp>
      <tp t="s">
        <v>#N/A N/A</v>
        <stp/>
        <stp>BDP|1985469871928430524</stp>
        <tr r="K404" s="2"/>
      </tp>
      <tp t="s">
        <v>#N/A N/A</v>
        <stp/>
        <stp>BDP|3837189309214312927</stp>
        <tr r="G171" s="2"/>
      </tp>
      <tp t="s">
        <v>#N/A N/A</v>
        <stp/>
        <stp>BDP|3979574990243616301</stp>
        <tr r="D78" s="2"/>
      </tp>
      <tp t="s">
        <v>#N/A N/A</v>
        <stp/>
        <stp>BDP|1773380984236323307</stp>
        <tr r="I211" s="2"/>
      </tp>
      <tp t="s">
        <v>#N/A N/A</v>
        <stp/>
        <stp>BDP|6671720698746306173</stp>
        <tr r="M36" s="2"/>
      </tp>
      <tp t="s">
        <v>#N/A N/A</v>
        <stp/>
        <stp>BDP|4974180292090220390</stp>
        <tr r="L194" s="2"/>
      </tp>
      <tp t="s">
        <v>#N/A N/A</v>
        <stp/>
        <stp>BDP|6059780090460270723</stp>
        <tr r="N196" s="2"/>
      </tp>
      <tp t="s">
        <v>#N/A N/A</v>
        <stp/>
        <stp>BDP|8976759013246308749</stp>
        <tr r="F189" s="2"/>
      </tp>
      <tp t="s">
        <v>#N/A N/A</v>
        <stp/>
        <stp>BDP|1305603387242474282</stp>
        <tr r="D58" s="2"/>
      </tp>
      <tp t="s">
        <v>#N/A N/A</v>
        <stp/>
        <stp>BDP|8891009412315336314</stp>
        <tr r="I300" s="2"/>
      </tp>
      <tp t="s">
        <v>#N/A N/A</v>
        <stp/>
        <stp>BDP|7619121949429128442</stp>
        <tr r="J366" s="2"/>
      </tp>
      <tp t="s">
        <v>#N/A N/A</v>
        <stp/>
        <stp>BDP|4917965785219264307</stp>
        <tr r="N224" s="2"/>
      </tp>
      <tp t="s">
        <v>#N/A N/A</v>
        <stp/>
        <stp>BDP|4163137346637844945</stp>
        <tr r="J436" s="2"/>
      </tp>
      <tp t="s">
        <v>#N/A N/A</v>
        <stp/>
        <stp>BDP|8858765039227623489</stp>
        <tr r="K453" s="2"/>
      </tp>
      <tp t="s">
        <v>#N/A N/A</v>
        <stp/>
        <stp>BDP|2108392064618793024</stp>
        <tr r="F191" s="2"/>
      </tp>
      <tp t="s">
        <v>#N/A N/A</v>
        <stp/>
        <stp>BDP|1431076660709928138</stp>
        <tr r="H484" s="2"/>
      </tp>
      <tp t="s">
        <v>#N/A N/A</v>
        <stp/>
        <stp>BDP|3534466888742202209</stp>
        <tr r="M442" s="2"/>
      </tp>
      <tp t="s">
        <v>#N/A N/A</v>
        <stp/>
        <stp>BDP|4897718140231845988</stp>
        <tr r="L458" s="2"/>
      </tp>
      <tp t="s">
        <v>#N/A N/A</v>
        <stp/>
        <stp>BDP|1864904247145256648</stp>
        <tr r="Q420" s="2"/>
      </tp>
      <tp t="s">
        <v>#N/A N/A</v>
        <stp/>
        <stp>BDP|5557841059594757365</stp>
        <tr r="Q373" s="2"/>
      </tp>
      <tp t="s">
        <v>#N/A N/A</v>
        <stp/>
        <stp>BDP|5854093729669603170</stp>
        <tr r="F124" s="2"/>
      </tp>
      <tp t="s">
        <v>#N/A N/A</v>
        <stp/>
        <stp>BDP|8468223052044940441</stp>
        <tr r="D489" s="2"/>
      </tp>
      <tp t="s">
        <v>#N/A N/A</v>
        <stp/>
        <stp>BDP|5305707011998873439</stp>
        <tr r="I446" s="2"/>
      </tp>
      <tp t="s">
        <v>#N/A N/A</v>
        <stp/>
        <stp>BDP|5356500830899378598</stp>
        <tr r="D211" s="2"/>
      </tp>
      <tp t="s">
        <v>#N/A N/A</v>
        <stp/>
        <stp>BDP|9074210410961892402</stp>
        <tr r="P381" s="2"/>
      </tp>
      <tp t="s">
        <v>#N/A N/A</v>
        <stp/>
        <stp>BDP|8231956989751420735</stp>
        <tr r="F386" s="2"/>
      </tp>
      <tp t="s">
        <v>#N/A N/A</v>
        <stp/>
        <stp>BDP|2506338766130966876</stp>
        <tr r="R227" s="2"/>
      </tp>
      <tp t="s">
        <v>#N/A N/A</v>
        <stp/>
        <stp>BDP|5823848220392417262</stp>
        <tr r="N431" s="2"/>
      </tp>
      <tp t="s">
        <v>#N/A N/A</v>
        <stp/>
        <stp>BDP|2592608863815911812</stp>
        <tr r="Q139" s="2"/>
      </tp>
      <tp t="s">
        <v>#N/A N/A</v>
        <stp/>
        <stp>BDP|4808318043478184459</stp>
        <tr r="E271" s="2"/>
      </tp>
      <tp t="s">
        <v>#N/A N/A</v>
        <stp/>
        <stp>BDP|1347187645032984997</stp>
        <tr r="M394" s="2"/>
      </tp>
      <tp t="s">
        <v>#N/A N/A</v>
        <stp/>
        <stp>BDP|8472890220049212419</stp>
        <tr r="I208" s="2"/>
      </tp>
      <tp t="s">
        <v>#N/A N/A</v>
        <stp/>
        <stp>BDP|2103950972280962316</stp>
        <tr r="J222" s="2"/>
      </tp>
      <tp t="s">
        <v>#N/A N/A</v>
        <stp/>
        <stp>BDP|1568755044834288984</stp>
        <tr r="N117" s="2"/>
      </tp>
      <tp t="s">
        <v>#N/A N/A</v>
        <stp/>
        <stp>BDP|5915001494302762142</stp>
        <tr r="G273" s="2"/>
      </tp>
      <tp t="s">
        <v>#N/A N/A</v>
        <stp/>
        <stp>BDP|8440506373570864508</stp>
        <tr r="N300" s="2"/>
      </tp>
      <tp t="s">
        <v>#N/A N/A</v>
        <stp/>
        <stp>BDP|4307871056094480291</stp>
        <tr r="L366" s="2"/>
      </tp>
      <tp t="s">
        <v>#N/A N/A</v>
        <stp/>
        <stp>BDP|8013498190433033965</stp>
        <tr r="L209" s="2"/>
      </tp>
      <tp t="s">
        <v>#N/A N/A</v>
        <stp/>
        <stp>BDP|4560241857469884510</stp>
        <tr r="G108" s="2"/>
      </tp>
      <tp t="s">
        <v>#N/A N/A</v>
        <stp/>
        <stp>BDP|5007971322708394995</stp>
        <tr r="D400" s="2"/>
      </tp>
      <tp t="s">
        <v>#N/A N/A</v>
        <stp/>
        <stp>BDP|8858342335677496022</stp>
        <tr r="P237" s="2"/>
      </tp>
      <tp t="s">
        <v>#N/A N/A</v>
        <stp/>
        <stp>BDP|3341899320157519100</stp>
        <tr r="N114" s="2"/>
      </tp>
      <tp t="s">
        <v>#N/A N/A</v>
        <stp/>
        <stp>BDP|7422123821622004988</stp>
        <tr r="J207" s="2"/>
      </tp>
      <tp t="s">
        <v>#N/A N/A</v>
        <stp/>
        <stp>BDP|5819866500162736064</stp>
        <tr r="K100" s="2"/>
      </tp>
      <tp t="s">
        <v>#N/A N/A</v>
        <stp/>
        <stp>BDP|8211371247491964143</stp>
        <tr r="D504" s="2"/>
      </tp>
      <tp t="s">
        <v>#N/A N/A</v>
        <stp/>
        <stp>BDP|8516888906537544819</stp>
        <tr r="D442" s="2"/>
      </tp>
      <tp t="s">
        <v>#N/A N/A</v>
        <stp/>
        <stp>BDP|8897415738930606085</stp>
        <tr r="J296" s="2"/>
      </tp>
      <tp t="s">
        <v>#N/A N/A</v>
        <stp/>
        <stp>BDP|9139717861996791197</stp>
        <tr r="H267" s="2"/>
      </tp>
      <tp t="s">
        <v>#N/A N/A</v>
        <stp/>
        <stp>BDP|5608566338475642914</stp>
        <tr r="R149" s="2"/>
      </tp>
      <tp t="s">
        <v>#N/A N/A</v>
        <stp/>
        <stp>BDP|9056611600449776990</stp>
        <tr r="R80" s="2"/>
      </tp>
      <tp t="s">
        <v>#N/A N/A</v>
        <stp/>
        <stp>BDP|3588688453387731866</stp>
        <tr r="C92" s="2"/>
      </tp>
      <tp t="s">
        <v>#N/A N/A</v>
        <stp/>
        <stp>BDP|2266788382592237061</stp>
        <tr r="N205" s="2"/>
      </tp>
      <tp t="s">
        <v>#N/A N/A</v>
        <stp/>
        <stp>BDP|2976196596927856225</stp>
        <tr r="Q237" s="2"/>
      </tp>
      <tp t="s">
        <v>#N/A N/A</v>
        <stp/>
        <stp>BDP|8486086815622716421</stp>
        <tr r="M289" s="2"/>
      </tp>
      <tp t="s">
        <v>#N/A N/A</v>
        <stp/>
        <stp>BDP|8012292044518784962</stp>
        <tr r="J410" s="2"/>
      </tp>
      <tp t="s">
        <v>#N/A N/A</v>
        <stp/>
        <stp>BDP|9911105756713380107</stp>
        <tr r="O111" s="2"/>
      </tp>
      <tp t="s">
        <v>#N/A N/A</v>
        <stp/>
        <stp>BDP|7966669197670772732</stp>
        <tr r="N483" s="2"/>
      </tp>
      <tp t="s">
        <v>#N/A N/A</v>
        <stp/>
        <stp>BDP|7054993109216522797</stp>
        <tr r="C127" s="2"/>
      </tp>
      <tp t="s">
        <v>#N/A N/A</v>
        <stp/>
        <stp>BDP|7292035033272988976</stp>
        <tr r="G10" s="2"/>
      </tp>
      <tp t="s">
        <v>#N/A N/A</v>
        <stp/>
        <stp>BDP|9137685730742753121</stp>
        <tr r="J318" s="2"/>
      </tp>
      <tp t="s">
        <v>#N/A N/A</v>
        <stp/>
        <stp>BDP|9423870458958166369</stp>
        <tr r="O9" s="2"/>
      </tp>
      <tp t="s">
        <v>#N/A N/A</v>
        <stp/>
        <stp>BDP|2509046008278073557</stp>
        <tr r="R468" s="2"/>
      </tp>
      <tp t="s">
        <v>#N/A N/A</v>
        <stp/>
        <stp>BDP|1551604848559039510</stp>
        <tr r="E504" s="2"/>
      </tp>
      <tp t="s">
        <v>#N/A N/A</v>
        <stp/>
        <stp>BDP|9100599804390196314</stp>
        <tr r="C391" s="2"/>
      </tp>
      <tp t="s">
        <v>#N/A N/A</v>
        <stp/>
        <stp>BDP|8642071766395262497</stp>
        <tr r="G43" s="2"/>
      </tp>
      <tp t="s">
        <v>#N/A N/A</v>
        <stp/>
        <stp>BDP|8452660850304689095</stp>
        <tr r="G104" s="2"/>
      </tp>
      <tp t="s">
        <v>#N/A N/A</v>
        <stp/>
        <stp>BDP|5663483094020034777</stp>
        <tr r="G330" s="2"/>
      </tp>
      <tp t="s">
        <v>#N/A N/A</v>
        <stp/>
        <stp>BDP|5200280324409654352</stp>
        <tr r="R485" s="2"/>
      </tp>
      <tp t="s">
        <v>#N/A N/A</v>
        <stp/>
        <stp>BDP|7808047738362906907</stp>
        <tr r="E474" s="2"/>
      </tp>
      <tp t="s">
        <v>#N/A N/A</v>
        <stp/>
        <stp>BDP|7464990772561704757</stp>
        <tr r="D219" s="2"/>
      </tp>
      <tp t="s">
        <v>#N/A N/A</v>
        <stp/>
        <stp>BDP|5375371879928282620</stp>
        <tr r="O124" s="2"/>
      </tp>
      <tp t="s">
        <v>#N/A N/A</v>
        <stp/>
        <stp>BDP|7208861189378710074</stp>
        <tr r="F309" s="2"/>
      </tp>
      <tp t="s">
        <v>#N/A N/A</v>
        <stp/>
        <stp>BDP|8423049121805948050</stp>
        <tr r="F53" s="2"/>
      </tp>
      <tp t="s">
        <v>#N/A N/A</v>
        <stp/>
        <stp>BDP|9703700123464176785</stp>
        <tr r="G96" s="2"/>
      </tp>
      <tp t="s">
        <v>#N/A N/A</v>
        <stp/>
        <stp>BDP|2481368591967181008</stp>
        <tr r="K102" s="2"/>
      </tp>
      <tp t="s">
        <v>#N/A N/A</v>
        <stp/>
        <stp>BDP|3506729812913700908</stp>
        <tr r="H499" s="2"/>
      </tp>
      <tp t="s">
        <v>#N/A N/A</v>
        <stp/>
        <stp>BDP|4580213386705409444</stp>
        <tr r="H183" s="2"/>
      </tp>
      <tp t="s">
        <v>#N/A N/A</v>
        <stp/>
        <stp>BDP|5495615554078235115</stp>
        <tr r="D485" s="2"/>
      </tp>
      <tp t="s">
        <v>#N/A N/A</v>
        <stp/>
        <stp>BDP|9401285651989773881</stp>
        <tr r="P364" s="2"/>
      </tp>
      <tp t="s">
        <v>#N/A N/A</v>
        <stp/>
        <stp>BDP|8294394184639989549</stp>
        <tr r="O301" s="2"/>
      </tp>
      <tp t="s">
        <v>#N/A N/A</v>
        <stp/>
        <stp>BDP|1461679653715327817</stp>
        <tr r="R14" s="2"/>
      </tp>
      <tp t="s">
        <v>#N/A N/A</v>
        <stp/>
        <stp>BDP|7196804726457033554</stp>
        <tr r="P406" s="2"/>
      </tp>
      <tp t="s">
        <v>#N/A N/A</v>
        <stp/>
        <stp>BDP|8368678911695079571</stp>
        <tr r="Q185" s="2"/>
      </tp>
      <tp t="s">
        <v>#N/A N/A</v>
        <stp/>
        <stp>BDP|4234739784535502121</stp>
        <tr r="N103" s="2"/>
      </tp>
      <tp t="s">
        <v>#N/A N/A</v>
        <stp/>
        <stp>BDP|9895176172627692791</stp>
        <tr r="D345" s="2"/>
      </tp>
      <tp t="s">
        <v>#N/A N/A</v>
        <stp/>
        <stp>BDP|9569127585186081909</stp>
        <tr r="N5" s="2"/>
      </tp>
      <tp t="s">
        <v>#N/A N/A</v>
        <stp/>
        <stp>BDP|5623870030756138726</stp>
        <tr r="C6" s="2"/>
      </tp>
      <tp t="s">
        <v>#N/A N/A</v>
        <stp/>
        <stp>BDP|1428377632567642954</stp>
        <tr r="I316" s="2"/>
      </tp>
      <tp t="s">
        <v>#N/A N/A</v>
        <stp/>
        <stp>BDP|4163936792833797853</stp>
        <tr r="K211" s="2"/>
      </tp>
      <tp t="s">
        <v>#N/A N/A</v>
        <stp/>
        <stp>BDP|8547244550678545866</stp>
        <tr r="M184" s="2"/>
      </tp>
      <tp t="s">
        <v>#N/A N/A</v>
        <stp/>
        <stp>BDP|3565535205759743064</stp>
        <tr r="F173" s="2"/>
      </tp>
      <tp t="s">
        <v>#N/A N/A</v>
        <stp/>
        <stp>BDP|4229257974347024913</stp>
        <tr r="D284" s="2"/>
      </tp>
      <tp t="s">
        <v>#N/A N/A</v>
        <stp/>
        <stp>BDP|4590051238978947032</stp>
        <tr r="J2" s="2"/>
      </tp>
      <tp t="s">
        <v>#N/A N/A</v>
        <stp/>
        <stp>BDP|5112982753741847706</stp>
        <tr r="F204" s="2"/>
      </tp>
      <tp t="s">
        <v>#N/A N/A</v>
        <stp/>
        <stp>BDP|7639999075723833517</stp>
        <tr r="O461" s="2"/>
      </tp>
      <tp t="s">
        <v>#N/A N/A</v>
        <stp/>
        <stp>BDP|9692228011936064366</stp>
        <tr r="Q281" s="2"/>
      </tp>
      <tp t="s">
        <v>#N/A N/A</v>
        <stp/>
        <stp>BDP|3230769281220050365</stp>
        <tr r="M496" s="2"/>
      </tp>
      <tp t="s">
        <v>#N/A N/A</v>
        <stp/>
        <stp>BDP|6021477757930235817</stp>
        <tr r="D374" s="2"/>
      </tp>
      <tp t="s">
        <v>#N/A N/A</v>
        <stp/>
        <stp>BDP|5378620841818455077</stp>
        <tr r="D450" s="2"/>
      </tp>
      <tp t="s">
        <v>#N/A N/A</v>
        <stp/>
        <stp>BDP|4338169340129104776</stp>
        <tr r="R446" s="2"/>
      </tp>
      <tp t="s">
        <v>#N/A N/A</v>
        <stp/>
        <stp>BDP|5094314793633345323</stp>
        <tr r="R474" s="2"/>
      </tp>
      <tp t="s">
        <v>#N/A N/A</v>
        <stp/>
        <stp>BDP|8422566752116385101</stp>
        <tr r="M6" s="2"/>
      </tp>
      <tp t="s">
        <v>#N/A N/A</v>
        <stp/>
        <stp>BDP|9048869847489669341</stp>
        <tr r="D59" s="2"/>
      </tp>
      <tp t="s">
        <v>#N/A N/A</v>
        <stp/>
        <stp>BDP|3774198467022974938</stp>
        <tr r="D341" s="2"/>
      </tp>
      <tp t="s">
        <v>#N/A N/A</v>
        <stp/>
        <stp>BDP|2993916628813647553</stp>
        <tr r="P312" s="2"/>
      </tp>
      <tp t="s">
        <v>#N/A N/A</v>
        <stp/>
        <stp>BDP|9610626337862982195</stp>
        <tr r="O297" s="2"/>
      </tp>
      <tp t="s">
        <v>#N/A N/A</v>
        <stp/>
        <stp>BDP|6689874874874542234</stp>
        <tr r="O401" s="2"/>
      </tp>
      <tp t="s">
        <v>#N/A N/A</v>
        <stp/>
        <stp>BDP|9390648764915840388</stp>
        <tr r="Q336" s="2"/>
      </tp>
      <tp t="s">
        <v>#N/A N/A</v>
        <stp/>
        <stp>BDP|9440560780082907982</stp>
        <tr r="C54" s="2"/>
      </tp>
      <tp t="s">
        <v>#N/A N/A</v>
        <stp/>
        <stp>BDP|8099515925143758331</stp>
        <tr r="I253" s="2"/>
      </tp>
      <tp t="s">
        <v>#N/A N/A</v>
        <stp/>
        <stp>BDP|9524183735496096285</stp>
        <tr r="G132" s="2"/>
      </tp>
      <tp t="s">
        <v>#N/A N/A</v>
        <stp/>
        <stp>BDP|9881829843892026891</stp>
        <tr r="P451" s="2"/>
      </tp>
      <tp t="s">
        <v>#N/A N/A</v>
        <stp/>
        <stp>BDP|1619880754203391097</stp>
        <tr r="Q295" s="2"/>
      </tp>
      <tp t="s">
        <v>#N/A N/A</v>
        <stp/>
        <stp>BDP|1672805244292484064</stp>
        <tr r="I344" s="2"/>
      </tp>
      <tp t="s">
        <v>#N/A N/A</v>
        <stp/>
        <stp>BDP|4158773650819062064</stp>
        <tr r="L73" s="2"/>
      </tp>
      <tp t="s">
        <v>#N/A N/A</v>
        <stp/>
        <stp>BDP|1576257513775383801</stp>
        <tr r="R164" s="2"/>
      </tp>
      <tp t="s">
        <v>#N/A N/A</v>
        <stp/>
        <stp>BDP|5296401102588473644</stp>
        <tr r="I272" s="2"/>
      </tp>
      <tp t="s">
        <v>#N/A N/A</v>
        <stp/>
        <stp>BDP|8260707504806285640</stp>
        <tr r="J358" s="2"/>
      </tp>
      <tp t="s">
        <v>#N/A N/A</v>
        <stp/>
        <stp>BDP|6674077427902103978</stp>
        <tr r="M241" s="2"/>
      </tp>
      <tp t="s">
        <v>#N/A N/A</v>
        <stp/>
        <stp>BDP|5538931477725632177</stp>
        <tr r="N52" s="2"/>
      </tp>
      <tp t="s">
        <v>#N/A N/A</v>
        <stp/>
        <stp>BDP|4128602194920404418</stp>
        <tr r="I144" s="2"/>
      </tp>
      <tp t="s">
        <v>#N/A N/A</v>
        <stp/>
        <stp>BDP|5159234511328756146</stp>
        <tr r="N8" s="2"/>
      </tp>
      <tp t="s">
        <v>#N/A N/A</v>
        <stp/>
        <stp>BDP|1224119685012196572</stp>
        <tr r="L82" s="2"/>
      </tp>
      <tp t="s">
        <v>#N/A N/A</v>
        <stp/>
        <stp>BDP|8738254545243110267</stp>
        <tr r="M226" s="2"/>
      </tp>
      <tp t="s">
        <v>#N/A N/A</v>
        <stp/>
        <stp>BDP|9023499049014280221</stp>
        <tr r="K323" s="2"/>
      </tp>
      <tp t="s">
        <v>#N/A N/A</v>
        <stp/>
        <stp>BDP|3216038220716423859</stp>
        <tr r="H447" s="2"/>
      </tp>
      <tp t="s">
        <v>#N/A N/A</v>
        <stp/>
        <stp>BDP|2493616649457576898</stp>
        <tr r="N454" s="2"/>
      </tp>
      <tp t="s">
        <v>#N/A N/A</v>
        <stp/>
        <stp>BDP|6106914773145318203</stp>
        <tr r="K219" s="2"/>
      </tp>
      <tp>
        <v>2.5564999580383301</v>
        <stp/>
        <stp>BDP|5213618816110352605|22</stp>
        <stp>DASH UW Equity</stp>
        <stp>RT_PX_CHG_PCT_1D</stp>
        <tr r="B197" s="2"/>
      </tp>
      <tp t="s">
        <v>#N/A N/A</v>
        <stp/>
        <stp>BDP|3120780427498868178</stp>
        <tr r="H50" s="2"/>
      </tp>
      <tp t="s">
        <v>#N/A N/A</v>
        <stp/>
        <stp>BDP|7203564143848718116</stp>
        <tr r="J352" s="2"/>
      </tp>
      <tp t="s">
        <v>#N/A N/A</v>
        <stp/>
        <stp>BDP|4121297240929104486</stp>
        <tr r="R417" s="2"/>
      </tp>
      <tp t="s">
        <v>#N/A N/A</v>
        <stp/>
        <stp>BDP|4315608554730716815</stp>
        <tr r="C304" s="2"/>
      </tp>
      <tp t="s">
        <v>#N/A N/A</v>
        <stp/>
        <stp>BDP|8359021650925253722</stp>
        <tr r="P365" s="2"/>
      </tp>
      <tp t="s">
        <v>#N/A N/A</v>
        <stp/>
        <stp>BDP|2659633130809071144</stp>
        <tr r="M302" s="2"/>
      </tp>
      <tp t="s">
        <v>#N/A N/A</v>
        <stp/>
        <stp>BDP|1664910120991447426</stp>
        <tr r="C363" s="2"/>
      </tp>
      <tp t="s">
        <v>#N/A N/A</v>
        <stp/>
        <stp>BDP|7497060851725316811</stp>
        <tr r="N222" s="2"/>
      </tp>
      <tp t="s">
        <v>#N/A N/A</v>
        <stp/>
        <stp>BDP|2776320200739631722</stp>
        <tr r="O451" s="2"/>
      </tp>
      <tp t="s">
        <v>#N/A N/A</v>
        <stp/>
        <stp>BDP|6665605429374615980</stp>
        <tr r="R352" s="2"/>
      </tp>
      <tp t="s">
        <v>#N/A N/A</v>
        <stp/>
        <stp>BDP|3999892941640647069</stp>
        <tr r="J25" s="2"/>
      </tp>
      <tp t="s">
        <v>#N/A N/A</v>
        <stp/>
        <stp>BDP|4405246681006767772</stp>
        <tr r="C293" s="2"/>
      </tp>
      <tp t="s">
        <v>#N/A N/A</v>
        <stp/>
        <stp>BDP|9848009158764906788</stp>
        <tr r="D296" s="2"/>
      </tp>
      <tp t="s">
        <v>#N/A N/A</v>
        <stp/>
        <stp>BDP|5116671594472283719</stp>
        <tr r="E255" s="2"/>
      </tp>
      <tp t="s">
        <v>#N/A N/A</v>
        <stp/>
        <stp>BDP|2055131561402061833</stp>
        <tr r="I31" s="2"/>
      </tp>
      <tp t="s">
        <v>#N/A N/A</v>
        <stp/>
        <stp>BDP|2036343225015436944</stp>
        <tr r="L342" s="2"/>
      </tp>
      <tp t="s">
        <v>#N/A N/A</v>
        <stp/>
        <stp>BDP|8651160230740500544</stp>
        <tr r="J416" s="2"/>
      </tp>
      <tp t="s">
        <v>#N/A N/A</v>
        <stp/>
        <stp>BDP|2953991373340636342</stp>
        <tr r="E361" s="2"/>
      </tp>
      <tp>
        <v>1.2019000053405762</v>
        <stp/>
        <stp>BDP|1844365856196881165|22</stp>
        <stp>HBAN UW Equity</stp>
        <stp>RT_PX_CHG_PCT_1D</stp>
        <tr r="B271" s="2"/>
      </tp>
      <tp t="s">
        <v>#N/A N/A</v>
        <stp/>
        <stp>BDP|9411807858672883921</stp>
        <tr r="H368" s="2"/>
      </tp>
      <tp t="s">
        <v>#N/A N/A</v>
        <stp/>
        <stp>BDP|5696770770682557823</stp>
        <tr r="O255" s="2"/>
      </tp>
      <tp t="s">
        <v>#N/A N/A</v>
        <stp/>
        <stp>BDP|4002853127818515912</stp>
        <tr r="I425" s="2"/>
      </tp>
      <tp t="s">
        <v>#N/A N/A</v>
        <stp/>
        <stp>BDP|6203855925145291666</stp>
        <tr r="R292" s="2"/>
      </tp>
      <tp t="s">
        <v>#N/A N/A</v>
        <stp/>
        <stp>BDP|1722216090365983095</stp>
        <tr r="F111" s="2"/>
      </tp>
      <tp t="s">
        <v>#N/A N/A</v>
        <stp/>
        <stp>BDP|4329648270702502847</stp>
        <tr r="I81" s="2"/>
      </tp>
      <tp t="s">
        <v>#N/A N/A</v>
        <stp/>
        <stp>BDP|5408395189812346315</stp>
        <tr r="C215" s="2"/>
      </tp>
      <tp t="s">
        <v>#N/A N/A</v>
        <stp/>
        <stp>BDP|6091018896047043719</stp>
        <tr r="F32" s="2"/>
      </tp>
      <tp t="s">
        <v>#N/A N/A</v>
        <stp/>
        <stp>BDP|2611723094916296543</stp>
        <tr r="J374" s="2"/>
      </tp>
      <tp t="s">
        <v>#N/A N/A</v>
        <stp/>
        <stp>BDP|4028022214129800380</stp>
        <tr r="F280" s="2"/>
      </tp>
      <tp t="s">
        <v>#N/A N/A</v>
        <stp/>
        <stp>BDP|6087227794315289725</stp>
        <tr r="P297" s="2"/>
      </tp>
      <tp t="s">
        <v>#N/A N/A</v>
        <stp/>
        <stp>BDP|3001491935658847322</stp>
        <tr r="F476" s="2"/>
      </tp>
      <tp t="s">
        <v>#N/A N/A</v>
        <stp/>
        <stp>BDP|4518520193025504272</stp>
        <tr r="H36" s="2"/>
      </tp>
      <tp t="s">
        <v>#N/A N/A</v>
        <stp/>
        <stp>BDP|5712206651688404542</stp>
        <tr r="K139" s="2"/>
      </tp>
      <tp t="s">
        <v>#N/A N/A</v>
        <stp/>
        <stp>BDP|3735756744418623761</stp>
        <tr r="G476" s="2"/>
      </tp>
      <tp t="s">
        <v>#N/A N/A</v>
        <stp/>
        <stp>BDP|7676247005878438259</stp>
        <tr r="F183" s="2"/>
      </tp>
      <tp t="s">
        <v>#N/A N/A</v>
        <stp/>
        <stp>BDP|3960836422622730490</stp>
        <tr r="D433" s="2"/>
      </tp>
      <tp t="s">
        <v>#N/A N/A</v>
        <stp/>
        <stp>BDP|7774572518615617987</stp>
        <tr r="D81" s="2"/>
      </tp>
      <tp t="s">
        <v>#N/A N/A</v>
        <stp/>
        <stp>BDP|8450033778093803313</stp>
        <tr r="E455" s="2"/>
      </tp>
      <tp t="s">
        <v>#N/A N/A</v>
        <stp/>
        <stp>BDP|5722532797773516502</stp>
        <tr r="N27" s="2"/>
      </tp>
      <tp t="s">
        <v>#N/A N/A</v>
        <stp/>
        <stp>BDP|1498636820089580340</stp>
        <tr r="G31" s="2"/>
      </tp>
      <tp t="s">
        <v>#N/A N/A</v>
        <stp/>
        <stp>BDP|9190760415805486510</stp>
        <tr r="J160" s="2"/>
      </tp>
      <tp t="s">
        <v>#N/A N/A</v>
        <stp/>
        <stp>BDP|5306375175959108774</stp>
        <tr r="E13" s="2"/>
      </tp>
      <tp t="s">
        <v>#N/A N/A</v>
        <stp/>
        <stp>BDP|8050251771912613056</stp>
        <tr r="C315" s="2"/>
      </tp>
      <tp t="s">
        <v>#N/A N/A</v>
        <stp/>
        <stp>BDP|6107148089216387688</stp>
        <tr r="E218" s="2"/>
      </tp>
      <tp t="s">
        <v>#N/A N/A</v>
        <stp/>
        <stp>BDP|1010369805835438809</stp>
        <tr r="H327" s="2"/>
      </tp>
      <tp t="s">
        <v>#N/A N/A</v>
        <stp/>
        <stp>BDP|8994611840287934264</stp>
        <tr r="D398" s="2"/>
      </tp>
      <tp t="s">
        <v>#N/A N/A</v>
        <stp/>
        <stp>BDP|6778571015509197436</stp>
        <tr r="D329" s="2"/>
      </tp>
      <tp t="s">
        <v>#N/A N/A</v>
        <stp/>
        <stp>BDP|7781863942797635321</stp>
        <tr r="G32" s="2"/>
      </tp>
      <tp t="s">
        <v>#N/A N/A</v>
        <stp/>
        <stp>BDP|5086203642644633830</stp>
        <tr r="J182" s="2"/>
      </tp>
      <tp t="s">
        <v>#N/A N/A</v>
        <stp/>
        <stp>BDP|1836813065616338684</stp>
        <tr r="D144" s="2"/>
      </tp>
      <tp t="s">
        <v>#N/A N/A</v>
        <stp/>
        <stp>BDP|5648023483304376632</stp>
        <tr r="P165" s="2"/>
      </tp>
      <tp t="s">
        <v>#N/A N/A</v>
        <stp/>
        <stp>BDP|6918425889731745427</stp>
        <tr r="K170" s="2"/>
      </tp>
      <tp t="s">
        <v>#N/A N/A</v>
        <stp/>
        <stp>BDP|5284229337872798970</stp>
        <tr r="Q165" s="2"/>
      </tp>
      <tp t="s">
        <v>#N/A N/A</v>
        <stp/>
        <stp>BDP|8521353452432253373</stp>
        <tr r="F265" s="2"/>
      </tp>
      <tp t="s">
        <v>#N/A N/A</v>
        <stp/>
        <stp>BDP|1764849024030546459</stp>
        <tr r="L288" s="2"/>
      </tp>
      <tp t="s">
        <v>#N/A N/A</v>
        <stp/>
        <stp>BDP|8691682242881975426</stp>
        <tr r="Q144" s="2"/>
      </tp>
      <tp t="s">
        <v>#N/A N/A</v>
        <stp/>
        <stp>BDP|2722734111058220301</stp>
        <tr r="C40" s="2"/>
      </tp>
      <tp t="s">
        <v>#N/A N/A</v>
        <stp/>
        <stp>BDP|6446265314359477350</stp>
        <tr r="H96" s="2"/>
      </tp>
      <tp t="s">
        <v>#N/A N/A</v>
        <stp/>
        <stp>BDP|5219298948628592413</stp>
        <tr r="K268" s="2"/>
      </tp>
      <tp t="s">
        <v>#N/A N/A</v>
        <stp/>
        <stp>BDP|6148934135855786674</stp>
        <tr r="C242" s="2"/>
      </tp>
      <tp t="s">
        <v>#N/A N/A</v>
        <stp/>
        <stp>BDP|8503349406460083403</stp>
        <tr r="L408" s="2"/>
      </tp>
      <tp t="s">
        <v>#N/A N/A</v>
        <stp/>
        <stp>BDP|2772402052935746960</stp>
        <tr r="N333" s="2"/>
      </tp>
      <tp t="s">
        <v>#N/A N/A</v>
        <stp/>
        <stp>BDP|3040734353776740839</stp>
        <tr r="H100" s="2"/>
      </tp>
      <tp t="s">
        <v>#N/A N/A</v>
        <stp/>
        <stp>BDP|8881390350445608431</stp>
        <tr r="L263" s="2"/>
      </tp>
      <tp t="s">
        <v>#N/A N/A</v>
        <stp/>
        <stp>BDP|8959018719460017655</stp>
        <tr r="E114" s="2"/>
      </tp>
      <tp t="s">
        <v>#N/A N/A</v>
        <stp/>
        <stp>BDP|8124143501341052708</stp>
        <tr r="I29" s="2"/>
      </tp>
      <tp t="s">
        <v>#N/A N/A</v>
        <stp/>
        <stp>BDP|2164015743581509829</stp>
        <tr r="P352" s="2"/>
      </tp>
      <tp t="s">
        <v>#N/A N/A</v>
        <stp/>
        <stp>BDP|2425213983667102039</stp>
        <tr r="K388" s="2"/>
      </tp>
      <tp t="s">
        <v>#N/A N/A</v>
        <stp/>
        <stp>BDP|2354612826819236022</stp>
        <tr r="D183" s="2"/>
      </tp>
      <tp t="s">
        <v>#N/A N/A</v>
        <stp/>
        <stp>BDP|3695115587371367479</stp>
        <tr r="P333" s="2"/>
      </tp>
      <tp t="s">
        <v>#N/A N/A</v>
        <stp/>
        <stp>BDP|6808539955890849925</stp>
        <tr r="Q60" s="2"/>
      </tp>
      <tp t="s">
        <v>#N/A N/A</v>
        <stp/>
        <stp>BDP|5277359270778219618</stp>
        <tr r="E298" s="2"/>
      </tp>
      <tp t="s">
        <v>#N/A N/A</v>
        <stp/>
        <stp>BDP|8512016464771635026</stp>
        <tr r="G352" s="2"/>
      </tp>
      <tp t="s">
        <v>#N/A N/A</v>
        <stp/>
        <stp>BDP|9411631034854797704</stp>
        <tr r="K301" s="2"/>
      </tp>
      <tp t="s">
        <v>#N/A N/A</v>
        <stp/>
        <stp>BDP|4638167064199127513</stp>
        <tr r="N65" s="2"/>
      </tp>
      <tp t="s">
        <v>#N/A N/A</v>
        <stp/>
        <stp>BDP|4628968877532621759</stp>
        <tr r="C34" s="2"/>
      </tp>
      <tp t="s">
        <v>#N/A N/A</v>
        <stp/>
        <stp>BDP|8598980888245590345</stp>
        <tr r="H487" s="2"/>
      </tp>
      <tp t="s">
        <v>#N/A N/A</v>
        <stp/>
        <stp>BDP|1614683314280734994</stp>
        <tr r="P293" s="2"/>
      </tp>
      <tp t="s">
        <v>#N/A N/A</v>
        <stp/>
        <stp>BDP|9431768700833101275</stp>
        <tr r="J432" s="2"/>
      </tp>
      <tp>
        <v>1.0347000360488892</v>
        <stp/>
        <stp>BDP|1228972706160616073|22</stp>
        <stp>CINF UW Equity</stp>
        <stp>RT_PX_CHG_PCT_1D</stp>
        <tr r="B259" s="2"/>
      </tp>
      <tp t="s">
        <v>#N/A N/A</v>
        <stp/>
        <stp>BDP|9084901687270025720</stp>
        <tr r="D498" s="2"/>
      </tp>
      <tp t="s">
        <v>#N/A N/A</v>
        <stp/>
        <stp>BDP|6848269712512093899</stp>
        <tr r="H243" s="2"/>
      </tp>
      <tp t="s">
        <v>#N/A N/A</v>
        <stp/>
        <stp>BDP|2519805130937162113</stp>
        <tr r="C292" s="2"/>
      </tp>
      <tp t="s">
        <v>#N/A N/A</v>
        <stp/>
        <stp>BDP|2202077479449808318</stp>
        <tr r="K261" s="2"/>
      </tp>
      <tp t="s">
        <v>#N/A N/A</v>
        <stp/>
        <stp>BDP|1913730783158493985</stp>
        <tr r="N213" s="2"/>
      </tp>
      <tp t="s">
        <v>#N/A N/A</v>
        <stp/>
        <stp>BDP|8656462367895251006</stp>
        <tr r="I18" s="2"/>
      </tp>
      <tp t="s">
        <v>#N/A N/A</v>
        <stp/>
        <stp>BDP|2610923854861499012</stp>
        <tr r="M93" s="2"/>
      </tp>
      <tp t="s">
        <v>#N/A N/A</v>
        <stp/>
        <stp>BDP|1445537987157148447</stp>
        <tr r="G182" s="2"/>
      </tp>
      <tp t="s">
        <v>#N/A N/A</v>
        <stp/>
        <stp>BDP|5613075771158600534</stp>
        <tr r="P230" s="2"/>
      </tp>
      <tp t="s">
        <v>#N/A N/A</v>
        <stp/>
        <stp>BDP|9703645020327026564</stp>
        <tr r="R18" s="2"/>
      </tp>
      <tp t="s">
        <v>#N/A N/A</v>
        <stp/>
        <stp>BDP|3384828075655427657</stp>
        <tr r="H115" s="2"/>
      </tp>
      <tp t="s">
        <v>#N/A N/A</v>
        <stp/>
        <stp>BDP|8973990190553560401</stp>
        <tr r="J397" s="2"/>
      </tp>
      <tp t="s">
        <v>#N/A N/A</v>
        <stp/>
        <stp>BDP|8163065687138736724</stp>
        <tr r="I102" s="2"/>
      </tp>
      <tp t="s">
        <v>#N/A N/A</v>
        <stp/>
        <stp>BDP|4774635498556858216</stp>
        <tr r="I125" s="2"/>
      </tp>
      <tp>
        <v>-1.8200000748038292E-2</v>
        <stp/>
        <stp>BDP|16747485432843029617|22</stp>
        <stp>SNA UN Equity</stp>
        <stp>RT_PX_CHG_PCT_1D</stp>
        <tr r="B208" s="2"/>
      </tp>
      <tp>
        <v>2.0400000736117363E-2</v>
        <stp/>
        <stp>BDP|18371568696330048494|22</stp>
        <stp>RSG UN Equity</stp>
        <stp>RT_PX_CHG_PCT_1D</stp>
        <tr r="B364" s="2"/>
      </tp>
      <tp>
        <v>-0.30529999732971191</v>
        <stp/>
        <stp>BDP|10685665007533876343|22</stp>
        <stp>CPB UW Equity</stp>
        <stp>RT_PX_CHG_PCT_1D</stp>
        <tr r="B318" s="2"/>
      </tp>
      <tp>
        <v>-1.0362999439239502</v>
        <stp/>
        <stp>BDP|16865967557937821226|22</stp>
        <stp>APA UW Equity</stp>
        <stp>RT_PX_CHG_PCT_1D</stp>
        <tr r="B420" s="2"/>
      </tp>
      <tp>
        <v>6.8931999206542969</v>
        <stp/>
        <stp>BDP|18252944717858919744|22</stp>
        <stp>NEM UN Equity</stp>
        <stp>RT_PX_CHG_PCT_1D</stp>
        <tr r="B174" s="2"/>
      </tp>
      <tp>
        <v>-0.63529998064041138</v>
        <stp/>
        <stp>BDP|11578412400815637542|22</stp>
        <stp>CVX UN Equity</stp>
        <stp>RT_PX_CHG_PCT_1D</stp>
        <tr r="B11" s="2"/>
      </tp>
      <tp>
        <v>1.080000028014183E-2</v>
        <stp/>
        <stp>BDP|6693732884846657306|22</stp>
        <stp>CSGP UW Equity</stp>
        <stp>RT_PX_CHG_PCT_1D</stp>
        <tr r="B440" s="2"/>
      </tp>
      <tp>
        <v>0.41159999370574951</v>
        <stp/>
        <stp>BDP|3706338687731715877|22</stp>
        <stp>MRNA UW Equity</stp>
        <stp>RT_PX_CHG_PCT_1D</stp>
        <tr r="B438" s="2"/>
      </tp>
      <tp t="s">
        <v>#N/A N/A</v>
        <stp/>
        <stp>BDP|8942380238316066638</stp>
        <tr r="D470" s="2"/>
      </tp>
      <tp t="s">
        <v>#N/A N/A</v>
        <stp/>
        <stp>BDP|5712687885073274028</stp>
        <tr r="J74" s="2"/>
      </tp>
      <tp t="s">
        <v>#N/A N/A</v>
        <stp/>
        <stp>BDP|1909434207588797500</stp>
        <tr r="M387" s="2"/>
      </tp>
      <tp t="s">
        <v>#N/A N/A</v>
        <stp/>
        <stp>BDP|6530199390523401524</stp>
        <tr r="N144" s="2"/>
      </tp>
      <tp t="s">
        <v>#N/A N/A</v>
        <stp/>
        <stp>BDP|2328799070648069206</stp>
        <tr r="M44" s="2"/>
      </tp>
      <tp t="s">
        <v>#N/A N/A</v>
        <stp/>
        <stp>BDP|1433698678209649191</stp>
        <tr r="N17" s="2"/>
      </tp>
      <tp t="s">
        <v>#N/A N/A</v>
        <stp/>
        <stp>BDP|4706089032699259655</stp>
        <tr r="J438" s="2"/>
      </tp>
      <tp t="s">
        <v>#N/A N/A</v>
        <stp/>
        <stp>BDP|3098863362017807265</stp>
        <tr r="C320" s="2"/>
      </tp>
      <tp t="s">
        <v>#N/A N/A</v>
        <stp/>
        <stp>BDP|1604328567244019895</stp>
        <tr r="Q360" s="2"/>
      </tp>
      <tp t="s">
        <v>#N/A N/A</v>
        <stp/>
        <stp>BDP|8574576218412938696</stp>
        <tr r="I418" s="2"/>
      </tp>
      <tp t="s">
        <v>#N/A N/A</v>
        <stp/>
        <stp>BDP|4435864918467120212</stp>
        <tr r="O504" s="2"/>
      </tp>
      <tp t="s">
        <v>#N/A N/A</v>
        <stp/>
        <stp>BDP|6304441192296865570</stp>
        <tr r="G195" s="2"/>
      </tp>
      <tp t="s">
        <v>#N/A N/A</v>
        <stp/>
        <stp>BDP|1250894956846492234</stp>
        <tr r="C273" s="2"/>
      </tp>
      <tp t="s">
        <v>#N/A N/A</v>
        <stp/>
        <stp>BDP|7129803169349323817</stp>
        <tr r="N214" s="2"/>
      </tp>
      <tp t="s">
        <v>#N/A N/A</v>
        <stp/>
        <stp>BDP|2193967655973988506</stp>
        <tr r="E438" s="2"/>
      </tp>
      <tp t="s">
        <v>#N/A N/A</v>
        <stp/>
        <stp>BDP|9351493072560712248</stp>
        <tr r="N351" s="2"/>
      </tp>
      <tp t="s">
        <v>#N/A N/A</v>
        <stp/>
        <stp>BDP|2366137096376464499</stp>
        <tr r="J284" s="2"/>
      </tp>
      <tp t="s">
        <v>#N/A N/A</v>
        <stp/>
        <stp>BDP|4695097626308443664</stp>
        <tr r="C142" s="2"/>
      </tp>
      <tp t="s">
        <v>#N/A N/A</v>
        <stp/>
        <stp>BDP|6752129880062969575</stp>
        <tr r="C399" s="2"/>
      </tp>
      <tp t="s">
        <v>#N/A N/A</v>
        <stp/>
        <stp>BDP|3818647255259133138</stp>
        <tr r="H14" s="2"/>
      </tp>
      <tp t="s">
        <v>#N/A N/A</v>
        <stp/>
        <stp>BDP|4715117320007496891</stp>
        <tr r="D444" s="2"/>
      </tp>
      <tp t="s">
        <v>#N/A N/A</v>
        <stp/>
        <stp>BDP|6452292442448390074</stp>
        <tr r="F252" s="2"/>
      </tp>
      <tp t="s">
        <v>#N/A N/A</v>
        <stp/>
        <stp>BDP|1965229352216197834</stp>
        <tr r="C383" s="2"/>
      </tp>
      <tp t="s">
        <v>#N/A N/A</v>
        <stp/>
        <stp>BDP|9476244644723946462</stp>
        <tr r="D401" s="2"/>
      </tp>
      <tp t="s">
        <v>#N/A N/A</v>
        <stp/>
        <stp>BDP|7316008733764280894</stp>
        <tr r="R195" s="2"/>
      </tp>
      <tp t="s">
        <v>#N/A N/A</v>
        <stp/>
        <stp>BDP|9023686910282378405</stp>
        <tr r="D89" s="2"/>
      </tp>
      <tp t="s">
        <v>#N/A N/A</v>
        <stp/>
        <stp>BDP|9725364575937689290</stp>
        <tr r="P315" s="2"/>
      </tp>
      <tp t="s">
        <v>#N/A N/A</v>
        <stp/>
        <stp>BDP|8827488527024653297</stp>
        <tr r="H250" s="2"/>
      </tp>
      <tp t="s">
        <v>#N/A N/A</v>
        <stp/>
        <stp>BDP|6482192247779217207</stp>
        <tr r="R299" s="2"/>
      </tp>
      <tp t="s">
        <v>#N/A N/A</v>
        <stp/>
        <stp>BDP|9522154208471789170</stp>
        <tr r="I11" s="2"/>
      </tp>
      <tp t="s">
        <v>#N/A N/A</v>
        <stp/>
        <stp>BDP|2888334396795338564</stp>
        <tr r="J289" s="2"/>
      </tp>
      <tp t="s">
        <v>#N/A N/A</v>
        <stp/>
        <stp>BDP|5699811165676868526</stp>
        <tr r="R467" s="2"/>
      </tp>
      <tp t="s">
        <v>#N/A N/A</v>
        <stp/>
        <stp>BDP|4875428260899217706</stp>
        <tr r="I336" s="2"/>
      </tp>
      <tp t="s">
        <v>#N/A N/A</v>
        <stp/>
        <stp>BDP|3386477881874861353</stp>
        <tr r="N282" s="2"/>
      </tp>
      <tp t="s">
        <v>#N/A N/A</v>
        <stp/>
        <stp>BDP|3998541426825748941</stp>
        <tr r="O252" s="2"/>
      </tp>
      <tp t="s">
        <v>#N/A N/A</v>
        <stp/>
        <stp>BDP|7650742258295544862</stp>
        <tr r="G168" s="2"/>
      </tp>
      <tp t="s">
        <v>#N/A N/A</v>
        <stp/>
        <stp>BDP|1680420575043824908</stp>
        <tr r="E15" s="2"/>
      </tp>
      <tp t="s">
        <v>#N/A N/A</v>
        <stp/>
        <stp>BDP|9712991176126663970</stp>
        <tr r="R118" s="2"/>
      </tp>
      <tp t="s">
        <v>#N/A N/A</v>
        <stp/>
        <stp>BDP|3589896878705246186</stp>
        <tr r="P168" s="2"/>
      </tp>
      <tp t="s">
        <v>#N/A N/A</v>
        <stp/>
        <stp>BDP|2759018119033614871</stp>
        <tr r="P158" s="2"/>
      </tp>
      <tp t="s">
        <v>#N/A N/A</v>
        <stp/>
        <stp>BDP|8834309399588714282</stp>
        <tr r="D486" s="2"/>
      </tp>
      <tp t="s">
        <v>#N/A N/A</v>
        <stp/>
        <stp>BDP|9764332679846211312</stp>
        <tr r="M378" s="2"/>
      </tp>
      <tp t="s">
        <v>#N/A N/A</v>
        <stp/>
        <stp>BDP|4182888234887133024</stp>
        <tr r="R222" s="2"/>
      </tp>
      <tp t="s">
        <v>#N/A N/A</v>
        <stp/>
        <stp>BDP|9071535949519401909</stp>
        <tr r="M81" s="2"/>
      </tp>
      <tp t="s">
        <v>#N/A N/A</v>
        <stp/>
        <stp>BDP|9186744777429580890</stp>
        <tr r="F89" s="2"/>
      </tp>
      <tp t="s">
        <v>#N/A N/A</v>
        <stp/>
        <stp>BDP|5971478840165062808</stp>
        <tr r="Q57" s="2"/>
      </tp>
      <tp t="s">
        <v>#N/A N/A</v>
        <stp/>
        <stp>BDP|8447394422652572343</stp>
        <tr r="Q419" s="2"/>
      </tp>
      <tp t="s">
        <v>#N/A N/A</v>
        <stp/>
        <stp>BDP|9481005635432631098</stp>
        <tr r="K87" s="2"/>
      </tp>
      <tp t="s">
        <v>#N/A N/A</v>
        <stp/>
        <stp>BDP|7866266766358106371</stp>
        <tr r="K340" s="2"/>
      </tp>
      <tp t="s">
        <v>#N/A N/A</v>
        <stp/>
        <stp>BDP|6769275398264303153</stp>
        <tr r="E163" s="2"/>
      </tp>
      <tp t="s">
        <v>#N/A N/A</v>
        <stp/>
        <stp>BDP|8127916430523755990</stp>
        <tr r="L335" s="2"/>
      </tp>
      <tp t="s">
        <v>#N/A N/A</v>
        <stp/>
        <stp>BDP|1478655233479425580</stp>
        <tr r="R134" s="2"/>
      </tp>
      <tp t="s">
        <v>#N/A N/A</v>
        <stp/>
        <stp>BDP|1108347018108609350</stp>
        <tr r="P386" s="2"/>
      </tp>
      <tp t="s">
        <v>#N/A N/A</v>
        <stp/>
        <stp>BDP|2623774389806708318</stp>
        <tr r="H63" s="2"/>
      </tp>
      <tp t="s">
        <v>#N/A N/A</v>
        <stp/>
        <stp>BDP|3142660162592200997</stp>
        <tr r="P489" s="2"/>
      </tp>
      <tp>
        <v>-0.34020000696182251</v>
        <stp/>
        <stp>BDP|8250499554599076634|22</stp>
        <stp>AMZN UW Equity</stp>
        <stp>RT_PX_CHG_PCT_1D</stp>
        <tr r="B341" s="2"/>
      </tp>
      <tp t="s">
        <v>#N/A N/A</v>
        <stp/>
        <stp>BDP|5620656756658895622</stp>
        <tr r="Q217" s="2"/>
      </tp>
      <tp t="s">
        <v>#N/A N/A</v>
        <stp/>
        <stp>BDP|1223895757855123124</stp>
        <tr r="E491" s="2"/>
      </tp>
      <tp t="s">
        <v>#N/A N/A</v>
        <stp/>
        <stp>BDP|2842059145707601910</stp>
        <tr r="L467" s="2"/>
      </tp>
      <tp t="s">
        <v>#N/A N/A</v>
        <stp/>
        <stp>BDP|8135789341200474330</stp>
        <tr r="L53" s="2"/>
      </tp>
      <tp t="s">
        <v>#N/A N/A</v>
        <stp/>
        <stp>BDP|6403742772346483896</stp>
        <tr r="N482" s="2"/>
      </tp>
      <tp t="s">
        <v>#N/A N/A</v>
        <stp/>
        <stp>BDP|8295288836592390303</stp>
        <tr r="C325" s="2"/>
      </tp>
      <tp t="s">
        <v>#N/A N/A</v>
        <stp/>
        <stp>BDP|9562772176706379784</stp>
        <tr r="O10" s="2"/>
      </tp>
      <tp t="s">
        <v>#N/A N/A</v>
        <stp/>
        <stp>BDP|8558102392541829903</stp>
        <tr r="D502" s="2"/>
      </tp>
      <tp t="s">
        <v>#N/A N/A</v>
        <stp/>
        <stp>BDP|2460438079851416854</stp>
        <tr r="D340" s="2"/>
      </tp>
      <tp t="s">
        <v>#N/A N/A</v>
        <stp/>
        <stp>BDP|1757905873397848034</stp>
        <tr r="J113" s="2"/>
      </tp>
      <tp t="s">
        <v>#N/A N/A</v>
        <stp/>
        <stp>BDP|7594381744830728811</stp>
        <tr r="F403" s="2"/>
      </tp>
      <tp t="s">
        <v>#N/A N/A</v>
        <stp/>
        <stp>BDP|8306236603556472481</stp>
        <tr r="Q207" s="2"/>
      </tp>
      <tp t="s">
        <v>#N/A N/A</v>
        <stp/>
        <stp>BDP|4003472096389929876</stp>
        <tr r="J476" s="2"/>
      </tp>
      <tp t="s">
        <v>#N/A N/A</v>
        <stp/>
        <stp>BDP|9879401856076649677</stp>
        <tr r="E470" s="2"/>
      </tp>
      <tp t="s">
        <v>#N/A N/A</v>
        <stp/>
        <stp>BDP|5139854746445955442</stp>
        <tr r="R343" s="2"/>
      </tp>
      <tp t="s">
        <v>#N/A N/A</v>
        <stp/>
        <stp>BDP|4216572387114840550</stp>
        <tr r="G474" s="2"/>
      </tp>
      <tp>
        <v>2.3273999691009521</v>
        <stp/>
        <stp>BDP|9972926977527875637|22</stp>
        <stp>GNRC UN Equity</stp>
        <stp>RT_PX_CHG_PCT_1D</stp>
        <tr r="B150" s="2"/>
      </tp>
      <tp t="s">
        <v>#N/A N/A</v>
        <stp/>
        <stp>BDP|7781111292552169592</stp>
        <tr r="E388" s="2"/>
      </tp>
      <tp t="s">
        <v>#N/A N/A</v>
        <stp/>
        <stp>BDP|7939117460898439004</stp>
        <tr r="N405" s="2"/>
      </tp>
      <tp t="s">
        <v>#N/A N/A</v>
        <stp/>
        <stp>BDP|8635129857060998469</stp>
        <tr r="M419" s="2"/>
      </tp>
      <tp t="s">
        <v>#N/A N/A</v>
        <stp/>
        <stp>BDP|6182496966088269404</stp>
        <tr r="J320" s="2"/>
      </tp>
      <tp t="s">
        <v>#N/A N/A</v>
        <stp/>
        <stp>BDP|4059509882398793999</stp>
        <tr r="G80" s="2"/>
      </tp>
      <tp t="s">
        <v>#N/A N/A</v>
        <stp/>
        <stp>BDP|9207852001929979032</stp>
        <tr r="R173" s="2"/>
      </tp>
      <tp t="s">
        <v>#N/A N/A</v>
        <stp/>
        <stp>BDP|8041680214066564153</stp>
        <tr r="D70" s="2"/>
      </tp>
      <tp t="s">
        <v>#N/A N/A</v>
        <stp/>
        <stp>BDP|3338574738599838480</stp>
        <tr r="O285" s="2"/>
      </tp>
      <tp t="s">
        <v>#N/A N/A</v>
        <stp/>
        <stp>BDP|6930314586357736257</stp>
        <tr r="O262" s="2"/>
      </tp>
      <tp t="s">
        <v>#N/A N/A</v>
        <stp/>
        <stp>BDP|8075666468434120437</stp>
        <tr r="L195" s="2"/>
      </tp>
      <tp t="s">
        <v>#N/A N/A</v>
        <stp/>
        <stp>BDP|3539275608228776111</stp>
        <tr r="O440" s="2"/>
      </tp>
      <tp t="s">
        <v>#N/A N/A</v>
        <stp/>
        <stp>BDP|5478524586209422986</stp>
        <tr r="C194" s="2"/>
      </tp>
      <tp t="s">
        <v>#N/A N/A</v>
        <stp/>
        <stp>BDP|7875972100945487370</stp>
        <tr r="I146" s="2"/>
      </tp>
      <tp t="s">
        <v>#N/A N/A</v>
        <stp/>
        <stp>BDP|4665483597729129847</stp>
        <tr r="K36" s="2"/>
      </tp>
      <tp t="s">
        <v>#N/A N/A</v>
        <stp/>
        <stp>BDP|2761832926713831366</stp>
        <tr r="G184" s="2"/>
      </tp>
      <tp t="s">
        <v>#N/A N/A</v>
        <stp/>
        <stp>BDP|8742084116610380176</stp>
        <tr r="E403" s="2"/>
      </tp>
      <tp t="s">
        <v>#N/A N/A</v>
        <stp/>
        <stp>BDP|4892735628519813063</stp>
        <tr r="F344" s="2"/>
      </tp>
      <tp t="s">
        <v>#N/A N/A</v>
        <stp/>
        <stp>BDP|9608418899659337506</stp>
        <tr r="O113" s="2"/>
      </tp>
      <tp t="s">
        <v>#N/A N/A</v>
        <stp/>
        <stp>BDP|2385437838748412513</stp>
        <tr r="E48" s="2"/>
      </tp>
      <tp t="s">
        <v>#N/A N/A</v>
        <stp/>
        <stp>BDP|8753658915790954732</stp>
        <tr r="R502" s="2"/>
      </tp>
      <tp t="s">
        <v>#N/A N/A</v>
        <stp/>
        <stp>BDP|7375755357284452988</stp>
        <tr r="G193" s="2"/>
      </tp>
      <tp t="s">
        <v>#N/A N/A</v>
        <stp/>
        <stp>BDP|2971539417057469945</stp>
        <tr r="O48" s="2"/>
      </tp>
      <tp t="s">
        <v>#N/A N/A</v>
        <stp/>
        <stp>BDP|1010151119801934884</stp>
        <tr r="P53" s="2"/>
      </tp>
      <tp t="s">
        <v>#N/A N/A</v>
        <stp/>
        <stp>BDP|9791344308266644404</stp>
        <tr r="E240" s="2"/>
      </tp>
      <tp t="s">
        <v>#N/A N/A</v>
        <stp/>
        <stp>BDP|7673911944226925479</stp>
        <tr r="D180" s="2"/>
      </tp>
      <tp t="s">
        <v>#N/A N/A</v>
        <stp/>
        <stp>BDP|7420971959310074379</stp>
        <tr r="H186" s="2"/>
      </tp>
      <tp t="s">
        <v>#N/A N/A</v>
        <stp/>
        <stp>BDP|6001475798470470365</stp>
        <tr r="D354" s="2"/>
      </tp>
      <tp t="s">
        <v>#N/A N/A</v>
        <stp/>
        <stp>BDP|4948963712482311636</stp>
        <tr r="C101" s="2"/>
      </tp>
      <tp t="s">
        <v>#N/A N/A</v>
        <stp/>
        <stp>BDP|2537086275005764827</stp>
        <tr r="R151" s="2"/>
      </tp>
      <tp t="s">
        <v>#N/A N/A</v>
        <stp/>
        <stp>BDP|9248183471680549732</stp>
        <tr r="N212" s="2"/>
      </tp>
      <tp t="s">
        <v>#N/A N/A</v>
        <stp/>
        <stp>BDP|5166846454286545691</stp>
        <tr r="G409" s="2"/>
      </tp>
      <tp t="s">
        <v>#N/A N/A</v>
        <stp/>
        <stp>BDP|5186757007798965279</stp>
        <tr r="K186" s="2"/>
      </tp>
      <tp t="s">
        <v>#N/A N/A</v>
        <stp/>
        <stp>BDP|9791794887948237660</stp>
        <tr r="C173" s="2"/>
      </tp>
      <tp t="s">
        <v>#N/A N/A</v>
        <stp/>
        <stp>BDP|1141996008345418568</stp>
        <tr r="K457" s="2"/>
      </tp>
      <tp t="s">
        <v>#N/A N/A</v>
        <stp/>
        <stp>BDP|5357947635414654369</stp>
        <tr r="O121" s="2"/>
      </tp>
      <tp t="s">
        <v>#N/A N/A</v>
        <stp/>
        <stp>BDP|6857937147771886267</stp>
        <tr r="M414" s="2"/>
      </tp>
      <tp t="s">
        <v>#N/A N/A</v>
        <stp/>
        <stp>BDP|5329448790381248177</stp>
        <tr r="E164" s="2"/>
      </tp>
      <tp t="s">
        <v>#N/A N/A</v>
        <stp/>
        <stp>BDP|9965713432465859009</stp>
        <tr r="E364" s="2"/>
      </tp>
      <tp t="s">
        <v>#N/A N/A</v>
        <stp/>
        <stp>BDP|1530307641748378658</stp>
        <tr r="P433" s="2"/>
      </tp>
      <tp t="s">
        <v>#N/A N/A</v>
        <stp/>
        <stp>BDP|3805323384665895543</stp>
        <tr r="E393" s="2"/>
      </tp>
      <tp t="s">
        <v>#N/A N/A</v>
        <stp/>
        <stp>BDP|1673513625126334836</stp>
        <tr r="K359" s="2"/>
      </tp>
      <tp t="s">
        <v>#N/A N/A</v>
        <stp/>
        <stp>BDP|2250893602420362287</stp>
        <tr r="F113" s="2"/>
      </tp>
      <tp t="s">
        <v>#N/A N/A</v>
        <stp/>
        <stp>BDP|6142753364108454761</stp>
        <tr r="P307" s="2"/>
      </tp>
      <tp t="s">
        <v>#N/A N/A</v>
        <stp/>
        <stp>BDP|9229656964954692576</stp>
        <tr r="G158" s="2"/>
      </tp>
      <tp t="s">
        <v>#N/A N/A</v>
        <stp/>
        <stp>BDP|3121775785012424657</stp>
        <tr r="G382" s="2"/>
      </tp>
      <tp t="s">
        <v>#N/A N/A</v>
        <stp/>
        <stp>BDP|3209113360718319420</stp>
        <tr r="H134" s="2"/>
      </tp>
      <tp t="s">
        <v>#N/A N/A</v>
        <stp/>
        <stp>BDP|3532825664672355721</stp>
        <tr r="M297" s="2"/>
      </tp>
      <tp t="s">
        <v>#N/A N/A</v>
        <stp/>
        <stp>BDP|3696982432999885873</stp>
        <tr r="M436" s="2"/>
      </tp>
      <tp t="s">
        <v>#N/A N/A</v>
        <stp/>
        <stp>BDP|8196402856775621426</stp>
        <tr r="P277" s="2"/>
      </tp>
      <tp t="s">
        <v>#N/A N/A</v>
        <stp/>
        <stp>BDP|3563511441569380351</stp>
        <tr r="K202" s="2"/>
      </tp>
      <tp t="s">
        <v>#N/A N/A</v>
        <stp/>
        <stp>BDP|7681572855407257856</stp>
        <tr r="I289" s="2"/>
      </tp>
      <tp t="s">
        <v>#N/A N/A</v>
        <stp/>
        <stp>BDP|9479650507573695437</stp>
        <tr r="J19" s="2"/>
      </tp>
      <tp t="s">
        <v>#N/A N/A</v>
        <stp/>
        <stp>BDP|8431596848376622707</stp>
        <tr r="P394" s="2"/>
      </tp>
      <tp t="s">
        <v>#N/A N/A</v>
        <stp/>
        <stp>BDP|9878756332091948456</stp>
        <tr r="L389" s="2"/>
      </tp>
      <tp t="s">
        <v>#N/A N/A</v>
        <stp/>
        <stp>BDP|3744886408431306273</stp>
        <tr r="N99" s="2"/>
      </tp>
      <tp t="s">
        <v>#N/A N/A</v>
        <stp/>
        <stp>BDP|8104368566452092720</stp>
        <tr r="K66" s="2"/>
      </tp>
      <tp t="s">
        <v>#N/A N/A</v>
        <stp/>
        <stp>BDP|9768665741620268317</stp>
        <tr r="D413" s="2"/>
      </tp>
      <tp t="s">
        <v>#N/A N/A</v>
        <stp/>
        <stp>BDP|8417216006435303737</stp>
        <tr r="K242" s="2"/>
      </tp>
      <tp t="s">
        <v>#N/A N/A</v>
        <stp/>
        <stp>BDP|4500848947542183241</stp>
        <tr r="F207" s="2"/>
      </tp>
      <tp t="s">
        <v>#N/A N/A</v>
        <stp/>
        <stp>BDP|3158504363369537145</stp>
        <tr r="D395" s="2"/>
      </tp>
      <tp t="s">
        <v>#N/A N/A</v>
        <stp/>
        <stp>BDP|1942457394935253199</stp>
        <tr r="F129" s="2"/>
      </tp>
      <tp t="s">
        <v>#N/A N/A</v>
        <stp/>
        <stp>BDP|4055080689756347210</stp>
        <tr r="O468" s="2"/>
      </tp>
      <tp t="s">
        <v>#N/A N/A</v>
        <stp/>
        <stp>BDP|8926298953016552167</stp>
        <tr r="P447" s="2"/>
      </tp>
      <tp t="s">
        <v>#N/A N/A</v>
        <stp/>
        <stp>BDP|4796065892130423574</stp>
        <tr r="L173" s="2"/>
      </tp>
      <tp t="s">
        <v>#N/A N/A</v>
        <stp/>
        <stp>BDP|6204715696838742823</stp>
        <tr r="Q29" s="2"/>
      </tp>
      <tp t="s">
        <v>#N/A N/A</v>
        <stp/>
        <stp>BDP|5735848021101228602</stp>
        <tr r="R317" s="2"/>
      </tp>
      <tp t="s">
        <v>#N/A N/A</v>
        <stp/>
        <stp>BDP|5718204087805406240</stp>
        <tr r="Q386" s="2"/>
      </tp>
      <tp t="s">
        <v>#N/A N/A</v>
        <stp/>
        <stp>BDP|4492130310515404930</stp>
        <tr r="L301" s="2"/>
      </tp>
      <tp t="s">
        <v>#N/A N/A</v>
        <stp/>
        <stp>BDP|7742638326249669244</stp>
        <tr r="K47" s="2"/>
      </tp>
      <tp t="s">
        <v>#N/A N/A</v>
        <stp/>
        <stp>BDP|7419763793596874791</stp>
        <tr r="M2" s="2"/>
      </tp>
      <tp t="s">
        <v>#N/A N/A</v>
        <stp/>
        <stp>BDP|6432107640912454908</stp>
        <tr r="Q414" s="2"/>
      </tp>
      <tp t="s">
        <v>#N/A N/A</v>
        <stp/>
        <stp>BDP|8026824206560326873</stp>
        <tr r="L296" s="2"/>
      </tp>
      <tp t="s">
        <v>#N/A N/A</v>
        <stp/>
        <stp>BDP|6961730029728059336</stp>
        <tr r="K46" s="2"/>
      </tp>
      <tp t="s">
        <v>#N/A N/A</v>
        <stp/>
        <stp>BDP|6277343497667251332</stp>
        <tr r="D8" s="2"/>
      </tp>
      <tp t="s">
        <v>#N/A N/A</v>
        <stp/>
        <stp>BDP|8472273968060960427</stp>
        <tr r="G165" s="2"/>
      </tp>
      <tp t="s">
        <v>#N/A N/A</v>
        <stp/>
        <stp>BDP|2786196969079691412</stp>
        <tr r="G71" s="2"/>
      </tp>
      <tp t="s">
        <v>#N/A N/A</v>
        <stp/>
        <stp>BDP|6091504292266728459</stp>
        <tr r="R398" s="2"/>
      </tp>
      <tp t="s">
        <v>#N/A N/A</v>
        <stp/>
        <stp>BDP|6812297421338188604</stp>
        <tr r="P414" s="2"/>
      </tp>
      <tp t="s">
        <v>#N/A N/A</v>
        <stp/>
        <stp>BDP|4706411031929759216</stp>
        <tr r="I105" s="2"/>
      </tp>
      <tp t="s">
        <v>#N/A N/A</v>
        <stp/>
        <stp>BDP|3088203172697054936</stp>
        <tr r="D170" s="2"/>
      </tp>
      <tp t="s">
        <v>#N/A N/A</v>
        <stp/>
        <stp>BDP|6431366736228760621</stp>
        <tr r="P115" s="2"/>
      </tp>
      <tp t="s">
        <v>#N/A N/A</v>
        <stp/>
        <stp>BDP|9730300229162758287</stp>
        <tr r="M490" s="2"/>
      </tp>
      <tp t="s">
        <v>#N/A N/A</v>
        <stp/>
        <stp>BDP|9670293329130438134</stp>
        <tr r="L160" s="2"/>
      </tp>
      <tp t="s">
        <v>#N/A N/A</v>
        <stp/>
        <stp>BDP|4338454000488042072</stp>
        <tr r="H372" s="2"/>
      </tp>
      <tp t="s">
        <v>#N/A N/A</v>
        <stp/>
        <stp>BDP|1592585915899188489</stp>
        <tr r="K324" s="2"/>
      </tp>
      <tp t="s">
        <v>#N/A N/A</v>
        <stp/>
        <stp>BDP|5012767664294250815</stp>
        <tr r="G495" s="2"/>
      </tp>
      <tp t="s">
        <v>#N/A N/A</v>
        <stp/>
        <stp>BDP|3193527692962367537</stp>
        <tr r="I103" s="2"/>
      </tp>
      <tp t="s">
        <v>#N/A N/A</v>
        <stp/>
        <stp>BDP|8789694193387978821</stp>
        <tr r="N82" s="2"/>
      </tp>
      <tp t="s">
        <v>#N/A N/A</v>
        <stp/>
        <stp>BDP|9149611430674280040</stp>
        <tr r="M388" s="2"/>
      </tp>
      <tp t="s">
        <v>#N/A N/A</v>
        <stp/>
        <stp>BDP|1733379819592852977</stp>
        <tr r="G438" s="2"/>
      </tp>
      <tp t="s">
        <v>#N/A N/A</v>
        <stp/>
        <stp>BDP|6618701367057558829</stp>
        <tr r="Q472" s="2"/>
      </tp>
      <tp t="s">
        <v>#N/A N/A</v>
        <stp/>
        <stp>BDP|4511564984175798461</stp>
        <tr r="J265" s="2"/>
      </tp>
      <tp t="s">
        <v>#N/A N/A</v>
        <stp/>
        <stp>BDP|9825551372470892312</stp>
        <tr r="Q250" s="2"/>
      </tp>
      <tp t="s">
        <v>#N/A N/A</v>
        <stp/>
        <stp>BDP|5873938429191375775</stp>
        <tr r="H311" s="2"/>
      </tp>
      <tp t="s">
        <v>#N/A N/A</v>
        <stp/>
        <stp>BDP|7634890041446810509</stp>
        <tr r="D100" s="2"/>
      </tp>
      <tp t="s">
        <v>#N/A N/A</v>
        <stp/>
        <stp>BDP|8492346838042696289</stp>
        <tr r="N61" s="2"/>
      </tp>
      <tp t="s">
        <v>#N/A N/A</v>
        <stp/>
        <stp>BDP|5147556761948588662</stp>
        <tr r="I387" s="2"/>
      </tp>
      <tp t="s">
        <v>#N/A N/A</v>
        <stp/>
        <stp>BDP|3219397721283414985</stp>
        <tr r="H173" s="2"/>
      </tp>
      <tp t="s">
        <v>#N/A N/A</v>
        <stp/>
        <stp>BDP|7240200957980494877</stp>
        <tr r="F306" s="2"/>
      </tp>
      <tp t="s">
        <v>#N/A N/A</v>
        <stp/>
        <stp>BDP|8425588308522591775</stp>
        <tr r="K410" s="2"/>
      </tp>
      <tp t="s">
        <v>#N/A N/A</v>
        <stp/>
        <stp>BDP|8963993430382679802</stp>
        <tr r="O277" s="2"/>
      </tp>
      <tp t="s">
        <v>#N/A N/A</v>
        <stp/>
        <stp>BDP|1060363650256852981</stp>
        <tr r="M306" s="2"/>
      </tp>
      <tp t="s">
        <v>#N/A N/A</v>
        <stp/>
        <stp>BDP|2191185022968535185</stp>
        <tr r="K152" s="2"/>
      </tp>
      <tp t="s">
        <v>#N/A N/A</v>
        <stp/>
        <stp>BDP|7424333007064234840</stp>
        <tr r="L390" s="2"/>
      </tp>
      <tp t="s">
        <v>#N/A N/A</v>
        <stp/>
        <stp>BDP|8557099947291496592</stp>
        <tr r="M88" s="2"/>
      </tp>
      <tp t="s">
        <v>#N/A N/A</v>
        <stp/>
        <stp>BDP|1735124296441777020</stp>
        <tr r="E200" s="2"/>
      </tp>
      <tp t="s">
        <v>#N/A N/A</v>
        <stp/>
        <stp>BDP|4463969768873997058</stp>
        <tr r="Q494" s="2"/>
      </tp>
      <tp t="s">
        <v>#N/A N/A</v>
        <stp/>
        <stp>BDP|2330776626198720730</stp>
        <tr r="H453" s="2"/>
      </tp>
      <tp t="s">
        <v>#N/A N/A</v>
        <stp/>
        <stp>BDP|4396463592110660167</stp>
        <tr r="L148" s="2"/>
      </tp>
      <tp t="s">
        <v>#N/A N/A</v>
        <stp/>
        <stp>BDP|7147243988736931339</stp>
        <tr r="D136" s="2"/>
      </tp>
      <tp t="s">
        <v>#N/A N/A</v>
        <stp/>
        <stp>BDP|3753752701428676429</stp>
        <tr r="C479" s="2"/>
      </tp>
      <tp t="s">
        <v>#N/A N/A</v>
        <stp/>
        <stp>BDP|8013407806606752268</stp>
        <tr r="R8" s="2"/>
      </tp>
      <tp t="s">
        <v>#N/A N/A</v>
        <stp/>
        <stp>BDP|7266708462397129963</stp>
        <tr r="E206" s="2"/>
      </tp>
      <tp t="s">
        <v>#N/A N/A</v>
        <stp/>
        <stp>BDP|3491688895895939174</stp>
        <tr r="P219" s="2"/>
      </tp>
      <tp t="s">
        <v>#N/A N/A</v>
        <stp/>
        <stp>BDP|8147397638294634413</stp>
        <tr r="L346" s="2"/>
      </tp>
      <tp t="s">
        <v>#N/A N/A</v>
        <stp/>
        <stp>BDP|1165064493121731140</stp>
        <tr r="K90" s="2"/>
      </tp>
      <tp t="s">
        <v>#N/A N/A</v>
        <stp/>
        <stp>BDP|7176135532198265551</stp>
        <tr r="K205" s="2"/>
      </tp>
      <tp t="s">
        <v>#N/A N/A</v>
        <stp/>
        <stp>BDP|6111803608321605786</stp>
        <tr r="D308" s="2"/>
      </tp>
      <tp t="s">
        <v>#N/A N/A</v>
        <stp/>
        <stp>BDP|5076680599686766410</stp>
        <tr r="G238" s="2"/>
      </tp>
      <tp t="s">
        <v>#N/A N/A</v>
        <stp/>
        <stp>BDP|2082988669486775314</stp>
        <tr r="H476" s="2"/>
      </tp>
      <tp t="s">
        <v>#N/A N/A</v>
        <stp/>
        <stp>BDP|2365951671843676751</stp>
        <tr r="K155" s="2"/>
      </tp>
      <tp t="s">
        <v>#N/A N/A</v>
        <stp/>
        <stp>BDP|2669812534660792102</stp>
        <tr r="C312" s="2"/>
      </tp>
      <tp t="s">
        <v>#N/A N/A</v>
        <stp/>
        <stp>BDP|5699312764619377143</stp>
        <tr r="K188" s="2"/>
      </tp>
      <tp t="s">
        <v>#N/A N/A</v>
        <stp/>
        <stp>BDP|9612009672290998698</stp>
        <tr r="H57" s="2"/>
      </tp>
      <tp t="s">
        <v>#N/A N/A</v>
        <stp/>
        <stp>BDP|9022898099334302475</stp>
        <tr r="R121" s="2"/>
      </tp>
      <tp t="s">
        <v>#N/A N/A</v>
        <stp/>
        <stp>BDP|9468845736772665843</stp>
        <tr r="P286" s="2"/>
      </tp>
      <tp t="s">
        <v>#N/A N/A</v>
        <stp/>
        <stp>BDP|8342846824478212256</stp>
        <tr r="G148" s="2"/>
      </tp>
      <tp t="s">
        <v>#N/A N/A</v>
        <stp/>
        <stp>BDP|3645396668477779941</stp>
        <tr r="I431" s="2"/>
      </tp>
      <tp t="s">
        <v>#N/A N/A</v>
        <stp/>
        <stp>BDP|8316734851251233374</stp>
        <tr r="C369" s="2"/>
      </tp>
      <tp t="s">
        <v>#N/A N/A</v>
        <stp/>
        <stp>BDP|5759504390197788648</stp>
        <tr r="K120" s="2"/>
      </tp>
      <tp t="s">
        <v>#N/A N/A</v>
        <stp/>
        <stp>BDP|1380903010686062778</stp>
        <tr r="F501" s="2"/>
      </tp>
      <tp t="s">
        <v>#N/A N/A</v>
        <stp/>
        <stp>BDP|3184571275828408133</stp>
        <tr r="R200" s="2"/>
      </tp>
      <tp t="s">
        <v>#N/A N/A</v>
        <stp/>
        <stp>BDP|1185218788356878546</stp>
        <tr r="F216" s="2"/>
      </tp>
      <tp t="s">
        <v>#N/A N/A</v>
        <stp/>
        <stp>BDP|9077321880459051365</stp>
        <tr r="H252" s="2"/>
      </tp>
      <tp t="s">
        <v>#N/A N/A</v>
        <stp/>
        <stp>BDP|3358906526614538443</stp>
        <tr r="K309" s="2"/>
      </tp>
      <tp t="s">
        <v>#N/A N/A</v>
        <stp/>
        <stp>BDP|6622652597515111410</stp>
        <tr r="L158" s="2"/>
      </tp>
      <tp t="s">
        <v>#N/A N/A</v>
        <stp/>
        <stp>BDP|9269135967313713556</stp>
        <tr r="L27" s="2"/>
      </tp>
      <tp t="s">
        <v>#N/A N/A</v>
        <stp/>
        <stp>BDP|9225601550504323652</stp>
        <tr r="D256" s="2"/>
      </tp>
      <tp t="s">
        <v>#N/A N/A</v>
        <stp/>
        <stp>BDP|6737845224660386411</stp>
        <tr r="E346" s="2"/>
      </tp>
      <tp t="s">
        <v>#N/A N/A</v>
        <stp/>
        <stp>BDP|9449259670414367076</stp>
        <tr r="M410" s="2"/>
      </tp>
      <tp t="s">
        <v>#N/A N/A</v>
        <stp/>
        <stp>BDP|6109883856881310291</stp>
        <tr r="L133" s="2"/>
      </tp>
      <tp t="s">
        <v>#N/A N/A</v>
        <stp/>
        <stp>BDP|9093219421365281471</stp>
        <tr r="O175" s="2"/>
      </tp>
      <tp t="s">
        <v>#N/A N/A</v>
        <stp/>
        <stp>BDP|5450928316164294178</stp>
        <tr r="O300" s="2"/>
      </tp>
      <tp t="s">
        <v>#N/A N/A</v>
        <stp/>
        <stp>BDP|5100732995324044729</stp>
        <tr r="L497" s="2"/>
      </tp>
      <tp t="s">
        <v>#N/A N/A</v>
        <stp/>
        <stp>BDP|2855180686691392206</stp>
        <tr r="Q214" s="2"/>
      </tp>
      <tp t="s">
        <v>#N/A N/A</v>
        <stp/>
        <stp>BDP|1500219906853087875</stp>
        <tr r="Q432" s="2"/>
      </tp>
      <tp t="s">
        <v>#N/A N/A</v>
        <stp/>
        <stp>BDP|3699654486174947197</stp>
        <tr r="M66" s="2"/>
      </tp>
      <tp t="s">
        <v>#N/A N/A</v>
        <stp/>
        <stp>BDP|7177519520688174040</stp>
        <tr r="P31" s="2"/>
      </tp>
      <tp t="s">
        <v>#N/A N/A</v>
        <stp/>
        <stp>BDP|1196249690637507557</stp>
        <tr r="Q218" s="2"/>
      </tp>
      <tp t="s">
        <v>#N/A N/A</v>
        <stp/>
        <stp>BDP|4875500472366773882</stp>
        <tr r="L440" s="2"/>
      </tp>
      <tp t="s">
        <v>#N/A N/A</v>
        <stp/>
        <stp>BDP|9639667945934881785</stp>
        <tr r="C431" s="2"/>
      </tp>
      <tp t="s">
        <v>#N/A N/A</v>
        <stp/>
        <stp>BDP|8656848591169270848</stp>
        <tr r="F95" s="2"/>
      </tp>
      <tp t="s">
        <v>#N/A N/A</v>
        <stp/>
        <stp>BDP|6136903413425477330</stp>
        <tr r="O364" s="2"/>
      </tp>
      <tp t="s">
        <v>#N/A N/A</v>
        <stp/>
        <stp>BDP|7278321287724545076</stp>
        <tr r="H239" s="2"/>
      </tp>
      <tp t="s">
        <v>#N/A N/A</v>
        <stp/>
        <stp>BDP|9743229950923171516</stp>
        <tr r="H49" s="2"/>
      </tp>
      <tp t="s">
        <v>#N/A N/A</v>
        <stp/>
        <stp>BDP|6115665916269391078</stp>
        <tr r="P20" s="2"/>
      </tp>
      <tp t="s">
        <v>#N/A N/A</v>
        <stp/>
        <stp>BDP|8579173885439223004</stp>
        <tr r="D121" s="2"/>
      </tp>
      <tp>
        <v>3.1895999908447266</v>
        <stp/>
        <stp>BDP|15962677481639098525|22</stp>
        <stp>LVS UN Equity</stp>
        <stp>RT_PX_CHG_PCT_1D</stp>
        <tr r="B504" s="2"/>
      </tp>
      <tp>
        <v>-3.0999999493360519E-2</v>
        <stp/>
        <stp>BDP|14142834224833011952|22</stp>
        <stp>COR UN Equity</stp>
        <stp>RT_PX_CHG_PCT_1D</stp>
        <tr r="B316" s="2"/>
      </tp>
      <tp>
        <v>6.0911998748779297</v>
        <stp/>
        <stp>BDP|14031260972395790792|22</stp>
        <stp>CNC UN Equity</stp>
        <stp>RT_PX_CHG_PCT_1D</stp>
        <tr r="B473" s="2"/>
      </tp>
      <tp>
        <v>-0.4138999879360199</v>
        <stp/>
        <stp>BDP|18360702768420497532|22</stp>
        <stp>EQR UN Equity</stp>
        <stp>RT_PX_CHG_PCT_1D</stp>
        <tr r="B303" s="2"/>
      </tp>
      <tp>
        <v>-1.3105000257492065</v>
        <stp/>
        <stp>BDP|10136769666338469514|22</stp>
        <stp>MOS UN Equity</stp>
        <stp>RT_PX_CHG_PCT_1D</stp>
        <tr r="B416" s="2"/>
      </tp>
      <tp>
        <v>0.27630001306533813</v>
        <stp/>
        <stp>BDP|17918717607143250129|22</stp>
        <stp>DVA UN Equity</stp>
        <stp>RT_PX_CHG_PCT_1D</stp>
        <tr r="B328" s="2"/>
      </tp>
      <tp>
        <v>2.9755001068115234</v>
        <stp/>
        <stp>BDP|14475890959667881092|22</stp>
        <stp>EIX UN Equity</stp>
        <stp>RT_PX_CHG_PCT_1D</stp>
        <tr r="B202" s="2"/>
      </tp>
      <tp>
        <v>0.77399998903274536</v>
        <stp/>
        <stp>BDP|18422527707255627424|22</stp>
        <stp>BA UN Equity</stp>
        <stp>RT_PX_CHG_PCT_1D</stp>
        <tr r="B7" s="2"/>
      </tp>
      <tp>
        <v>4.7699999064207077E-2</v>
        <stp/>
        <stp>BDP|6468349452878587939|22</stp>
        <stp>FTNT UW Equity</stp>
        <stp>RT_PX_CHG_PCT_1D</stp>
        <tr r="B437" s="2"/>
      </tp>
      <tp t="s">
        <v>#N/A N/A</v>
        <stp/>
        <stp>BDP|5487532942955986861</stp>
        <tr r="N353" s="2"/>
      </tp>
      <tp t="s">
        <v>#N/A N/A</v>
        <stp/>
        <stp>BDP|9209103180578893102</stp>
        <tr r="K124" s="2"/>
      </tp>
      <tp t="s">
        <v>#N/A N/A</v>
        <stp/>
        <stp>BDP|9562359875660913465</stp>
        <tr r="I155" s="2"/>
      </tp>
      <tp t="s">
        <v>#N/A N/A</v>
        <stp/>
        <stp>BDP|9939181066904530384</stp>
        <tr r="H102" s="2"/>
      </tp>
      <tp t="s">
        <v>#N/A N/A</v>
        <stp/>
        <stp>BDP|2714598427689076536</stp>
        <tr r="Q284" s="2"/>
      </tp>
      <tp t="s">
        <v>#N/A N/A</v>
        <stp/>
        <stp>BDP|7645304986840302596</stp>
        <tr r="D105" s="2"/>
      </tp>
      <tp t="s">
        <v>#N/A N/A</v>
        <stp/>
        <stp>BDP|5700152869113348824</stp>
        <tr r="N223" s="2"/>
      </tp>
      <tp>
        <v>0.60509997606277466</v>
        <stp/>
        <stp>BDP|1881082429164871708|22</stp>
        <stp>HOLX UW Equity</stp>
        <stp>RT_PX_CHG_PCT_1D</stp>
        <tr r="B298" s="2"/>
      </tp>
      <tp t="s">
        <v>#N/A N/A</v>
        <stp/>
        <stp>BDP|7364447572935630882</stp>
        <tr r="N480" s="2"/>
      </tp>
      <tp t="s">
        <v>#N/A N/A</v>
        <stp/>
        <stp>BDP|6565842913830040690</stp>
        <tr r="I160" s="2"/>
      </tp>
      <tp t="s">
        <v>#N/A N/A</v>
        <stp/>
        <stp>BDP|2207412109957628871</stp>
        <tr r="I362" s="2"/>
      </tp>
      <tp t="s">
        <v>#N/A N/A</v>
        <stp/>
        <stp>BDP|8491589343124386474</stp>
        <tr r="G419" s="2"/>
      </tp>
      <tp t="s">
        <v>#N/A N/A</v>
        <stp/>
        <stp>BDP|8265837481200965129</stp>
        <tr r="F487" s="2"/>
      </tp>
      <tp t="s">
        <v>#N/A N/A</v>
        <stp/>
        <stp>BDP|5521454449938554475</stp>
        <tr r="H314" s="2"/>
      </tp>
      <tp t="s">
        <v>#N/A N/A</v>
        <stp/>
        <stp>BDP|2989128670338180514</stp>
        <tr r="H31" s="2"/>
      </tp>
      <tp t="s">
        <v>#N/A N/A</v>
        <stp/>
        <stp>BDP|7955224450248442149</stp>
        <tr r="Q28" s="2"/>
      </tp>
      <tp t="s">
        <v>#N/A N/A</v>
        <stp/>
        <stp>BDP|3455532400507816847</stp>
        <tr r="N467" s="2"/>
      </tp>
      <tp t="s">
        <v>#N/A N/A</v>
        <stp/>
        <stp>BDP|2285966474620264599</stp>
        <tr r="C15" s="2"/>
      </tp>
      <tp t="s">
        <v>#N/A N/A</v>
        <stp/>
        <stp>BDP|6427900918060245750</stp>
        <tr r="E70" s="2"/>
      </tp>
      <tp t="s">
        <v>#N/A N/A</v>
        <stp/>
        <stp>BDP|8877377812366613504</stp>
        <tr r="E345" s="2"/>
      </tp>
      <tp t="s">
        <v>#N/A N/A</v>
        <stp/>
        <stp>BDP|2959876332001337179</stp>
        <tr r="J224" s="2"/>
      </tp>
      <tp t="s">
        <v>#N/A N/A</v>
        <stp/>
        <stp>BDP|3806272395874355517</stp>
        <tr r="F43" s="2"/>
      </tp>
      <tp t="s">
        <v>#N/A N/A</v>
        <stp/>
        <stp>BDP|4091334611706315993</stp>
        <tr r="N93" s="2"/>
      </tp>
      <tp t="s">
        <v>#N/A N/A</v>
        <stp/>
        <stp>BDP|5546999430711492708</stp>
        <tr r="Q114" s="2"/>
      </tp>
      <tp t="s">
        <v>#N/A N/A</v>
        <stp/>
        <stp>BDP|9945324162927370224</stp>
        <tr r="G172" s="2"/>
      </tp>
      <tp t="s">
        <v>#N/A N/A</v>
        <stp/>
        <stp>BDP|5274540827798848319</stp>
        <tr r="F158" s="2"/>
      </tp>
      <tp t="s">
        <v>#N/A N/A</v>
        <stp/>
        <stp>BDP|5353503322239889210</stp>
        <tr r="J338" s="2"/>
      </tp>
      <tp t="s">
        <v>#N/A N/A</v>
        <stp/>
        <stp>BDP|7792471208293317935</stp>
        <tr r="F399" s="2"/>
      </tp>
      <tp t="s">
        <v>#N/A N/A</v>
        <stp/>
        <stp>BDP|9926666712694029354</stp>
        <tr r="D31" s="2"/>
      </tp>
      <tp t="s">
        <v>#N/A N/A</v>
        <stp/>
        <stp>BDP|5012779913908853240</stp>
        <tr r="K122" s="2"/>
      </tp>
      <tp t="s">
        <v>#N/A N/A</v>
        <stp/>
        <stp>BDP|1052458390277894251</stp>
        <tr r="R356" s="2"/>
      </tp>
      <tp t="s">
        <v>#N/A N/A</v>
        <stp/>
        <stp>BDP|4796858169144714747</stp>
        <tr r="E357" s="2"/>
      </tp>
      <tp t="s">
        <v>#N/A N/A</v>
        <stp/>
        <stp>BDP|7346995044945475629</stp>
        <tr r="J76" s="2"/>
      </tp>
      <tp t="s">
        <v>#N/A N/A</v>
        <stp/>
        <stp>BDP|3577124615583269986</stp>
        <tr r="I491" s="2"/>
      </tp>
      <tp t="s">
        <v>#N/A N/A</v>
        <stp/>
        <stp>BDP|5226166629469218677</stp>
        <tr r="N145" s="2"/>
      </tp>
      <tp t="s">
        <v>#N/A N/A</v>
        <stp/>
        <stp>BDP|5450574887845568486</stp>
        <tr r="F415" s="2"/>
      </tp>
      <tp t="s">
        <v>#N/A N/A</v>
        <stp/>
        <stp>BDP|8092682031841416549</stp>
        <tr r="M133" s="2"/>
      </tp>
      <tp t="s">
        <v>#N/A N/A</v>
        <stp/>
        <stp>BDP|8372088509321315086</stp>
        <tr r="N417" s="2"/>
      </tp>
      <tp t="s">
        <v>#N/A N/A</v>
        <stp/>
        <stp>BDP|5269826645124482482</stp>
        <tr r="R395" s="2"/>
      </tp>
      <tp t="s">
        <v>#N/A N/A</v>
        <stp/>
        <stp>BDP|6771266780984923117</stp>
        <tr r="R156" s="2"/>
      </tp>
      <tp t="s">
        <v>#N/A N/A</v>
        <stp/>
        <stp>BDP|7486885343984510639</stp>
        <tr r="P482" s="2"/>
      </tp>
      <tp t="s">
        <v>#N/A N/A</v>
        <stp/>
        <stp>BDP|3857841435081591051</stp>
        <tr r="F79" s="2"/>
      </tp>
      <tp t="s">
        <v>#N/A N/A</v>
        <stp/>
        <stp>BDP|9945255706084587667</stp>
        <tr r="M203" s="2"/>
      </tp>
      <tp t="s">
        <v>#N/A N/A</v>
        <stp/>
        <stp>BDP|6019151165239907103</stp>
        <tr r="C253" s="2"/>
      </tp>
      <tp t="s">
        <v>#N/A N/A</v>
        <stp/>
        <stp>BDP|5561623328409344156</stp>
        <tr r="L228" s="2"/>
      </tp>
      <tp t="s">
        <v>#N/A N/A</v>
        <stp/>
        <stp>BDP|9809548576884207613</stp>
        <tr r="L370" s="2"/>
      </tp>
      <tp t="s">
        <v>#N/A N/A</v>
        <stp/>
        <stp>BDP|4184498470096804893</stp>
        <tr r="R496" s="2"/>
      </tp>
      <tp t="s">
        <v>#N/A N/A</v>
        <stp/>
        <stp>BDP|4913961436721842681</stp>
        <tr r="N88" s="2"/>
      </tp>
      <tp t="s">
        <v>#N/A N/A</v>
        <stp/>
        <stp>BDP|1048359628700395971</stp>
        <tr r="Q456" s="2"/>
      </tp>
      <tp t="s">
        <v>#N/A N/A</v>
        <stp/>
        <stp>BDP|7540702608718776130</stp>
        <tr r="Q282" s="2"/>
      </tp>
      <tp t="s">
        <v>#N/A N/A</v>
        <stp/>
        <stp>BDP|6047059520234492980</stp>
        <tr r="C258" s="2"/>
      </tp>
      <tp t="s">
        <v>#N/A N/A</v>
        <stp/>
        <stp>BDP|2481402312786967812</stp>
        <tr r="O172" s="2"/>
      </tp>
      <tp t="s">
        <v>#N/A N/A</v>
        <stp/>
        <stp>BDP|7632768566986892900</stp>
        <tr r="C27" s="2"/>
      </tp>
      <tp t="s">
        <v>#N/A N/A</v>
        <stp/>
        <stp>BDP|9828667538911121493</stp>
        <tr r="D326" s="2"/>
      </tp>
      <tp t="s">
        <v>#N/A N/A</v>
        <stp/>
        <stp>BDP|5823718395190007224</stp>
        <tr r="G329" s="2"/>
      </tp>
      <tp t="s">
        <v>#N/A N/A</v>
        <stp/>
        <stp>BDP|1488282831510371906</stp>
        <tr r="P48" s="2"/>
      </tp>
      <tp t="s">
        <v>#N/A N/A</v>
        <stp/>
        <stp>BDP|1622383070684610868</stp>
        <tr r="E139" s="2"/>
      </tp>
      <tp t="s">
        <v>#N/A N/A</v>
        <stp/>
        <stp>BDP|4667383437449040476</stp>
        <tr r="K178" s="2"/>
      </tp>
      <tp t="s">
        <v>#N/A N/A</v>
        <stp/>
        <stp>BDP|9631603836464763197</stp>
        <tr r="H412" s="2"/>
      </tp>
      <tp t="s">
        <v>#N/A N/A</v>
        <stp/>
        <stp>BDP|3100992241096272150</stp>
        <tr r="Q308" s="2"/>
      </tp>
      <tp t="s">
        <v>#N/A N/A</v>
        <stp/>
        <stp>BDP|9231112617765948537</stp>
        <tr r="H148" s="2"/>
      </tp>
      <tp t="s">
        <v>#N/A N/A</v>
        <stp/>
        <stp>BDP|4070631399556215465</stp>
        <tr r="R432" s="2"/>
      </tp>
      <tp t="s">
        <v>#N/A N/A</v>
        <stp/>
        <stp>BDP|6020282523846781926</stp>
        <tr r="F19" s="2"/>
      </tp>
      <tp t="s">
        <v>#N/A N/A</v>
        <stp/>
        <stp>BDP|6635865608363344457</stp>
        <tr r="N165" s="2"/>
      </tp>
      <tp t="s">
        <v>#N/A N/A</v>
        <stp/>
        <stp>BDP|5922219254543796851</stp>
        <tr r="G269" s="2"/>
      </tp>
      <tp t="s">
        <v>#N/A N/A</v>
        <stp/>
        <stp>BDP|1796885107079361943</stp>
        <tr r="C250" s="2"/>
      </tp>
      <tp t="s">
        <v>#N/A N/A</v>
        <stp/>
        <stp>BDP|5387197690484648036</stp>
        <tr r="J64" s="2"/>
      </tp>
      <tp t="s">
        <v>#N/A N/A</v>
        <stp/>
        <stp>BDP|4959538052699093479</stp>
        <tr r="H109" s="2"/>
      </tp>
      <tp t="s">
        <v>#N/A N/A</v>
        <stp/>
        <stp>BDP|5580883313770256534</stp>
        <tr r="J114" s="2"/>
      </tp>
      <tp t="s">
        <v>#N/A N/A</v>
        <stp/>
        <stp>BDP|8973659260879093833</stp>
        <tr r="M444" s="2"/>
      </tp>
      <tp t="s">
        <v>#N/A N/A</v>
        <stp/>
        <stp>BDP|4385857679417223526</stp>
        <tr r="Q366" s="2"/>
      </tp>
      <tp t="s">
        <v>#N/A N/A</v>
        <stp/>
        <stp>BDP|8935360603012097034</stp>
        <tr r="R270" s="2"/>
      </tp>
      <tp t="s">
        <v>#N/A N/A</v>
        <stp/>
        <stp>BDP|2833324200409203173</stp>
        <tr r="O305" s="2"/>
      </tp>
      <tp t="s">
        <v>#N/A N/A</v>
        <stp/>
        <stp>BDP|8902906512870344979</stp>
        <tr r="H283" s="2"/>
      </tp>
      <tp t="s">
        <v>#N/A N/A</v>
        <stp/>
        <stp>BDP|8945316935498229907</stp>
        <tr r="N157" s="2"/>
      </tp>
      <tp t="s">
        <v>#N/A N/A</v>
        <stp/>
        <stp>BDP|9576645598088417720</stp>
        <tr r="E276" s="2"/>
      </tp>
      <tp t="s">
        <v>#N/A N/A</v>
        <stp/>
        <stp>BDP|5966852465394373653</stp>
        <tr r="Q161" s="2"/>
      </tp>
      <tp t="s">
        <v>#N/A N/A</v>
        <stp/>
        <stp>BDP|2837466690626054013</stp>
        <tr r="E314" s="2"/>
      </tp>
      <tp t="s">
        <v>#N/A N/A</v>
        <stp/>
        <stp>BDP|6686718990650012182</stp>
        <tr r="M237" s="2"/>
      </tp>
      <tp t="s">
        <v>#N/A N/A</v>
        <stp/>
        <stp>BDP|6336456043606343990</stp>
        <tr r="G249" s="2"/>
      </tp>
      <tp t="s">
        <v>#N/A N/A</v>
        <stp/>
        <stp>BDP|2502614880680274592</stp>
        <tr r="K298" s="2"/>
      </tp>
      <tp t="s">
        <v>#N/A N/A</v>
        <stp/>
        <stp>BDP|6648926003042874402</stp>
        <tr r="P137" s="2"/>
      </tp>
      <tp t="s">
        <v>#N/A N/A</v>
        <stp/>
        <stp>BDP|6902592453097455881</stp>
        <tr r="P320" s="2"/>
      </tp>
      <tp t="s">
        <v>#N/A N/A</v>
        <stp/>
        <stp>BDP|3398811629647543726</stp>
        <tr r="O372" s="2"/>
      </tp>
      <tp t="s">
        <v>#N/A N/A</v>
        <stp/>
        <stp>BDP|3565703789853769674</stp>
        <tr r="D159" s="2"/>
      </tp>
      <tp t="s">
        <v>#N/A N/A</v>
        <stp/>
        <stp>BDP|2859866806056076545</stp>
        <tr r="H378" s="2"/>
      </tp>
      <tp t="s">
        <v>#N/A N/A</v>
        <stp/>
        <stp>BDP|9533760733485514197</stp>
        <tr r="D226" s="2"/>
      </tp>
      <tp t="s">
        <v>#N/A N/A</v>
        <stp/>
        <stp>BDP|2573912461155850111</stp>
        <tr r="J311" s="2"/>
      </tp>
      <tp t="s">
        <v>#N/A N/A</v>
        <stp/>
        <stp>BDP|4661474243068937571</stp>
        <tr r="M323" s="2"/>
      </tp>
      <tp t="s">
        <v>#N/A N/A</v>
        <stp/>
        <stp>BDP|8998824295300793054</stp>
        <tr r="O216" s="2"/>
      </tp>
      <tp t="s">
        <v>#N/A N/A</v>
        <stp/>
        <stp>BDP|5929037116138045502</stp>
        <tr r="J66" s="2"/>
      </tp>
      <tp t="s">
        <v>#N/A N/A</v>
        <stp/>
        <stp>BDP|8690919742939980505</stp>
        <tr r="O450" s="2"/>
      </tp>
      <tp t="s">
        <v>#N/A N/A</v>
        <stp/>
        <stp>BDP|6507805728167581248</stp>
        <tr r="H171" s="2"/>
      </tp>
      <tp t="s">
        <v>#N/A N/A</v>
        <stp/>
        <stp>BDP|9323983931243724915</stp>
        <tr r="O67" s="2"/>
      </tp>
      <tp t="s">
        <v>#N/A N/A</v>
        <stp/>
        <stp>BDP|8898853138419933314</stp>
        <tr r="P97" s="2"/>
      </tp>
      <tp t="s">
        <v>#N/A N/A</v>
        <stp/>
        <stp>BDP|3992813246620145620</stp>
        <tr r="C218" s="2"/>
      </tp>
      <tp t="s">
        <v>#N/A N/A</v>
        <stp/>
        <stp>BDP|9583361179347359347</stp>
        <tr r="P303" s="2"/>
      </tp>
      <tp t="s">
        <v>#N/A N/A</v>
        <stp/>
        <stp>BDP|9916713992559594725</stp>
        <tr r="J229" s="2"/>
      </tp>
      <tp t="s">
        <v>#N/A N/A</v>
        <stp/>
        <stp>BDP|1645850902931834145</stp>
        <tr r="K483" s="2"/>
      </tp>
      <tp t="s">
        <v>#N/A N/A</v>
        <stp/>
        <stp>BDP|8814353273660090537</stp>
        <tr r="D274" s="2"/>
      </tp>
      <tp t="s">
        <v>#N/A N/A</v>
        <stp/>
        <stp>BDP|9580683709711875711</stp>
        <tr r="F354" s="2"/>
      </tp>
      <tp t="s">
        <v>#N/A N/A</v>
        <stp/>
        <stp>BDP|6687562998804403718</stp>
        <tr r="I463" s="2"/>
      </tp>
      <tp t="s">
        <v>#N/A N/A</v>
        <stp/>
        <stp>BDP|1065737387757838019</stp>
        <tr r="M405" s="2"/>
      </tp>
      <tp t="s">
        <v>#N/A N/A</v>
        <stp/>
        <stp>BDP|6388536793575829669</stp>
        <tr r="D293" s="2"/>
      </tp>
      <tp t="s">
        <v>#N/A N/A</v>
        <stp/>
        <stp>BDP|9577552822873980466</stp>
        <tr r="J49" s="2"/>
      </tp>
      <tp t="s">
        <v>#N/A N/A</v>
        <stp/>
        <stp>BDP|1921847077897944013</stp>
        <tr r="F461" s="2"/>
      </tp>
      <tp t="s">
        <v>#N/A N/A</v>
        <stp/>
        <stp>BDP|4282255380124275377</stp>
        <tr r="O85" s="2"/>
      </tp>
      <tp t="s">
        <v>#N/A N/A</v>
        <stp/>
        <stp>BDP|3440877209103873109</stp>
        <tr r="N240" s="2"/>
      </tp>
      <tp t="s">
        <v>#N/A N/A</v>
        <stp/>
        <stp>BDP|6712039101686512923</stp>
        <tr r="Q150" s="2"/>
      </tp>
      <tp t="s">
        <v>#N/A N/A</v>
        <stp/>
        <stp>BDP|6452225570383765939</stp>
        <tr r="L364" s="2"/>
      </tp>
      <tp t="s">
        <v>#N/A N/A</v>
        <stp/>
        <stp>BDP|1770235683274663639</stp>
        <tr r="N276" s="2"/>
      </tp>
      <tp t="s">
        <v>#N/A N/A</v>
        <stp/>
        <stp>BDP|9502389093762909851</stp>
        <tr r="H125" s="2"/>
      </tp>
      <tp t="s">
        <v>#N/A N/A</v>
        <stp/>
        <stp>BDP|1039212423849933195</stp>
        <tr r="N500" s="2"/>
      </tp>
      <tp t="s">
        <v>#N/A N/A</v>
        <stp/>
        <stp>BDP|9286857816008291118</stp>
        <tr r="L306" s="2"/>
      </tp>
      <tp t="s">
        <v>#N/A N/A</v>
        <stp/>
        <stp>BDP|1258528522159195610</stp>
        <tr r="R290" s="2"/>
      </tp>
      <tp t="s">
        <v>#N/A N/A</v>
        <stp/>
        <stp>BDP|1353402903619407565</stp>
        <tr r="Q108" s="2"/>
      </tp>
      <tp t="s">
        <v>#N/A N/A</v>
        <stp/>
        <stp>BDP|6172851793159759726</stp>
        <tr r="O24" s="2"/>
      </tp>
      <tp t="s">
        <v>#N/A N/A</v>
        <stp/>
        <stp>BDP|8320122415195634406</stp>
        <tr r="P135" s="2"/>
      </tp>
      <tp t="s">
        <v>#N/A N/A</v>
        <stp/>
        <stp>BDP|1582856664451381754</stp>
        <tr r="O128" s="2"/>
      </tp>
      <tp t="s">
        <v>#N/A N/A</v>
        <stp/>
        <stp>BDP|3909296595382791315</stp>
        <tr r="O80" s="2"/>
      </tp>
      <tp t="s">
        <v>#N/A N/A</v>
        <stp/>
        <stp>BDP|3050932940176686166</stp>
        <tr r="H391" s="2"/>
      </tp>
      <tp t="s">
        <v>#N/A N/A</v>
        <stp/>
        <stp>BDP|7797584099721749325</stp>
        <tr r="K395" s="2"/>
      </tp>
      <tp t="s">
        <v>#N/A N/A</v>
        <stp/>
        <stp>BDP|9788394150407922141</stp>
        <tr r="O177" s="2"/>
      </tp>
      <tp t="s">
        <v>#N/A N/A</v>
        <stp/>
        <stp>BDP|1569389712109523396</stp>
        <tr r="O122" s="2"/>
      </tp>
      <tp t="s">
        <v>#N/A N/A</v>
        <stp/>
        <stp>BDP|1597077851068241520</stp>
        <tr r="P283" s="2"/>
      </tp>
      <tp t="s">
        <v>#N/A N/A</v>
        <stp/>
        <stp>BDP|9027301957547322179</stp>
        <tr r="O204" s="2"/>
      </tp>
      <tp t="s">
        <v>#N/A N/A</v>
        <stp/>
        <stp>BDP|3340815526325651516</stp>
        <tr r="N338" s="2"/>
      </tp>
      <tp t="s">
        <v>#N/A N/A</v>
        <stp/>
        <stp>BDP|7246693538148379330</stp>
        <tr r="J146" s="2"/>
      </tp>
      <tp t="s">
        <v>#N/A N/A</v>
        <stp/>
        <stp>BDP|5236869967067832588</stp>
        <tr r="N413" s="2"/>
      </tp>
      <tp t="s">
        <v>#N/A N/A</v>
        <stp/>
        <stp>BDP|5877237049548676272</stp>
        <tr r="E430" s="2"/>
      </tp>
      <tp t="s">
        <v>#N/A N/A</v>
        <stp/>
        <stp>BDP|2139958136971724060</stp>
        <tr r="Q299" s="2"/>
      </tp>
      <tp t="s">
        <v>#N/A N/A</v>
        <stp/>
        <stp>BDP|8552688449075395647</stp>
        <tr r="R384" s="2"/>
      </tp>
      <tp t="s">
        <v>#N/A N/A</v>
        <stp/>
        <stp>BDP|5873593246538312573</stp>
        <tr r="G370" s="2"/>
      </tp>
      <tp t="s">
        <v>#N/A N/A</v>
        <stp/>
        <stp>BDP|2003347248839690594</stp>
        <tr r="N187" s="2"/>
      </tp>
      <tp t="s">
        <v>#N/A N/A</v>
        <stp/>
        <stp>BDP|7643872017955296273</stp>
        <tr r="H340" s="2"/>
      </tp>
      <tp t="s">
        <v>#N/A N/A</v>
        <stp/>
        <stp>BDP|5427172606678607502</stp>
        <tr r="G11" s="2"/>
      </tp>
      <tp t="s">
        <v>#N/A N/A</v>
        <stp/>
        <stp>BDP|3622041753949456668</stp>
        <tr r="C176" s="2"/>
      </tp>
      <tp t="s">
        <v>#N/A N/A</v>
        <stp/>
        <stp>BDP|8219230192038430244</stp>
        <tr r="H95" s="2"/>
      </tp>
      <tp t="s">
        <v>#N/A N/A</v>
        <stp/>
        <stp>BDP|2955390294731687023</stp>
        <tr r="G179" s="2"/>
      </tp>
      <tp t="s">
        <v>#N/A N/A</v>
        <stp/>
        <stp>BDP|4706543197467769638</stp>
        <tr r="Q265" s="2"/>
      </tp>
      <tp t="s">
        <v>#N/A N/A</v>
        <stp/>
        <stp>BDP|1199944354187710366</stp>
        <tr r="Q128" s="2"/>
      </tp>
      <tp t="s">
        <v>#N/A N/A</v>
        <stp/>
        <stp>BDP|2758711003924536805</stp>
        <tr r="Q16" s="2"/>
      </tp>
      <tp t="s">
        <v>#N/A N/A</v>
        <stp/>
        <stp>BDP|7986454125590935801</stp>
        <tr r="J281" s="2"/>
      </tp>
      <tp t="s">
        <v>#N/A N/A</v>
        <stp/>
        <stp>BDP|3169291975588589786</stp>
        <tr r="H167" s="2"/>
      </tp>
      <tp t="s">
        <v>#N/A N/A</v>
        <stp/>
        <stp>BDP|9797851988656322690</stp>
        <tr r="N362" s="2"/>
      </tp>
      <tp t="s">
        <v>#N/A N/A</v>
        <stp/>
        <stp>BDP|5715974446282311359</stp>
        <tr r="O220" s="2"/>
      </tp>
      <tp t="s">
        <v>#N/A N/A</v>
        <stp/>
        <stp>BDP|6393700588768992829</stp>
        <tr r="I159" s="2"/>
      </tp>
      <tp t="s">
        <v>#N/A N/A</v>
        <stp/>
        <stp>BDP|4560913443709112962</stp>
        <tr r="K113" s="2"/>
      </tp>
      <tp t="s">
        <v>#N/A N/A</v>
        <stp/>
        <stp>BDP|1188852188589992155</stp>
        <tr r="D111" s="2"/>
      </tp>
      <tp t="s">
        <v>#N/A N/A</v>
        <stp/>
        <stp>BDP|9570908009091982852</stp>
        <tr r="C136" s="2"/>
      </tp>
      <tp t="s">
        <v>#N/A N/A</v>
        <stp/>
        <stp>BDP|6341556686120940290</stp>
        <tr r="H82" s="2"/>
      </tp>
      <tp t="s">
        <v>#N/A N/A</v>
        <stp/>
        <stp>BDP|4434393480941475799</stp>
        <tr r="N104" s="2"/>
      </tp>
      <tp t="s">
        <v>#N/A N/A</v>
        <stp/>
        <stp>BDP|2205105910829483262</stp>
        <tr r="E349" s="2"/>
      </tp>
      <tp t="s">
        <v>#N/A N/A</v>
        <stp/>
        <stp>BDP|8941137172024024387</stp>
        <tr r="G128" s="2"/>
      </tp>
      <tp t="s">
        <v>#N/A N/A</v>
        <stp/>
        <stp>BDP|4968082083587642243</stp>
        <tr r="R459" s="2"/>
      </tp>
      <tp t="s">
        <v>#N/A N/A</v>
        <stp/>
        <stp>BDP|2161747900079206577</stp>
        <tr r="J387" s="2"/>
      </tp>
      <tp t="s">
        <v>#N/A N/A</v>
        <stp/>
        <stp>BDP|3296696612465013882</stp>
        <tr r="K106" s="2"/>
      </tp>
      <tp t="s">
        <v>#N/A N/A</v>
        <stp/>
        <stp>BDP|9304306106051691227</stp>
        <tr r="J380" s="2"/>
      </tp>
      <tp t="s">
        <v>#N/A N/A</v>
        <stp/>
        <stp>BDP|3198004699052969103</stp>
        <tr r="C459" s="2"/>
      </tp>
      <tp t="s">
        <v>#N/A N/A</v>
        <stp/>
        <stp>BDP|2644270033073379908</stp>
        <tr r="P153" s="2"/>
      </tp>
      <tp t="s">
        <v>#N/A N/A</v>
        <stp/>
        <stp>BDP|2982274983219850845</stp>
        <tr r="G162" s="2"/>
      </tp>
      <tp t="s">
        <v>#N/A N/A</v>
        <stp/>
        <stp>BDP|2778783587045929106</stp>
        <tr r="Q257" s="2"/>
      </tp>
      <tp t="s">
        <v>#N/A N/A</v>
        <stp/>
        <stp>BDP|7812626458489785448</stp>
        <tr r="N70" s="2"/>
      </tp>
      <tp t="s">
        <v>#N/A N/A</v>
        <stp/>
        <stp>BDP|2338943256060325737</stp>
        <tr r="P404" s="2"/>
      </tp>
      <tp t="s">
        <v>#N/A N/A</v>
        <stp/>
        <stp>BDP|7800157747758975323</stp>
        <tr r="R192" s="2"/>
      </tp>
      <tp t="s">
        <v>#N/A N/A</v>
        <stp/>
        <stp>BDP|2071269892817201772</stp>
        <tr r="N136" s="2"/>
      </tp>
      <tp t="s">
        <v>#N/A N/A</v>
        <stp/>
        <stp>BDP|4098224380697679058</stp>
        <tr r="E238" s="2"/>
      </tp>
      <tp t="s">
        <v>#N/A N/A</v>
        <stp/>
        <stp>BDP|5793130652261897989</stp>
        <tr r="D445" s="2"/>
      </tp>
      <tp t="s">
        <v>#N/A N/A</v>
        <stp/>
        <stp>BDP|3701488278371196809</stp>
        <tr r="I485" s="2"/>
      </tp>
      <tp t="s">
        <v>#N/A N/A</v>
        <stp/>
        <stp>BDP|1389277813458641375</stp>
        <tr r="P19" s="2"/>
      </tp>
      <tp t="s">
        <v>#N/A N/A</v>
        <stp/>
        <stp>BDP|7725756555268727469</stp>
        <tr r="R182" s="2"/>
      </tp>
      <tp t="s">
        <v>#N/A N/A</v>
        <stp/>
        <stp>BDP|3285456699654164392</stp>
        <tr r="F219" s="2"/>
      </tp>
      <tp t="s">
        <v>#N/A N/A</v>
        <stp/>
        <stp>BDP|6706811118286199094</stp>
        <tr r="I479" s="2"/>
      </tp>
      <tp t="s">
        <v>#N/A N/A</v>
        <stp/>
        <stp>BDP|6563753538189913274</stp>
        <tr r="Q70" s="2"/>
      </tp>
      <tp t="s">
        <v>#N/A N/A</v>
        <stp/>
        <stp>BDP|1766881739662233122</stp>
        <tr r="R67" s="2"/>
      </tp>
      <tp t="s">
        <v>#N/A N/A</v>
        <stp/>
        <stp>BDP|8045849760736497963</stp>
        <tr r="N468" s="2"/>
      </tp>
      <tp t="s">
        <v>#N/A N/A</v>
        <stp/>
        <stp>BDP|3394437096990607767</stp>
        <tr r="P191" s="2"/>
      </tp>
      <tp t="s">
        <v>#N/A N/A</v>
        <stp/>
        <stp>BDP|3929058689370782241</stp>
        <tr r="J463" s="2"/>
      </tp>
      <tp t="s">
        <v>#N/A N/A</v>
        <stp/>
        <stp>BDP|1643908255494183040</stp>
        <tr r="H87" s="2"/>
      </tp>
      <tp t="s">
        <v>#N/A N/A</v>
        <stp/>
        <stp>BDP|8379166633373209027</stp>
        <tr r="D118" s="2"/>
      </tp>
      <tp t="s">
        <v>#N/A N/A</v>
        <stp/>
        <stp>BDP|6245807236542521671</stp>
        <tr r="K61" s="2"/>
      </tp>
      <tp t="s">
        <v>#N/A N/A</v>
        <stp/>
        <stp>BDP|3601066607508470250</stp>
        <tr r="P25" s="2"/>
      </tp>
      <tp t="s">
        <v>#N/A N/A</v>
        <stp/>
        <stp>BDP|5318440983629551976</stp>
        <tr r="H191" s="2"/>
      </tp>
      <tp t="s">
        <v>#N/A N/A</v>
        <stp/>
        <stp>BDP|6686831257817349571</stp>
        <tr r="O69" s="2"/>
      </tp>
      <tp t="s">
        <v>#N/A N/A</v>
        <stp/>
        <stp>BDP|5048600434428065121</stp>
        <tr r="J302" s="2"/>
      </tp>
      <tp t="s">
        <v>#N/A N/A</v>
        <stp/>
        <stp>BDP|2077374833998133320</stp>
        <tr r="D53" s="2"/>
      </tp>
      <tp t="s">
        <v>#N/A N/A</v>
        <stp/>
        <stp>BDP|9540952095028762859</stp>
        <tr r="P501" s="2"/>
      </tp>
      <tp t="s">
        <v>#N/A N/A</v>
        <stp/>
        <stp>BDP|9780252064266697278</stp>
        <tr r="O436" s="2"/>
      </tp>
      <tp t="s">
        <v>#N/A N/A</v>
        <stp/>
        <stp>BDP|9069480815190865528</stp>
        <tr r="G492" s="2"/>
      </tp>
      <tp t="s">
        <v>#N/A N/A</v>
        <stp/>
        <stp>BDP|9952960389708870998</stp>
        <tr r="I402" s="2"/>
      </tp>
      <tp t="s">
        <v>#N/A N/A</v>
        <stp/>
        <stp>BDP|7594075915728822784</stp>
        <tr r="E196" s="2"/>
      </tp>
      <tp t="s">
        <v>#N/A N/A</v>
        <stp/>
        <stp>BDP|8084415963754426715</stp>
        <tr r="K491" s="2"/>
      </tp>
      <tp t="s">
        <v>#N/A N/A</v>
        <stp/>
        <stp>BDP|1223138791585015573</stp>
        <tr r="O147" s="2"/>
      </tp>
      <tp t="s">
        <v>#N/A N/A</v>
        <stp/>
        <stp>BDP|8211544285475384975</stp>
        <tr r="C482" s="2"/>
      </tp>
      <tp t="s">
        <v>#N/A N/A</v>
        <stp/>
        <stp>BDP|6751689577506915864</stp>
        <tr r="G317" s="2"/>
      </tp>
      <tp t="s">
        <v>#N/A N/A</v>
        <stp/>
        <stp>BDP|2840167538248666178</stp>
        <tr r="C277" s="2"/>
      </tp>
      <tp t="s">
        <v>#N/A N/A</v>
        <stp/>
        <stp>BDP|1132150628102816932</stp>
        <tr r="Q392" s="2"/>
      </tp>
      <tp t="s">
        <v>#N/A N/A</v>
        <stp/>
        <stp>BDP|3570120896314038664</stp>
        <tr r="E56" s="2"/>
      </tp>
      <tp t="s">
        <v>#N/A N/A</v>
        <stp/>
        <stp>BDP|5360830594649352406</stp>
        <tr r="O296" s="2"/>
      </tp>
      <tp t="s">
        <v>#N/A N/A</v>
        <stp/>
        <stp>BDP|7088668792686004732</stp>
        <tr r="L499" s="2"/>
      </tp>
      <tp t="s">
        <v>#N/A N/A</v>
        <stp/>
        <stp>BDP|4448781549637327915</stp>
        <tr r="Q175" s="2"/>
      </tp>
      <tp t="s">
        <v>#N/A N/A</v>
        <stp/>
        <stp>BDP|6631621242234643973</stp>
        <tr r="P428" s="2"/>
      </tp>
      <tp t="s">
        <v>#N/A N/A</v>
        <stp/>
        <stp>BDP|9181281719513424039</stp>
        <tr r="F477" s="2"/>
      </tp>
      <tp t="s">
        <v>#N/A N/A</v>
        <stp/>
        <stp>BDP|5122942561501143219</stp>
        <tr r="C249" s="2"/>
      </tp>
      <tp t="s">
        <v>#N/A N/A</v>
        <stp/>
        <stp>BDP|3298412734115080839</stp>
        <tr r="D150" s="2"/>
      </tp>
      <tp t="s">
        <v>#N/A N/A</v>
        <stp/>
        <stp>BDP|7019474402793165908</stp>
        <tr r="P367" s="2"/>
      </tp>
      <tp t="s">
        <v>#N/A N/A</v>
        <stp/>
        <stp>BDP|9201039679302971552</stp>
        <tr r="Q95" s="2"/>
      </tp>
      <tp t="s">
        <v>#N/A N/A</v>
        <stp/>
        <stp>BDP|3366360625362112954</stp>
        <tr r="R255" s="2"/>
      </tp>
      <tp t="s">
        <v>#N/A N/A</v>
        <stp/>
        <stp>BDP|1951087410251035853</stp>
        <tr r="L284" s="2"/>
      </tp>
      <tp t="s">
        <v>#N/A N/A</v>
        <stp/>
        <stp>BDP|8229669844160629328</stp>
        <tr r="I296" s="2"/>
      </tp>
      <tp t="s">
        <v>#N/A N/A</v>
        <stp/>
        <stp>BDP|7787490390725892625</stp>
        <tr r="Q350" s="2"/>
      </tp>
      <tp t="s">
        <v>#N/A N/A</v>
        <stp/>
        <stp>BDP|8395114120595628708</stp>
        <tr r="I131" s="2"/>
      </tp>
      <tp t="s">
        <v>#N/A N/A</v>
        <stp/>
        <stp>BDP|9381527728232409598</stp>
        <tr r="H491" s="2"/>
      </tp>
      <tp t="s">
        <v>#N/A N/A</v>
        <stp/>
        <stp>BDP|8073254736987788706</stp>
        <tr r="L37" s="2"/>
      </tp>
      <tp t="s">
        <v>#N/A N/A</v>
        <stp/>
        <stp>BDP|9505618950961969293</stp>
        <tr r="Q455" s="2"/>
      </tp>
      <tp t="s">
        <v>#N/A N/A</v>
        <stp/>
        <stp>BDP|7236779883459721858</stp>
        <tr r="F276" s="2"/>
      </tp>
      <tp t="s">
        <v>#N/A N/A</v>
        <stp/>
        <stp>BDP|4362906501645771116</stp>
        <tr r="K236" s="2"/>
      </tp>
      <tp t="s">
        <v>#N/A N/A</v>
        <stp/>
        <stp>BDP|9297439643797715711</stp>
        <tr r="I200" s="2"/>
      </tp>
      <tp t="s">
        <v>#N/A N/A</v>
        <stp/>
        <stp>BDP|4270838243693671209</stp>
        <tr r="D497" s="2"/>
      </tp>
      <tp t="s">
        <v>#N/A N/A</v>
        <stp/>
        <stp>BDP|2133897709152488104</stp>
        <tr r="K246" s="2"/>
      </tp>
      <tp t="s">
        <v>#N/A N/A</v>
        <stp/>
        <stp>BDP|2208320096403298215</stp>
        <tr r="I145" s="2"/>
      </tp>
      <tp t="s">
        <v>#N/A N/A</v>
        <stp/>
        <stp>BDP|7964495712662597924</stp>
        <tr r="G74" s="2"/>
      </tp>
      <tp t="s">
        <v>#N/A N/A</v>
        <stp/>
        <stp>BDP|2241726647849355114</stp>
        <tr r="M130" s="2"/>
      </tp>
      <tp t="s">
        <v>#N/A N/A</v>
        <stp/>
        <stp>BDP|1975377722509068098</stp>
        <tr r="N101" s="2"/>
      </tp>
      <tp t="s">
        <v>#N/A N/A</v>
        <stp/>
        <stp>BDP|3133742217568561428</stp>
        <tr r="P197" s="2"/>
      </tp>
      <tp t="s">
        <v>#N/A N/A</v>
        <stp/>
        <stp>BDP|2985002493095848773</stp>
        <tr r="R205" s="2"/>
      </tp>
      <tp t="s">
        <v>#N/A N/A</v>
        <stp/>
        <stp>BDP|7989838301387690184</stp>
        <tr r="M56" s="2"/>
      </tp>
      <tp t="s">
        <v>#N/A N/A</v>
        <stp/>
        <stp>BDP|8497554938986472183</stp>
        <tr r="N277" s="2"/>
      </tp>
      <tp t="s">
        <v>#N/A N/A</v>
        <stp/>
        <stp>BDP|9623645558196965563</stp>
        <tr r="E327" s="2"/>
      </tp>
      <tp t="s">
        <v>#N/A N/A</v>
        <stp/>
        <stp>BDP|6980408007383213891</stp>
        <tr r="J230" s="2"/>
      </tp>
      <tp t="s">
        <v>#N/A N/A</v>
        <stp/>
        <stp>BDP|9458704210933026518</stp>
        <tr r="H129" s="2"/>
      </tp>
      <tp t="s">
        <v>#N/A N/A</v>
        <stp/>
        <stp>BDP|5995376987312485580</stp>
        <tr r="G247" s="2"/>
      </tp>
      <tp t="s">
        <v>#N/A N/A</v>
        <stp/>
        <stp>BDP|8848207862792981768</stp>
        <tr r="O12" s="2"/>
      </tp>
      <tp t="s">
        <v>#N/A N/A</v>
        <stp/>
        <stp>BDP|2620589023008146498</stp>
        <tr r="E272" s="2"/>
      </tp>
      <tp>
        <v>1.0837999582290649</v>
        <stp/>
        <stp>BDP|10697269177771454928|22</stp>
        <stp>TDY UN Equity</stp>
        <stp>RT_PX_CHG_PCT_1D</stp>
        <tr r="B485" s="2"/>
      </tp>
      <tp>
        <v>1.6851999759674072</v>
        <stp/>
        <stp>BDP|13208053212996664486|22</stp>
        <stp>URI UN Equity</stp>
        <stp>RT_PX_CHG_PCT_1D</stp>
        <tr r="B466" s="2"/>
      </tp>
      <tp>
        <v>4.5651998519897461</v>
        <stp/>
        <stp>BDP|14632489438596619374|22</stp>
        <stp>AON UN Equity</stp>
        <stp>RT_PX_CHG_PCT_1D</stp>
        <tr r="B112" s="2"/>
      </tp>
      <tp>
        <v>3.1403000354766846</v>
        <stp/>
        <stp>BDP|12478344698439286095|22</stp>
        <stp>CZR UW Equity</stp>
        <stp>RT_PX_CHG_PCT_1D</stp>
        <tr r="B94" s="2"/>
      </tp>
      <tp>
        <v>2.7448000907897949</v>
        <stp/>
        <stp>BDP|10307951067899662338|22</stp>
        <stp>GL UN Equity</stp>
        <stp>RT_PX_CHG_PCT_1D</stp>
        <tr r="B224" s="2"/>
      </tp>
      <tp>
        <v>-0.62889999151229858</v>
        <stp/>
        <stp>BDP|10061077719564898120|22</stp>
        <stp>EA UW Equity</stp>
        <stp>RT_PX_CHG_PCT_1D</stp>
        <tr r="B262" s="2"/>
      </tp>
      <tp>
        <v>0.90770000219345093</v>
        <stp/>
        <stp>BDP|8867865837426667004|22</stp>
        <stp>CPRT UW Equity</stp>
        <stp>RT_PX_CHG_PCT_1D</stp>
        <tr r="B434" s="2"/>
      </tp>
      <tp t="s">
        <v>#N/A N/A</v>
        <stp/>
        <stp>BDP|1243114122279911128</stp>
        <tr r="O329" s="2"/>
      </tp>
      <tp t="s">
        <v>#N/A N/A</v>
        <stp/>
        <stp>BDP|2264996901017726679</stp>
        <tr r="O466" s="2"/>
      </tp>
      <tp t="s">
        <v>#N/A N/A</v>
        <stp/>
        <stp>BDP|8620154077893816765</stp>
        <tr r="K490" s="2"/>
      </tp>
      <tp t="s">
        <v>#N/A N/A</v>
        <stp/>
        <stp>BDP|2291033075856990976</stp>
        <tr r="I127" s="2"/>
      </tp>
      <tp t="s">
        <v>#N/A N/A</v>
        <stp/>
        <stp>BDP|3783409348511491810</stp>
        <tr r="H194" s="2"/>
      </tp>
      <tp t="s">
        <v>#N/A N/A</v>
        <stp/>
        <stp>BDP|5817748487221440153</stp>
        <tr r="G246" s="2"/>
      </tp>
      <tp t="s">
        <v>#N/A N/A</v>
        <stp/>
        <stp>BDP|1848061084936215523</stp>
        <tr r="O169" s="2"/>
      </tp>
      <tp t="s">
        <v>#N/A N/A</v>
        <stp/>
        <stp>BDP|7954004446740205977</stp>
        <tr r="K346" s="2"/>
      </tp>
      <tp t="s">
        <v>#N/A N/A</v>
        <stp/>
        <stp>BDP|8648754868411808291</stp>
        <tr r="L176" s="2"/>
      </tp>
      <tp t="s">
        <v>#N/A N/A</v>
        <stp/>
        <stp>BDP|8092219926454832653</stp>
        <tr r="P80" s="2"/>
      </tp>
      <tp t="s">
        <v>#N/A N/A</v>
        <stp/>
        <stp>BDP|9907095210523311197</stp>
        <tr r="P325" s="2"/>
      </tp>
      <tp>
        <v>1.6718000173568726</v>
        <stp/>
        <stp>BDP|1345759268866909500|22</stp>
        <stp>ALGN UW Equity</stp>
        <stp>RT_PX_CHG_PCT_1D</stp>
        <tr r="B492" s="2"/>
      </tp>
      <tp t="s">
        <v>#N/A N/A</v>
        <stp/>
        <stp>BDP|2262852436612882120</stp>
        <tr r="J252" s="2"/>
      </tp>
      <tp t="s">
        <v>#N/A N/A</v>
        <stp/>
        <stp>BDP|5195655109628533133</stp>
        <tr r="H59" s="2"/>
      </tp>
      <tp t="s">
        <v>#N/A N/A</v>
        <stp/>
        <stp>BDP|3504880724466718558</stp>
        <tr r="K39" s="2"/>
      </tp>
      <tp t="s">
        <v>#N/A N/A</v>
        <stp/>
        <stp>BDP|6835061903028153479</stp>
        <tr r="F318" s="2"/>
      </tp>
      <tp t="s">
        <v>#N/A N/A</v>
        <stp/>
        <stp>BDP|5455060451923139991</stp>
        <tr r="J211" s="2"/>
      </tp>
      <tp t="s">
        <v>#N/A N/A</v>
        <stp/>
        <stp>BDP|9586761268893351135</stp>
        <tr r="G337" s="2"/>
      </tp>
      <tp t="s">
        <v>#N/A N/A</v>
        <stp/>
        <stp>BDP|8366306099889917188</stp>
        <tr r="I126" s="2"/>
      </tp>
      <tp t="s">
        <v>#N/A N/A</v>
        <stp/>
        <stp>BDP|8377887693411626256</stp>
        <tr r="P236" s="2"/>
      </tp>
      <tp t="s">
        <v>#N/A N/A</v>
        <stp/>
        <stp>BDP|8544809191174995765</stp>
        <tr r="K503" s="2"/>
      </tp>
      <tp t="s">
        <v>#N/A N/A</v>
        <stp/>
        <stp>BDP|8120061758942197557</stp>
        <tr r="M202" s="2"/>
      </tp>
      <tp t="s">
        <v>#N/A N/A</v>
        <stp/>
        <stp>BDP|3880747735378025529</stp>
        <tr r="E123" s="2"/>
      </tp>
      <tp t="s">
        <v>#N/A N/A</v>
        <stp/>
        <stp>BDP|2973953414261701141</stp>
        <tr r="J198" s="2"/>
      </tp>
      <tp t="s">
        <v>#N/A N/A</v>
        <stp/>
        <stp>BDP|2380772694481072783</stp>
        <tr r="M101" s="2"/>
      </tp>
      <tp t="s">
        <v>#N/A N/A</v>
        <stp/>
        <stp>BDP|8682570854423820154</stp>
        <tr r="P368" s="2"/>
      </tp>
      <tp t="s">
        <v>#N/A N/A</v>
        <stp/>
        <stp>BDP|4875927525643284651</stp>
        <tr r="P155" s="2"/>
      </tp>
      <tp t="s">
        <v>#N/A N/A</v>
        <stp/>
        <stp>BDP|5877680551625960908</stp>
        <tr r="G312" s="2"/>
      </tp>
      <tp t="s">
        <v>#N/A N/A</v>
        <stp/>
        <stp>BDP|4813067451102709908</stp>
        <tr r="M313" s="2"/>
      </tp>
      <tp t="s">
        <v>#N/A N/A</v>
        <stp/>
        <stp>BDP|6951976555998076832</stp>
        <tr r="Q306" s="2"/>
      </tp>
      <tp t="s">
        <v>#N/A N/A</v>
        <stp/>
        <stp>BDP|1733988157804581355</stp>
        <tr r="O384" s="2"/>
      </tp>
      <tp t="s">
        <v>#N/A N/A</v>
        <stp/>
        <stp>BDP|9889130330415554468</stp>
        <tr r="Q303" s="2"/>
      </tp>
      <tp t="s">
        <v>#N/A N/A</v>
        <stp/>
        <stp>BDP|2327858047857162384</stp>
        <tr r="D3" s="2"/>
      </tp>
      <tp t="s">
        <v>#N/A N/A</v>
        <stp/>
        <stp>BDP|4280651523032583892</stp>
        <tr r="G449" s="2"/>
      </tp>
      <tp t="s">
        <v>#N/A N/A</v>
        <stp/>
        <stp>BDP|2754797009276854970</stp>
        <tr r="G277" s="2"/>
      </tp>
      <tp t="s">
        <v>#N/A N/A</v>
        <stp/>
        <stp>BDP|7553912899028336561</stp>
        <tr r="Q33" s="2"/>
      </tp>
      <tp t="s">
        <v>#N/A N/A</v>
        <stp/>
        <stp>BDP|6433493842549670516</stp>
        <tr r="N331" s="2"/>
      </tp>
      <tp t="s">
        <v>#N/A N/A</v>
        <stp/>
        <stp>BDP|6572954329466379139</stp>
        <tr r="P480" s="2"/>
      </tp>
      <tp t="s">
        <v>#N/A N/A</v>
        <stp/>
        <stp>BDP|5006603584114893551</stp>
        <tr r="G399" s="2"/>
      </tp>
      <tp t="s">
        <v>#N/A N/A</v>
        <stp/>
        <stp>BDP|8400417873971772083</stp>
        <tr r="R36" s="2"/>
      </tp>
      <tp t="s">
        <v>#N/A N/A</v>
        <stp/>
        <stp>BDP|5536691897971319117</stp>
        <tr r="C114" s="2"/>
      </tp>
      <tp t="s">
        <v>#N/A N/A</v>
        <stp/>
        <stp>BDP|9709047748300787751</stp>
        <tr r="K168" s="2"/>
      </tp>
      <tp t="s">
        <v>#N/A N/A</v>
        <stp/>
        <stp>BDP|5203196485233408538</stp>
        <tr r="F20" s="2"/>
      </tp>
      <tp t="s">
        <v>#N/A N/A</v>
        <stp/>
        <stp>BDP|6357920233817828133</stp>
        <tr r="R53" s="2"/>
      </tp>
      <tp t="s">
        <v>#N/A N/A</v>
        <stp/>
        <stp>BDP|7985990745664911450</stp>
        <tr r="C112" s="2"/>
      </tp>
      <tp t="s">
        <v>#N/A N/A</v>
        <stp/>
        <stp>BDP|6036880456969742801</stp>
        <tr r="K83" s="2"/>
      </tp>
      <tp t="s">
        <v>#N/A N/A</v>
        <stp/>
        <stp>BDP|1033197189251194380</stp>
        <tr r="R301" s="2"/>
      </tp>
      <tp t="s">
        <v>#N/A N/A</v>
        <stp/>
        <stp>BDP|9412995681424786626</stp>
        <tr r="J437" s="2"/>
      </tp>
      <tp t="s">
        <v>#N/A N/A</v>
        <stp/>
        <stp>BDP|1375150139178450123</stp>
        <tr r="Q23" s="2"/>
      </tp>
      <tp t="s">
        <v>#N/A N/A</v>
        <stp/>
        <stp>BDP|6118723175269604593</stp>
        <tr r="P350" s="2"/>
      </tp>
      <tp t="s">
        <v>#N/A N/A</v>
        <stp/>
        <stp>BDP|3943187698480001102</stp>
        <tr r="H257" s="2"/>
      </tp>
      <tp t="s">
        <v>#N/A N/A</v>
        <stp/>
        <stp>BDP|7831837855751210157</stp>
        <tr r="N154" s="2"/>
      </tp>
      <tp t="s">
        <v>#N/A N/A</v>
        <stp/>
        <stp>BDP|5900436982520248330</stp>
        <tr r="C447" s="2"/>
      </tp>
      <tp t="s">
        <v>#N/A N/A</v>
        <stp/>
        <stp>BDP|5626490793603124140</stp>
        <tr r="L429" s="2"/>
      </tp>
      <tp t="s">
        <v>#N/A N/A</v>
        <stp/>
        <stp>BDP|7702020266378271382</stp>
        <tr r="I57" s="2"/>
      </tp>
      <tp t="s">
        <v>#N/A N/A</v>
        <stp/>
        <stp>BDP|9486792344921321137</stp>
        <tr r="R332" s="2"/>
      </tp>
      <tp t="s">
        <v>#N/A N/A</v>
        <stp/>
        <stp>BDP|3391011668687011846</stp>
        <tr r="H150" s="2"/>
      </tp>
      <tp t="s">
        <v>#N/A N/A</v>
        <stp/>
        <stp>BDP|7828932282419598525</stp>
        <tr r="Q378" s="2"/>
      </tp>
      <tp t="s">
        <v>#N/A N/A</v>
        <stp/>
        <stp>BDP|6597821370457121484</stp>
        <tr r="E40" s="2"/>
      </tp>
      <tp t="s">
        <v>#N/A N/A</v>
        <stp/>
        <stp>BDP|8613005931900879110</stp>
        <tr r="Q374" s="2"/>
      </tp>
      <tp t="s">
        <v>#N/A N/A</v>
        <stp/>
        <stp>BDP|9305559926602960673</stp>
        <tr r="O214" s="2"/>
      </tp>
      <tp t="s">
        <v>#N/A N/A</v>
        <stp/>
        <stp>BDP|4322686085164184410</stp>
        <tr r="I123" s="2"/>
      </tp>
      <tp t="s">
        <v>#N/A N/A</v>
        <stp/>
        <stp>BDP|5395938474916342791</stp>
        <tr r="G50" s="2"/>
      </tp>
      <tp t="s">
        <v>#N/A N/A</v>
        <stp/>
        <stp>BDP|6376390539328482490</stp>
        <tr r="Q341" s="2"/>
      </tp>
      <tp t="s">
        <v>#N/A N/A</v>
        <stp/>
        <stp>BDP|5894784484782306296</stp>
        <tr r="M458" s="2"/>
      </tp>
      <tp t="s">
        <v>#N/A N/A</v>
        <stp/>
        <stp>BDP|7371770694863677087</stp>
        <tr r="E141" s="2"/>
      </tp>
      <tp t="s">
        <v>#N/A N/A</v>
        <stp/>
        <stp>BDP|3960309287035966798</stp>
        <tr r="R175" s="2"/>
      </tp>
      <tp t="s">
        <v>#N/A N/A</v>
        <stp/>
        <stp>BDP|6905973961960720368</stp>
        <tr r="F201" s="2"/>
      </tp>
      <tp t="s">
        <v>#N/A N/A</v>
        <stp/>
        <stp>BDP|5237280617408712445</stp>
        <tr r="G185" s="2"/>
      </tp>
      <tp t="s">
        <v>#N/A N/A</v>
        <stp/>
        <stp>BDP|5836430388205539681</stp>
        <tr r="N320" s="2"/>
      </tp>
      <tp t="s">
        <v>#N/A N/A</v>
        <stp/>
        <stp>BDP|5342816068441606023</stp>
        <tr r="I345" s="2"/>
      </tp>
      <tp t="s">
        <v>#N/A N/A</v>
        <stp/>
        <stp>BDP|2885966801540698177</stp>
        <tr r="E95" s="2"/>
      </tp>
      <tp t="s">
        <v>#N/A N/A</v>
        <stp/>
        <stp>BDP|5935820875983975386</stp>
        <tr r="M5" s="2"/>
      </tp>
      <tp t="s">
        <v>#N/A N/A</v>
        <stp/>
        <stp>BDP|8646783216965261153</stp>
        <tr r="R340" s="2"/>
      </tp>
      <tp t="s">
        <v>#N/A N/A</v>
        <stp/>
        <stp>BDP|7815430291730683034</stp>
        <tr r="K185" s="2"/>
      </tp>
      <tp t="s">
        <v>#N/A N/A</v>
        <stp/>
        <stp>BDP|6959618790296435533</stp>
        <tr r="M245" s="2"/>
      </tp>
      <tp t="s">
        <v>#N/A N/A</v>
        <stp/>
        <stp>BDP|5874914504773315510</stp>
        <tr r="H483" s="2"/>
      </tp>
      <tp t="s">
        <v>#N/A N/A</v>
        <stp/>
        <stp>BDP|8185733519984431005</stp>
        <tr r="M379" s="2"/>
      </tp>
      <tp t="s">
        <v>#N/A N/A</v>
        <stp/>
        <stp>BDP|2925100342074466903</stp>
        <tr r="R415" s="2"/>
      </tp>
      <tp t="s">
        <v>#N/A N/A</v>
        <stp/>
        <stp>BDP|1980152044056518812</stp>
        <tr r="K33" s="2"/>
      </tp>
      <tp t="s">
        <v>#N/A N/A</v>
        <stp/>
        <stp>BDP|1694783813199736463</stp>
        <tr r="E457" s="2"/>
      </tp>
      <tp t="s">
        <v>#N/A N/A</v>
        <stp/>
        <stp>BDP|9687996477734359977</stp>
        <tr r="F420" s="2"/>
      </tp>
      <tp t="s">
        <v>#N/A N/A</v>
        <stp/>
        <stp>BDP|4737308797344542091</stp>
        <tr r="J186" s="2"/>
      </tp>
      <tp t="s">
        <v>#N/A N/A</v>
        <stp/>
        <stp>BDP|1438877659862705413</stp>
        <tr r="Q394" s="2"/>
      </tp>
      <tp t="s">
        <v>#N/A N/A</v>
        <stp/>
        <stp>BDP|9873832676868367425</stp>
        <tr r="F238" s="2"/>
      </tp>
      <tp t="s">
        <v>#N/A N/A</v>
        <stp/>
        <stp>BDP|1194903839647755639</stp>
        <tr r="E22" s="2"/>
      </tp>
      <tp t="s">
        <v>#N/A N/A</v>
        <stp/>
        <stp>BDP|2907043171198040704</stp>
        <tr r="E489" s="2"/>
      </tp>
      <tp t="s">
        <v>#N/A N/A</v>
        <stp/>
        <stp>BDP|5491827233161003598</stp>
        <tr r="K413" s="2"/>
      </tp>
      <tp t="s">
        <v>#N/A N/A</v>
        <stp/>
        <stp>BDP|2932929402474702529</stp>
        <tr r="K460" s="2"/>
      </tp>
      <tp t="s">
        <v>#N/A N/A</v>
        <stp/>
        <stp>BDP|3370823079360424603</stp>
        <tr r="L308" s="2"/>
      </tp>
      <tp t="s">
        <v>#N/A N/A</v>
        <stp/>
        <stp>BDP|1910827441432265559</stp>
        <tr r="E354" s="2"/>
      </tp>
      <tp t="s">
        <v>#N/A N/A</v>
        <stp/>
        <stp>BDP|9894643851374916495</stp>
        <tr r="O64" s="2"/>
      </tp>
      <tp t="s">
        <v>#N/A N/A</v>
        <stp/>
        <stp>BDP|4137603797935217494</stp>
        <tr r="M329" s="2"/>
      </tp>
      <tp t="s">
        <v>#N/A N/A</v>
        <stp/>
        <stp>BDP|6900192693607984370</stp>
        <tr r="J306" s="2"/>
      </tp>
      <tp t="s">
        <v>#N/A N/A</v>
        <stp/>
        <stp>BDP|2014183896540786040</stp>
        <tr r="M78" s="2"/>
      </tp>
      <tp t="s">
        <v>#N/A N/A</v>
        <stp/>
        <stp>BDP|4402518789937624470</stp>
        <tr r="P471" s="2"/>
      </tp>
      <tp t="s">
        <v>#N/A N/A</v>
        <stp/>
        <stp>BDP|2469740996212958425</stp>
        <tr r="P232" s="2"/>
      </tp>
      <tp t="s">
        <v>#N/A N/A</v>
        <stp/>
        <stp>BDP|9123896296057335501</stp>
        <tr r="P474" s="2"/>
      </tp>
      <tp t="s">
        <v>#N/A N/A</v>
        <stp/>
        <stp>BDP|2194970211454569403</stp>
        <tr r="Q203" s="2"/>
      </tp>
      <tp t="s">
        <v>#N/A N/A</v>
        <stp/>
        <stp>BDP|1146627591954783078</stp>
        <tr r="I310" s="2"/>
      </tp>
      <tp t="s">
        <v>#N/A N/A</v>
        <stp/>
        <stp>BDP|6392860433975397273</stp>
        <tr r="N166" s="2"/>
      </tp>
      <tp t="s">
        <v>#N/A N/A</v>
        <stp/>
        <stp>BDP|2411134280920756123</stp>
        <tr r="M347" s="2"/>
      </tp>
      <tp t="s">
        <v>#N/A N/A</v>
        <stp/>
        <stp>BDP|5596558024170436829</stp>
        <tr r="G299" s="2"/>
      </tp>
      <tp t="s">
        <v>#N/A N/A</v>
        <stp/>
        <stp>BDP|9133660420974471317</stp>
        <tr r="N11" s="2"/>
      </tp>
      <tp t="s">
        <v>#N/A N/A</v>
        <stp/>
        <stp>BDP|7186502596620331163</stp>
        <tr r="Q112" s="2"/>
      </tp>
      <tp t="s">
        <v>#N/A N/A</v>
        <stp/>
        <stp>BDP|7654425315119675159</stp>
        <tr r="C191" s="2"/>
      </tp>
      <tp t="s">
        <v>#N/A N/A</v>
        <stp/>
        <stp>BDP|5601945332850309513</stp>
        <tr r="F76" s="2"/>
      </tp>
      <tp t="s">
        <v>#N/A N/A</v>
        <stp/>
        <stp>BDP|9236731312937695273</stp>
        <tr r="M102" s="2"/>
      </tp>
      <tp t="s">
        <v>#N/A N/A</v>
        <stp/>
        <stp>BDP|1989166490953509087</stp>
        <tr r="N469" s="2"/>
      </tp>
      <tp t="s">
        <v>#N/A N/A</v>
        <stp/>
        <stp>BDP|2122604593797635062</stp>
        <tr r="H369" s="2"/>
      </tp>
      <tp t="s">
        <v>#N/A N/A</v>
        <stp/>
        <stp>BDP|6874077292140819573</stp>
        <tr r="J72" s="2"/>
      </tp>
      <tp t="s">
        <v>#N/A N/A</v>
        <stp/>
        <stp>BDP|5672209097153047739</stp>
        <tr r="Q412" s="2"/>
      </tp>
      <tp t="s">
        <v>#N/A N/A</v>
        <stp/>
        <stp>BDP|3464261243656238910</stp>
        <tr r="M343" s="2"/>
      </tp>
      <tp t="s">
        <v>#N/A N/A</v>
        <stp/>
        <stp>BDP|5603548694182798134</stp>
        <tr r="G423" s="2"/>
      </tp>
      <tp t="s">
        <v>#N/A N/A</v>
        <stp/>
        <stp>BDP|2927461779778377374</stp>
        <tr r="N162" s="2"/>
      </tp>
      <tp t="s">
        <v>#N/A N/A</v>
        <stp/>
        <stp>BDP|2283003192443007228</stp>
        <tr r="L415" s="2"/>
      </tp>
      <tp t="s">
        <v>#N/A N/A</v>
        <stp/>
        <stp>BDP|5644226188434865167</stp>
        <tr r="G460" s="2"/>
      </tp>
      <tp t="s">
        <v>#N/A N/A</v>
        <stp/>
        <stp>BDP|9563512174578738954</stp>
        <tr r="M415" s="2"/>
      </tp>
      <tp t="s">
        <v>#N/A N/A</v>
        <stp/>
        <stp>BDP|7237959051476510706</stp>
        <tr r="Q68" s="2"/>
      </tp>
      <tp t="s">
        <v>#N/A N/A</v>
        <stp/>
        <stp>BDP|9843117399282318908</stp>
        <tr r="R181" s="2"/>
      </tp>
      <tp t="s">
        <v>#N/A N/A</v>
        <stp/>
        <stp>BDP|9318477913264064249</stp>
        <tr r="P177" s="2"/>
      </tp>
      <tp t="s">
        <v>#N/A N/A</v>
        <stp/>
        <stp>BDP|3252537682882048604</stp>
        <tr r="R477" s="2"/>
      </tp>
      <tp t="s">
        <v>#N/A N/A</v>
        <stp/>
        <stp>BDP|6420649266409528507</stp>
        <tr r="N175" s="2"/>
      </tp>
      <tp t="s">
        <v>#N/A N/A</v>
        <stp/>
        <stp>BDP|9760519930155456016</stp>
        <tr r="R348" s="2"/>
      </tp>
      <tp t="s">
        <v>#N/A N/A</v>
        <stp/>
        <stp>BDP|4816856601427702183</stp>
        <tr r="J149" s="2"/>
      </tp>
      <tp t="s">
        <v>#N/A N/A</v>
        <stp/>
        <stp>BDP|6252809442310269019</stp>
        <tr r="Q169" s="2"/>
      </tp>
      <tp t="s">
        <v>#N/A N/A</v>
        <stp/>
        <stp>BDP|7065292092375017385</stp>
        <tr r="I39" s="2"/>
      </tp>
      <tp t="s">
        <v>#N/A N/A</v>
        <stp/>
        <stp>BDP|1411331995467358622</stp>
        <tr r="Q65" s="2"/>
      </tp>
      <tp t="s">
        <v>#N/A N/A</v>
        <stp/>
        <stp>BDP|6937883752243486248</stp>
        <tr r="C143" s="2"/>
      </tp>
      <tp t="s">
        <v>#N/A N/A</v>
        <stp/>
        <stp>BDP|7971092371293725957</stp>
        <tr r="O196" s="2"/>
      </tp>
      <tp t="s">
        <v>#N/A N/A</v>
        <stp/>
        <stp>BDP|3919286426129737032</stp>
        <tr r="P102" s="2"/>
      </tp>
      <tp>
        <v>-0.65380001068115234</v>
        <stp/>
        <stp>BDP|4375551453446035857|22</stp>
        <stp>INVH UN Equity</stp>
        <stp>RT_PX_CHG_PCT_1D</stp>
        <tr r="B455" s="2"/>
      </tp>
      <tp t="s">
        <v>#N/A N/A</v>
        <stp/>
        <stp>BDP|2288725572589376116</stp>
        <tr r="K167" s="2"/>
      </tp>
      <tp t="s">
        <v>#N/A N/A</v>
        <stp/>
        <stp>BDP|3130162271998726712</stp>
        <tr r="Q382" s="2"/>
      </tp>
      <tp t="s">
        <v>#N/A N/A</v>
        <stp/>
        <stp>BDP|7030172746939166104</stp>
        <tr r="R4" s="2"/>
      </tp>
      <tp t="s">
        <v>#N/A N/A</v>
        <stp/>
        <stp>BDP|3964542139856423900</stp>
        <tr r="O319" s="2"/>
      </tp>
      <tp t="s">
        <v>#N/A N/A</v>
        <stp/>
        <stp>BDP|8142229841921245501</stp>
        <tr r="M72" s="2"/>
      </tp>
      <tp t="s">
        <v>#N/A N/A</v>
        <stp/>
        <stp>BDP|9352003132602309221</stp>
        <tr r="L66" s="2"/>
      </tp>
      <tp t="s">
        <v>#N/A N/A</v>
        <stp/>
        <stp>BDP|4352641240674646815</stp>
        <tr r="Q115" s="2"/>
      </tp>
      <tp t="s">
        <v>#N/A N/A</v>
        <stp/>
        <stp>BDP|8337229913990458165</stp>
        <tr r="G30" s="2"/>
      </tp>
      <tp t="s">
        <v>#N/A N/A</v>
        <stp/>
        <stp>BDP|9642571575723052245</stp>
        <tr r="Q330" s="2"/>
      </tp>
      <tp t="s">
        <v>#N/A N/A</v>
        <stp/>
        <stp>BDP|4546827387566456846</stp>
        <tr r="R302" s="2"/>
      </tp>
      <tp t="s">
        <v>#N/A N/A</v>
        <stp/>
        <stp>BDP|5714696022443410887</stp>
        <tr r="C182" s="2"/>
      </tp>
      <tp t="s">
        <v>#N/A N/A</v>
        <stp/>
        <stp>BDP|1662033796637337505</stp>
        <tr r="L138" s="2"/>
      </tp>
      <tp t="s">
        <v>#N/A N/A</v>
        <stp/>
        <stp>BDP|8679208921314214659</stp>
        <tr r="H10" s="2"/>
      </tp>
      <tp t="s">
        <v>#N/A N/A</v>
        <stp/>
        <stp>BDP|5150368009694847869</stp>
        <tr r="L398" s="2"/>
      </tp>
      <tp t="s">
        <v>#N/A N/A</v>
        <stp/>
        <stp>BDP|6475698058857289879</stp>
        <tr r="H5" s="2"/>
      </tp>
      <tp t="s">
        <v>#N/A N/A</v>
        <stp/>
        <stp>BDP|2004918912703710357</stp>
        <tr r="D236" s="2"/>
      </tp>
      <tp t="s">
        <v>#N/A N/A</v>
        <stp/>
        <stp>BDP|7784138571963793838</stp>
        <tr r="K174" s="2"/>
      </tp>
      <tp t="s">
        <v>#N/A N/A</v>
        <stp/>
        <stp>BDP|7778368586444512230</stp>
        <tr r="I382" s="2"/>
      </tp>
      <tp t="s">
        <v>#N/A N/A</v>
        <stp/>
        <stp>BDP|9700214522843165047</stp>
        <tr r="J9" s="2"/>
      </tp>
      <tp t="s">
        <v>#N/A N/A</v>
        <stp/>
        <stp>BDP|3345973834351807299</stp>
        <tr r="P422" s="2"/>
      </tp>
      <tp t="s">
        <v>#N/A N/A</v>
        <stp/>
        <stp>BDP|7003220193811144710</stp>
        <tr r="J32" s="2"/>
      </tp>
      <tp t="s">
        <v>#N/A N/A</v>
        <stp/>
        <stp>BDP|5019396817974760987</stp>
        <tr r="E245" s="2"/>
      </tp>
      <tp t="s">
        <v>#N/A N/A</v>
        <stp/>
        <stp>BDP|4191312504165612834</stp>
        <tr r="P358" s="2"/>
      </tp>
      <tp t="s">
        <v>#N/A N/A</v>
        <stp/>
        <stp>BDP|2134897873372983530</stp>
        <tr r="H157" s="2"/>
      </tp>
      <tp t="s">
        <v>#N/A N/A</v>
        <stp/>
        <stp>BDP|8114664805873367705</stp>
        <tr r="I91" s="2"/>
      </tp>
      <tp t="s">
        <v>#N/A N/A</v>
        <stp/>
        <stp>BDP|3675413346699792075</stp>
        <tr r="Q72" s="2"/>
      </tp>
      <tp t="s">
        <v>#N/A N/A</v>
        <stp/>
        <stp>BDP|2841603469019132114</stp>
        <tr r="F353" s="2"/>
      </tp>
      <tp t="s">
        <v>#N/A N/A</v>
        <stp/>
        <stp>BDP|6292162363879617206</stp>
        <tr r="E347" s="2"/>
      </tp>
      <tp t="s">
        <v>#N/A N/A</v>
        <stp/>
        <stp>BDP|7537135889160678487</stp>
        <tr r="O480" s="2"/>
      </tp>
      <tp t="s">
        <v>#N/A N/A</v>
        <stp/>
        <stp>BDP|5411990518945543265</stp>
        <tr r="G205" s="2"/>
      </tp>
      <tp t="s">
        <v>#N/A N/A</v>
        <stp/>
        <stp>BDP|9298632736151213732</stp>
        <tr r="J214" s="2"/>
      </tp>
      <tp t="s">
        <v>#N/A N/A</v>
        <stp/>
        <stp>BDP|6166248183992485446</stp>
        <tr r="C115" s="2"/>
      </tp>
      <tp t="s">
        <v>#N/A N/A</v>
        <stp/>
        <stp>BDP|6785566096180377020</stp>
        <tr r="K450" s="2"/>
      </tp>
      <tp t="s">
        <v>#N/A N/A</v>
        <stp/>
        <stp>BDP|4037487538470696902</stp>
        <tr r="N90" s="2"/>
      </tp>
      <tp t="s">
        <v>#N/A N/A</v>
        <stp/>
        <stp>BDP|9753635731151599762</stp>
        <tr r="P223" s="2"/>
      </tp>
      <tp t="s">
        <v>#N/A N/A</v>
        <stp/>
        <stp>BDP|8653598057367978574</stp>
        <tr r="O202" s="2"/>
      </tp>
      <tp t="s">
        <v>#N/A N/A</v>
        <stp/>
        <stp>BDP|8666052116857648455</stp>
        <tr r="O49" s="2"/>
      </tp>
      <tp t="s">
        <v>#N/A N/A</v>
        <stp/>
        <stp>BDP|8712428236003302665</stp>
        <tr r="M33" s="2"/>
      </tp>
      <tp t="s">
        <v>#N/A N/A</v>
        <stp/>
        <stp>BDP|4881184934365145937</stp>
        <tr r="Q280" s="2"/>
      </tp>
      <tp t="s">
        <v>#N/A N/A</v>
        <stp/>
        <stp>BDP|3663648658459954350</stp>
        <tr r="E439" s="2"/>
      </tp>
      <tp t="s">
        <v>#N/A N/A</v>
        <stp/>
        <stp>BDP|5711133101948104624</stp>
        <tr r="N441" s="2"/>
      </tp>
      <tp t="s">
        <v>#N/A N/A</v>
        <stp/>
        <stp>BDP|9913166566922745684</stp>
        <tr r="M493" s="2"/>
      </tp>
      <tp t="s">
        <v>#N/A N/A</v>
        <stp/>
        <stp>BDP|5229091086283218491</stp>
        <tr r="Q37" s="2"/>
      </tp>
      <tp t="s">
        <v>#N/A N/A</v>
        <stp/>
        <stp>BDP|8096330860840461717</stp>
        <tr r="O254" s="2"/>
      </tp>
      <tp t="s">
        <v>#N/A N/A</v>
        <stp/>
        <stp>BDP|8836884895574488779</stp>
        <tr r="J30" s="2"/>
      </tp>
      <tp t="s">
        <v>#N/A N/A</v>
        <stp/>
        <stp>BDP|4359270881762021635</stp>
        <tr r="P67" s="2"/>
      </tp>
      <tp t="s">
        <v>#N/A N/A</v>
        <stp/>
        <stp>BDP|4591965230181717529</stp>
        <tr r="J297" s="2"/>
      </tp>
      <tp t="s">
        <v>#N/A N/A</v>
        <stp/>
        <stp>BDP|5401403397496349467</stp>
        <tr r="P95" s="2"/>
      </tp>
      <tp t="s">
        <v>#N/A N/A</v>
        <stp/>
        <stp>BDP|3360849409307188690</stp>
        <tr r="I10" s="2"/>
      </tp>
      <tp t="s">
        <v>#N/A N/A</v>
        <stp/>
        <stp>BDP|5299615259918466487</stp>
        <tr r="J163" s="2"/>
      </tp>
      <tp t="s">
        <v>#N/A N/A</v>
        <stp/>
        <stp>BDP|8612262329741957366</stp>
        <tr r="P204" s="2"/>
      </tp>
      <tp t="s">
        <v>#N/A N/A</v>
        <stp/>
        <stp>BDP|9016567116774162370</stp>
        <tr r="G420" s="2"/>
      </tp>
      <tp t="s">
        <v>#N/A N/A</v>
        <stp/>
        <stp>BDP|6211849351614880590</stp>
        <tr r="O412" s="2"/>
      </tp>
      <tp t="s">
        <v>#N/A N/A</v>
        <stp/>
        <stp>BDP|5253614224772026909</stp>
        <tr r="J81" s="2"/>
      </tp>
      <tp t="s">
        <v>#N/A N/A</v>
        <stp/>
        <stp>BDP|1058442473529781175</stp>
        <tr r="N475" s="2"/>
      </tp>
      <tp t="s">
        <v>#N/A N/A</v>
        <stp/>
        <stp>BDP|7557921783999720540</stp>
        <tr r="P504" s="2"/>
      </tp>
      <tp t="s">
        <v>#N/A N/A</v>
        <stp/>
        <stp>BDP|8501775872610000273</stp>
        <tr r="O267" s="2"/>
      </tp>
      <tp t="s">
        <v>#N/A N/A</v>
        <stp/>
        <stp>BDP|6531862860860425208</stp>
        <tr r="H116" s="2"/>
      </tp>
      <tp t="s">
        <v>#N/A N/A</v>
        <stp/>
        <stp>BDP|8620925209279220285</stp>
        <tr r="K79" s="2"/>
      </tp>
      <tp t="s">
        <v>#N/A N/A</v>
        <stp/>
        <stp>BDP|5410047667068248120</stp>
        <tr r="C421" s="2"/>
      </tp>
      <tp t="s">
        <v>#N/A N/A</v>
        <stp/>
        <stp>BDP|8439865292206072574</stp>
        <tr r="M232" s="2"/>
      </tp>
      <tp t="s">
        <v>#N/A N/A</v>
        <stp/>
        <stp>BDP|6117356996820042660</stp>
        <tr r="G397" s="2"/>
      </tp>
      <tp t="s">
        <v>#N/A N/A</v>
        <stp/>
        <stp>BDP|9153324871305580230</stp>
        <tr r="D102" s="2"/>
      </tp>
      <tp t="s">
        <v>#N/A N/A</v>
        <stp/>
        <stp>BDP|6587255244133816981</stp>
        <tr r="C415" s="2"/>
      </tp>
      <tp t="s">
        <v>#N/A N/A</v>
        <stp/>
        <stp>BDP|7331591138058655308</stp>
        <tr r="D227" s="2"/>
      </tp>
      <tp t="s">
        <v>#N/A N/A</v>
        <stp/>
        <stp>BDP|8555305368053187486</stp>
        <tr r="J39" s="2"/>
      </tp>
      <tp t="s">
        <v>#N/A N/A</v>
        <stp/>
        <stp>BDP|8676030157364728317</stp>
        <tr r="M144" s="2"/>
      </tp>
      <tp t="s">
        <v>#N/A N/A</v>
        <stp/>
        <stp>BDP|9781975187470193222</stp>
        <tr r="J59" s="2"/>
      </tp>
      <tp t="s">
        <v>#N/A N/A</v>
        <stp/>
        <stp>BDP|2097621293002388562</stp>
        <tr r="H382" s="2"/>
      </tp>
      <tp t="s">
        <v>#N/A N/A</v>
        <stp/>
        <stp>BDP|4744797218849099126</stp>
        <tr r="E213" s="2"/>
      </tp>
      <tp t="s">
        <v>#N/A N/A</v>
        <stp/>
        <stp>BDP|1294006425801365807</stp>
        <tr r="Q39" s="2"/>
      </tp>
      <tp t="s">
        <v>#N/A N/A</v>
        <stp/>
        <stp>BDP|7263599459044720904</stp>
        <tr r="L206" s="2"/>
      </tp>
      <tp t="s">
        <v>#N/A N/A</v>
        <stp/>
        <stp>BDP|8128140364107638229</stp>
        <tr r="D113" s="2"/>
      </tp>
      <tp t="s">
        <v>#N/A N/A</v>
        <stp/>
        <stp>BDP|3346343513312285936</stp>
        <tr r="J497" s="2"/>
      </tp>
      <tp t="s">
        <v>#N/A N/A</v>
        <stp/>
        <stp>BDP|7883473848555133831</stp>
        <tr r="L493" s="2"/>
      </tp>
      <tp t="s">
        <v>#N/A N/A</v>
        <stp/>
        <stp>BDP|8430265827861178316</stp>
        <tr r="F109" s="2"/>
      </tp>
      <tp t="s">
        <v>#N/A N/A</v>
        <stp/>
        <stp>BDP|6300808251384430537</stp>
        <tr r="C58" s="2"/>
      </tp>
      <tp t="s">
        <v>#N/A N/A</v>
        <stp/>
        <stp>BDP|9751695848185301400</stp>
        <tr r="J178" s="2"/>
      </tp>
      <tp t="s">
        <v>#N/A N/A</v>
        <stp/>
        <stp>BDP|7992389633715729805</stp>
        <tr r="R387" s="2"/>
      </tp>
      <tp t="s">
        <v>#N/A N/A</v>
        <stp/>
        <stp>BDP|6897027876863854813</stp>
        <tr r="M40" s="2"/>
      </tp>
      <tp t="s">
        <v>#N/A N/A</v>
        <stp/>
        <stp>BDP|5970122610396648986</stp>
        <tr r="K467" s="2"/>
      </tp>
      <tp t="s">
        <v>#N/A N/A</v>
        <stp/>
        <stp>BDP|4918220545540898839</stp>
        <tr r="C209" s="2"/>
      </tp>
      <tp>
        <v>1.0046000480651855</v>
        <stp/>
        <stp>BDP|13832831937434989187|22</stp>
        <stp>UPS UN Equity</stp>
        <stp>RT_PX_CHG_PCT_1D</stp>
        <tr r="B311" s="2"/>
      </tp>
      <tp>
        <v>0.74769997596740723</v>
        <stp/>
        <stp>BDP|11035112760595851248|22</stp>
        <stp>PEG UN Equity</stp>
        <stp>RT_PX_CHG_PCT_1D</stp>
        <tr r="B200" s="2"/>
      </tp>
      <tp>
        <v>1.8954999446868896</v>
        <stp/>
        <stp>BDP|14080495586461389608|22</stp>
        <stp>JBL UN Equity</stp>
        <stp>RT_PX_CHG_PCT_1D</stp>
        <tr r="B300" s="2"/>
      </tp>
      <tp>
        <v>0.15029999613761902</v>
        <stp/>
        <stp>BDP|17088069016499580164|22</stp>
        <stp>DUK UN Equity</stp>
        <stp>RT_PX_CHG_PCT_1D</stp>
        <tr r="B104" s="2"/>
      </tp>
      <tp>
        <v>-0.98820000886917114</v>
        <stp/>
        <stp>BDP|14059797878945230411|22</stp>
        <stp>IPG UN Equity</stp>
        <stp>RT_PX_CHG_PCT_1D</stp>
        <tr r="B148" s="2"/>
      </tp>
      <tp>
        <v>0.30509999394416809</v>
        <stp/>
        <stp>BDP|7011684923476134217|22</stp>
        <stp>CTAS UW Equity</stp>
        <stp>RT_PX_CHG_PCT_1D</stp>
        <tr r="B245" s="2"/>
      </tp>
      <tp>
        <v>2.5940001010894775</v>
        <stp/>
        <stp>BDP|2998118744709113627|22</stp>
        <stp>DXCM UW Equity</stp>
        <stp>RT_PX_CHG_PCT_1D</stp>
        <tr r="B126" s="2"/>
      </tp>
      <tp>
        <v>-2.5151998996734619</v>
        <stp/>
        <stp>BDP|1066202052610845335|22</stp>
        <stp>JKHY UW Equity</stp>
        <stp>RT_PX_CHG_PCT_1D</stp>
        <tr r="B342" s="2"/>
      </tp>
      <tp t="s">
        <v>#N/A N/A</v>
        <stp/>
        <stp>BDP|3858746367370297930</stp>
        <tr r="Q31" s="2"/>
      </tp>
      <tp t="s">
        <v>#N/A N/A</v>
        <stp/>
        <stp>BDP|4188711190045813420</stp>
        <tr r="P353" s="2"/>
      </tp>
      <tp t="s">
        <v>#N/A N/A</v>
        <stp/>
        <stp>BDP|8799185412534461737</stp>
        <tr r="G401" s="2"/>
      </tp>
      <tp t="s">
        <v>#N/A N/A</v>
        <stp/>
        <stp>BDP|5373791775918416612</stp>
        <tr r="E502" s="2"/>
      </tp>
      <tp t="s">
        <v>#N/A N/A</v>
        <stp/>
        <stp>BDP|4642869380228877727</stp>
        <tr r="P203" s="2"/>
      </tp>
      <tp t="s">
        <v>#N/A N/A</v>
        <stp/>
        <stp>BDP|9827751306677540240</stp>
        <tr r="L80" s="2"/>
      </tp>
      <tp t="s">
        <v>#N/A N/A</v>
        <stp/>
        <stp>BDP|2551756498163428460</stp>
        <tr r="I437" s="2"/>
      </tp>
      <tp t="s">
        <v>#N/A N/A</v>
        <stp/>
        <stp>BDP|2172083850928497470</stp>
        <tr r="K138" s="2"/>
      </tp>
      <tp t="s">
        <v>#N/A N/A</v>
        <stp/>
        <stp>BDP|2759253200409144291</stp>
        <tr r="D406" s="2"/>
      </tp>
      <tp t="s">
        <v>#N/A N/A</v>
        <stp/>
        <stp>BDP|2809172333552330953</stp>
        <tr r="K423" s="2"/>
      </tp>
      <tp t="s">
        <v>#N/A N/A</v>
        <stp/>
        <stp>BDP|7008774992772661093</stp>
        <tr r="G359" s="2"/>
      </tp>
      <tp t="s">
        <v>#N/A N/A</v>
        <stp/>
        <stp>BDP|6117511525792765887</stp>
        <tr r="P152" s="2"/>
      </tp>
      <tp t="s">
        <v>#N/A N/A</v>
        <stp/>
        <stp>BDP|6830975083464094873</stp>
        <tr r="D397" s="2"/>
      </tp>
      <tp t="s">
        <v>#N/A N/A</v>
        <stp/>
        <stp>BDP|8777381815662388323</stp>
        <tr r="D474" s="2"/>
      </tp>
      <tp t="s">
        <v>#N/A N/A</v>
        <stp/>
        <stp>BDP|9144334528910313323</stp>
        <tr r="I409" s="2"/>
      </tp>
      <tp t="s">
        <v>#N/A N/A</v>
        <stp/>
        <stp>BDP|9199407029292308607</stp>
        <tr r="Q483" s="2"/>
      </tp>
      <tp t="s">
        <v>#N/A N/A</v>
        <stp/>
        <stp>BDP|1415581482674145348</stp>
        <tr r="H22" s="2"/>
      </tp>
      <tp t="s">
        <v>#N/A N/A</v>
        <stp/>
        <stp>BDP|9751284361795290375</stp>
        <tr r="H212" s="2"/>
      </tp>
      <tp t="s">
        <v>#N/A N/A</v>
        <stp/>
        <stp>BDP|5834675821652744829</stp>
        <tr r="H249" s="2"/>
      </tp>
      <tp t="s">
        <v>#N/A N/A</v>
        <stp/>
        <stp>BDP|1958731099576155299</stp>
        <tr r="G493" s="2"/>
      </tp>
      <tp t="s">
        <v>#N/A N/A</v>
        <stp/>
        <stp>BDP|9590724383489821476</stp>
        <tr r="L348" s="2"/>
      </tp>
      <tp t="s">
        <v>#N/A N/A</v>
        <stp/>
        <stp>BDP|2787765896353820440</stp>
        <tr r="O96" s="2"/>
      </tp>
      <tp t="s">
        <v>#N/A N/A</v>
        <stp/>
        <stp>BDP|7042786272328238433</stp>
        <tr r="I291" s="2"/>
      </tp>
      <tp t="s">
        <v>#N/A N/A</v>
        <stp/>
        <stp>BDP|2600698776458700058</stp>
        <tr r="D46" s="2"/>
      </tp>
      <tp t="s">
        <v>#N/A N/A</v>
        <stp/>
        <stp>BDP|4291423199217088524</stp>
        <tr r="K154" s="2"/>
      </tp>
      <tp t="s">
        <v>#N/A N/A</v>
        <stp/>
        <stp>BDP|3658924534941878339</stp>
        <tr r="N298" s="2"/>
      </tp>
      <tp t="s">
        <v>#N/A N/A</v>
        <stp/>
        <stp>BDP|6090750595084908710</stp>
        <tr r="N456" s="2"/>
      </tp>
      <tp t="s">
        <v>#N/A N/A</v>
        <stp/>
        <stp>BDP|6341923655906863740</stp>
        <tr r="C56" s="2"/>
      </tp>
      <tp t="s">
        <v>#N/A N/A</v>
        <stp/>
        <stp>BDP|8710381680049707108</stp>
        <tr r="N352" s="2"/>
      </tp>
      <tp t="s">
        <v>#N/A N/A</v>
        <stp/>
        <stp>BDP|6985254197630274615</stp>
        <tr r="F194" s="2"/>
      </tp>
      <tp t="s">
        <v>#N/A N/A</v>
        <stp/>
        <stp>BDP|7194290515477266870</stp>
        <tr r="N429" s="2"/>
      </tp>
      <tp t="s">
        <v>#N/A N/A</v>
        <stp/>
        <stp>BDP|9105210272082383592</stp>
        <tr r="C190" s="2"/>
      </tp>
      <tp t="s">
        <v>#N/A N/A</v>
        <stp/>
        <stp>BDP|8225472585607896803</stp>
        <tr r="Q78" s="2"/>
      </tp>
      <tp t="s">
        <v>#N/A N/A</v>
        <stp/>
        <stp>BDP|9725396508978626983</stp>
        <tr r="M38" s="2"/>
      </tp>
      <tp t="s">
        <v>#N/A N/A</v>
        <stp/>
        <stp>BDP|9184387480101833891</stp>
        <tr r="G416" s="2"/>
      </tp>
      <tp t="s">
        <v>#N/A N/A</v>
        <stp/>
        <stp>BDP|4602336630318428796</stp>
        <tr r="M278" s="2"/>
      </tp>
      <tp t="s">
        <v>#N/A N/A</v>
        <stp/>
        <stp>BDP|7256839208993553741</stp>
        <tr r="G17" s="2"/>
      </tp>
      <tp t="s">
        <v>#N/A N/A</v>
        <stp/>
        <stp>BDP|9603056298399772242</stp>
        <tr r="C49" s="2"/>
      </tp>
      <tp t="s">
        <v>#N/A N/A</v>
        <stp/>
        <stp>BDP|9933567603054706337</stp>
        <tr r="C427" s="2"/>
      </tp>
      <tp t="s">
        <v>#N/A N/A</v>
        <stp/>
        <stp>BDP|6384621752329281791</stp>
        <tr r="K397" s="2"/>
      </tp>
      <tp t="s">
        <v>#N/A N/A</v>
        <stp/>
        <stp>BDP|3638465889611163505</stp>
        <tr r="O42" s="2"/>
      </tp>
      <tp t="s">
        <v>#N/A N/A</v>
        <stp/>
        <stp>BDP|2332032358694426847</stp>
        <tr r="O323" s="2"/>
      </tp>
      <tp t="s">
        <v>#N/A N/A</v>
        <stp/>
        <stp>BDP|4570445498130528243</stp>
        <tr r="J221" s="2"/>
      </tp>
      <tp t="s">
        <v>#N/A N/A</v>
        <stp/>
        <stp>BDP|6725290270538005062</stp>
        <tr r="R268" s="2"/>
      </tp>
      <tp t="s">
        <v>#N/A N/A</v>
        <stp/>
        <stp>BDP|9948729970670664258</stp>
        <tr r="H41" s="2"/>
      </tp>
      <tp t="s">
        <v>#N/A N/A</v>
        <stp/>
        <stp>BDP|5710837661135427592</stp>
        <tr r="N499" s="2"/>
      </tp>
      <tp t="s">
        <v>#N/A N/A</v>
        <stp/>
        <stp>BDP|7613152745760608983</stp>
        <tr r="C246" s="2"/>
      </tp>
      <tp t="s">
        <v>#N/A N/A</v>
        <stp/>
        <stp>BDP|2238869039690463202</stp>
        <tr r="K381" s="2"/>
      </tp>
      <tp t="s">
        <v>#N/A N/A</v>
        <stp/>
        <stp>BDP|3094845840613803751</stp>
        <tr r="Q365" s="2"/>
      </tp>
      <tp t="s">
        <v>#N/A N/A</v>
        <stp/>
        <stp>BDP|6122680078224080882</stp>
        <tr r="G484" s="2"/>
      </tp>
      <tp t="s">
        <v>#N/A N/A</v>
        <stp/>
        <stp>BDP|2120176878918413731</stp>
        <tr r="J474" s="2"/>
      </tp>
      <tp t="s">
        <v>#N/A N/A</v>
        <stp/>
        <stp>BDP|2834097230502130892</stp>
        <tr r="L270" s="2"/>
      </tp>
      <tp t="s">
        <v>#N/A N/A</v>
        <stp/>
        <stp>BDP|5900513191095331733</stp>
        <tr r="J489" s="2"/>
      </tp>
      <tp t="s">
        <v>#N/A N/A</v>
        <stp/>
        <stp>BDP|7308480343935233939</stp>
        <tr r="O162" s="2"/>
      </tp>
      <tp t="s">
        <v>#N/A N/A</v>
        <stp/>
        <stp>BDP|3830682498103365424</stp>
        <tr r="J187" s="2"/>
      </tp>
      <tp t="s">
        <v>#N/A N/A</v>
        <stp/>
        <stp>BDP|9899707101032794772</stp>
        <tr r="M268" s="2"/>
      </tp>
      <tp t="s">
        <v>#N/A N/A</v>
        <stp/>
        <stp>BDP|3192662433898456593</stp>
        <tr r="L152" s="2"/>
      </tp>
      <tp t="s">
        <v>#N/A N/A</v>
        <stp/>
        <stp>BDP|3203849110293696296</stp>
        <tr r="J448" s="2"/>
      </tp>
      <tp t="s">
        <v>#N/A N/A</v>
        <stp/>
        <stp>BDP|9359870490737805456</stp>
        <tr r="J6" s="2"/>
      </tp>
      <tp t="s">
        <v>#N/A N/A</v>
        <stp/>
        <stp>BDP|8222291318098335897</stp>
        <tr r="M239" s="2"/>
      </tp>
      <tp t="s">
        <v>#N/A N/A</v>
        <stp/>
        <stp>BDP|4192871465695308498</stp>
        <tr r="N30" s="2"/>
      </tp>
      <tp t="s">
        <v>#N/A N/A</v>
        <stp/>
        <stp>BDP|9531564789277297865</stp>
        <tr r="H140" s="2"/>
      </tp>
      <tp t="s">
        <v>#N/A N/A</v>
        <stp/>
        <stp>BDP|8068110255563288483</stp>
        <tr r="D271" s="2"/>
      </tp>
      <tp t="s">
        <v>#N/A N/A</v>
        <stp/>
        <stp>BDP|9945677414181619429</stp>
        <tr r="P330" s="2"/>
      </tp>
      <tp t="s">
        <v>#N/A N/A</v>
        <stp/>
        <stp>BDP|9880462831217057217</stp>
        <tr r="M74" s="2"/>
      </tp>
      <tp t="s">
        <v>#N/A N/A</v>
        <stp/>
        <stp>BDP|8291684390939105559</stp>
        <tr r="D321" s="2"/>
      </tp>
      <tp t="s">
        <v>#N/A N/A</v>
        <stp/>
        <stp>BDP|6693689010139780377</stp>
        <tr r="M143" s="2"/>
      </tp>
      <tp t="s">
        <v>#N/A N/A</v>
        <stp/>
        <stp>BDP|9027611635760998733</stp>
        <tr r="H291" s="2"/>
      </tp>
      <tp t="s">
        <v>#N/A N/A</v>
        <stp/>
        <stp>BDP|2166423297860940438</stp>
        <tr r="G147" s="2"/>
      </tp>
      <tp t="s">
        <v>#N/A N/A</v>
        <stp/>
        <stp>BDP|2830044140579158437</stp>
        <tr r="J341" s="2"/>
      </tp>
      <tp t="s">
        <v>#N/A N/A</v>
        <stp/>
        <stp>BDP|1357117729078511101</stp>
        <tr r="D347" s="2"/>
      </tp>
      <tp t="s">
        <v>#N/A N/A</v>
        <stp/>
        <stp>BDP|4589288632489673774</stp>
        <tr r="G503" s="2"/>
      </tp>
      <tp t="s">
        <v>#N/A N/A</v>
        <stp/>
        <stp>BDP|2780848733466614482</stp>
        <tr r="D29" s="2"/>
      </tp>
      <tp t="s">
        <v>#N/A N/A</v>
        <stp/>
        <stp>BDP|1335134127168107180</stp>
        <tr r="L137" s="2"/>
      </tp>
      <tp t="s">
        <v>#N/A N/A</v>
        <stp/>
        <stp>BDP|6439301977261529884</stp>
        <tr r="G29" s="2"/>
      </tp>
      <tp t="s">
        <v>#N/A N/A</v>
        <stp/>
        <stp>BDP|6021128197123824623</stp>
        <tr r="M162" s="2"/>
      </tp>
      <tp t="s">
        <v>#N/A N/A</v>
        <stp/>
        <stp>BDP|1019469969620758871</stp>
        <tr r="L93" s="2"/>
      </tp>
      <tp t="s">
        <v>#N/A N/A</v>
        <stp/>
        <stp>BDP|6862640380491796246</stp>
        <tr r="D488" s="2"/>
      </tp>
      <tp t="s">
        <v>#N/A N/A</v>
        <stp/>
        <stp>BDP|5206891066189762957</stp>
        <tr r="J189" s="2"/>
      </tp>
      <tp t="s">
        <v>#N/A N/A</v>
        <stp/>
        <stp>BDP|8843611310122554631</stp>
        <tr r="E382" s="2"/>
      </tp>
      <tp t="s">
        <v>#N/A N/A</v>
        <stp/>
        <stp>BDP|4661969543974463682</stp>
        <tr r="N203" s="2"/>
      </tp>
      <tp t="s">
        <v>#N/A N/A</v>
        <stp/>
        <stp>BDP|7480621599622091101</stp>
        <tr r="O101" s="2"/>
      </tp>
      <tp t="s">
        <v>#N/A N/A</v>
        <stp/>
        <stp>BDP|6867815420353585405</stp>
        <tr r="H318" s="2"/>
      </tp>
      <tp t="s">
        <v>#N/A N/A</v>
        <stp/>
        <stp>BDP|4277693897931575156</stp>
        <tr r="D182" s="2"/>
      </tp>
      <tp t="s">
        <v>#N/A N/A</v>
        <stp/>
        <stp>BDP|1484221030603342894</stp>
        <tr r="C140" s="2"/>
      </tp>
      <tp t="s">
        <v>#N/A N/A</v>
        <stp/>
        <stp>BDP|1513728393603949714</stp>
        <tr r="J453" s="2"/>
      </tp>
      <tp t="s">
        <v>#N/A N/A</v>
        <stp/>
        <stp>BDP|4559488577198448426</stp>
        <tr r="E310" s="2"/>
      </tp>
      <tp t="s">
        <v>#N/A N/A</v>
        <stp/>
        <stp>BDP|3091991836400395200</stp>
        <tr r="F481" s="2"/>
      </tp>
      <tp t="s">
        <v>#N/A N/A</v>
        <stp/>
        <stp>BDP|8352594343234064651</stp>
        <tr r="J450" s="2"/>
      </tp>
      <tp t="s">
        <v>#N/A N/A</v>
        <stp/>
        <stp>BDP|8133456268109366828</stp>
        <tr r="H418" s="2"/>
      </tp>
      <tp t="s">
        <v>#N/A N/A</v>
        <stp/>
        <stp>BDP|5160996024964773161</stp>
        <tr r="R283" s="2"/>
      </tp>
      <tp t="s">
        <v>#N/A N/A</v>
        <stp/>
        <stp>BDP|5078394567359280217</stp>
        <tr r="H69" s="2"/>
      </tp>
      <tp t="s">
        <v>#N/A N/A</v>
        <stp/>
        <stp>BDP|9497261902395442591</stp>
        <tr r="D244" s="2"/>
      </tp>
      <tp t="s">
        <v>#N/A N/A</v>
        <stp/>
        <stp>BDP|2657495476203681929</stp>
        <tr r="C371" s="2"/>
      </tp>
      <tp t="s">
        <v>#N/A N/A</v>
        <stp/>
        <stp>BDP|6314487634388022224</stp>
        <tr r="Q390" s="2"/>
      </tp>
      <tp t="s">
        <v>#N/A N/A</v>
        <stp/>
        <stp>BDP|8217394483451753926</stp>
        <tr r="E236" s="2"/>
      </tp>
      <tp t="s">
        <v>#N/A N/A</v>
        <stp/>
        <stp>BDP|3046840700166998608</stp>
        <tr r="F359" s="2"/>
      </tp>
      <tp t="s">
        <v>#N/A N/A</v>
        <stp/>
        <stp>BDP|1959038922141520908</stp>
        <tr r="R206" s="2"/>
      </tp>
      <tp t="s">
        <v>#N/A N/A</v>
        <stp/>
        <stp>BDP|7440290722528023425</stp>
        <tr r="N146" s="2"/>
      </tp>
      <tp t="s">
        <v>#N/A N/A</v>
        <stp/>
        <stp>BDP|4601603432283396951</stp>
        <tr r="R131" s="2"/>
      </tp>
      <tp t="s">
        <v>#N/A N/A</v>
        <stp/>
        <stp>BDP|3459923852370148479</stp>
        <tr r="G428" s="2"/>
      </tp>
      <tp t="s">
        <v>#N/A N/A</v>
        <stp/>
        <stp>BDP|4739400590602461018</stp>
        <tr r="Q55" s="2"/>
      </tp>
      <tp t="s">
        <v>#N/A N/A</v>
        <stp/>
        <stp>BDP|3043808792031519856</stp>
        <tr r="L455" s="2"/>
      </tp>
      <tp t="s">
        <v>#N/A N/A</v>
        <stp/>
        <stp>BDP|2290391002112821831</stp>
        <tr r="F324" s="2"/>
      </tp>
      <tp t="s">
        <v>#N/A N/A</v>
        <stp/>
        <stp>BDP|3391862327341827380</stp>
        <tr r="H43" s="2"/>
      </tp>
      <tp t="s">
        <v>#N/A N/A</v>
        <stp/>
        <stp>BDP|9016272673897367057</stp>
        <tr r="J84" s="2"/>
      </tp>
      <tp t="s">
        <v>#N/A N/A</v>
        <stp/>
        <stp>BDP|9526546665140389151</stp>
        <tr r="J458" s="2"/>
      </tp>
      <tp t="s">
        <v>#N/A N/A</v>
        <stp/>
        <stp>BDP|9386254242593407725</stp>
        <tr r="N126" s="2"/>
      </tp>
      <tp t="s">
        <v>#N/A N/A</v>
        <stp/>
        <stp>BDP|2993236633268846036</stp>
        <tr r="D41" s="2"/>
      </tp>
      <tp t="s">
        <v>#N/A N/A</v>
        <stp/>
        <stp>BDP|9968787032561133705</stp>
        <tr r="Q442" s="2"/>
      </tp>
      <tp t="s">
        <v>#N/A N/A</v>
        <stp/>
        <stp>BDP|8825089609106997526</stp>
        <tr r="Q409" s="2"/>
      </tp>
      <tp t="s">
        <v>#N/A N/A</v>
        <stp/>
        <stp>BDP|2888574750410483994</stp>
        <tr r="I83" s="2"/>
      </tp>
      <tp t="s">
        <v>#N/A N/A</v>
        <stp/>
        <stp>BDP|9404113646896657178</stp>
        <tr r="F91" s="2"/>
      </tp>
      <tp t="s">
        <v>#N/A N/A</v>
        <stp/>
        <stp>BDP|9593210757302675764</stp>
        <tr r="K191" s="2"/>
      </tp>
      <tp t="s">
        <v>#N/A N/A</v>
        <stp/>
        <stp>BDP|4957960665845038597</stp>
        <tr r="M454" s="2"/>
      </tp>
      <tp t="s">
        <v>#N/A N/A</v>
        <stp/>
        <stp>BDP|4364770064129586765</stp>
        <tr r="D133" s="2"/>
      </tp>
      <tp t="s">
        <v>#N/A N/A</v>
        <stp/>
        <stp>BDP|2897924183630330894</stp>
        <tr r="J279" s="2"/>
      </tp>
      <tp t="s">
        <v>#N/A N/A</v>
        <stp/>
        <stp>BDP|9378111277442598637</stp>
        <tr r="I53" s="2"/>
      </tp>
      <tp t="s">
        <v>#N/A N/A</v>
        <stp/>
        <stp>BDP|9104438607836785017</stp>
        <tr r="H425" s="2"/>
      </tp>
      <tp t="s">
        <v>#N/A N/A</v>
        <stp/>
        <stp>BDP|9571814214332097936</stp>
        <tr r="D493" s="2"/>
      </tp>
      <tp t="s">
        <v>#N/A N/A</v>
        <stp/>
        <stp>BDP|4255167789253645585</stp>
        <tr r="L131" s="2"/>
      </tp>
      <tp t="s">
        <v>#N/A N/A</v>
        <stp/>
        <stp>BDP|9062475634502519756</stp>
        <tr r="P399" s="2"/>
      </tp>
      <tp t="s">
        <v>#N/A N/A</v>
        <stp/>
        <stp>BDP|3667897170164922352</stp>
        <tr r="G431" s="2"/>
      </tp>
      <tp t="s">
        <v>#N/A N/A</v>
        <stp/>
        <stp>BDP|9014808662258582440</stp>
        <tr r="C171" s="2"/>
      </tp>
      <tp t="s">
        <v>#N/A N/A</v>
        <stp/>
        <stp>BDP|7741071756260646930</stp>
        <tr r="E257" s="2"/>
      </tp>
      <tp t="s">
        <v>#N/A N/A</v>
        <stp/>
        <stp>BDP|8285318298348953115</stp>
        <tr r="G202" s="2"/>
      </tp>
      <tp t="s">
        <v>#N/A N/A</v>
        <stp/>
        <stp>BDP|8627606335131117716</stp>
        <tr r="I40" s="2"/>
      </tp>
      <tp t="s">
        <v>#N/A N/A</v>
        <stp/>
        <stp>BDP|9746542801670121707</stp>
        <tr r="K15" s="2"/>
      </tp>
      <tp t="s">
        <v>#N/A N/A</v>
        <stp/>
        <stp>BDP|4547260236318453625</stp>
        <tr r="I188" s="2"/>
      </tp>
      <tp t="s">
        <v>#N/A N/A</v>
        <stp/>
        <stp>BDP|9962117819210175232</stp>
        <tr r="H295" s="2"/>
      </tp>
      <tp t="s">
        <v>#N/A N/A</v>
        <stp/>
        <stp>BDP|8959994375809465416</stp>
        <tr r="O203" s="2"/>
      </tp>
      <tp t="s">
        <v>#N/A N/A</v>
        <stp/>
        <stp>BDP|2459570099616896322</stp>
        <tr r="N163" s="2"/>
      </tp>
      <tp t="s">
        <v>#N/A N/A</v>
        <stp/>
        <stp>BDP|3206012950208786540</stp>
        <tr r="E147" s="2"/>
      </tp>
      <tp t="s">
        <v>#N/A N/A</v>
        <stp/>
        <stp>BDP|3098271570209677410</stp>
        <tr r="R71" s="2"/>
      </tp>
      <tp t="s">
        <v>#N/A N/A</v>
        <stp/>
        <stp>BDP|2305851971895409335</stp>
        <tr r="C265" s="2"/>
      </tp>
      <tp t="s">
        <v>#N/A N/A</v>
        <stp/>
        <stp>BDP|3511875273842149504</stp>
        <tr r="C503" s="2"/>
      </tp>
      <tp t="s">
        <v>#N/A N/A</v>
        <stp/>
        <stp>BDP|2967974137543917009</stp>
        <tr r="J390" s="2"/>
      </tp>
      <tp t="s">
        <v>#N/A N/A</v>
        <stp/>
        <stp>BDP|1351641671422263948</stp>
        <tr r="H101" s="2"/>
      </tp>
      <tp t="s">
        <v>#N/A N/A</v>
        <stp/>
        <stp>BDP|5355806154112468135</stp>
        <tr r="C200" s="2"/>
      </tp>
      <tp t="s">
        <v>#N/A N/A</v>
        <stp/>
        <stp>BDP|3578547677602507837</stp>
        <tr r="Q319" s="2"/>
      </tp>
      <tp t="s">
        <v>#N/A N/A</v>
        <stp/>
        <stp>BDP|3432311160525104844</stp>
        <tr r="K44" s="2"/>
      </tp>
      <tp t="s">
        <v>#N/A N/A</v>
        <stp/>
        <stp>BDP|9392377618290868049</stp>
        <tr r="E336" s="2"/>
      </tp>
      <tp t="s">
        <v>#N/A N/A</v>
        <stp/>
        <stp>BDP|9725471999128851714</stp>
        <tr r="P164" s="2"/>
      </tp>
      <tp t="s">
        <v>#N/A N/A</v>
        <stp/>
        <stp>BDP|8647714759593628285</stp>
        <tr r="C21" s="2"/>
      </tp>
      <tp t="s">
        <v>#N/A N/A</v>
        <stp/>
        <stp>BDP|1166462757042567955</stp>
        <tr r="M34" s="2"/>
      </tp>
      <tp t="s">
        <v>#N/A N/A</v>
        <stp/>
        <stp>BDP|6473393983311927772</stp>
        <tr r="P342" s="2"/>
      </tp>
      <tp t="s">
        <v>#N/A N/A</v>
        <stp/>
        <stp>BDP|8111563955567565476</stp>
        <tr r="G245" s="2"/>
      </tp>
      <tp>
        <v>-0.31380000710487366</v>
        <stp/>
        <stp>BDP|5902974921904381430|22</stp>
        <stp>BKNG UW Equity</stp>
        <stp>RT_PX_CHG_PCT_1D</stp>
        <tr r="B371" s="2"/>
      </tp>
      <tp t="s">
        <v>#N/A N/A</v>
        <stp/>
        <stp>BDP|1286139482775790656</stp>
        <tr r="R216" s="2"/>
      </tp>
      <tp t="s">
        <v>#N/A N/A</v>
        <stp/>
        <stp>BDP|5500011097765467269</stp>
        <tr r="O197" s="2"/>
      </tp>
      <tp t="s">
        <v>#N/A N/A</v>
        <stp/>
        <stp>BDP|2514469490526411265</stp>
        <tr r="E228" s="2"/>
      </tp>
      <tp t="s">
        <v>#N/A N/A</v>
        <stp/>
        <stp>BDP|9179549540795362674</stp>
        <tr r="D289" s="2"/>
      </tp>
      <tp t="s">
        <v>#N/A N/A</v>
        <stp/>
        <stp>BDP|1319287930808967332</stp>
        <tr r="H500" s="2"/>
      </tp>
      <tp t="s">
        <v>#N/A N/A</v>
        <stp/>
        <stp>BDP|6160120597845753021</stp>
        <tr r="M257" s="2"/>
      </tp>
      <tp t="s">
        <v>#N/A N/A</v>
        <stp/>
        <stp>BDP|5433725492766474618</stp>
        <tr r="K434" s="2"/>
      </tp>
      <tp t="s">
        <v>#N/A N/A</v>
        <stp/>
        <stp>BDP|4978053346292265992</stp>
        <tr r="G68" s="2"/>
      </tp>
      <tp t="s">
        <v>#N/A N/A</v>
        <stp/>
        <stp>BDP|7080288056139920267</stp>
        <tr r="C410" s="2"/>
      </tp>
      <tp t="s">
        <v>#N/A N/A</v>
        <stp/>
        <stp>BDP|1858680306874028878</stp>
        <tr r="F121" s="2"/>
      </tp>
      <tp t="s">
        <v>#N/A N/A</v>
        <stp/>
        <stp>BDP|8562123397559905286</stp>
        <tr r="O429" s="2"/>
      </tp>
      <tp t="s">
        <v>#N/A N/A</v>
        <stp/>
        <stp>BDP|1062048073365142800</stp>
        <tr r="D306" s="2"/>
      </tp>
      <tp t="s">
        <v>#N/A N/A</v>
        <stp/>
        <stp>BDP|7725847752622236359</stp>
        <tr r="H358" s="2"/>
      </tp>
      <tp t="s">
        <v>#N/A N/A</v>
        <stp/>
        <stp>BDP|3580894153244917106</stp>
        <tr r="I69" s="2"/>
      </tp>
      <tp t="s">
        <v>#N/A N/A</v>
        <stp/>
        <stp>BDP|5761805676011334048</stp>
        <tr r="P54" s="2"/>
      </tp>
      <tp t="s">
        <v>#N/A N/A</v>
        <stp/>
        <stp>BDP|4073989117663831410</stp>
        <tr r="K462" s="2"/>
      </tp>
      <tp t="s">
        <v>#N/A N/A</v>
        <stp/>
        <stp>BDP|1747429495347269043</stp>
        <tr r="R111" s="2"/>
      </tp>
      <tp t="s">
        <v>#N/A N/A</v>
        <stp/>
        <stp>BDP|5730429156916540909</stp>
        <tr r="E472" s="2"/>
      </tp>
      <tp t="s">
        <v>#N/A N/A</v>
        <stp/>
        <stp>BDP|6381954253335666459</stp>
        <tr r="I148" s="2"/>
      </tp>
      <tp t="s">
        <v>#N/A N/A</v>
        <stp/>
        <stp>BDP|4426945377761759065</stp>
        <tr r="R10" s="2"/>
      </tp>
      <tp t="s">
        <v>#N/A N/A</v>
        <stp/>
        <stp>BDP|6219607964549814481</stp>
        <tr r="R410" s="2"/>
      </tp>
      <tp t="s">
        <v>#N/A N/A</v>
        <stp/>
        <stp>BDP|9046227173424658317</stp>
        <tr r="L214" s="2"/>
      </tp>
      <tp t="s">
        <v>#N/A N/A</v>
        <stp/>
        <stp>BDP|7353091371272545986</stp>
        <tr r="R416" s="2"/>
      </tp>
      <tp t="s">
        <v>#N/A N/A</v>
        <stp/>
        <stp>BDP|5237624657805638878</stp>
        <tr r="E63" s="2"/>
      </tp>
      <tp t="s">
        <v>#N/A N/A</v>
        <stp/>
        <stp>BDP|8529053616214024605</stp>
        <tr r="N25" s="2"/>
      </tp>
      <tp t="s">
        <v>#N/A N/A</v>
        <stp/>
        <stp>BDP|5443830972851388003</stp>
        <tr r="L70" s="2"/>
      </tp>
      <tp t="s">
        <v>#N/A N/A</v>
        <stp/>
        <stp>BDP|7420168280245372079</stp>
        <tr r="F159" s="2"/>
      </tp>
      <tp t="s">
        <v>#N/A N/A</v>
        <stp/>
        <stp>BDP|7076853746829217964</stp>
        <tr r="I309" s="2"/>
      </tp>
      <tp t="s">
        <v>#N/A N/A</v>
        <stp/>
        <stp>BDP|2092223650079540707</stp>
        <tr r="F361" s="2"/>
      </tp>
      <tp t="s">
        <v>#N/A N/A</v>
        <stp/>
        <stp>BDP|1723973853183002548</stp>
        <tr r="D388" s="2"/>
      </tp>
      <tp t="s">
        <v>#N/A N/A</v>
        <stp/>
        <stp>BDP|6027977744076763638</stp>
        <tr r="N416" s="2"/>
      </tp>
      <tp t="s">
        <v>#N/A N/A</v>
        <stp/>
        <stp>BDP|4611728014510471931</stp>
        <tr r="M54" s="2"/>
      </tp>
      <tp t="s">
        <v>#N/A N/A</v>
        <stp/>
        <stp>BDP|7783214289104835200</stp>
        <tr r="F320" s="2"/>
      </tp>
      <tp t="s">
        <v>#N/A N/A</v>
        <stp/>
        <stp>BDP|7304024720639222741</stp>
        <tr r="R473" s="2"/>
      </tp>
      <tp t="s">
        <v>#N/A N/A</v>
        <stp/>
        <stp>BDP|4291138775578417176</stp>
        <tr r="I43" s="2"/>
      </tp>
      <tp t="s">
        <v>#N/A N/A</v>
        <stp/>
        <stp>BDP|8962438009872463502</stp>
        <tr r="E500" s="2"/>
      </tp>
      <tp t="s">
        <v>#N/A N/A</v>
        <stp/>
        <stp>BDP|8426052376652852686</stp>
        <tr r="D151" s="2"/>
      </tp>
      <tp t="s">
        <v>#N/A N/A</v>
        <stp/>
        <stp>BDP|8073970780324519651</stp>
        <tr r="L481" s="2"/>
      </tp>
      <tp t="s">
        <v>#N/A N/A</v>
        <stp/>
        <stp>BDP|2185676281983719471</stp>
        <tr r="K195" s="2"/>
      </tp>
      <tp t="s">
        <v>#N/A N/A</v>
        <stp/>
        <stp>BDP|2136833203283724229</stp>
        <tr r="L13" s="2"/>
      </tp>
      <tp t="s">
        <v>#N/A N/A</v>
        <stp/>
        <stp>BDP|3518958702640753113</stp>
        <tr r="P104" s="2"/>
      </tp>
      <tp t="s">
        <v>#N/A N/A</v>
        <stp/>
        <stp>BDP|9662791836861819754</stp>
        <tr r="K257" s="2"/>
      </tp>
      <tp t="s">
        <v>#N/A N/A</v>
        <stp/>
        <stp>BDP|9602950257449189716</stp>
        <tr r="G212" s="2"/>
      </tp>
      <tp t="s">
        <v>#N/A N/A</v>
        <stp/>
        <stp>BDP|8468786514286878348</stp>
        <tr r="K258" s="2"/>
      </tp>
      <tp t="s">
        <v>#N/A N/A</v>
        <stp/>
        <stp>BDP|5385231561252362861</stp>
        <tr r="L203" s="2"/>
      </tp>
      <tp t="s">
        <v>#N/A N/A</v>
        <stp/>
        <stp>BDP|3878869232284040784</stp>
        <tr r="E246" s="2"/>
      </tp>
      <tp t="s">
        <v>#N/A N/A</v>
        <stp/>
        <stp>BDP|4446622755249782503</stp>
        <tr r="E140" s="2"/>
      </tp>
      <tp t="s">
        <v>#N/A N/A</v>
        <stp/>
        <stp>BDP|3516351151398698634</stp>
        <tr r="D135" s="2"/>
      </tp>
      <tp t="s">
        <v>#N/A N/A</v>
        <stp/>
        <stp>BDP|7365918760474026766</stp>
        <tr r="I36" s="2"/>
      </tp>
      <tp t="s">
        <v>#N/A N/A</v>
        <stp/>
        <stp>BDP|6452766923051467915</stp>
        <tr r="Q191" s="2"/>
      </tp>
      <tp t="s">
        <v>#N/A N/A</v>
        <stp/>
        <stp>BDP|7755827625895687321</stp>
        <tr r="O158" s="2"/>
      </tp>
      <tp t="s">
        <v>#N/A N/A</v>
        <stp/>
        <stp>BDP|3829509068858294368</stp>
        <tr r="D314" s="2"/>
      </tp>
      <tp t="s">
        <v>#N/A N/A</v>
        <stp/>
        <stp>BDP|5798196823028980503</stp>
        <tr r="G468" s="2"/>
      </tp>
      <tp t="s">
        <v>#N/A N/A</v>
        <stp/>
        <stp>BDP|4324628604348478159</stp>
        <tr r="M344" s="2"/>
      </tp>
      <tp t="s">
        <v>#N/A N/A</v>
        <stp/>
        <stp>BDP|9499335605461573038</stp>
        <tr r="H13" s="2"/>
      </tp>
      <tp t="s">
        <v>#N/A N/A</v>
        <stp/>
        <stp>BDP|2515824670584122224</stp>
        <tr r="I197" s="2"/>
      </tp>
      <tp t="s">
        <v>#N/A N/A</v>
        <stp/>
        <stp>BDP|9455174639674990467</stp>
        <tr r="C23" s="2"/>
      </tp>
      <tp t="s">
        <v>#N/A N/A</v>
        <stp/>
        <stp>BDP|9148029824540136032</stp>
        <tr r="I424" s="2"/>
      </tp>
      <tp t="s">
        <v>#N/A N/A</v>
        <stp/>
        <stp>BDP|1360512860128653119</stp>
        <tr r="K478" s="2"/>
      </tp>
      <tp t="s">
        <v>#N/A N/A</v>
        <stp/>
        <stp>BDP|5675643680916734605</stp>
        <tr r="H207" s="2"/>
      </tp>
      <tp t="s">
        <v>#N/A N/A</v>
        <stp/>
        <stp>BDP|4729673712881635911</stp>
        <tr r="R5" s="2"/>
      </tp>
      <tp t="s">
        <v>#N/A N/A</v>
        <stp/>
        <stp>BDP|7795835345219500914</stp>
        <tr r="R361" s="2"/>
      </tp>
      <tp t="s">
        <v>#N/A N/A</v>
        <stp/>
        <stp>BDP|9321758965266161574</stp>
        <tr r="P84" s="2"/>
      </tp>
      <tp t="s">
        <v>#N/A N/A</v>
        <stp/>
        <stp>BDP|9512329193539782168</stp>
        <tr r="F447" s="2"/>
      </tp>
      <tp t="s">
        <v>#N/A N/A</v>
        <stp/>
        <stp>BDP|9348468027993202758</stp>
        <tr r="R259" s="2"/>
      </tp>
      <tp t="s">
        <v>#N/A N/A</v>
        <stp/>
        <stp>BDP|4757131963241485963</stp>
        <tr r="R322" s="2"/>
      </tp>
      <tp t="s">
        <v>#N/A N/A</v>
        <stp/>
        <stp>BDP|5719456789561848369</stp>
        <tr r="M290" s="2"/>
      </tp>
      <tp t="s">
        <v>#N/A N/A</v>
        <stp/>
        <stp>BDP|4700174473609495024</stp>
        <tr r="F496" s="2"/>
      </tp>
      <tp t="s">
        <v>#N/A N/A</v>
        <stp/>
        <stp>BDP|1229346344855406833</stp>
        <tr r="C245" s="2"/>
      </tp>
      <tp t="s">
        <v>#N/A N/A</v>
        <stp/>
        <stp>BDP|9361688813710433595</stp>
        <tr r="K319" s="2"/>
      </tp>
      <tp t="s">
        <v>#N/A N/A</v>
        <stp/>
        <stp>BDP|1757933556564284255</stp>
        <tr r="J145" s="2"/>
      </tp>
      <tp t="s">
        <v>#N/A N/A</v>
        <stp/>
        <stp>BDP|2051475257038613030</stp>
        <tr r="F490" s="2"/>
      </tp>
      <tp t="s">
        <v>#N/A N/A</v>
        <stp/>
        <stp>BDP|9139905400319219264</stp>
        <tr r="F205" s="2"/>
      </tp>
      <tp t="s">
        <v>#N/A N/A</v>
        <stp/>
        <stp>BDP|5742175651038069245</stp>
        <tr r="L353" s="2"/>
      </tp>
      <tp t="s">
        <v>#N/A N/A</v>
        <stp/>
        <stp>BDP|7575033667839591311</stp>
        <tr r="J477" s="2"/>
      </tp>
      <tp t="s">
        <v>#N/A N/A</v>
        <stp/>
        <stp>BDP|9111299804600980002</stp>
        <tr r="G183" s="2"/>
      </tp>
      <tp t="s">
        <v>#N/A N/A</v>
        <stp/>
        <stp>BDP|8709446632402004646</stp>
        <tr r="O497" s="2"/>
      </tp>
      <tp t="s">
        <v>#N/A N/A</v>
        <stp/>
        <stp>BDP|1143511152353393948</stp>
        <tr r="I48" s="2"/>
      </tp>
      <tp>
        <v>-0.35879999399185181</v>
        <stp/>
        <stp>BDP|12713418587643767481|22</stp>
        <stp>TRV UN Equity</stp>
        <stp>RT_PX_CHG_PCT_1D</stp>
        <tr r="B34" s="2"/>
      </tp>
      <tp>
        <v>-1.7669999599456787</v>
        <stp/>
        <stp>BDP|14062865674000280843|22</stp>
        <stp>TXT UN Equity</stp>
        <stp>RT_PX_CHG_PCT_1D</stp>
        <tr r="B221" s="2"/>
      </tp>
      <tp>
        <v>0.4260999858379364</v>
        <stp/>
        <stp>BDP|13586766133322066733|22</stp>
        <stp>CFG UN Equity</stp>
        <stp>RT_PX_CHG_PCT_1D</stp>
        <tr r="B299" s="2"/>
      </tp>
      <tp>
        <v>0.1111999973654747</v>
        <stp/>
        <stp>BDP|15470362093343676039|22</stp>
        <stp>LYV UN Equity</stp>
        <stp>RT_PX_CHG_PCT_1D</stp>
        <tr r="B410" s="2"/>
      </tp>
      <tp>
        <v>-0.38119998574256897</v>
        <stp/>
        <stp>BDP|10569033739493989108|22</stp>
        <stp>CB UN Equity</stp>
        <stp>RT_PX_CHG_PCT_1D</stp>
        <tr r="B297" s="2"/>
      </tp>
      <tp>
        <v>1.3358000516891479</v>
        <stp/>
        <stp>BDP|16561724261370568058|22</stp>
        <stp>GE UN Equity</stp>
        <stp>RT_PX_CHG_PCT_1D</stp>
        <tr r="B19" s="2"/>
      </tp>
      <tp>
        <v>2.2393999099731445</v>
        <stp/>
        <stp>BDP|18159327432686687914|22</stp>
        <stp>TT UN Equity</stp>
        <stp>RT_PX_CHG_PCT_1D</stp>
        <tr r="B147" s="2"/>
      </tp>
      <tp>
        <v>0.44200000166893005</v>
        <stp/>
        <stp>BDP|15784249358884407393|22</stp>
        <stp>BG UN Equity</stp>
        <stp>RT_PX_CHG_PCT_1D</stp>
        <tr r="B495" s="2"/>
      </tp>
      <tp>
        <v>1.059499979019165</v>
        <stp/>
        <stp>BDP|3302145788150492310|22</stp>
        <stp>EPAM UN Equity</stp>
        <stp>RT_PX_CHG_PCT_1D</stp>
        <tr r="B87" s="2"/>
      </tp>
      <tp>
        <v>1.5111000537872314</v>
        <stp/>
        <stp>BDP|6669500332052853089|22</stp>
        <stp>KVUE UN Equity</stp>
        <stp>RT_PX_CHG_PCT_1D</stp>
        <tr r="B493" s="2"/>
      </tp>
      <tp t="s">
        <v>#N/A N/A</v>
        <stp/>
        <stp>BDP|1574259851327948520</stp>
        <tr r="G253" s="2"/>
      </tp>
      <tp t="s">
        <v>#N/A N/A</v>
        <stp/>
        <stp>BDP|5533066353394259088</stp>
        <tr r="L153" s="2"/>
      </tp>
      <tp t="s">
        <v>#N/A N/A</v>
        <stp/>
        <stp>BDP|5091122648631660564</stp>
        <tr r="M452" s="2"/>
      </tp>
      <tp t="s">
        <v>#N/A N/A</v>
        <stp/>
        <stp>BDP|7237246868904553317</stp>
        <tr r="F227" s="2"/>
      </tp>
      <tp t="s">
        <v>#N/A N/A</v>
        <stp/>
        <stp>BDP|2909659430581052268</stp>
        <tr r="G5" s="2"/>
      </tp>
      <tp t="s">
        <v>#N/A N/A</v>
        <stp/>
        <stp>BDP|2946538976991041561</stp>
        <tr r="G298" s="2"/>
      </tp>
      <tp t="s">
        <v>#N/A N/A</v>
        <stp/>
        <stp>BDP|5113183602185547545</stp>
        <tr r="G208" s="2"/>
      </tp>
      <tp t="s">
        <v>#N/A N/A</v>
        <stp/>
        <stp>BDP|8163601968279554565</stp>
        <tr r="J383" s="2"/>
      </tp>
      <tp t="s">
        <v>#N/A N/A</v>
        <stp/>
        <stp>BDP|4570889621772694804</stp>
        <tr r="F195" s="2"/>
      </tp>
      <tp t="s">
        <v>#N/A N/A</v>
        <stp/>
        <stp>BDP|6115441217625971216</stp>
        <tr r="R373" s="2"/>
      </tp>
      <tp t="s">
        <v>#N/A N/A</v>
        <stp/>
        <stp>BDP|6340770721254614390</stp>
        <tr r="E112" s="2"/>
      </tp>
      <tp t="s">
        <v>#N/A N/A</v>
        <stp/>
        <stp>BDP|6848312172873215538</stp>
        <tr r="G25" s="2"/>
      </tp>
      <tp t="s">
        <v>#N/A N/A</v>
        <stp/>
        <stp>BDP|4869737617681096774</stp>
        <tr r="D300" s="2"/>
      </tp>
      <tp t="s">
        <v>#N/A N/A</v>
        <stp/>
        <stp>BDP|9554264491052941408</stp>
        <tr r="Q83" s="2"/>
      </tp>
      <tp t="s">
        <v>#N/A N/A</v>
        <stp/>
        <stp>BDP|2905594388993492878</stp>
        <tr r="D141" s="2"/>
      </tp>
      <tp t="s">
        <v>#N/A N/A</v>
        <stp/>
        <stp>BDP|9852613824911119871</stp>
        <tr r="F125" s="2"/>
      </tp>
      <tp t="s">
        <v>#N/A N/A</v>
        <stp/>
        <stp>BDP|6992273327797405562</stp>
        <tr r="O81" s="2"/>
      </tp>
      <tp t="s">
        <v>#N/A N/A</v>
        <stp/>
        <stp>BDP|9610469379646578877</stp>
        <tr r="R153" s="2"/>
      </tp>
      <tp t="s">
        <v>#N/A N/A</v>
        <stp/>
        <stp>BDP|1621748376835638092</stp>
        <tr r="R177" s="2"/>
      </tp>
      <tp t="s">
        <v>#N/A N/A</v>
        <stp/>
        <stp>BDP|4962663020614238063</stp>
        <tr r="J328" s="2"/>
      </tp>
      <tp t="s">
        <v>#N/A N/A</v>
        <stp/>
        <stp>BDP|8081902427675476289</stp>
        <tr r="G111" s="2"/>
      </tp>
      <tp t="s">
        <v>#N/A N/A</v>
        <stp/>
        <stp>BDP|8306115999145775176</stp>
        <tr r="H73" s="2"/>
      </tp>
      <tp>
        <v>-0.29660001397132874</v>
        <stp/>
        <stp>BDP|6674016904746463992|22</stp>
        <stp>META UW Equity</stp>
        <stp>RT_PX_CHG_PCT_1D</stp>
        <tr r="B464" s="2"/>
      </tp>
      <tp t="s">
        <v>#N/A N/A</v>
        <stp/>
        <stp>BDP|5545436922654446388</stp>
        <tr r="M20" s="2"/>
      </tp>
      <tp t="s">
        <v>#N/A N/A</v>
        <stp/>
        <stp>BDP|2488995095707326133</stp>
        <tr r="K69" s="2"/>
      </tp>
      <tp t="s">
        <v>#N/A N/A</v>
        <stp/>
        <stp>BDP|2775397893008395462</stp>
        <tr r="N310" s="2"/>
      </tp>
      <tp t="s">
        <v>#N/A N/A</v>
        <stp/>
        <stp>BDP|5116391810056628568</stp>
        <tr r="M95" s="2"/>
      </tp>
      <tp t="s">
        <v>#N/A N/A</v>
        <stp/>
        <stp>BDP|1721820652090788887</stp>
        <tr r="M332" s="2"/>
      </tp>
      <tp t="s">
        <v>#N/A N/A</v>
        <stp/>
        <stp>BDP|2603411383993440980</stp>
        <tr r="H301" s="2"/>
      </tp>
      <tp t="s">
        <v>#N/A N/A</v>
        <stp/>
        <stp>BDP|9582165812305909800</stp>
        <tr r="H222" s="2"/>
      </tp>
      <tp t="s">
        <v>#N/A N/A</v>
        <stp/>
        <stp>BDP|6319613849632375203</stp>
        <tr r="K314" s="2"/>
      </tp>
      <tp t="s">
        <v>#N/A N/A</v>
        <stp/>
        <stp>BDP|5837381951590151781</stp>
        <tr r="P374" s="2"/>
      </tp>
      <tp t="s">
        <v>#N/A N/A</v>
        <stp/>
        <stp>BDP|1804466647483251634</stp>
        <tr r="M227" s="2"/>
      </tp>
      <tp t="s">
        <v>#N/A N/A</v>
        <stp/>
        <stp>BDP|4160286412251232214</stp>
        <tr r="J233" s="2"/>
      </tp>
      <tp t="s">
        <v>#N/A N/A</v>
        <stp/>
        <stp>BDP|3437767246177592398</stp>
        <tr r="E445" s="2"/>
      </tp>
      <tp t="s">
        <v>#N/A N/A</v>
        <stp/>
        <stp>BDP|8407462005581871974</stp>
        <tr r="E425" s="2"/>
      </tp>
      <tp t="s">
        <v>#N/A N/A</v>
        <stp/>
        <stp>BDP|9889818253650459065</stp>
        <tr r="R326" s="2"/>
      </tp>
      <tp t="s">
        <v>#N/A N/A</v>
        <stp/>
        <stp>BDP|4862784462668811923</stp>
        <tr r="O106" s="2"/>
      </tp>
      <tp t="s">
        <v>#N/A N/A</v>
        <stp/>
        <stp>BDP|4347399957955748326</stp>
        <tr r="E194" s="2"/>
      </tp>
      <tp t="s">
        <v>#N/A N/A</v>
        <stp/>
        <stp>BDP|6334894123139105119</stp>
        <tr r="P434" s="2"/>
      </tp>
      <tp t="s">
        <v>#N/A N/A</v>
        <stp/>
        <stp>BDP|1163998131066716971</stp>
        <tr r="J384" s="2"/>
      </tp>
      <tp t="s">
        <v>#N/A N/A</v>
        <stp/>
        <stp>BDP|7570105994439181290</stp>
        <tr r="L83" s="2"/>
      </tp>
      <tp t="s">
        <v>#N/A N/A</v>
        <stp/>
        <stp>BDP|5090468962056561586</stp>
        <tr r="F267" s="2"/>
      </tp>
      <tp t="s">
        <v>#N/A N/A</v>
        <stp/>
        <stp>BDP|6292153623807940645</stp>
        <tr r="P55" s="2"/>
      </tp>
      <tp t="s">
        <v>#N/A N/A</v>
        <stp/>
        <stp>BDP|9823576190572765314</stp>
        <tr r="O431" s="2"/>
      </tp>
      <tp t="s">
        <v>#N/A N/A</v>
        <stp/>
        <stp>BDP|2476141084466952944</stp>
        <tr r="Q189" s="2"/>
      </tp>
      <tp t="s">
        <v>#N/A N/A</v>
        <stp/>
        <stp>BDP|5779511779125515634</stp>
        <tr r="E189" s="2"/>
      </tp>
      <tp t="s">
        <v>#N/A N/A</v>
        <stp/>
        <stp>BDP|6666451019137011033</stp>
        <tr r="K121" s="2"/>
      </tp>
      <tp t="s">
        <v>#N/A N/A</v>
        <stp/>
        <stp>BDP|7721293160602262556</stp>
        <tr r="F456" s="2"/>
      </tp>
      <tp t="s">
        <v>#N/A N/A</v>
        <stp/>
        <stp>BDP|5242898907691371814</stp>
        <tr r="J150" s="2"/>
      </tp>
      <tp t="s">
        <v>#N/A N/A</v>
        <stp/>
        <stp>BDP|7706880705978347375</stp>
        <tr r="J503" s="2"/>
      </tp>
      <tp t="s">
        <v>#N/A N/A</v>
        <stp/>
        <stp>BDP|5152547032974949307</stp>
        <tr r="R150" s="2"/>
      </tp>
      <tp t="s">
        <v>#N/A N/A</v>
        <stp/>
        <stp>BDP|7824466550063306139</stp>
        <tr r="L235" s="2"/>
      </tp>
      <tp t="s">
        <v>#N/A N/A</v>
        <stp/>
        <stp>BDP|2503591153511106708</stp>
        <tr r="J414" s="2"/>
      </tp>
      <tp t="s">
        <v>#N/A N/A</v>
        <stp/>
        <stp>BDP|5818888480056928774</stp>
        <tr r="G264" s="2"/>
      </tp>
      <tp t="s">
        <v>#N/A N/A</v>
        <stp/>
        <stp>BDP|6378326418089666918</stp>
        <tr r="L244" s="2"/>
      </tp>
      <tp t="s">
        <v>#N/A N/A</v>
        <stp/>
        <stp>BDP|1184791973602085758</stp>
        <tr r="M477" s="2"/>
      </tp>
      <tp t="s">
        <v>#N/A N/A</v>
        <stp/>
        <stp>BDP|3845240954506772618</stp>
        <tr r="E84" s="2"/>
      </tp>
      <tp t="s">
        <v>#N/A N/A</v>
        <stp/>
        <stp>BDP|1646171369653741116</stp>
        <tr r="N143" s="2"/>
      </tp>
      <tp t="s">
        <v>#N/A N/A</v>
        <stp/>
        <stp>BDP|3913072161096717761</stp>
        <tr r="M428" s="2"/>
      </tp>
      <tp t="s">
        <v>#N/A N/A</v>
        <stp/>
        <stp>BDP|3053153812553124482</stp>
        <tr r="Q98" s="2"/>
      </tp>
      <tp t="s">
        <v>#N/A N/A</v>
        <stp/>
        <stp>BDP|5027645927717451297</stp>
        <tr r="H461" s="2"/>
      </tp>
      <tp t="s">
        <v>#N/A N/A</v>
        <stp/>
        <stp>BDP|7476533588286712865</stp>
        <tr r="L405" s="2"/>
      </tp>
      <tp t="s">
        <v>#N/A N/A</v>
        <stp/>
        <stp>BDP|2092387061826315543</stp>
        <tr r="J90" s="2"/>
      </tp>
      <tp t="s">
        <v>#N/A N/A</v>
        <stp/>
        <stp>BDP|2701407649197228120</stp>
        <tr r="D130" s="2"/>
      </tp>
      <tp t="s">
        <v>#N/A N/A</v>
        <stp/>
        <stp>BDP|6233006516670872323</stp>
        <tr r="L242" s="2"/>
      </tp>
      <tp t="s">
        <v>#N/A N/A</v>
        <stp/>
        <stp>BDP|6217241838497520450</stp>
        <tr r="L282" s="2"/>
      </tp>
      <tp t="s">
        <v>#N/A N/A</v>
        <stp/>
        <stp>BDP|4351321631654830467</stp>
        <tr r="O413" s="2"/>
      </tp>
      <tp t="s">
        <v>#N/A N/A</v>
        <stp/>
        <stp>BDP|2084976457093672992</stp>
        <tr r="P87" s="2"/>
      </tp>
      <tp t="s">
        <v>#N/A N/A</v>
        <stp/>
        <stp>BDP|8499378249309010258</stp>
        <tr r="H347" s="2"/>
      </tp>
      <tp t="s">
        <v>#N/A N/A</v>
        <stp/>
        <stp>BDP|5114137982680632899</stp>
        <tr r="P132" s="2"/>
      </tp>
      <tp t="s">
        <v>#N/A N/A</v>
        <stp/>
        <stp>BDP|6076080737008059908</stp>
        <tr r="K368" s="2"/>
      </tp>
      <tp t="s">
        <v>#N/A N/A</v>
        <stp/>
        <stp>BDP|2148486733554493514</stp>
        <tr r="H350" s="2"/>
      </tp>
      <tp t="s">
        <v>#N/A N/A</v>
        <stp/>
        <stp>BDP|5777687137923103764</stp>
        <tr r="L123" s="2"/>
      </tp>
      <tp t="s">
        <v>#N/A N/A</v>
        <stp/>
        <stp>BDP|3323058081587074885</stp>
        <tr r="N400" s="2"/>
      </tp>
      <tp t="s">
        <v>#N/A N/A</v>
        <stp/>
        <stp>BDP|2024254568095428768</stp>
        <tr r="G20" s="2"/>
      </tp>
      <tp t="s">
        <v>#N/A N/A</v>
        <stp/>
        <stp>BDP|1755563329117786500</stp>
        <tr r="I333" s="2"/>
      </tp>
      <tp t="s">
        <v>#N/A N/A</v>
        <stp/>
        <stp>BDP|3719671218066475636</stp>
        <tr r="H322" s="2"/>
      </tp>
      <tp t="s">
        <v>#N/A N/A</v>
        <stp/>
        <stp>BDP|6653051250120918755</stp>
        <tr r="O435" s="2"/>
      </tp>
      <tp t="s">
        <v>#N/A N/A</v>
        <stp/>
        <stp>BDP|4069972769619828693</stp>
        <tr r="Q377" s="2"/>
      </tp>
      <tp t="s">
        <v>#N/A N/A</v>
        <stp/>
        <stp>BDP|9867095162462423986</stp>
        <tr r="L139" s="2"/>
      </tp>
      <tp t="s">
        <v>#N/A N/A</v>
        <stp/>
        <stp>BDP|2667091878579086888</stp>
        <tr r="D318" s="2"/>
      </tp>
      <tp t="s">
        <v>#N/A N/A</v>
        <stp/>
        <stp>BDP|7283942335099983050</stp>
        <tr r="P105" s="2"/>
      </tp>
      <tp t="s">
        <v>#N/A N/A</v>
        <stp/>
        <stp>BDP|5570543706383937711</stp>
        <tr r="C469" s="2"/>
      </tp>
      <tp t="s">
        <v>#N/A N/A</v>
        <stp/>
        <stp>BDP|1362787834524775574</stp>
        <tr r="N356" s="2"/>
      </tp>
      <tp t="s">
        <v>#N/A N/A</v>
        <stp/>
        <stp>BDP|5766337969010031425</stp>
        <tr r="I26" s="2"/>
      </tp>
      <tp t="s">
        <v>#N/A N/A</v>
        <stp/>
        <stp>BDP|4668338202507141499</stp>
        <tr r="K325" s="2"/>
      </tp>
      <tp t="s">
        <v>#N/A N/A</v>
        <stp/>
        <stp>BDP|9851260637464384861</stp>
        <tr r="O166" s="2"/>
      </tp>
      <tp t="s">
        <v>#N/A N/A</v>
        <stp/>
        <stp>BDP|7806640217841416531</stp>
        <tr r="I24" s="2"/>
      </tp>
      <tp t="s">
        <v>#N/A N/A</v>
        <stp/>
        <stp>BDP|8654836348052725269</stp>
        <tr r="K486" s="2"/>
      </tp>
      <tp t="s">
        <v>#N/A N/A</v>
        <stp/>
        <stp>BDP|3998125678461822072</stp>
        <tr r="Q400" s="2"/>
      </tp>
      <tp t="s">
        <v>#N/A N/A</v>
        <stp/>
        <stp>BDP|9601534032159288297</stp>
        <tr r="M125" s="2"/>
      </tp>
      <tp t="s">
        <v>#N/A N/A</v>
        <stp/>
        <stp>BDP|9199455739828994283</stp>
        <tr r="H297" s="2"/>
      </tp>
      <tp t="s">
        <v>#N/A N/A</v>
        <stp/>
        <stp>BDP|3696888835448112465</stp>
        <tr r="R414" s="2"/>
      </tp>
      <tp t="s">
        <v>#N/A N/A</v>
        <stp/>
        <stp>BDP|9534430093795926507</stp>
        <tr r="Q183" s="2"/>
      </tp>
      <tp t="s">
        <v>#N/A N/A</v>
        <stp/>
        <stp>BDP|7285956193792819108</stp>
        <tr r="G350" s="2"/>
      </tp>
      <tp t="s">
        <v>#N/A N/A</v>
        <stp/>
        <stp>BDP|6742721401001868407</stp>
        <tr r="E201" s="2"/>
      </tp>
      <tp t="s">
        <v>#N/A N/A</v>
        <stp/>
        <stp>BDP|2611596371746496270</stp>
        <tr r="P149" s="2"/>
      </tp>
      <tp t="s">
        <v>#N/A N/A</v>
        <stp/>
        <stp>BDP|6590265333042466193</stp>
        <tr r="Q325" s="2"/>
      </tp>
      <tp t="s">
        <v>#N/A N/A</v>
        <stp/>
        <stp>BDP|4789175919040404006</stp>
        <tr r="M113" s="2"/>
      </tp>
      <tp t="s">
        <v>#N/A N/A</v>
        <stp/>
        <stp>BDP|5194128959226481330</stp>
        <tr r="C151" s="2"/>
      </tp>
      <tp t="s">
        <v>#N/A N/A</v>
        <stp/>
        <stp>BDP|7378298243107464202</stp>
        <tr r="L75" s="2"/>
      </tp>
      <tp t="s">
        <v>#N/A N/A</v>
        <stp/>
        <stp>BDP|6882683562485724787</stp>
        <tr r="P443" s="2"/>
      </tp>
      <tp t="s">
        <v>#N/A N/A</v>
        <stp/>
        <stp>BDP|8148078349868215008</stp>
        <tr r="J52" s="2"/>
      </tp>
      <tp t="s">
        <v>#N/A N/A</v>
        <stp/>
        <stp>BDP|1489554108232622221</stp>
        <tr r="J215" s="2"/>
      </tp>
      <tp t="s">
        <v>#N/A N/A</v>
        <stp/>
        <stp>BDP|4022008316405349485</stp>
        <tr r="L271" s="2"/>
      </tp>
      <tp t="s">
        <v>#N/A N/A</v>
        <stp/>
        <stp>BDP|4984296968306527200</stp>
        <tr r="I415" s="2"/>
      </tp>
      <tp t="s">
        <v>#N/A N/A</v>
        <stp/>
        <stp>BDP|9719558846334074893</stp>
        <tr r="N427" s="2"/>
      </tp>
      <tp t="s">
        <v>#N/A N/A</v>
        <stp/>
        <stp>BDP|5399594360682631016</stp>
        <tr r="G480" s="2"/>
      </tp>
      <tp t="s">
        <v>#N/A N/A</v>
        <stp/>
        <stp>BDP|3812120409156723093</stp>
        <tr r="P81" s="2"/>
      </tp>
      <tp t="s">
        <v>#N/A N/A</v>
        <stp/>
        <stp>BDP|3505624875603925561</stp>
        <tr r="I428" s="2"/>
      </tp>
      <tp t="s">
        <v>#N/A N/A</v>
        <stp/>
        <stp>BDP|7856040721148742975</stp>
        <tr r="M169" s="2"/>
      </tp>
      <tp t="s">
        <v>#N/A N/A</v>
        <stp/>
        <stp>BDP|5372850329853193831</stp>
        <tr r="G467" s="2"/>
      </tp>
      <tp t="s">
        <v>#N/A N/A</v>
        <stp/>
        <stp>BDP|4633640373208433985</stp>
        <tr r="R434" s="2"/>
      </tp>
      <tp t="s">
        <v>#N/A N/A</v>
        <stp/>
        <stp>BDP|6158494301504178255</stp>
        <tr r="I228" s="2"/>
      </tp>
      <tp t="s">
        <v>#N/A N/A</v>
        <stp/>
        <stp>BDP|5997285853393520555</stp>
        <tr r="N496" s="2"/>
      </tp>
      <tp t="s">
        <v>#N/A N/A</v>
        <stp/>
        <stp>BDP|6786003542965294353</stp>
        <tr r="K345" s="2"/>
      </tp>
      <tp t="s">
        <v>#N/A N/A</v>
        <stp/>
        <stp>BDP|6022937621960169917</stp>
        <tr r="H377" s="2"/>
      </tp>
      <tp t="s">
        <v>#N/A N/A</v>
        <stp/>
        <stp>BDP|3906429039736134611</stp>
        <tr r="I364" s="2"/>
      </tp>
      <tp t="s">
        <v>#N/A N/A</v>
        <stp/>
        <stp>BDP|5855286776015190156</stp>
        <tr r="I64" s="2"/>
      </tp>
      <tp t="s">
        <v>#N/A N/A</v>
        <stp/>
        <stp>BDP|1317015655317287770</stp>
        <tr r="M501" s="2"/>
      </tp>
      <tp t="s">
        <v>#N/A N/A</v>
        <stp/>
        <stp>BDP|2765576977431530508</stp>
        <tr r="H354" s="2"/>
      </tp>
      <tp t="s">
        <v>#N/A N/A</v>
        <stp/>
        <stp>BDP|1818121369537720568</stp>
        <tr r="M482" s="2"/>
      </tp>
      <tp t="s">
        <v>#N/A N/A</v>
        <stp/>
        <stp>BDP|7564727002001591529</stp>
        <tr r="F385" s="2"/>
      </tp>
      <tp t="s">
        <v>#N/A N/A</v>
        <stp/>
        <stp>BDP|6966316762614917316</stp>
        <tr r="J130" s="2"/>
      </tp>
      <tp t="s">
        <v>#N/A N/A</v>
        <stp/>
        <stp>BDP|1995635127818757980</stp>
        <tr r="I37" s="2"/>
      </tp>
      <tp t="s">
        <v>#N/A N/A</v>
        <stp/>
        <stp>BDP|7033294156141977541</stp>
        <tr r="L256" s="2"/>
      </tp>
      <tp t="s">
        <v>#N/A N/A</v>
        <stp/>
        <stp>BDP|1625509830497192455</stp>
        <tr r="Q389" s="2"/>
      </tp>
      <tp t="s">
        <v>#N/A N/A</v>
        <stp/>
        <stp>BDP|1036452841281216441</stp>
        <tr r="K187" s="2"/>
      </tp>
      <tp t="s">
        <v>#N/A N/A</v>
        <stp/>
        <stp>BDP|8571093787350858411</stp>
        <tr r="M43" s="2"/>
      </tp>
      <tp t="s">
        <v>#N/A N/A</v>
        <stp/>
        <stp>BDP|4931937009491318823</stp>
        <tr r="H287" s="2"/>
      </tp>
      <tp t="s">
        <v>#N/A N/A</v>
        <stp/>
        <stp>BDP|6042817568249319582</stp>
        <tr r="C477" s="2"/>
      </tp>
      <tp t="s">
        <v>#N/A N/A</v>
        <stp/>
        <stp>BDP|2349678860250498622</stp>
        <tr r="C196" s="2"/>
      </tp>
      <tp t="s">
        <v>#N/A N/A</v>
        <stp/>
        <stp>BDP|7903962450608535783</stp>
        <tr r="C149" s="2"/>
      </tp>
      <tp t="s">
        <v>#N/A N/A</v>
        <stp/>
        <stp>BDP|7072488077173939349</stp>
        <tr r="G471" s="2"/>
      </tp>
      <tp t="s">
        <v>#N/A N/A</v>
        <stp/>
        <stp>BDP|8219922209041212496</stp>
        <tr r="N38" s="2"/>
      </tp>
      <tp t="s">
        <v>#N/A N/A</v>
        <stp/>
        <stp>BDP|3366468623839525813</stp>
        <tr r="K330" s="2"/>
      </tp>
      <tp t="s">
        <v>#N/A N/A</v>
        <stp/>
        <stp>BDP|4265437986565450916</stp>
        <tr r="N202" s="2"/>
      </tp>
      <tp t="s">
        <v>#N/A N/A</v>
        <stp/>
        <stp>BDP|3068403596028714233</stp>
        <tr r="O188" s="2"/>
      </tp>
      <tp t="s">
        <v>#N/A N/A</v>
        <stp/>
        <stp>BDP|5127505257282656339</stp>
        <tr r="L463" s="2"/>
      </tp>
      <tp t="s">
        <v>#N/A N/A</v>
        <stp/>
        <stp>BDP|5773420342970645121</stp>
        <tr r="F495" s="2"/>
      </tp>
      <tp t="s">
        <v>#N/A N/A</v>
        <stp/>
        <stp>BDP|4001838770747356830</stp>
        <tr r="M319" s="2"/>
      </tp>
      <tp t="s">
        <v>#N/A N/A</v>
        <stp/>
        <stp>BDP|7413051489213200898</stp>
        <tr r="O259" s="2"/>
      </tp>
      <tp t="s">
        <v>#N/A N/A</v>
        <stp/>
        <stp>BDP|1523909095107401275</stp>
        <tr r="L273" s="2"/>
      </tp>
      <tp t="s">
        <v>#N/A N/A</v>
        <stp/>
        <stp>BDP|8605512558505598991</stp>
        <tr r="R112" s="2"/>
      </tp>
      <tp t="s">
        <v>#N/A N/A</v>
        <stp/>
        <stp>BDP|5458184641175987178</stp>
        <tr r="F485" s="2"/>
      </tp>
      <tp t="s">
        <v>#N/A N/A</v>
        <stp/>
        <stp>BDP|1651022759788848866</stp>
        <tr r="H415" s="2"/>
      </tp>
      <tp t="s">
        <v>#N/A N/A</v>
        <stp/>
        <stp>BDP|9068505472468343721</stp>
        <tr r="L277" s="2"/>
      </tp>
      <tp t="s">
        <v>#N/A N/A</v>
        <stp/>
        <stp>BDP|7779968117283619839</stp>
        <tr r="G305" s="2"/>
      </tp>
      <tp t="s">
        <v>#N/A N/A</v>
        <stp/>
        <stp>BDP|9130810372692680079</stp>
        <tr r="H160" s="2"/>
      </tp>
      <tp t="s">
        <v>#N/A N/A</v>
        <stp/>
        <stp>BDP|6205462673749622820</stp>
        <tr r="O119" s="2"/>
      </tp>
      <tp t="s">
        <v>#N/A N/A</v>
        <stp/>
        <stp>BDP|6649461872471041013</stp>
        <tr r="C44" s="2"/>
      </tp>
      <tp t="s">
        <v>#N/A N/A</v>
        <stp/>
        <stp>BDP|6796762302860011504</stp>
        <tr r="N220" s="2"/>
      </tp>
      <tp t="s">
        <v>#N/A N/A</v>
        <stp/>
        <stp>BDP|7567237654534850097</stp>
        <tr r="C354" s="2"/>
      </tp>
      <tp t="s">
        <v>#N/A N/A</v>
        <stp/>
        <stp>BDP|3081852896672123427</stp>
        <tr r="F229" s="2"/>
      </tp>
      <tp t="s">
        <v>#N/A N/A</v>
        <stp/>
        <stp>BDP|4797840760318404672</stp>
        <tr r="H248" s="2"/>
      </tp>
      <tp t="s">
        <v>#N/A N/A</v>
        <stp/>
        <stp>BDP|2436896334298191586</stp>
        <tr r="R504" s="2"/>
      </tp>
      <tp t="s">
        <v>#N/A N/A</v>
        <stp/>
        <stp>BDP|5104737121150699457</stp>
        <tr r="P317" s="2"/>
      </tp>
      <tp t="s">
        <v>#N/A N/A</v>
        <stp/>
        <stp>BDP|7384966001928586214</stp>
        <tr r="D257" s="2"/>
      </tp>
      <tp t="s">
        <v>#N/A N/A</v>
        <stp/>
        <stp>BDP|8457727899796998466</stp>
        <tr r="Q477" s="2"/>
      </tp>
      <tp t="s">
        <v>#N/A N/A</v>
        <stp/>
        <stp>BDP|8130614534429771039</stp>
        <tr r="P30" s="2"/>
      </tp>
      <tp t="s">
        <v>#N/A N/A</v>
        <stp/>
        <stp>BDP|1051011291408999494</stp>
        <tr r="G504" s="2"/>
      </tp>
      <tp t="s">
        <v>#N/A N/A</v>
        <stp/>
        <stp>BDP|3918197863813405372</stp>
        <tr r="E265" s="2"/>
      </tp>
      <tp t="s">
        <v>#N/A N/A</v>
        <stp/>
        <stp>BDP|9660946731703698452</stp>
        <tr r="J362" s="2"/>
      </tp>
      <tp t="s">
        <v>#N/A N/A</v>
        <stp/>
        <stp>BDP|1620512400627242753</stp>
        <tr r="Q125" s="2"/>
      </tp>
      <tp t="s">
        <v>#N/A N/A</v>
        <stp/>
        <stp>BDP|4727682029745175171</stp>
        <tr r="H8" s="2"/>
      </tp>
      <tp t="s">
        <v>#N/A N/A</v>
        <stp/>
        <stp>BDP|9350237578239878107</stp>
        <tr r="N215" s="2"/>
      </tp>
      <tp t="s">
        <v>#N/A N/A</v>
        <stp/>
        <stp>BDP|3722266251652359234</stp>
        <tr r="D465" s="2"/>
      </tp>
      <tp t="s">
        <v>#N/A N/A</v>
        <stp/>
        <stp>BDP|8220439887442085264</stp>
        <tr r="O318" s="2"/>
      </tp>
      <tp t="s">
        <v>#N/A N/A</v>
        <stp/>
        <stp>BDP|6578050616760203343</stp>
        <tr r="O27" s="2"/>
      </tp>
      <tp t="s">
        <v>#N/A N/A</v>
        <stp/>
        <stp>BDP|1785680332322506289</stp>
        <tr r="F132" s="2"/>
      </tp>
      <tp t="s">
        <v>#N/A N/A</v>
        <stp/>
        <stp>BDP|2460409434850703175</stp>
        <tr r="R448" s="2"/>
      </tp>
      <tp t="s">
        <v>#N/A N/A</v>
        <stp/>
        <stp>BDP|1870405529994289736</stp>
        <tr r="I35" s="2"/>
      </tp>
      <tp t="s">
        <v>#N/A N/A</v>
        <stp/>
        <stp>BDP|5278321869782868612</stp>
        <tr r="E113" s="2"/>
      </tp>
      <tp t="s">
        <v>#N/A N/A</v>
        <stp/>
        <stp>BDP|7171985783960262288</stp>
        <tr r="R141" s="2"/>
      </tp>
      <tp t="s">
        <v>#N/A N/A</v>
        <stp/>
        <stp>BDP|5479180366520928634</stp>
        <tr r="O330" s="2"/>
      </tp>
      <tp t="s">
        <v>#N/A N/A</v>
        <stp/>
        <stp>BDP|4513715273061518121</stp>
        <tr r="K351" s="2"/>
      </tp>
      <tp t="s">
        <v>#N/A N/A</v>
        <stp/>
        <stp>BDP|5554601166309500860</stp>
        <tr r="C121" s="2"/>
      </tp>
      <tp t="s">
        <v>#N/A N/A</v>
        <stp/>
        <stp>BDP|9554427735272661841</stp>
        <tr r="H275" s="2"/>
      </tp>
      <tp t="s">
        <v>#N/A N/A</v>
        <stp/>
        <stp>BDP|4655430625020352637</stp>
        <tr r="I90" s="2"/>
      </tp>
      <tp t="s">
        <v>#N/A N/A</v>
        <stp/>
        <stp>BDP|4964048861084407289</stp>
        <tr r="P502" s="2"/>
      </tp>
      <tp t="s">
        <v>#N/A N/A</v>
        <stp/>
        <stp>BDP|2230704200569598862</stp>
        <tr r="M27" s="2"/>
      </tp>
      <tp t="s">
        <v>#N/A N/A</v>
        <stp/>
        <stp>BDP|7900765456180956119</stp>
        <tr r="I282" s="2"/>
      </tp>
      <tp t="s">
        <v>#N/A N/A</v>
        <stp/>
        <stp>BDP|5502951534332197940</stp>
        <tr r="H501" s="2"/>
      </tp>
      <tp t="s">
        <v>#N/A N/A</v>
        <stp/>
        <stp>BDP|1689436299601852956</stp>
        <tr r="O442" s="2"/>
      </tp>
      <tp t="s">
        <v>#N/A N/A</v>
        <stp/>
        <stp>BDP|2946623760174387294</stp>
        <tr r="J247" s="2"/>
      </tp>
      <tp t="s">
        <v>#N/A N/A</v>
        <stp/>
        <stp>BDP|6983036926238871851</stp>
        <tr r="F440" s="2"/>
      </tp>
      <tp t="s">
        <v>#N/A N/A</v>
        <stp/>
        <stp>BDP|6125375137962607063</stp>
        <tr r="O107" s="2"/>
      </tp>
      <tp t="s">
        <v>#N/A N/A</v>
        <stp/>
        <stp>BDP|5272412687965172844</stp>
        <tr r="O219" s="2"/>
      </tp>
      <tp t="s">
        <v>#N/A N/A</v>
        <stp/>
        <stp>BDP|7931383255556162342</stp>
        <tr r="H485" s="2"/>
      </tp>
      <tp t="s">
        <v>#N/A N/A</v>
        <stp/>
        <stp>BDP|9699915972510492301</stp>
        <tr r="F289" s="2"/>
      </tp>
      <tp t="s">
        <v>#N/A N/A</v>
        <stp/>
        <stp>BDP|1605444677436707032</stp>
        <tr r="F242" s="2"/>
      </tp>
      <tp t="s">
        <v>#N/A N/A</v>
        <stp/>
        <stp>BDP|3030911645483457911</stp>
        <tr r="C423" s="2"/>
      </tp>
      <tp t="s">
        <v>#N/A N/A</v>
        <stp/>
        <stp>BDP|2436220703655252165</stp>
        <tr r="G289" s="2"/>
      </tp>
      <tp t="s">
        <v>#N/A N/A</v>
        <stp/>
        <stp>BDP|5891829248544479977</stp>
        <tr r="G160" s="2"/>
      </tp>
      <tp t="s">
        <v>#N/A N/A</v>
        <stp/>
        <stp>BDP|8349175394441476557</stp>
        <tr r="L289" s="2"/>
      </tp>
      <tp t="s">
        <v>#N/A N/A</v>
        <stp/>
        <stp>BDP|2401209637313082426</stp>
        <tr r="P278" s="2"/>
      </tp>
      <tp t="s">
        <v>#N/A N/A</v>
        <stp/>
        <stp>BDP|9861117699755887098</stp>
        <tr r="G258" s="2"/>
      </tp>
      <tp t="s">
        <v>#N/A N/A</v>
        <stp/>
        <stp>BDP|4983209583953868946</stp>
        <tr r="C426" s="2"/>
      </tp>
      <tp t="s">
        <v>#N/A N/A</v>
        <stp/>
        <stp>BDP|9885851041121239080</stp>
        <tr r="E485" s="2"/>
      </tp>
      <tp t="s">
        <v>#N/A N/A</v>
        <stp/>
        <stp>BDP|8325060172609789266</stp>
        <tr r="F333" s="2"/>
      </tp>
      <tp t="s">
        <v>#N/A N/A</v>
        <stp/>
        <stp>BDP|1549609159616890028</stp>
        <tr r="O233" s="2"/>
      </tp>
      <tp t="s">
        <v>#N/A N/A</v>
        <stp/>
        <stp>BDP|8975469395342925352</stp>
        <tr r="H113" s="2"/>
      </tp>
      <tp t="s">
        <v>#N/A N/A</v>
        <stp/>
        <stp>BDP|8062530322493781806</stp>
        <tr r="F38" s="2"/>
      </tp>
      <tp t="s">
        <v>#N/A N/A</v>
        <stp/>
        <stp>BDP|2489403524860796015</stp>
        <tr r="Q248" s="2"/>
      </tp>
      <tp t="s">
        <v>#N/A N/A</v>
        <stp/>
        <stp>BDP|5802312099863138876</stp>
        <tr r="F271" s="2"/>
      </tp>
      <tp t="s">
        <v>#N/A N/A</v>
        <stp/>
        <stp>BDP|5293164407969335967</stp>
        <tr r="D334" s="2"/>
      </tp>
      <tp t="s">
        <v>#N/A N/A</v>
        <stp/>
        <stp>BDP|6884749318024263007</stp>
        <tr r="M357" s="2"/>
      </tp>
      <tp t="s">
        <v>#N/A N/A</v>
        <stp/>
        <stp>BDP|2451885799565520267</stp>
        <tr r="F463" s="2"/>
      </tp>
      <tp t="s">
        <v>#N/A N/A</v>
        <stp/>
        <stp>BDP|9495062827908773747</stp>
        <tr r="M154" s="2"/>
      </tp>
      <tp t="s">
        <v>#N/A N/A</v>
        <stp/>
        <stp>BDP|6211592479195216561</stp>
        <tr r="O376" s="2"/>
      </tp>
      <tp t="s">
        <v>#N/A N/A</v>
        <stp/>
        <stp>BDP|3634572340772660417</stp>
        <tr r="N77" s="2"/>
      </tp>
      <tp t="s">
        <v>#N/A N/A</v>
        <stp/>
        <stp>BDP|1292267701127507069</stp>
        <tr r="F360" s="2"/>
      </tp>
      <tp t="s">
        <v>#N/A N/A</v>
        <stp/>
        <stp>BDP|8949029004845177984</stp>
        <tr r="C234" s="2"/>
      </tp>
      <tp t="s">
        <v>#N/A N/A</v>
        <stp/>
        <stp>BDP|8512610014089419239</stp>
        <tr r="C158" s="2"/>
      </tp>
      <tp t="s">
        <v>#N/A N/A</v>
        <stp/>
        <stp>BDP|3517350274586098535</stp>
        <tr r="N253" s="2"/>
      </tp>
      <tp t="s">
        <v>#N/A N/A</v>
        <stp/>
        <stp>BDP|3837684441961006465</stp>
        <tr r="H441" s="2"/>
      </tp>
      <tp t="s">
        <v>#N/A N/A</v>
        <stp/>
        <stp>BDP|2089548130910124020</stp>
        <tr r="D281" s="2"/>
      </tp>
      <tp t="s">
        <v>#N/A N/A</v>
        <stp/>
        <stp>BDP|2742723400643799253</stp>
        <tr r="D360" s="2"/>
      </tp>
      <tp t="s">
        <v>#N/A N/A</v>
        <stp/>
        <stp>BDP|8543516580214293513</stp>
        <tr r="J3" s="2"/>
      </tp>
      <tp t="s">
        <v>#N/A N/A</v>
        <stp/>
        <stp>BDP|2043131705062780560</stp>
        <tr r="E326" s="2"/>
      </tp>
      <tp t="s">
        <v>#N/A N/A</v>
        <stp/>
        <stp>BDP|3558573963237792311</stp>
        <tr r="O454" s="2"/>
      </tp>
      <tp t="s">
        <v>#N/A N/A</v>
        <stp/>
        <stp>BDP|4748431240825063534</stp>
        <tr r="N390" s="2"/>
      </tp>
      <tp t="s">
        <v>#N/A N/A</v>
        <stp/>
        <stp>BDP|7640472477831991186</stp>
        <tr r="K17" s="2"/>
      </tp>
      <tp t="s">
        <v>#N/A N/A</v>
        <stp/>
        <stp>BDP|3342276252098713863</stp>
        <tr r="K431" s="2"/>
      </tp>
      <tp t="s">
        <v>#N/A N/A</v>
        <stp/>
        <stp>BDP|3729554101452192058</stp>
        <tr r="J347" s="2"/>
      </tp>
      <tp t="s">
        <v>#N/A N/A</v>
        <stp/>
        <stp>BDP|8835179116998902471</stp>
        <tr r="I267" s="2"/>
      </tp>
      <tp t="s">
        <v>#N/A N/A</v>
        <stp/>
        <stp>BDP|9246904014594256132</stp>
        <tr r="J441" s="2"/>
      </tp>
      <tp t="s">
        <v>#N/A N/A</v>
        <stp/>
        <stp>BDP|3053687241103900674</stp>
        <tr r="L135" s="2"/>
      </tp>
      <tp t="s">
        <v>#N/A N/A</v>
        <stp/>
        <stp>BDP|6334005343651120765</stp>
        <tr r="P35" s="2"/>
      </tp>
      <tp t="s">
        <v>#N/A N/A</v>
        <stp/>
        <stp>BDP|5319935092933715214</stp>
        <tr r="G386" s="2"/>
      </tp>
      <tp t="s">
        <v>#N/A N/A</v>
        <stp/>
        <stp>BDP|2041323422420512718</stp>
        <tr r="M404" s="2"/>
      </tp>
      <tp t="s">
        <v>#N/A N/A</v>
        <stp/>
        <stp>BDP|9124219239628448493</stp>
        <tr r="O295" s="2"/>
      </tp>
      <tp t="s">
        <v>#N/A N/A</v>
        <stp/>
        <stp>BDP|2680475443203252546</stp>
        <tr r="J12" s="2"/>
      </tp>
      <tp t="s">
        <v>#N/A N/A</v>
        <stp/>
        <stp>BDP|3283816345239123232</stp>
        <tr r="I357" s="2"/>
      </tp>
      <tp t="s">
        <v>#N/A N/A</v>
        <stp/>
        <stp>BDP|1794027142137149624</stp>
        <tr r="G280" s="2"/>
      </tp>
      <tp t="s">
        <v>#N/A N/A</v>
        <stp/>
        <stp>BDP|3236005324961627443</stp>
        <tr r="C367" s="2"/>
      </tp>
      <tp t="s">
        <v>#N/A N/A</v>
        <stp/>
        <stp>BDP|2573415314451718236</stp>
        <tr r="M395" s="2"/>
      </tp>
      <tp t="s">
        <v>#N/A N/A</v>
        <stp/>
        <stp>BDP|3581902176878105162</stp>
        <tr r="J424" s="2"/>
      </tp>
      <tp t="s">
        <v>#N/A N/A</v>
        <stp/>
        <stp>BDP|9867733155968992735</stp>
        <tr r="K502" s="2"/>
      </tp>
      <tp t="s">
        <v>#N/A N/A</v>
        <stp/>
        <stp>BDP|6483056250543180441</stp>
        <tr r="G276" s="2"/>
      </tp>
      <tp t="s">
        <v>#N/A N/A</v>
        <stp/>
        <stp>BDP|4102615753364737700</stp>
        <tr r="F186" s="2"/>
      </tp>
      <tp t="s">
        <v>#N/A N/A</v>
        <stp/>
        <stp>BDP|6628508234181742518</stp>
        <tr r="D152" s="2"/>
      </tp>
      <tp t="s">
        <v>#N/A N/A</v>
        <stp/>
        <stp>BDP|1215364578922030389</stp>
        <tr r="Q102" s="2"/>
      </tp>
      <tp t="s">
        <v>#N/A N/A</v>
        <stp/>
        <stp>BDP|5931386948592896442</stp>
        <tr r="R308" s="2"/>
      </tp>
      <tp t="s">
        <v>#N/A N/A</v>
        <stp/>
        <stp>BDP|5625519543441908184</stp>
        <tr r="H413" s="2"/>
      </tp>
      <tp t="s">
        <v>#N/A N/A</v>
        <stp/>
        <stp>BDP|3781239474183387164</stp>
        <tr r="D320" s="2"/>
      </tp>
      <tp t="s">
        <v>#N/A N/A</v>
        <stp/>
        <stp>BDP|9304376383396785051</stp>
        <tr r="O35" s="2"/>
      </tp>
      <tp t="s">
        <v>#N/A N/A</v>
        <stp/>
        <stp>BDP|9585262691600365645</stp>
        <tr r="L74" s="2"/>
      </tp>
      <tp t="s">
        <v>#N/A N/A</v>
        <stp/>
        <stp>BDP|4954748329086125300</stp>
        <tr r="L290" s="2"/>
      </tp>
      <tp t="s">
        <v>#N/A N/A</v>
        <stp/>
        <stp>BDP|8754821478467183499</stp>
        <tr r="H142" s="2"/>
      </tp>
      <tp t="s">
        <v>#N/A N/A</v>
        <stp/>
        <stp>BDP|7035511501431130745</stp>
        <tr r="J119" s="2"/>
      </tp>
      <tp t="s">
        <v>#N/A N/A</v>
        <stp/>
        <stp>BDP|1764302273665902481</stp>
        <tr r="Q504" s="2"/>
      </tp>
      <tp t="s">
        <v>#N/A N/A</v>
        <stp/>
        <stp>BDP|5160223251515145361</stp>
        <tr r="N265" s="2"/>
      </tp>
      <tp t="s">
        <v>#N/A N/A</v>
        <stp/>
        <stp>BDP|8256646276629095459</stp>
        <tr r="F262" s="2"/>
      </tp>
      <tp t="s">
        <v>#N/A N/A</v>
        <stp/>
        <stp>BDP|6616804320458376002</stp>
        <tr r="R69" s="2"/>
      </tp>
      <tp t="s">
        <v>#N/A N/A</v>
        <stp/>
        <stp>BDP|6560009934650253168</stp>
        <tr r="I430" s="2"/>
      </tp>
      <tp t="s">
        <v>#N/A N/A</v>
        <stp/>
        <stp>BDP|6622022190102639976</stp>
        <tr r="Q454" s="2"/>
      </tp>
      <tp t="s">
        <v>#N/A N/A</v>
        <stp/>
        <stp>BDP|2556149659115525789</stp>
        <tr r="F428" s="2"/>
      </tp>
      <tp t="s">
        <v>#N/A N/A</v>
        <stp/>
        <stp>BDP|3576539372884683178</stp>
        <tr r="O291" s="2"/>
      </tp>
      <tp t="s">
        <v>#N/A N/A</v>
        <stp/>
        <stp>BDP|3454597326164868463</stp>
        <tr r="E68" s="2"/>
      </tp>
      <tp>
        <v>0.10339999943971634</v>
        <stp/>
        <stp>BDP|10963047356009810627|22</stp>
        <stp>ROL UN Equity</stp>
        <stp>RT_PX_CHG_PCT_1D</stp>
        <tr r="B189" s="2"/>
      </tp>
      <tp>
        <v>0.17059999704360962</v>
        <stp/>
        <stp>BDP|17412406166564617664|22</stp>
        <stp>ARE UN Equity</stp>
        <stp>RT_PX_CHG_PCT_1D</stp>
        <tr r="B467" s="2"/>
      </tp>
      <tp>
        <v>0.22949999570846558</v>
        <stp/>
        <stp>BDP|18390293584319272529|22</stp>
        <stp>MCK UN Equity</stp>
        <stp>RT_PX_CHG_PCT_1D</stp>
        <tr r="B314" s="2"/>
      </tp>
      <tp>
        <v>0</v>
        <stp/>
        <stp>BDP|13282104784085326489|22</stp>
        <stp>AES UN Equity</stp>
        <stp>RT_PX_CHG_PCT_1D</stp>
        <tr r="B240" s="2"/>
      </tp>
      <tp>
        <v>-0.34749999642372131</v>
        <stp/>
        <stp>BDP|14071707432527731091|22</stp>
        <stp>KHC UW Equity</stp>
        <stp>RT_PX_CHG_PCT_1D</stp>
        <tr r="B338" s="2"/>
      </tp>
      <tp>
        <v>-1.1720999479293823</v>
        <stp/>
        <stp>BDP|13658043911617718486|22</stp>
        <stp>DLR UN Equity</stp>
        <stp>RT_PX_CHG_PCT_1D</stp>
        <tr r="B502" s="2"/>
      </tp>
      <tp>
        <v>-1.4357000589370728</v>
        <stp/>
        <stp>BDP|11444627764639749696|22</stp>
        <stp>EXE UW Equity</stp>
        <stp>RT_PX_CHG_PCT_1D</stp>
        <tr r="B125" s="2"/>
      </tp>
      <tp>
        <v>0.97509998083114624</v>
        <stp/>
        <stp>BDP|17584435061929822360|22</stp>
        <stp>RL UN Equity</stp>
        <stp>RT_PX_CHG_PCT_1D</stp>
        <tr r="B343" s="2"/>
      </tp>
      <tp t="s">
        <v>#N/A N/A</v>
        <stp/>
        <stp>BDP|6696142398743863883</stp>
        <tr r="C41" s="2"/>
      </tp>
      <tp t="s">
        <v>#N/A N/A</v>
        <stp/>
        <stp>BDP|9516879197708879571</stp>
        <tr r="D19" s="2"/>
      </tp>
      <tp t="s">
        <v>#N/A N/A</v>
        <stp/>
        <stp>BDP|3128898223405633975</stp>
        <tr r="O23" s="2"/>
      </tp>
      <tp t="s">
        <v>#N/A N/A</v>
        <stp/>
        <stp>BDP|1839159157003997399</stp>
        <tr r="J136" s="2"/>
      </tp>
      <tp t="s">
        <v>#N/A N/A</v>
        <stp/>
        <stp>BDP|4838044447893683679</stp>
        <tr r="K353" s="2"/>
      </tp>
      <tp t="s">
        <v>#N/A N/A</v>
        <stp/>
        <stp>BDP|9566066138938073710</stp>
        <tr r="Q324" s="2"/>
      </tp>
      <tp t="s">
        <v>#N/A N/A</v>
        <stp/>
        <stp>BDP|8520335486982984438</stp>
        <tr r="C82" s="2"/>
      </tp>
      <tp t="s">
        <v>#N/A N/A</v>
        <stp/>
        <stp>BDP|6295944985915859710</stp>
        <tr r="D402" s="2"/>
      </tp>
      <tp t="s">
        <v>#N/A N/A</v>
        <stp/>
        <stp>BDP|9036474713400709993</stp>
        <tr r="K129" s="2"/>
      </tp>
      <tp t="s">
        <v>#N/A N/A</v>
        <stp/>
        <stp>BDP|1847590301158247982</stp>
        <tr r="G34" s="2"/>
      </tp>
      <tp t="s">
        <v>#N/A N/A</v>
        <stp/>
        <stp>BDP|4113585529172382498</stp>
        <tr r="G155" s="2"/>
      </tp>
      <tp t="s">
        <v>#N/A N/A</v>
        <stp/>
        <stp>BDP|6615452498238718665</stp>
        <tr r="H193" s="2"/>
      </tp>
      <tp t="s">
        <v>#N/A N/A</v>
        <stp/>
        <stp>BDP|5242107401334851511</stp>
        <tr r="F437" s="2"/>
      </tp>
      <tp t="s">
        <v>#N/A N/A</v>
        <stp/>
        <stp>BDP|4344318374146896340</stp>
        <tr r="G161" s="2"/>
      </tp>
      <tp t="s">
        <v>#N/A N/A</v>
        <stp/>
        <stp>BDP|8917824314154273077</stp>
        <tr r="C159" s="2"/>
      </tp>
      <tp t="s">
        <v>#N/A N/A</v>
        <stp/>
        <stp>BDP|3886589571307858333</stp>
        <tr r="R390" s="2"/>
      </tp>
      <tp t="s">
        <v>#N/A N/A</v>
        <stp/>
        <stp>BDP|2191487394653261958</stp>
        <tr r="M139" s="2"/>
      </tp>
      <tp t="s">
        <v>#N/A N/A</v>
        <stp/>
        <stp>BDP|6768139634715338483</stp>
        <tr r="G332" s="2"/>
      </tp>
      <tp t="s">
        <v>#N/A N/A</v>
        <stp/>
        <stp>BDP|5589080527837217539</stp>
        <tr r="K216" s="2"/>
      </tp>
      <tp t="s">
        <v>#N/A N/A</v>
        <stp/>
        <stp>BDP|3085385841743012220</stp>
        <tr r="M411" s="2"/>
      </tp>
      <tp t="s">
        <v>#N/A N/A</v>
        <stp/>
        <stp>BDP|3586056942435119787</stp>
        <tr r="K285" s="2"/>
      </tp>
      <tp t="s">
        <v>#N/A N/A</v>
        <stp/>
        <stp>BDP|2217145028017299371</stp>
        <tr r="F78" s="2"/>
      </tp>
      <tp t="s">
        <v>#N/A N/A</v>
        <stp/>
        <stp>BDP|7874310045865525022</stp>
        <tr r="D52" s="2"/>
      </tp>
      <tp t="s">
        <v>#N/A N/A</v>
        <stp/>
        <stp>BDP|2491704738595603617</stp>
        <tr r="K111" s="2"/>
      </tp>
      <tp t="s">
        <v>#N/A N/A</v>
        <stp/>
        <stp>BDP|8995850875436252407</stp>
        <tr r="L402" s="2"/>
      </tp>
      <tp t="s">
        <v>#N/A N/A</v>
        <stp/>
        <stp>BDP|6896209420391494275</stp>
        <tr r="Q234" s="2"/>
      </tp>
      <tp t="s">
        <v>#N/A N/A</v>
        <stp/>
        <stp>BDP|3941042655087086430</stp>
        <tr r="K132" s="2"/>
      </tp>
      <tp t="s">
        <v>#N/A N/A</v>
        <stp/>
        <stp>BDP|2903247423982759528</stp>
        <tr r="F338" s="2"/>
      </tp>
      <tp t="s">
        <v>#N/A N/A</v>
        <stp/>
        <stp>BDP|6381782721560153608</stp>
        <tr r="P402" s="2"/>
      </tp>
      <tp t="s">
        <v>#N/A N/A</v>
        <stp/>
        <stp>BDP|9916308083057389023</stp>
        <tr r="G197" s="2"/>
      </tp>
      <tp t="s">
        <v>#N/A N/A</v>
        <stp/>
        <stp>BDP|5727354079201050504</stp>
        <tr r="E301" s="2"/>
      </tp>
      <tp t="s">
        <v>#N/A N/A</v>
        <stp/>
        <stp>BDP|3430872726335622984</stp>
        <tr r="H62" s="2"/>
      </tp>
      <tp t="s">
        <v>#N/A N/A</v>
        <stp/>
        <stp>BDP|3431091838697607280</stp>
        <tr r="H211" s="2"/>
      </tp>
      <tp t="s">
        <v>#N/A N/A</v>
        <stp/>
        <stp>BDP|6459506939454071166</stp>
        <tr r="Q449" s="2"/>
      </tp>
      <tp t="s">
        <v>#N/A N/A</v>
        <stp/>
        <stp>BDP|4438207969732142771</stp>
        <tr r="E443" s="2"/>
      </tp>
      <tp t="s">
        <v>#N/A N/A</v>
        <stp/>
        <stp>BDP|4532258629256281707</stp>
        <tr r="P182" s="2"/>
      </tp>
      <tp t="s">
        <v>#N/A N/A</v>
        <stp/>
        <stp>BDP|4413384802153590134</stp>
        <tr r="O481" s="2"/>
      </tp>
      <tp t="s">
        <v>#N/A N/A</v>
        <stp/>
        <stp>BDP|6669687942177534618</stp>
        <tr r="Q271" s="2"/>
      </tp>
      <tp t="s">
        <v>#N/A N/A</v>
        <stp/>
        <stp>BDP|3327502789392219908</stp>
        <tr r="R94" s="2"/>
      </tp>
      <tp t="s">
        <v>#N/A N/A</v>
        <stp/>
        <stp>BDP|5773626038170390568</stp>
        <tr r="H351" s="2"/>
      </tp>
      <tp t="s">
        <v>#N/A N/A</v>
        <stp/>
        <stp>BDP|8959784425391434984</stp>
        <tr r="P121" s="2"/>
      </tp>
      <tp t="s">
        <v>#N/A N/A</v>
        <stp/>
        <stp>BDP|6099724604284926078</stp>
        <tr r="O84" s="2"/>
      </tp>
      <tp t="s">
        <v>#N/A N/A</v>
        <stp/>
        <stp>BDP|4450634121661648486</stp>
        <tr r="R223" s="2"/>
      </tp>
      <tp t="s">
        <v>#N/A N/A</v>
        <stp/>
        <stp>BDP|5617276032393336283</stp>
        <tr r="J118" s="2"/>
      </tp>
      <tp t="s">
        <v>#N/A N/A</v>
        <stp/>
        <stp>BDP|3408137939635116176</stp>
        <tr r="I77" s="2"/>
      </tp>
      <tp t="s">
        <v>#N/A N/A</v>
        <stp/>
        <stp>BDP|7805005137299589829</stp>
        <tr r="C405" s="2"/>
      </tp>
      <tp t="s">
        <v>#N/A N/A</v>
        <stp/>
        <stp>BDP|3567383742777775603</stp>
        <tr r="M422" s="2"/>
      </tp>
      <tp t="s">
        <v>#N/A N/A</v>
        <stp/>
        <stp>BDP|1392851836956884910</stp>
        <tr r="Q428" s="2"/>
      </tp>
      <tp t="s">
        <v>#N/A N/A</v>
        <stp/>
        <stp>BDP|1878740682848776303</stp>
        <tr r="D214" s="2"/>
      </tp>
      <tp t="s">
        <v>#N/A N/A</v>
        <stp/>
        <stp>BDP|7848464752605043659</stp>
        <tr r="O386" s="2"/>
      </tp>
      <tp t="s">
        <v>#N/A N/A</v>
        <stp/>
        <stp>BDP|7778541199656598864</stp>
        <tr r="C298" s="2"/>
      </tp>
      <tp t="s">
        <v>#N/A N/A</v>
        <stp/>
        <stp>BDP|4122766829575148168</stp>
        <tr r="M194" s="2"/>
      </tp>
      <tp t="s">
        <v>#N/A N/A</v>
        <stp/>
        <stp>BDP|3811807783995036321</stp>
        <tr r="M166" s="2"/>
      </tp>
      <tp t="s">
        <v>#N/A N/A</v>
        <stp/>
        <stp>BDP|1817371678317956779</stp>
        <tr r="F67" s="2"/>
      </tp>
      <tp t="s">
        <v>#N/A N/A</v>
        <stp/>
        <stp>BDP|7352286256331799436</stp>
        <tr r="G62" s="2"/>
      </tp>
      <tp t="s">
        <v>#N/A N/A</v>
        <stp/>
        <stp>BDP|8830644984686746564</stp>
        <tr r="H88" s="2"/>
      </tp>
      <tp t="s">
        <v>#N/A N/A</v>
        <stp/>
        <stp>BDP|2576982502239045760</stp>
        <tr r="C207" s="2"/>
      </tp>
      <tp t="s">
        <v>#N/A N/A</v>
        <stp/>
        <stp>BDP|1591298334251009410</stp>
        <tr r="P99" s="2"/>
      </tp>
      <tp t="s">
        <v>#N/A N/A</v>
        <stp/>
        <stp>BDP|1622827091442447787</stp>
        <tr r="P183" s="2"/>
      </tp>
      <tp t="s">
        <v>#N/A N/A</v>
        <stp/>
        <stp>BDP|3018776614713237381</stp>
        <tr r="Q320" s="2"/>
      </tp>
      <tp t="s">
        <v>#N/A N/A</v>
        <stp/>
        <stp>BDP|7928006977526574321</stp>
        <tr r="N204" s="2"/>
      </tp>
      <tp t="s">
        <v>#N/A N/A</v>
        <stp/>
        <stp>BDP|7651489330001536456</stp>
        <tr r="E2" s="2"/>
      </tp>
      <tp t="s">
        <v>#N/A N/A</v>
        <stp/>
        <stp>BDP|9059087136496976998</stp>
        <tr r="N148" s="2"/>
      </tp>
      <tp t="s">
        <v>#N/A N/A</v>
        <stp/>
        <stp>BDP|2401384407803644731</stp>
        <tr r="C95" s="2"/>
      </tp>
      <tp t="s">
        <v>#N/A N/A</v>
        <stp/>
        <stp>BDP|8548989657326419707</stp>
        <tr r="I365" s="2"/>
      </tp>
      <tp t="s">
        <v>#N/A N/A</v>
        <stp/>
        <stp>BDP|7742046322920991069</stp>
        <tr r="H38" s="2"/>
      </tp>
      <tp t="s">
        <v>#N/A N/A</v>
        <stp/>
        <stp>BDP|7619373583819958055</stp>
        <tr r="D155" s="2"/>
      </tp>
      <tp t="s">
        <v>#N/A N/A</v>
        <stp/>
        <stp>BDP|1834761917655198767</stp>
        <tr r="L333" s="2"/>
      </tp>
      <tp t="s">
        <v>#N/A N/A</v>
        <stp/>
        <stp>BDP|7949019267180265437</stp>
        <tr r="M396" s="2"/>
      </tp>
      <tp t="s">
        <v>#N/A N/A</v>
        <stp/>
        <stp>BDP|7871046173934047110</stp>
        <tr r="Q130" s="2"/>
      </tp>
      <tp t="s">
        <v>#N/A N/A</v>
        <stp/>
        <stp>BDP|9691436705388690089</stp>
        <tr r="F295" s="2"/>
      </tp>
      <tp t="s">
        <v>#N/A N/A</v>
        <stp/>
        <stp>BDP|6580385122217131503</stp>
        <tr r="K98" s="2"/>
      </tp>
      <tp t="s">
        <v>#N/A N/A</v>
        <stp/>
        <stp>BDP|1352653929127093711</stp>
        <tr r="H75" s="2"/>
      </tp>
      <tp t="s">
        <v>#N/A N/A</v>
        <stp/>
        <stp>BDP|4229274029982532372</stp>
        <tr r="M191" s="2"/>
      </tp>
      <tp t="s">
        <v>#N/A N/A</v>
        <stp/>
        <stp>BDP|2791892125695524801</stp>
        <tr r="C146" s="2"/>
      </tp>
      <tp t="s">
        <v>#N/A N/A</v>
        <stp/>
        <stp>BDP|7713680349205854506</stp>
        <tr r="R235" s="2"/>
      </tp>
      <tp t="s">
        <v>#N/A N/A</v>
        <stp/>
        <stp>BDP|3183621402231869179</stp>
        <tr r="L332" s="2"/>
      </tp>
      <tp t="s">
        <v>#N/A N/A</v>
        <stp/>
        <stp>BDP|2843266819225026196</stp>
        <tr r="D294" s="2"/>
      </tp>
      <tp t="s">
        <v>#N/A N/A</v>
        <stp/>
        <stp>BDP|1604392505052406505</stp>
        <tr r="L72" s="2"/>
      </tp>
      <tp t="s">
        <v>#N/A N/A</v>
        <stp/>
        <stp>BDP|9693173069642603915</stp>
        <tr r="O25" s="2"/>
      </tp>
      <tp t="s">
        <v>#N/A N/A</v>
        <stp/>
        <stp>BDP|4933823091543282374</stp>
        <tr r="P409" s="2"/>
      </tp>
      <tp t="s">
        <v>#N/A N/A</v>
        <stp/>
        <stp>BDP|4992421864256268525</stp>
        <tr r="Q283" s="2"/>
      </tp>
      <tp t="s">
        <v>#N/A N/A</v>
        <stp/>
        <stp>BDP|9002903889298086561</stp>
        <tr r="H53" s="2"/>
      </tp>
      <tp t="s">
        <v>#N/A N/A</v>
        <stp/>
        <stp>BDP|9594484303649808190</stp>
        <tr r="I400" s="2"/>
      </tp>
      <tp t="s">
        <v>#N/A N/A</v>
        <stp/>
        <stp>BDP|5317971337613490983</stp>
        <tr r="G73" s="2"/>
      </tp>
      <tp t="s">
        <v>#N/A N/A</v>
        <stp/>
        <stp>BDP|6090384206277529742</stp>
        <tr r="O437" s="2"/>
      </tp>
      <tp t="s">
        <v>#N/A N/A</v>
        <stp/>
        <stp>BDP|4847696526593090680</stp>
        <tr r="L502" s="2"/>
      </tp>
      <tp t="s">
        <v>#N/A N/A</v>
        <stp/>
        <stp>BDP|1355457808781378123</stp>
        <tr r="G267" s="2"/>
      </tp>
      <tp t="s">
        <v>#N/A N/A</v>
        <stp/>
        <stp>BDP|3358136228027650217</stp>
        <tr r="E203" s="2"/>
      </tp>
      <tp t="s">
        <v>#N/A N/A</v>
        <stp/>
        <stp>BDP|2939606577524384229</stp>
        <tr r="K493" s="2"/>
      </tp>
      <tp t="s">
        <v>#N/A N/A</v>
        <stp/>
        <stp>BDP|2590452464607880230</stp>
        <tr r="F332" s="2"/>
      </tp>
      <tp t="s">
        <v>#N/A N/A</v>
        <stp/>
        <stp>BDP|5700763126754059184</stp>
        <tr r="I41" s="2"/>
      </tp>
      <tp t="s">
        <v>#N/A N/A</v>
        <stp/>
        <stp>BDP|1929051777887799435</stp>
        <tr r="J57" s="2"/>
      </tp>
      <tp t="s">
        <v>#N/A N/A</v>
        <stp/>
        <stp>BDP|5871884832143916845</stp>
        <tr r="P373" s="2"/>
      </tp>
      <tp t="s">
        <v>#N/A N/A</v>
        <stp/>
        <stp>BDP|2447701337693812078</stp>
        <tr r="P421" s="2"/>
      </tp>
      <tp t="s">
        <v>#N/A N/A</v>
        <stp/>
        <stp>BDP|6039519258510349367</stp>
        <tr r="F248" s="2"/>
      </tp>
      <tp t="s">
        <v>#N/A N/A</v>
        <stp/>
        <stp>BDP|9692773985302119197</stp>
        <tr r="E182" s="2"/>
      </tp>
      <tp t="s">
        <v>#N/A N/A</v>
        <stp/>
        <stp>BDP|3987235156217782679</stp>
        <tr r="C152" s="2"/>
      </tp>
      <tp t="s">
        <v>#N/A N/A</v>
        <stp/>
        <stp>BDP|9806792945277969818</stp>
        <tr r="N466" s="2"/>
      </tp>
      <tp t="s">
        <v>#N/A N/A</v>
        <stp/>
        <stp>BDP|9443512739759987398</stp>
        <tr r="F100" s="2"/>
      </tp>
      <tp t="s">
        <v>#N/A N/A</v>
        <stp/>
        <stp>BDP|8780588913189597058</stp>
        <tr r="G491" s="2"/>
      </tp>
      <tp t="s">
        <v>#N/A N/A</v>
        <stp/>
        <stp>BDP|5151065985479901174</stp>
        <tr r="O419" s="2"/>
      </tp>
      <tp t="s">
        <v>#N/A N/A</v>
        <stp/>
        <stp>BDP|2380438948396092149</stp>
        <tr r="O281" s="2"/>
      </tp>
      <tp t="s">
        <v>#N/A N/A</v>
        <stp/>
        <stp>BDP|7425889141919640774</stp>
        <tr r="D228" s="2"/>
      </tp>
      <tp t="s">
        <v>#N/A N/A</v>
        <stp/>
        <stp>BDP|9972508182237591626</stp>
        <tr r="N464" s="2"/>
      </tp>
      <tp t="s">
        <v>#N/A N/A</v>
        <stp/>
        <stp>BDP|2762975583065638392</stp>
        <tr r="M263" s="2"/>
      </tp>
      <tp t="s">
        <v>#N/A N/A</v>
        <stp/>
        <stp>BDP|5941563847278104957</stp>
        <tr r="L43" s="2"/>
      </tp>
      <tp t="s">
        <v>#N/A N/A</v>
        <stp/>
        <stp>BDP|2871047840042056107</stp>
        <tr r="L350" s="2"/>
      </tp>
      <tp t="s">
        <v>#N/A N/A</v>
        <stp/>
        <stp>BDP|1365217057954997706</stp>
        <tr r="C70" s="2"/>
      </tp>
      <tp t="s">
        <v>#N/A N/A</v>
        <stp/>
        <stp>BDP|4353183688391602992</stp>
        <tr r="D191" s="2"/>
      </tp>
      <tp t="s">
        <v>#N/A N/A</v>
        <stp/>
        <stp>BDP|7934656711181761464</stp>
        <tr r="C330" s="2"/>
      </tp>
      <tp t="s">
        <v>#N/A N/A</v>
        <stp/>
        <stp>BDP|6290707307923889707</stp>
        <tr r="O359" s="2"/>
      </tp>
      <tp t="s">
        <v>#N/A N/A</v>
        <stp/>
        <stp>BDP|7210482144590050238</stp>
        <tr r="I388" s="2"/>
      </tp>
      <tp t="s">
        <v>#N/A N/A</v>
        <stp/>
        <stp>BDP|5762727711481896711</stp>
        <tr r="J319" s="2"/>
      </tp>
      <tp t="s">
        <v>#N/A N/A</v>
        <stp/>
        <stp>BDP|4657176928846653422</stp>
        <tr r="I254" s="2"/>
      </tp>
      <tp t="s">
        <v>#N/A N/A</v>
        <stp/>
        <stp>BDP|2474790622841391319</stp>
        <tr r="O20" s="2"/>
      </tp>
      <tp t="s">
        <v>#N/A N/A</v>
        <stp/>
        <stp>BDP|4648177631464528784</stp>
        <tr r="Q6" s="2"/>
      </tp>
      <tp t="s">
        <v>#N/A N/A</v>
        <stp/>
        <stp>BDP|3627392456046484608</stp>
        <tr r="D322" s="2"/>
      </tp>
      <tp t="s">
        <v>#N/A N/A</v>
        <stp/>
        <stp>BDP|2698208411754244082</stp>
        <tr r="E97" s="2"/>
      </tp>
      <tp t="s">
        <v>#N/A N/A</v>
        <stp/>
        <stp>BDP|1064202534267949202</stp>
        <tr r="F81" s="2"/>
      </tp>
      <tp t="s">
        <v>#N/A N/A</v>
        <stp/>
        <stp>BDP|6106877186101573282</stp>
        <tr r="M421" s="2"/>
      </tp>
      <tp t="s">
        <v>#N/A N/A</v>
        <stp/>
        <stp>BDP|6031853605059555286</stp>
        <tr r="I261" s="2"/>
      </tp>
      <tp t="s">
        <v>#N/A N/A</v>
        <stp/>
        <stp>BDP|1872536510569752912</stp>
        <tr r="L419" s="2"/>
      </tp>
      <tp t="s">
        <v>#N/A N/A</v>
        <stp/>
        <stp>BDP|4080181256316316309</stp>
        <tr r="I346" s="2"/>
      </tp>
      <tp t="s">
        <v>#N/A N/A</v>
        <stp/>
        <stp>BDP|7078511369273397268</stp>
        <tr r="O134" s="2"/>
      </tp>
      <tp t="s">
        <v>#N/A N/A</v>
        <stp/>
        <stp>BDP|6797345929594796604</stp>
        <tr r="F371" s="2"/>
      </tp>
      <tp t="s">
        <v>#N/A N/A</v>
        <stp/>
        <stp>BDP|4839368800783207118</stp>
        <tr r="C81" s="2"/>
      </tp>
      <tp t="s">
        <v>#N/A N/A</v>
        <stp/>
        <stp>BDP|5231314705087317480</stp>
        <tr r="L114" s="2"/>
      </tp>
      <tp t="s">
        <v>#N/A N/A</v>
        <stp/>
        <stp>BDP|8079839923462186538</stp>
        <tr r="I246" s="2"/>
      </tp>
      <tp t="s">
        <v>#N/A N/A</v>
        <stp/>
        <stp>BDP|9928709660699944423</stp>
        <tr r="Q147" s="2"/>
      </tp>
      <tp t="s">
        <v>#N/A N/A</v>
        <stp/>
        <stp>BDP|1114213103930300626</stp>
        <tr r="H37" s="2"/>
      </tp>
      <tp t="s">
        <v>#N/A N/A</v>
        <stp/>
        <stp>BDP|5063612945813797118</stp>
        <tr r="I72" s="2"/>
      </tp>
      <tp t="s">
        <v>#N/A N/A</v>
        <stp/>
        <stp>BDP|6214867554569053728</stp>
        <tr r="E356" s="2"/>
      </tp>
      <tp t="s">
        <v>#N/A N/A</v>
        <stp/>
        <stp>BDP|1074361967853209210</stp>
        <tr r="M15" s="2"/>
      </tp>
      <tp t="s">
        <v>#N/A N/A</v>
        <stp/>
        <stp>BDP|3872708908436374712</stp>
        <tr r="E409" s="2"/>
      </tp>
      <tp t="s">
        <v>#N/A N/A</v>
        <stp/>
        <stp>BDP|2555039014195583354</stp>
        <tr r="K225" s="2"/>
      </tp>
      <tp t="s">
        <v>#N/A N/A</v>
        <stp/>
        <stp>BDP|2604120432100344575</stp>
        <tr r="E387" s="2"/>
      </tp>
      <tp t="s">
        <v>#N/A N/A</v>
        <stp/>
        <stp>BDP|1586378162613768250</stp>
        <tr r="G429" s="2"/>
      </tp>
      <tp t="s">
        <v>#N/A N/A</v>
        <stp/>
        <stp>BDP|1093967110399692524</stp>
        <tr r="I304" s="2"/>
      </tp>
      <tp t="s">
        <v>#N/A N/A</v>
        <stp/>
        <stp>BDP|9736847765410575214</stp>
        <tr r="R424" s="2"/>
      </tp>
      <tp t="s">
        <v>#N/A N/A</v>
        <stp/>
        <stp>BDP|4738704477428472961</stp>
        <tr r="N410" s="2"/>
      </tp>
      <tp t="s">
        <v>#N/A N/A</v>
        <stp/>
        <stp>BDP|9438430321382667821</stp>
        <tr r="D18" s="2"/>
      </tp>
      <tp>
        <v>0.17509999871253967</v>
        <stp/>
        <stp>BDP|5119439263819998510|22</stp>
        <stp>DLTR UW Equity</stp>
        <stp>RT_PX_CHG_PCT_1D</stp>
        <tr r="B321" s="2"/>
      </tp>
      <tp t="s">
        <v>#N/A N/A</v>
        <stp/>
        <stp>BDP|7269802129978073082</stp>
        <tr r="O7" s="2"/>
      </tp>
      <tp t="s">
        <v>#N/A N/A</v>
        <stp/>
        <stp>BDP|7686115964374956193</stp>
        <tr r="G76" s="2"/>
      </tp>
      <tp t="s">
        <v>#N/A N/A</v>
        <stp/>
        <stp>BDP|2381005352110140233</stp>
        <tr r="K471" s="2"/>
      </tp>
      <tp t="s">
        <v>#N/A N/A</v>
        <stp/>
        <stp>BDP|1537256222863419757</stp>
        <tr r="E311" s="2"/>
      </tp>
      <tp t="s">
        <v>#N/A N/A</v>
        <stp/>
        <stp>BDP|4480910687878221838</stp>
        <tr r="E307" s="2"/>
      </tp>
      <tp t="s">
        <v>#N/A N/A</v>
        <stp/>
        <stp>BDP|9713933304976174323</stp>
        <tr r="I370" s="2"/>
      </tp>
      <tp t="s">
        <v>#N/A N/A</v>
        <stp/>
        <stp>BDP|3011242200821350540</stp>
        <tr r="G327" s="2"/>
      </tp>
      <tp t="s">
        <v>#N/A N/A</v>
        <stp/>
        <stp>BDP|7021955931680263859</stp>
        <tr r="E154" s="2"/>
      </tp>
      <tp t="s">
        <v>#N/A N/A</v>
        <stp/>
        <stp>BDP|3789010904892476459</stp>
        <tr r="N313" s="2"/>
      </tp>
      <tp t="s">
        <v>#N/A N/A</v>
        <stp/>
        <stp>BDP|6767707062417122576</stp>
        <tr r="P261" s="2"/>
      </tp>
      <tp t="s">
        <v>#N/A N/A</v>
        <stp/>
        <stp>BDP|3269121267715488409</stp>
        <tr r="D287" s="2"/>
      </tp>
      <tp t="s">
        <v>#N/A N/A</v>
        <stp/>
        <stp>BDP|4273960703471161954</stp>
        <tr r="Q225" s="2"/>
      </tp>
      <tp t="s">
        <v>#N/A N/A</v>
        <stp/>
        <stp>BDP|2161350857251725077</stp>
        <tr r="G281" s="2"/>
      </tp>
      <tp t="s">
        <v>#N/A N/A</v>
        <stp/>
        <stp>BDP|8986861244201886003</stp>
        <tr r="O445" s="2"/>
      </tp>
      <tp t="s">
        <v>#N/A N/A</v>
        <stp/>
        <stp>BDP|4490179615111688039</stp>
        <tr r="Q353" s="2"/>
      </tp>
      <tp t="s">
        <v>#N/A N/A</v>
        <stp/>
        <stp>BDP|8490541346515097957</stp>
        <tr r="O6" s="2"/>
      </tp>
      <tp t="s">
        <v>#N/A N/A</v>
        <stp/>
        <stp>BDP|4933112874377860076</stp>
        <tr r="Q285" s="2"/>
      </tp>
      <tp t="s">
        <v>#N/A N/A</v>
        <stp/>
        <stp>BDP|5861614223193917700</stp>
        <tr r="O422" s="2"/>
      </tp>
      <tp t="s">
        <v>#N/A N/A</v>
        <stp/>
        <stp>BDP|8328592887325947573</stp>
        <tr r="C167" s="2"/>
      </tp>
      <tp t="s">
        <v>#N/A N/A</v>
        <stp/>
        <stp>BDP|1979372076656246690</stp>
        <tr r="D187" s="2"/>
      </tp>
      <tp t="s">
        <v>#N/A N/A</v>
        <stp/>
        <stp>BDP|9082833702583160700</stp>
        <tr r="E4" s="2"/>
      </tp>
      <tp t="s">
        <v>#N/A N/A</v>
        <stp/>
        <stp>BDP|5277248505991161328</stp>
        <tr r="F17" s="2"/>
      </tp>
      <tp t="s">
        <v>#N/A N/A</v>
        <stp/>
        <stp>BDP|9061819210712837791</stp>
        <tr r="D168" s="2"/>
      </tp>
      <tp t="s">
        <v>#N/A N/A</v>
        <stp/>
        <stp>BDP|5049291547776685080</stp>
        <tr r="L357" s="2"/>
      </tp>
      <tp t="s">
        <v>#N/A N/A</v>
        <stp/>
        <stp>BDP|6544408517315048326</stp>
        <tr r="K500" s="2"/>
      </tp>
      <tp t="s">
        <v>#N/A N/A</v>
        <stp/>
        <stp>BDP|9539451387828658813</stp>
        <tr r="Q379" s="2"/>
      </tp>
      <tp t="s">
        <v>#N/A N/A</v>
        <stp/>
        <stp>BDP|6288204813947586741</stp>
        <tr r="K384" s="2"/>
      </tp>
      <tp t="s">
        <v>#N/A N/A</v>
        <stp/>
        <stp>BDP|6109264202973671235</stp>
        <tr r="N221" s="2"/>
      </tp>
      <tp t="s">
        <v>#N/A N/A</v>
        <stp/>
        <stp>BDP|4742868629953061882</stp>
        <tr r="N484" s="2"/>
      </tp>
      <tp t="s">
        <v>#N/A N/A</v>
        <stp/>
        <stp>BDP|4965586857665205446</stp>
        <tr r="K209" s="2"/>
      </tp>
      <tp t="s">
        <v>#N/A N/A</v>
        <stp/>
        <stp>BDP|7662372812140470070</stp>
        <tr r="G406" s="2"/>
      </tp>
      <tp t="s">
        <v>#N/A N/A</v>
        <stp/>
        <stp>BDP|2619700603398378860</stp>
        <tr r="O482" s="2"/>
      </tp>
      <tp t="s">
        <v>#N/A N/A</v>
        <stp/>
        <stp>BDP|5359217605052155062</stp>
        <tr r="Q300" s="2"/>
      </tp>
      <tp t="s">
        <v>#N/A N/A</v>
        <stp/>
        <stp>BDP|7277750247093506252</stp>
        <tr r="J38" s="2"/>
      </tp>
      <tp t="s">
        <v>#N/A N/A</v>
        <stp/>
        <stp>BDP|4613882325462260995</stp>
        <tr r="N307" s="2"/>
      </tp>
      <tp t="s">
        <v>#N/A N/A</v>
        <stp/>
        <stp>BDP|2776562524307062754</stp>
        <tr r="O130" s="2"/>
      </tp>
      <tp t="s">
        <v>#N/A N/A</v>
        <stp/>
        <stp>BDP|5090301302941565273</stp>
        <tr r="L374" s="2"/>
      </tp>
      <tp t="s">
        <v>#N/A N/A</v>
        <stp/>
        <stp>BDP|7371707599764231882</stp>
        <tr r="Q383" s="2"/>
      </tp>
      <tp t="s">
        <v>#N/A N/A</v>
        <stp/>
        <stp>BDP|2089225131823697545</stp>
        <tr r="D21" s="2"/>
      </tp>
      <tp t="s">
        <v>#N/A N/A</v>
        <stp/>
        <stp>BDP|3058393776056771498</stp>
        <tr r="R281" s="2"/>
      </tp>
      <tp t="s">
        <v>#N/A N/A</v>
        <stp/>
        <stp>BDP|6034117026626595633</stp>
        <tr r="P336" s="2"/>
      </tp>
      <tp t="s">
        <v>#N/A N/A</v>
        <stp/>
        <stp>BDP|5873213969900865493</stp>
        <tr r="P12" s="2"/>
      </tp>
      <tp t="s">
        <v>#N/A N/A</v>
        <stp/>
        <stp>BDP|7634511683999114642</stp>
        <tr r="O411" s="2"/>
      </tp>
      <tp t="s">
        <v>#N/A N/A</v>
        <stp/>
        <stp>BDP|1858799214030122255</stp>
        <tr r="G342" s="2"/>
      </tp>
      <tp t="s">
        <v>#N/A N/A</v>
        <stp/>
        <stp>BDP|4701380959942367544</stp>
        <tr r="M128" s="2"/>
      </tp>
      <tp t="s">
        <v>#N/A N/A</v>
        <stp/>
        <stp>BDP|4248749084669672756</stp>
        <tr r="O235" s="2"/>
      </tp>
      <tp t="s">
        <v>#N/A N/A</v>
        <stp/>
        <stp>BDP|3117144841885011651</stp>
        <tr r="C172" s="2"/>
      </tp>
      <tp t="s">
        <v>#N/A N/A</v>
        <stp/>
        <stp>BDP|2386244277553740160</stp>
        <tr r="Q127" s="2"/>
      </tp>
      <tp t="s">
        <v>#N/A N/A</v>
        <stp/>
        <stp>BDP|5474464017036386375</stp>
        <tr r="H329" s="2"/>
      </tp>
      <tp t="s">
        <v>#N/A N/A</v>
        <stp/>
        <stp>BDP|2090632026892094144</stp>
        <tr r="E436" s="2"/>
      </tp>
      <tp t="s">
        <v>#N/A N/A</v>
        <stp/>
        <stp>BDP|6225601001541657440</stp>
        <tr r="R30" s="2"/>
      </tp>
      <tp t="s">
        <v>#N/A N/A</v>
        <stp/>
        <stp>BDP|1927183450839328939</stp>
        <tr r="R26" s="2"/>
      </tp>
      <tp t="s">
        <v>#N/A N/A</v>
        <stp/>
        <stp>BDP|7023824381714510675</stp>
        <tr r="K321" s="2"/>
      </tp>
      <tp t="s">
        <v>#N/A N/A</v>
        <stp/>
        <stp>BDP|2033992080125050382</stp>
        <tr r="Q266" s="2"/>
      </tp>
      <tp t="s">
        <v>#N/A N/A</v>
        <stp/>
        <stp>BDP|1335463424984995697</stp>
        <tr r="I413" s="2"/>
      </tp>
      <tp t="s">
        <v>#N/A N/A</v>
        <stp/>
        <stp>BDP|5290512326893341471</stp>
        <tr r="I244" s="2"/>
      </tp>
      <tp t="s">
        <v>#N/A N/A</v>
        <stp/>
        <stp>BDP|8422139402424721844</stp>
        <tr r="C2" s="2"/>
      </tp>
      <tp t="s">
        <v>#N/A N/A</v>
        <stp/>
        <stp>BDP|9376631031309082075</stp>
        <tr r="E209" s="2"/>
      </tp>
      <tp t="s">
        <v>#N/A N/A</v>
        <stp/>
        <stp>BDP|2190027324792207731</stp>
        <tr r="F413" s="2"/>
      </tp>
      <tp t="s">
        <v>#N/A N/A</v>
        <stp/>
        <stp>BDP|7107689961090662284</stp>
        <tr r="L233" s="2"/>
      </tp>
      <tp t="s">
        <v>#N/A N/A</v>
        <stp/>
        <stp>BDP|1101089015785927037</stp>
        <tr r="K241" s="2"/>
      </tp>
      <tp t="s">
        <v>#N/A N/A</v>
        <stp/>
        <stp>BDP|8608611173788296403</stp>
        <tr r="I196" s="2"/>
      </tp>
      <tp t="s">
        <v>#N/A N/A</v>
        <stp/>
        <stp>BDP|1150441712133955281</stp>
        <tr r="F202" s="2"/>
      </tp>
      <tp t="s">
        <v>#N/A N/A</v>
        <stp/>
        <stp>BDP|6177196923676539687</stp>
        <tr r="L200" s="2"/>
      </tp>
      <tp t="s">
        <v>#N/A N/A</v>
        <stp/>
        <stp>BDP|3212755462011791648</stp>
        <tr r="F138" s="2"/>
      </tp>
      <tp t="s">
        <v>#N/A N/A</v>
        <stp/>
        <stp>BDP|2891490594103186925</stp>
        <tr r="J255" s="2"/>
      </tp>
      <tp t="s">
        <v>#N/A N/A</v>
        <stp/>
        <stp>BDP|1785576823690789327</stp>
        <tr r="F358" s="2"/>
      </tp>
      <tp t="s">
        <v>#N/A N/A</v>
        <stp/>
        <stp>BDP|2442555520353683303</stp>
        <tr r="D99" s="2"/>
      </tp>
      <tp t="s">
        <v>#N/A N/A</v>
        <stp/>
        <stp>BDP|5148111097060189815</stp>
        <tr r="I182" s="2"/>
      </tp>
      <tp t="s">
        <v>#N/A N/A</v>
        <stp/>
        <stp>BDP|9698144635147942993</stp>
        <tr r="Q133" s="2"/>
      </tp>
      <tp t="s">
        <v>#N/A N/A</v>
        <stp/>
        <stp>BDP|7731786149812315321</stp>
        <tr r="J372" s="2"/>
      </tp>
      <tp t="s">
        <v>#N/A N/A</v>
        <stp/>
        <stp>BDP|2651723436925339660</stp>
        <tr r="N68" s="2"/>
      </tp>
      <tp t="s">
        <v>#N/A N/A</v>
        <stp/>
        <stp>BDP|4088546471253268005</stp>
        <tr r="Q73" s="2"/>
      </tp>
      <tp t="s">
        <v>#N/A N/A</v>
        <stp/>
        <stp>BDP|2879960088995715361</stp>
        <tr r="P346" s="2"/>
      </tp>
      <tp t="s">
        <v>#N/A N/A</v>
        <stp/>
        <stp>BDP|4837147157740882545</stp>
        <tr r="R169" s="2"/>
      </tp>
      <tp t="s">
        <v>#N/A N/A</v>
        <stp/>
        <stp>BDP|1139514077612047405</stp>
        <tr r="J325" s="2"/>
      </tp>
      <tp t="s">
        <v>#N/A N/A</v>
        <stp/>
        <stp>BDP|1353720522318415904</stp>
        <tr r="C334" s="2"/>
      </tp>
      <tp t="s">
        <v>#N/A N/A</v>
        <stp/>
        <stp>BDP|3697222216292536709</stp>
        <tr r="E80" s="2"/>
      </tp>
      <tp t="s">
        <v>#N/A N/A</v>
        <stp/>
        <stp>BDP|2454506187353440906</stp>
        <tr r="J112" s="2"/>
      </tp>
      <tp t="s">
        <v>#N/A N/A</v>
        <stp/>
        <stp>BDP|5562775143235102673</stp>
        <tr r="G391" s="2"/>
      </tp>
      <tp t="s">
        <v>#N/A N/A</v>
        <stp/>
        <stp>BDP|9951297143629707331</stp>
        <tr r="J332" s="2"/>
      </tp>
      <tp t="s">
        <v>#N/A N/A</v>
        <stp/>
        <stp>BDP|4973181010712253341</stp>
        <tr r="Q326" s="2"/>
      </tp>
      <tp t="s">
        <v>#N/A N/A</v>
        <stp/>
        <stp>BDP|6117192696833092894</stp>
        <tr r="J199" s="2"/>
      </tp>
      <tp t="s">
        <v>#N/A N/A</v>
        <stp/>
        <stp>BDP|3857100514065957326</stp>
        <tr r="H281" s="2"/>
      </tp>
      <tp t="s">
        <v>#N/A N/A</v>
        <stp/>
        <stp>BDP|8355725859488749786</stp>
        <tr r="H355" s="2"/>
      </tp>
      <tp t="s">
        <v>#N/A N/A</v>
        <stp/>
        <stp>BDP|6561239369086903119</stp>
        <tr r="C64" s="2"/>
      </tp>
      <tp t="s">
        <v>#N/A N/A</v>
        <stp/>
        <stp>BDP|3907190125031703469</stp>
        <tr r="P133" s="2"/>
      </tp>
      <tp t="s">
        <v>#N/A N/A</v>
        <stp/>
        <stp>BDP|7620029153695745240</stp>
        <tr r="J429" s="2"/>
      </tp>
      <tp t="s">
        <v>#N/A N/A</v>
        <stp/>
        <stp>BDP|6367325479912509593</stp>
        <tr r="G372" s="2"/>
      </tp>
      <tp t="s">
        <v>#N/A N/A</v>
        <stp/>
        <stp>BDP|2338110163902407210</stp>
        <tr r="M261" s="2"/>
      </tp>
      <tp t="s">
        <v>#N/A N/A</v>
        <stp/>
        <stp>BDP|4478275370871375547</stp>
        <tr r="N7" s="2"/>
      </tp>
      <tp t="s">
        <v>#N/A N/A</v>
        <stp/>
        <stp>BDP|9672881722362927416</stp>
        <tr r="F268" s="2"/>
      </tp>
      <tp t="s">
        <v>#N/A N/A</v>
        <stp/>
        <stp>BDP|5336658974882163375</stp>
        <tr r="K223" s="2"/>
      </tp>
      <tp t="s">
        <v>#N/A N/A</v>
        <stp/>
        <stp>BDP|7642240682708192059</stp>
        <tr r="G102" s="2"/>
      </tp>
      <tp t="s">
        <v>#N/A N/A</v>
        <stp/>
        <stp>BDP|2289628692098628001</stp>
        <tr r="O86" s="2"/>
      </tp>
      <tp t="s">
        <v>#N/A N/A</v>
        <stp/>
        <stp>BDP|5062687439154425110</stp>
        <tr r="Q261" s="2"/>
      </tp>
      <tp t="s">
        <v>#N/A N/A</v>
        <stp/>
        <stp>BDP|6420215423211329215</stp>
        <tr r="L76" s="2"/>
      </tp>
      <tp t="s">
        <v>#N/A N/A</v>
        <stp/>
        <stp>BDP|7609853087075722774</stp>
        <tr r="H205" s="2"/>
      </tp>
      <tp t="s">
        <v>#N/A N/A</v>
        <stp/>
        <stp>BDP|8513854745189721863</stp>
        <tr r="N39" s="2"/>
      </tp>
      <tp t="s">
        <v>#N/A N/A</v>
        <stp/>
        <stp>BDP|6973464058442637050</stp>
        <tr r="M149" s="2"/>
      </tp>
      <tp t="s">
        <v>#N/A N/A</v>
        <stp/>
        <stp>BDP|7125333964977572078</stp>
        <tr r="L425" s="2"/>
      </tp>
      <tp t="s">
        <v>#N/A N/A</v>
        <stp/>
        <stp>BDP|7410666612735524014</stp>
        <tr r="D76" s="2"/>
      </tp>
      <tp t="s">
        <v>#N/A N/A</v>
        <stp/>
        <stp>BDP|5004000416137311609</stp>
        <tr r="M455" s="2"/>
      </tp>
      <tp t="s">
        <v>#N/A N/A</v>
        <stp/>
        <stp>BDP|9976975350532897236</stp>
        <tr r="J270" s="2"/>
      </tp>
      <tp t="s">
        <v>#N/A N/A</v>
        <stp/>
        <stp>BDP|1244803991546313358</stp>
        <tr r="O210" s="2"/>
      </tp>
      <tp t="s">
        <v>#N/A N/A</v>
        <stp/>
        <stp>BDP|6968795840945354562</stp>
        <tr r="N188" s="2"/>
      </tp>
      <tp t="s">
        <v>#N/A N/A</v>
        <stp/>
        <stp>BDP|6430088414593810152</stp>
        <tr r="E398" s="2"/>
      </tp>
      <tp t="s">
        <v>#N/A N/A</v>
        <stp/>
        <stp>BDP|3282153625562754707</stp>
        <tr r="D316" s="2"/>
      </tp>
      <tp t="s">
        <v>#N/A N/A</v>
        <stp/>
        <stp>BDP|1971185776257454569</stp>
        <tr r="N361" s="2"/>
      </tp>
      <tp t="s">
        <v>#N/A N/A</v>
        <stp/>
        <stp>BDP|7814390705975904484</stp>
        <tr r="F7" s="2"/>
      </tp>
      <tp t="s">
        <v>#N/A N/A</v>
        <stp/>
        <stp>BDP|2611467163151729419</stp>
        <tr r="H147" s="2"/>
      </tp>
      <tp t="s">
        <v>#N/A N/A</v>
        <stp/>
        <stp>BDP|8619903913854876182</stp>
        <tr r="J35" s="2"/>
      </tp>
      <tp t="s">
        <v>#N/A N/A</v>
        <stp/>
        <stp>BDP|4020941752185747848</stp>
        <tr r="E386" s="2"/>
      </tp>
      <tp t="s">
        <v>#N/A N/A</v>
        <stp/>
        <stp>BDP|2199291325840064787</stp>
        <tr r="N19" s="2"/>
      </tp>
      <tp t="s">
        <v>#N/A N/A</v>
        <stp/>
        <stp>BDP|2312273889648810505</stp>
        <tr r="L286" s="2"/>
      </tp>
      <tp t="s">
        <v>#N/A N/A</v>
        <stp/>
        <stp>BDP|5167655870289526840</stp>
        <tr r="N275" s="2"/>
      </tp>
      <tp t="s">
        <v>#N/A N/A</v>
        <stp/>
        <stp>BDP|9500532752728147402</stp>
        <tr r="L106" s="2"/>
      </tp>
      <tp t="s">
        <v>#N/A N/A</v>
        <stp/>
        <stp>BDP|5644426947580760013</stp>
        <tr r="E471" s="2"/>
      </tp>
      <tp t="s">
        <v>#N/A N/A</v>
        <stp/>
        <stp>BDP|2747332710344728165</stp>
        <tr r="G52" s="2"/>
      </tp>
      <tp t="s">
        <v>#N/A N/A</v>
        <stp/>
        <stp>BDP|1493968592982687632</stp>
        <tr r="P259" s="2"/>
      </tp>
      <tp t="s">
        <v>#N/A N/A</v>
        <stp/>
        <stp>BDP|7239259238860852322</stp>
        <tr r="O112" s="2"/>
      </tp>
      <tp t="s">
        <v>#N/A N/A</v>
        <stp/>
        <stp>BDP|2227148663519333938</stp>
        <tr r="M115" s="2"/>
      </tp>
      <tp t="s">
        <v>#N/A N/A</v>
        <stp/>
        <stp>BDP|6575430944652506125</stp>
        <tr r="K143" s="2"/>
      </tp>
      <tp t="s">
        <v>#N/A N/A</v>
        <stp/>
        <stp>BDP|6675486269628320912</stp>
        <tr r="D32" s="2"/>
      </tp>
      <tp t="s">
        <v>#N/A N/A</v>
        <stp/>
        <stp>BDP|2719857524544722946</stp>
        <tr r="L166" s="2"/>
      </tp>
      <tp t="s">
        <v>#N/A N/A</v>
        <stp/>
        <stp>BDP|5264684105765314392</stp>
        <tr r="P438" s="2"/>
      </tp>
      <tp t="s">
        <v>#N/A N/A</v>
        <stp/>
        <stp>BDP|4274790732725400086</stp>
        <tr r="Q91" s="2"/>
      </tp>
      <tp>
        <v>0.70200002193450928</v>
        <stp/>
        <stp>BDP|10519535016157640297|22</stp>
        <stp>ZBH UN Equity</stp>
        <stp>RT_PX_CHG_PCT_1D</stp>
        <tr r="B399" s="2"/>
      </tp>
      <tp>
        <v>-0.24690000712871552</v>
        <stp/>
        <stp>BDP|16368820614104272706|22</stp>
        <stp>UDR UN Equity</stp>
        <stp>RT_PX_CHG_PCT_1D</stp>
        <tr r="B82" s="2"/>
      </tp>
      <tp>
        <v>1.0994999408721924</v>
        <stp/>
        <stp>BDP|13936535566181531922|22</stp>
        <stp>PGR UN Equity</stp>
        <stp>RT_PX_CHG_PCT_1D</stp>
        <tr r="B198" s="2"/>
      </tp>
      <tp>
        <v>1.4125000238418579</v>
        <stp/>
        <stp>BDP|18063171801366232311|22</stp>
        <stp>STE UN Equity</stp>
        <stp>RT_PX_CHG_PCT_1D</stp>
        <tr r="B313" s="2"/>
      </tp>
      <tp>
        <v>1.267300009727478</v>
        <stp/>
        <stp>BDP|15570509106459050429|22</stp>
        <stp>EMN UN Equity</stp>
        <stp>RT_PX_CHG_PCT_1D</stp>
        <tr r="B308" s="2"/>
      </tp>
      <tp>
        <v>-0.10069999843835831</v>
        <stp/>
        <stp>BDP|11973147159242357741|22</stp>
        <stp>CCL UN Equity</stp>
        <stp>RT_PX_CHG_PCT_1D</stp>
        <tr r="B80" s="2"/>
      </tp>
      <tp>
        <v>1.9292999505996704</v>
        <stp/>
        <stp>BDP|11158281063286593779|22</stp>
        <stp>DPZ UW Equity</stp>
        <stp>RT_PX_CHG_PCT_1D</stp>
        <tr r="B486" s="2"/>
      </tp>
      <tp>
        <v>0.83190000057220459</v>
        <stp/>
        <stp>BDP|16537167648602831057|22</stp>
        <stp>FOX UW Equity</stp>
        <stp>RT_PX_CHG_PCT_1D</stp>
        <tr r="B283" s="2"/>
      </tp>
      <tp>
        <v>-0.74309998750686646</v>
        <stp/>
        <stp>BDP|10631684488341946066|22</stp>
        <stp>JNJ UN Equity</stp>
        <stp>RT_PX_CHG_PCT_1D</stp>
        <tr r="B24" s="2"/>
      </tp>
      <tp>
        <v>5.1600001752376556E-2</v>
        <stp/>
        <stp>BDP|11270212961584850253|22</stp>
        <stp>MTB UN Equity</stp>
        <stp>RT_PX_CHG_PCT_1D</stp>
        <tr r="B266" s="2"/>
      </tp>
      <tp>
        <v>5.9999998658895493E-2</v>
        <stp/>
        <stp>BDP|17718191214558762625|22</stp>
        <stp>AEE UN Equity</stp>
        <stp>RT_PX_CHG_PCT_1D</stp>
        <tr r="B358" s="2"/>
      </tp>
      <tp>
        <v>3.6305000782012939</v>
        <stp/>
        <stp>BDP|6269605322695347919|22</stp>
        <stp>AXON UW Equity</stp>
        <stp>RT_PX_CHG_PCT_1D</stp>
        <tr r="B66" s="2"/>
      </tp>
      <tp t="s">
        <v>#N/A N/A</v>
        <stp/>
        <stp>BDP|9756966100543966529</stp>
        <tr r="H181" s="2"/>
      </tp>
      <tp t="s">
        <v>#N/A N/A</v>
        <stp/>
        <stp>BDP|4823048439575945461</stp>
        <tr r="L446" s="2"/>
      </tp>
      <tp t="s">
        <v>#N/A N/A</v>
        <stp/>
        <stp>BDP|9836460123038313148</stp>
        <tr r="N69" s="2"/>
      </tp>
      <tp t="s">
        <v>#N/A N/A</v>
        <stp/>
        <stp>BDP|1473093967508665968</stp>
        <tr r="F128" s="2"/>
      </tp>
      <tp t="s">
        <v>#N/A N/A</v>
        <stp/>
        <stp>BDP|6917291261170867439</stp>
        <tr r="O65" s="2"/>
      </tp>
      <tp t="s">
        <v>#N/A N/A</v>
        <stp/>
        <stp>BDP|1833078665352200326</stp>
        <tr r="I276" s="2"/>
      </tp>
      <tp t="s">
        <v>#N/A N/A</v>
        <stp/>
        <stp>BDP|8864179190104166246</stp>
        <tr r="F453" s="2"/>
      </tp>
      <tp t="s">
        <v>#N/A N/A</v>
        <stp/>
        <stp>BDP|6129799752484466648</stp>
        <tr r="C148" s="2"/>
      </tp>
      <tp t="s">
        <v>#N/A N/A</v>
        <stp/>
        <stp>BDP|2194611416857405480</stp>
        <tr r="Q453" s="2"/>
      </tp>
      <tp t="s">
        <v>#N/A N/A</v>
        <stp/>
        <stp>BDP|7611525764192867020</stp>
        <tr r="J117" s="2"/>
      </tp>
      <tp t="s">
        <v>#N/A N/A</v>
        <stp/>
        <stp>BDP|7270346260742962652</stp>
        <tr r="P63" s="2"/>
      </tp>
      <tp t="s">
        <v>#N/A N/A</v>
        <stp/>
        <stp>BDP|7859655827221243423</stp>
        <tr r="Q418" s="2"/>
      </tp>
      <tp t="s">
        <v>#N/A N/A</v>
        <stp/>
        <stp>BDP|1536287664745353602</stp>
        <tr r="J447" s="2"/>
      </tp>
      <tp t="s">
        <v>#N/A N/A</v>
        <stp/>
        <stp>BDP|7207656078301728120</stp>
        <tr r="O229" s="2"/>
      </tp>
      <tp t="s">
        <v>#N/A N/A</v>
        <stp/>
        <stp>BDP|5874317452306576342</stp>
        <tr r="I455" s="2"/>
      </tp>
      <tp t="s">
        <v>#N/A N/A</v>
        <stp/>
        <stp>BDP|5335130603446098498</stp>
        <tr r="G395" s="2"/>
      </tp>
      <tp t="s">
        <v>#N/A N/A</v>
        <stp/>
        <stp>BDP|1043310095125788884</stp>
        <tr r="R135" s="2"/>
      </tp>
      <tp t="s">
        <v>#N/A N/A</v>
        <stp/>
        <stp>BDP|2985192647024807542</stp>
        <tr r="J353" s="2"/>
      </tp>
      <tp t="s">
        <v>#N/A N/A</v>
        <stp/>
        <stp>BDP|4986010167853280765</stp>
        <tr r="G479" s="2"/>
      </tp>
      <tp t="s">
        <v>#N/A N/A</v>
        <stp/>
        <stp>BDP|5709189916401417263</stp>
        <tr r="H7" s="2"/>
      </tp>
      <tp t="s">
        <v>#N/A N/A</v>
        <stp/>
        <stp>BDP|4769001350367929058</stp>
        <tr r="H165" s="2"/>
      </tp>
      <tp t="s">
        <v>#N/A N/A</v>
        <stp/>
        <stp>BDP|6152455970492893173</stp>
        <tr r="M316" s="2"/>
      </tp>
      <tp t="s">
        <v>#N/A N/A</v>
        <stp/>
        <stp>BDP|6161313144540770786</stp>
        <tr r="C394" s="2"/>
      </tp>
      <tp t="s">
        <v>#N/A N/A</v>
        <stp/>
        <stp>BDP|7103405011622236691</stp>
        <tr r="R82" s="2"/>
      </tp>
      <tp t="s">
        <v>#N/A N/A</v>
        <stp/>
        <stp>BDP|5755567070489232885</stp>
        <tr r="J331" s="2"/>
      </tp>
      <tp t="s">
        <v>#N/A N/A</v>
        <stp/>
        <stp>BDP|6094068769296325071</stp>
        <tr r="F190" s="2"/>
      </tp>
      <tp t="s">
        <v>#N/A N/A</v>
        <stp/>
        <stp>BDP|7631956724629813341</stp>
        <tr r="I5" s="2"/>
      </tp>
      <tp t="s">
        <v>#N/A N/A</v>
        <stp/>
        <stp>BDP|2544308156923937115</stp>
        <tr r="O406" s="2"/>
      </tp>
      <tp t="s">
        <v>#N/A N/A</v>
        <stp/>
        <stp>BDP|3926671107146163537</stp>
        <tr r="I62" s="2"/>
      </tp>
      <tp t="s">
        <v>#N/A N/A</v>
        <stp/>
        <stp>BDP|6885188249442732755</stp>
        <tr r="R102" s="2"/>
      </tp>
      <tp t="s">
        <v>#N/A N/A</v>
        <stp/>
        <stp>BDP|5961153176911581443</stp>
        <tr r="R87" s="2"/>
      </tp>
      <tp t="s">
        <v>#N/A N/A</v>
        <stp/>
        <stp>BDP|5004354088009163174</stp>
        <tr r="P199" s="2"/>
      </tp>
      <tp t="s">
        <v>#N/A N/A</v>
        <stp/>
        <stp>BDP|1304323105901874544</stp>
        <tr r="C130" s="2"/>
      </tp>
      <tp t="s">
        <v>#N/A N/A</v>
        <stp/>
        <stp>BDP|6392373329056056756</stp>
        <tr r="P234" s="2"/>
      </tp>
      <tp t="s">
        <v>#N/A N/A</v>
        <stp/>
        <stp>BDP|1017133660085986523</stp>
        <tr r="F47" s="2"/>
      </tp>
      <tp t="s">
        <v>#N/A N/A</v>
        <stp/>
        <stp>BDP|4886165867366072310</stp>
        <tr r="O290" s="2"/>
      </tp>
      <tp t="s">
        <v>#N/A N/A</v>
        <stp/>
        <stp>BDP|9675744020622914839</stp>
        <tr r="E293" s="2"/>
      </tp>
      <tp t="s">
        <v>#N/A N/A</v>
        <stp/>
        <stp>BDP|1385725208123604370</stp>
        <tr r="Q85" s="2"/>
      </tp>
      <tp t="s">
        <v>#N/A N/A</v>
        <stp/>
        <stp>BDP|3575424633163974159</stp>
        <tr r="G368" s="2"/>
      </tp>
      <tp t="s">
        <v>#N/A N/A</v>
        <stp/>
        <stp>BDP|9520476140966341996</stp>
        <tr r="O389" s="2"/>
      </tp>
      <tp t="s">
        <v>#N/A N/A</v>
        <stp/>
        <stp>BDP|1193530673847980206</stp>
        <tr r="M495" s="2"/>
      </tp>
      <tp t="s">
        <v>#N/A N/A</v>
        <stp/>
        <stp>BDP|3648360678870560155</stp>
        <tr r="J132" s="2"/>
      </tp>
      <tp t="s">
        <v>#N/A N/A</v>
        <stp/>
        <stp>BDP|3699628647483826439</stp>
        <tr r="R291" s="2"/>
      </tp>
      <tp t="s">
        <v>#N/A N/A</v>
        <stp/>
        <stp>BDP|9428090294981333726</stp>
        <tr r="C314" s="2"/>
      </tp>
      <tp t="s">
        <v>#N/A N/A</v>
        <stp/>
        <stp>BDP|7105418262952272187</stp>
        <tr r="P112" s="2"/>
      </tp>
      <tp t="s">
        <v>#N/A N/A</v>
        <stp/>
        <stp>BDP|3544384673513770213</stp>
        <tr r="E174" s="2"/>
      </tp>
      <tp t="s">
        <v>#N/A N/A</v>
        <stp/>
        <stp>BDP|9445903359663283078</stp>
        <tr r="F178" s="2"/>
      </tp>
      <tp t="s">
        <v>#N/A N/A</v>
        <stp/>
        <stp>BDP|2978612613656712543</stp>
        <tr r="L236" s="2"/>
      </tp>
      <tp t="s">
        <v>#N/A N/A</v>
        <stp/>
        <stp>BDP|6997499200293923714</stp>
        <tr r="J340" s="2"/>
      </tp>
      <tp t="s">
        <v>#N/A N/A</v>
        <stp/>
        <stp>BDP|7938102457676155375</stp>
        <tr r="I76" s="2"/>
      </tp>
      <tp t="s">
        <v>#N/A N/A</v>
        <stp/>
        <stp>BDP|3438986803165727900</stp>
        <tr r="G204" s="2"/>
      </tp>
      <tp t="s">
        <v>#N/A N/A</v>
        <stp/>
        <stp>BDP|5040389021363914189</stp>
        <tr r="P306" s="2"/>
      </tp>
      <tp t="s">
        <v>#N/A N/A</v>
        <stp/>
        <stp>BDP|5328547460450914066</stp>
        <tr r="F387" s="2"/>
      </tp>
      <tp t="s">
        <v>#N/A N/A</v>
        <stp/>
        <stp>BDP|2471667151612367599</stp>
        <tr r="E177" s="2"/>
      </tp>
      <tp t="s">
        <v>#N/A N/A</v>
        <stp/>
        <stp>BDP|9147718988611329121</stp>
        <tr r="R120" s="2"/>
      </tp>
      <tp t="s">
        <v>#N/A N/A</v>
        <stp/>
        <stp>BDP|5596240888539873083</stp>
        <tr r="L205" s="2"/>
      </tp>
      <tp t="s">
        <v>#N/A N/A</v>
        <stp/>
        <stp>BDP|3505079518330669454</stp>
        <tr r="H117" s="2"/>
      </tp>
      <tp t="s">
        <v>#N/A N/A</v>
        <stp/>
        <stp>BDP|6555817146605894937</stp>
        <tr r="C90" s="2"/>
      </tp>
      <tp t="s">
        <v>#N/A N/A</v>
        <stp/>
        <stp>BDP|7119068577281105781</stp>
        <tr r="F303" s="2"/>
      </tp>
      <tp t="s">
        <v>#N/A N/A</v>
        <stp/>
        <stp>BDP|1471475823559094894</stp>
        <tr r="M141" s="2"/>
      </tp>
      <tp t="s">
        <v>#N/A N/A</v>
        <stp/>
        <stp>BDP|3388527328243161117</stp>
        <tr r="G86" s="2"/>
      </tp>
      <tp t="s">
        <v>#N/A N/A</v>
        <stp/>
        <stp>BDP|2069557449575168042</stp>
        <tr r="O176" s="2"/>
      </tp>
      <tp t="s">
        <v>#N/A N/A</v>
        <stp/>
        <stp>BDP|3892017426986256142</stp>
        <tr r="Q184" s="2"/>
      </tp>
      <tp t="s">
        <v>#N/A N/A</v>
        <stp/>
        <stp>BDP|5741489449844758780</stp>
        <tr r="H34" s="2"/>
      </tp>
      <tp t="s">
        <v>#N/A N/A</v>
        <stp/>
        <stp>BDP|6028186332933592164</stp>
        <tr r="P174" s="2"/>
      </tp>
      <tp t="s">
        <v>#N/A N/A</v>
        <stp/>
        <stp>BDP|7336592765055555737</stp>
        <tr r="P74" s="2"/>
      </tp>
      <tp t="s">
        <v>#N/A N/A</v>
        <stp/>
        <stp>BDP|7403634602985967258</stp>
        <tr r="P450" s="2"/>
      </tp>
      <tp t="s">
        <v>#N/A N/A</v>
        <stp/>
        <stp>BDP|2045415039720971383</stp>
        <tr r="E137" s="2"/>
      </tp>
      <tp t="s">
        <v>#N/A N/A</v>
        <stp/>
        <stp>BDP|7563026553063441796</stp>
        <tr r="G12" s="2"/>
      </tp>
      <tp t="s">
        <v>#N/A N/A</v>
        <stp/>
        <stp>BDP|1337354400364744085</stp>
        <tr r="F73" s="2"/>
      </tp>
      <tp t="s">
        <v>#N/A N/A</v>
        <stp/>
        <stp>BDP|9816825875518662802</stp>
        <tr r="M280" s="2"/>
      </tp>
      <tp t="s">
        <v>#N/A N/A</v>
        <stp/>
        <stp>BDP|9001964874383322281</stp>
        <tr r="E341" s="2"/>
      </tp>
      <tp t="s">
        <v>#N/A N/A</v>
        <stp/>
        <stp>BDP|4578022752397955054</stp>
        <tr r="E79" s="2"/>
      </tp>
      <tp t="s">
        <v>#N/A N/A</v>
        <stp/>
        <stp>BDP|3656668723710473194</stp>
        <tr r="I167" s="2"/>
      </tp>
      <tp t="s">
        <v>#N/A N/A</v>
        <stp/>
        <stp>BDP|5224862308293031828</stp>
        <tr r="Q126" s="2"/>
      </tp>
      <tp t="s">
        <v>#N/A N/A</v>
        <stp/>
        <stp>BDP|5032409845596980528</stp>
        <tr r="R428" s="2"/>
      </tp>
      <tp t="s">
        <v>#N/A N/A</v>
        <stp/>
        <stp>BDP|7850438722517359043</stp>
        <tr r="R202" s="2"/>
      </tp>
      <tp t="s">
        <v>#N/A N/A</v>
        <stp/>
        <stp>BDP|8871741844514181975</stp>
        <tr r="I268" s="2"/>
      </tp>
      <tp t="s">
        <v>#N/A N/A</v>
        <stp/>
        <stp>BDP|3998902061179625306</stp>
        <tr r="O410" s="2"/>
      </tp>
      <tp t="s">
        <v>#N/A N/A</v>
        <stp/>
        <stp>BDP|3277488723641300248</stp>
        <tr r="J298" s="2"/>
      </tp>
      <tp t="s">
        <v>#N/A N/A</v>
        <stp/>
        <stp>BDP|4958989039040297846</stp>
        <tr r="H449" s="2"/>
      </tp>
      <tp t="s">
        <v>#N/A N/A</v>
        <stp/>
        <stp>BDP|4287332405848298989</stp>
        <tr r="C373" s="2"/>
      </tp>
      <tp t="s">
        <v>#N/A N/A</v>
        <stp/>
        <stp>BDP|6996381032900869055</stp>
        <tr r="P118" s="2"/>
      </tp>
      <tp t="s">
        <v>#N/A N/A</v>
        <stp/>
        <stp>BDP|1571777858026012343</stp>
        <tr r="E264" s="2"/>
      </tp>
      <tp t="s">
        <v>#N/A N/A</v>
        <stp/>
        <stp>BDP|3976551133675560642</stp>
        <tr r="Q35" s="2"/>
      </tp>
      <tp t="s">
        <v>#N/A N/A</v>
        <stp/>
        <stp>BDP|9431111898237211015</stp>
        <tr r="D460" s="2"/>
      </tp>
      <tp t="s">
        <v>#N/A N/A</v>
        <stp/>
        <stp>BDP|5924264752607143323</stp>
        <tr r="K208" s="2"/>
      </tp>
      <tp t="s">
        <v>#N/A N/A</v>
        <stp/>
        <stp>BDP|1114527959071410600</stp>
        <tr r="L433" s="2"/>
      </tp>
      <tp t="s">
        <v>#N/A N/A</v>
        <stp/>
        <stp>BDP|3523290285427082867</stp>
        <tr r="I151" s="2"/>
      </tp>
      <tp t="s">
        <v>#N/A N/A</v>
        <stp/>
        <stp>BDP|1805648633592759071</stp>
        <tr r="Q193" s="2"/>
      </tp>
      <tp t="s">
        <v>#N/A N/A</v>
        <stp/>
        <stp>BDP|1094898004886107930</stp>
        <tr r="R228" s="2"/>
      </tp>
      <tp t="s">
        <v>#N/A N/A</v>
        <stp/>
        <stp>BDP|8123275799684298120</stp>
        <tr r="R12" s="2"/>
      </tp>
      <tp t="s">
        <v>#N/A N/A</v>
        <stp/>
        <stp>BDP|4216392761214621338</stp>
        <tr r="C193" s="2"/>
      </tp>
      <tp t="s">
        <v>#N/A N/A</v>
        <stp/>
        <stp>BDP|9935013597373881586</stp>
        <tr r="L28" s="2"/>
      </tp>
      <tp t="s">
        <v>#N/A N/A</v>
        <stp/>
        <stp>BDP|1932372751638634969</stp>
        <tr r="N130" s="2"/>
      </tp>
      <tp t="s">
        <v>#N/A N/A</v>
        <stp/>
        <stp>BDP|3246701097393922839</stp>
        <tr r="R342" s="2"/>
      </tp>
      <tp t="s">
        <v>#N/A N/A</v>
        <stp/>
        <stp>BDP|5372056318831442351</stp>
        <tr r="F123" s="2"/>
      </tp>
      <tp t="s">
        <v>#N/A N/A</v>
        <stp/>
        <stp>BDP|5947936836188118123</stp>
        <tr r="H253" s="2"/>
      </tp>
      <tp t="s">
        <v>#N/A N/A</v>
        <stp/>
        <stp>BDP|1381137200817717185</stp>
        <tr r="I466" s="2"/>
      </tp>
      <tp t="s">
        <v>#N/A N/A</v>
        <stp/>
        <stp>BDP|2653957583401963463</stp>
        <tr r="E62" s="2"/>
      </tp>
      <tp t="s">
        <v>#N/A N/A</v>
        <stp/>
        <stp>BDP|8365983590488230661</stp>
        <tr r="J385" s="2"/>
      </tp>
      <tp t="s">
        <v>#N/A N/A</v>
        <stp/>
        <stp>BDP|7100708106651033788</stp>
        <tr r="I80" s="2"/>
      </tp>
      <tp t="s">
        <v>#N/A N/A</v>
        <stp/>
        <stp>BDP|3968075453546618642</stp>
        <tr r="K411" s="2"/>
      </tp>
      <tp t="s">
        <v>#N/A N/A</v>
        <stp/>
        <stp>BDP|8706622095259908864</stp>
        <tr r="R133" s="2"/>
      </tp>
      <tp t="s">
        <v>#N/A N/A</v>
        <stp/>
        <stp>BDP|9623509389957272522</stp>
        <tr r="G72" s="2"/>
      </tp>
      <tp t="s">
        <v>#N/A N/A</v>
        <stp/>
        <stp>BDP|8125764406690860961</stp>
        <tr r="F99" s="2"/>
      </tp>
      <tp t="s">
        <v>#N/A N/A</v>
        <stp/>
        <stp>BDP|1851874082863668449</stp>
        <tr r="D403" s="2"/>
      </tp>
      <tp t="s">
        <v>#N/A N/A</v>
        <stp/>
        <stp>BDP|8845629870169061663</stp>
        <tr r="I283" s="2"/>
      </tp>
      <tp t="s">
        <v>#N/A N/A</v>
        <stp/>
        <stp>BDP|7381441962352009192</stp>
        <tr r="Q448" s="2"/>
      </tp>
      <tp t="s">
        <v>#N/A N/A</v>
        <stp/>
        <stp>BDP|2880728916247899580</stp>
        <tr r="M118" s="2"/>
      </tp>
      <tp t="s">
        <v>#N/A N/A</v>
        <stp/>
        <stp>BDP|1480737079086530176</stp>
        <tr r="O2" s="2"/>
      </tp>
      <tp t="s">
        <v>#N/A N/A</v>
        <stp/>
        <stp>BDP|1488044339001671536</stp>
        <tr r="J301" s="2"/>
      </tp>
      <tp t="s">
        <v>#N/A N/A</v>
        <stp/>
        <stp>BDP|9332968601607903111</stp>
        <tr r="N285" s="2"/>
      </tp>
      <tp t="s">
        <v>#N/A N/A</v>
        <stp/>
        <stp>BDP|6033467340890262086</stp>
        <tr r="R249" s="2"/>
      </tp>
      <tp t="s">
        <v>#N/A N/A</v>
        <stp/>
        <stp>BDP|7194817587088922923</stp>
        <tr r="K472" s="2"/>
      </tp>
      <tp t="s">
        <v>#N/A N/A</v>
        <stp/>
        <stp>BDP|6843646226436712216</stp>
        <tr r="I154" s="2"/>
      </tp>
      <tp t="s">
        <v>#N/A N/A</v>
        <stp/>
        <stp>BDP|1865009163977024674</stp>
        <tr r="I440" s="2"/>
      </tp>
      <tp t="s">
        <v>#N/A N/A</v>
        <stp/>
        <stp>BDP|2246846973143044897</stp>
        <tr r="G446" s="2"/>
      </tp>
      <tp t="s">
        <v>#N/A N/A</v>
        <stp/>
        <stp>BDP|4187896691464464719</stp>
        <tr r="H208" s="2"/>
      </tp>
      <tp t="s">
        <v>#N/A N/A</v>
        <stp/>
        <stp>BDP|1867600552641731517</stp>
        <tr r="K280" s="2"/>
      </tp>
      <tp t="s">
        <v>#N/A N/A</v>
        <stp/>
        <stp>BDP|7391250909443226019</stp>
        <tr r="Q367" s="2"/>
      </tp>
      <tp t="s">
        <v>#N/A N/A</v>
        <stp/>
        <stp>BDP|3965624441320181760</stp>
        <tr r="F69" s="2"/>
      </tp>
      <tp t="s">
        <v>#N/A N/A</v>
        <stp/>
        <stp>BDP|2481026229346517074</stp>
        <tr r="G107" s="2"/>
      </tp>
      <tp t="s">
        <v>#N/A N/A</v>
        <stp/>
        <stp>BDP|7160499121706021147</stp>
        <tr r="R123" s="2"/>
      </tp>
      <tp t="s">
        <v>#N/A N/A</v>
        <stp/>
        <stp>BDP|9806997719950063754</stp>
        <tr r="E45" s="2"/>
      </tp>
      <tp t="s">
        <v>#N/A N/A</v>
        <stp/>
        <stp>BDP|6416218865516845257</stp>
        <tr r="D304" s="2"/>
      </tp>
      <tp t="s">
        <v>#N/A N/A</v>
        <stp/>
        <stp>BDP|3899353464052151251</stp>
        <tr r="J248" s="2"/>
      </tp>
      <tp t="s">
        <v>#N/A N/A</v>
        <stp/>
        <stp>BDP|1549452451120864640</stp>
        <tr r="L105" s="2"/>
      </tp>
      <tp t="s">
        <v>#N/A N/A</v>
        <stp/>
        <stp>BDP|1922072293236677862</stp>
        <tr r="E131" s="2"/>
      </tp>
      <tp t="s">
        <v>#N/A N/A</v>
        <stp/>
        <stp>BDP|4770871113168969376</stp>
        <tr r="I389" s="2"/>
      </tp>
      <tp t="s">
        <v>#N/A N/A</v>
        <stp/>
        <stp>BDP|6560564640198824966</stp>
        <tr r="E317" s="2"/>
      </tp>
      <tp t="s">
        <v>#N/A N/A</v>
        <stp/>
        <stp>BDP|5104406266065278478</stp>
        <tr r="F347" s="2"/>
      </tp>
      <tp t="s">
        <v>#N/A N/A</v>
        <stp/>
        <stp>BDP|9102800117410386674</stp>
        <tr r="H345" s="2"/>
      </tp>
      <tp t="s">
        <v>#N/A N/A</v>
        <stp/>
        <stp>BDP|2888549203885903441</stp>
        <tr r="O161" s="2"/>
      </tp>
      <tp t="s">
        <v>#N/A N/A</v>
        <stp/>
        <stp>BDP|7817021059522763668</stp>
        <tr r="F374" s="2"/>
      </tp>
      <tp t="s">
        <v>#N/A N/A</v>
        <stp/>
        <stp>BDP|7039268558647510197</stp>
        <tr r="L78" s="2"/>
      </tp>
      <tp t="s">
        <v>#N/A N/A</v>
        <stp/>
        <stp>BDP|8572549375615519932</stp>
        <tr r="I55" s="2"/>
      </tp>
      <tp t="s">
        <v>#N/A N/A</v>
        <stp/>
        <stp>BDP|9665716968618451699</stp>
        <tr r="H352" s="2"/>
      </tp>
      <tp t="s">
        <v>#N/A N/A</v>
        <stp/>
        <stp>BDP|8944705004589765088</stp>
        <tr r="I496" s="2"/>
      </tp>
      <tp t="s">
        <v>#N/A N/A</v>
        <stp/>
        <stp>BDP|2350328824292578725</stp>
        <tr r="H474" s="2"/>
      </tp>
      <tp t="s">
        <v>#N/A N/A</v>
        <stp/>
        <stp>BDP|4891955079905225948</stp>
        <tr r="N158" s="2"/>
      </tp>
      <tp t="s">
        <v>#N/A N/A</v>
        <stp/>
        <stp>BDP|7126528653613272205</stp>
        <tr r="Q340" s="2"/>
      </tp>
      <tp t="s">
        <v>#N/A N/A</v>
        <stp/>
        <stp>BDP|4920817093631956207</stp>
        <tr r="Q71" s="2"/>
      </tp>
      <tp t="s">
        <v>#N/A N/A</v>
        <stp/>
        <stp>BDP|4725138535377617759</stp>
        <tr r="F85" s="2"/>
      </tp>
      <tp t="s">
        <v>#N/A N/A</v>
        <stp/>
        <stp>BDP|5876816549518716751</stp>
        <tr r="Q317" s="2"/>
      </tp>
      <tp t="s">
        <v>#N/A N/A</v>
        <stp/>
        <stp>BDP|3057279074993978386</stp>
        <tr r="L94" s="2"/>
      </tp>
      <tp t="s">
        <v>#N/A N/A</v>
        <stp/>
        <stp>BDP|1989598813512405153</stp>
        <tr r="M318" s="2"/>
      </tp>
      <tp t="s">
        <v>#N/A N/A</v>
        <stp/>
        <stp>BDP|2503835253770077973</stp>
        <tr r="C484" s="2"/>
      </tp>
      <tp t="s">
        <v>#N/A N/A</v>
        <stp/>
        <stp>BDP|3819528118338006913</stp>
        <tr r="P455" s="2"/>
      </tp>
      <tp t="s">
        <v>#N/A N/A</v>
        <stp/>
        <stp>BDP|4047179934791719172</stp>
        <tr r="Q141" s="2"/>
      </tp>
      <tp t="s">
        <v>#N/A N/A</v>
        <stp/>
        <stp>BDP|3465790378642590731</stp>
        <tr r="R273" s="2"/>
      </tp>
      <tp t="s">
        <v>#N/A N/A</v>
        <stp/>
        <stp>BDP|9356526860939115533</stp>
        <tr r="G407" s="2"/>
      </tp>
      <tp t="s">
        <v>#N/A N/A</v>
        <stp/>
        <stp>BDP|4058475117477480071</stp>
        <tr r="P498" s="2"/>
      </tp>
      <tp t="s">
        <v>#N/A N/A</v>
        <stp/>
        <stp>BDP|5586348532746528558</stp>
        <tr r="D22" s="2"/>
      </tp>
      <tp t="s">
        <v>#N/A N/A</v>
        <stp/>
        <stp>BDP|2181338799508188692</stp>
        <tr r="R7" s="2"/>
      </tp>
      <tp t="s">
        <v>#N/A N/A</v>
        <stp/>
        <stp>BDP|2513686228843181379</stp>
        <tr r="C256" s="2"/>
      </tp>
      <tp t="s">
        <v>#N/A N/A</v>
        <stp/>
        <stp>BDP|4412045230391605054</stp>
        <tr r="Q485" s="2"/>
      </tp>
      <tp t="s">
        <v>#N/A N/A</v>
        <stp/>
        <stp>BDP|7206320547272778436</stp>
        <tr r="F82" s="2"/>
      </tp>
      <tp t="s">
        <v>#N/A N/A</v>
        <stp/>
        <stp>BDP|9058199538178384510</stp>
        <tr r="K232" s="2"/>
      </tp>
      <tp t="s">
        <v>#N/A N/A</v>
        <stp/>
        <stp>BDP|2070160416777205316</stp>
        <tr r="I363" s="2"/>
      </tp>
      <tp t="s">
        <v>#N/A N/A</v>
        <stp/>
        <stp>BDP|7443723333183365656</stp>
        <tr r="F337" s="2"/>
      </tp>
      <tp t="s">
        <v>#N/A N/A</v>
        <stp/>
        <stp>BDP|1619001685376851980</stp>
        <tr r="I358" s="2"/>
      </tp>
      <tp t="s">
        <v>#N/A N/A</v>
        <stp/>
        <stp>BDP|2698598139896792418</stp>
        <tr r="C186" s="2"/>
      </tp>
      <tp t="s">
        <v>#N/A N/A</v>
        <stp/>
        <stp>BDP|6840224440890260686</stp>
        <tr r="R97" s="2"/>
      </tp>
      <tp t="s">
        <v>#N/A N/A</v>
        <stp/>
        <stp>BDP|3054872112088558409</stp>
        <tr r="P215" s="2"/>
      </tp>
      <tp t="s">
        <v>#N/A N/A</v>
        <stp/>
        <stp>BDP|3279431014278678839</stp>
        <tr r="R174" s="2"/>
      </tp>
      <tp t="s">
        <v>#N/A N/A</v>
        <stp/>
        <stp>BDP|1565393512826728391</stp>
        <tr r="E363" s="2"/>
      </tp>
      <tp t="s">
        <v>#N/A N/A</v>
        <stp/>
        <stp>BDP|4272950705033513877</stp>
        <tr r="Q231" s="2"/>
      </tp>
      <tp t="s">
        <v>#N/A N/A</v>
        <stp/>
        <stp>BDP|3148154227032638453</stp>
        <tr r="L211" s="2"/>
      </tp>
      <tp t="s">
        <v>#N/A N/A</v>
        <stp/>
        <stp>BDP|7490366621810023036</stp>
        <tr r="J184" s="2"/>
      </tp>
      <tp t="s">
        <v>#N/A N/A</v>
        <stp/>
        <stp>BDP|9437875271374373410</stp>
        <tr r="N169" s="2"/>
      </tp>
      <tp t="s">
        <v>#N/A N/A</v>
        <stp/>
        <stp>BDP|9236025540929283220</stp>
        <tr r="K109" s="2"/>
      </tp>
      <tp t="s">
        <v>#N/A N/A</v>
        <stp/>
        <stp>BDP|1223617935946709405</stp>
        <tr r="D415" s="2"/>
      </tp>
      <tp t="s">
        <v>#N/A N/A</v>
        <stp/>
        <stp>BDP|6037478032106540116</stp>
        <tr r="H348" s="2"/>
      </tp>
      <tp t="s">
        <v>#N/A N/A</v>
        <stp/>
        <stp>BDP|5571670173251197314</stp>
        <tr r="G116" s="2"/>
      </tp>
      <tp t="s">
        <v>#N/A N/A</v>
        <stp/>
        <stp>BDP|8243695309968420071</stp>
        <tr r="K267" s="2"/>
      </tp>
      <tp t="s">
        <v>#N/A N/A</v>
        <stp/>
        <stp>BDP|7820434583728857519</stp>
        <tr r="M63" s="2"/>
      </tp>
      <tp t="s">
        <v>#N/A N/A</v>
        <stp/>
        <stp>BDP|3096802508164065990</stp>
        <tr r="K412" s="2"/>
      </tp>
      <tp t="s">
        <v>#N/A N/A</v>
        <stp/>
        <stp>BDP|5926057855844117290</stp>
        <tr r="N91" s="2"/>
      </tp>
      <tp t="s">
        <v>#N/A N/A</v>
        <stp/>
        <stp>BDP|2011095758473976298</stp>
        <tr r="I219" s="2"/>
      </tp>
      <tp t="s">
        <v>#N/A N/A</v>
        <stp/>
        <stp>BDP|6291341470050758402</stp>
        <tr r="D165" s="2"/>
      </tp>
      <tp t="s">
        <v>#N/A N/A</v>
        <stp/>
        <stp>BDP|9040843220175184040</stp>
        <tr r="K347" s="2"/>
      </tp>
      <tp t="s">
        <v>#N/A N/A</v>
        <stp/>
        <stp>BDP|3109702357941620617</stp>
        <tr r="D45" s="2"/>
      </tp>
      <tp t="s">
        <v>#N/A N/A</v>
        <stp/>
        <stp>BDP|4369412837421125452</stp>
        <tr r="H330" s="2"/>
      </tp>
      <tp t="s">
        <v>#N/A N/A</v>
        <stp/>
        <stp>BDP|4540603709885578188</stp>
        <tr r="G4" s="2"/>
      </tp>
      <tp t="s">
        <v>#N/A N/A</v>
        <stp/>
        <stp>BDP|2901024234555864262</stp>
        <tr r="C444" s="2"/>
      </tp>
      <tp t="s">
        <v>#N/A N/A</v>
        <stp/>
        <stp>BDP|8741722986387372617</stp>
        <tr r="C327" s="2"/>
      </tp>
      <tp t="s">
        <v>#N/A N/A</v>
        <stp/>
        <stp>BDP|7516133987740687869</stp>
        <tr r="K297" s="2"/>
      </tp>
      <tp t="s">
        <v>#N/A N/A</v>
        <stp/>
        <stp>BDP|7125357938267845657</stp>
        <tr r="K51" s="2"/>
      </tp>
      <tp t="s">
        <v>#N/A N/A</v>
        <stp/>
        <stp>BDP|7746192003775877541</stp>
        <tr r="G443" s="2"/>
      </tp>
      <tp t="s">
        <v>#N/A N/A</v>
        <stp/>
        <stp>BDP|2074032652736936796</stp>
        <tr r="E375" s="2"/>
      </tp>
      <tp t="s">
        <v>#N/A N/A</v>
        <stp/>
        <stp>BDP|5018351111214064552</stp>
        <tr r="D472" s="2"/>
      </tp>
      <tp t="s">
        <v>#N/A N/A</v>
        <stp/>
        <stp>BDP|1400990262088761090</stp>
        <tr r="R357" s="2"/>
      </tp>
      <tp t="s">
        <v>#N/A N/A</v>
        <stp/>
        <stp>BDP|1423377837327683047</stp>
        <tr r="O79" s="2"/>
      </tp>
      <tp t="s">
        <v>#N/A N/A</v>
        <stp/>
        <stp>BDP|3506783841402385496</stp>
        <tr r="Q235" s="2"/>
      </tp>
      <tp t="s">
        <v>#N/A N/A</v>
        <stp/>
        <stp>BDP|2630711133022432269</stp>
        <tr r="E359" s="2"/>
      </tp>
      <tp t="s">
        <v>#N/A N/A</v>
        <stp/>
        <stp>BDP|1471423405483541009</stp>
        <tr r="E127" s="2"/>
      </tp>
      <tp t="s">
        <v>#N/A N/A</v>
        <stp/>
        <stp>BDP|4582033645621436711</stp>
        <tr r="C110" s="2"/>
      </tp>
      <tp t="s">
        <v>#N/A N/A</v>
        <stp/>
        <stp>BDP|6088304787882237938</stp>
        <tr r="H184" s="2"/>
      </tp>
      <tp t="s">
        <v>#N/A N/A</v>
        <stp/>
        <stp>BDP|2611659750200527706</stp>
        <tr r="N294" s="2"/>
      </tp>
      <tp t="s">
        <v>#N/A N/A</v>
        <stp/>
        <stp>BDP|3362142866344214658</stp>
        <tr r="F88" s="2"/>
      </tp>
      <tp t="s">
        <v>#N/A N/A</v>
        <stp/>
        <stp>BDP|6991464360546002499</stp>
        <tr r="O502" s="2"/>
      </tp>
      <tp t="s">
        <v>#N/A N/A</v>
        <stp/>
        <stp>BDP|6467461652626014761</stp>
        <tr r="E367" s="2"/>
      </tp>
      <tp t="s">
        <v>#N/A N/A</v>
        <stp/>
        <stp>BDP|5444134044577638135</stp>
        <tr r="Q38" s="2"/>
      </tp>
      <tp t="s">
        <v>#N/A N/A</v>
        <stp/>
        <stp>BDP|4316141271360716470</stp>
        <tr r="R240" s="2"/>
      </tp>
      <tp t="s">
        <v>#N/A N/A</v>
        <stp/>
        <stp>BDP|5435294926303918040</stp>
        <tr r="P389" s="2"/>
      </tp>
      <tp t="s">
        <v>#N/A N/A</v>
        <stp/>
        <stp>BDP|7010841661359350602</stp>
        <tr r="D459" s="2"/>
      </tp>
      <tp t="s">
        <v>#N/A N/A</v>
        <stp/>
        <stp>BDP|8083741070639290700</stp>
        <tr r="Q395" s="2"/>
      </tp>
      <tp t="s">
        <v>#N/A N/A</v>
        <stp/>
        <stp>BDP|7586440151465056570</stp>
        <tr r="M376" s="2"/>
      </tp>
      <tp t="s">
        <v>#N/A N/A</v>
        <stp/>
        <stp>BDP|8472868462625495539</stp>
        <tr r="L272" s="2"/>
      </tp>
      <tp t="s">
        <v>#N/A N/A</v>
        <stp/>
        <stp>BDP|5266901792923078070</stp>
        <tr r="J196" s="2"/>
      </tp>
      <tp t="s">
        <v>#N/A N/A</v>
        <stp/>
        <stp>BDP|1681070954112029023</stp>
        <tr r="P187" s="2"/>
      </tp>
      <tp t="s">
        <v>#N/A N/A</v>
        <stp/>
        <stp>BDP|1956831941403994851</stp>
        <tr r="R328" s="2"/>
      </tp>
      <tp t="s">
        <v>#N/A N/A</v>
        <stp/>
        <stp>BDP|5118790447583960319</stp>
        <tr r="L428" s="2"/>
      </tp>
      <tp t="s">
        <v>#N/A N/A</v>
        <stp/>
        <stp>BDP|7681876503410525903</stp>
        <tr r="F466" s="2"/>
      </tp>
      <tp t="s">
        <v>#N/A N/A</v>
        <stp/>
        <stp>BDP|7517048277685377323</stp>
        <tr r="C7" s="2"/>
      </tp>
      <tp t="s">
        <v>#N/A N/A</v>
        <stp/>
        <stp>BDP|5026457743693299037</stp>
        <tr r="I317" s="2"/>
      </tp>
      <tp t="s">
        <v>#N/A N/A</v>
        <stp/>
        <stp>BDP|7091619044344497767</stp>
        <tr r="C86" s="2"/>
      </tp>
      <tp t="s">
        <v>#N/A N/A</v>
        <stp/>
        <stp>BDP|5467918056736726937</stp>
        <tr r="P216" s="2"/>
      </tp>
      <tp t="s">
        <v>#N/A N/A</v>
        <stp/>
        <stp>BDP|7482355977175211032</stp>
        <tr r="O46" s="2"/>
      </tp>
      <tp t="s">
        <v>#N/A N/A</v>
        <stp/>
        <stp>BDP|5631440565342325333</stp>
        <tr r="M366" s="2"/>
      </tp>
      <tp t="s">
        <v>#N/A N/A</v>
        <stp/>
        <stp>BDP|2220330210302560434</stp>
        <tr r="G85" s="2"/>
      </tp>
      <tp t="s">
        <v>#N/A N/A</v>
        <stp/>
        <stp>BDP|9055515537650464955</stp>
        <tr r="D454" s="2"/>
      </tp>
      <tp t="s">
        <v>#N/A N/A</v>
        <stp/>
        <stp>BDP|6765214162733614751</stp>
        <tr r="G6" s="2"/>
      </tp>
      <tp t="s">
        <v>#N/A N/A</v>
        <stp/>
        <stp>BDP|7875544249348538877</stp>
        <tr r="G218" s="2"/>
      </tp>
      <tp t="s">
        <v>#N/A N/A</v>
        <stp/>
        <stp>BDP|8181605267949954787</stp>
        <tr r="H401" s="2"/>
      </tp>
      <tp t="s">
        <v>#N/A N/A</v>
        <stp/>
        <stp>BDP|7766024431780134220</stp>
        <tr r="I121" s="2"/>
      </tp>
      <tp t="s">
        <v>#N/A N/A</v>
        <stp/>
        <stp>BDP|3587084144233578280</stp>
        <tr r="N497" s="2"/>
      </tp>
      <tp t="s">
        <v>#N/A N/A</v>
        <stp/>
        <stp>BDP|6895420268844104679</stp>
        <tr r="I477" s="2"/>
      </tp>
      <tp t="s">
        <v>#N/A N/A</v>
        <stp/>
        <stp>BDP|8494665514120422967</stp>
        <tr r="M345" s="2"/>
      </tp>
      <tp t="s">
        <v>#N/A N/A</v>
        <stp/>
        <stp>BDP|1042069793277001917</stp>
        <tr r="I66" s="2"/>
      </tp>
      <tp t="s">
        <v>#N/A N/A</v>
        <stp/>
        <stp>BDP|3178241135871644527</stp>
        <tr r="K101" s="2"/>
      </tp>
      <tp t="s">
        <v>#N/A N/A</v>
        <stp/>
        <stp>BDP|6567560773725560718</stp>
        <tr r="E427" s="2"/>
      </tp>
      <tp t="s">
        <v>#N/A N/A</v>
        <stp/>
        <stp>BDP|3687508968992928434</stp>
        <tr r="I464" s="2"/>
      </tp>
      <tp t="s">
        <v>#N/A N/A</v>
        <stp/>
        <stp>BDP|2874695370727744221</stp>
        <tr r="E380" s="2"/>
      </tp>
      <tp t="s">
        <v>#N/A N/A</v>
        <stp/>
        <stp>BDP|2653252133147753236</stp>
        <tr r="R305" s="2"/>
      </tp>
      <tp t="s">
        <v>#N/A N/A</v>
        <stp/>
        <stp>BDP|1127124245695506775</stp>
        <tr r="I347" s="2"/>
      </tp>
      <tp t="s">
        <v>#N/A N/A</v>
        <stp/>
        <stp>BDP|3021733028157667791</stp>
        <tr r="K289" s="2"/>
      </tp>
      <tp t="s">
        <v>#N/A N/A</v>
        <stp/>
        <stp>BDP|6269370802794014729</stp>
        <tr r="P161" s="2"/>
      </tp>
      <tp t="s">
        <v>#N/A N/A</v>
        <stp/>
        <stp>BDP|7072250509523184080</stp>
        <tr r="M8" s="2"/>
      </tp>
      <tp t="s">
        <v>#N/A N/A</v>
        <stp/>
        <stp>BDP|8346522498856448480</stp>
        <tr r="K184" s="2"/>
      </tp>
      <tp t="s">
        <v>#N/A N/A</v>
        <stp/>
        <stp>BDP|8543174483741636629</stp>
        <tr r="J431" s="2"/>
      </tp>
      <tp t="s">
        <v>#N/A N/A</v>
        <stp/>
        <stp>BDP|9600734157375023878</stp>
        <tr r="Q274" s="2"/>
      </tp>
      <tp t="s">
        <v>#N/A N/A</v>
        <stp/>
        <stp>BDP|9140475495177756519</stp>
        <tr r="R132" s="2"/>
      </tp>
      <tp t="s">
        <v>#N/A N/A</v>
        <stp/>
        <stp>BDP|3745355740534098671</stp>
        <tr r="C39" s="2"/>
      </tp>
      <tp t="s">
        <v>#N/A N/A</v>
        <stp/>
        <stp>BDP|8208519797611888398</stp>
        <tr r="N216" s="2"/>
      </tp>
      <tp t="s">
        <v>#N/A N/A</v>
        <stp/>
        <stp>BDP|1337800380902669502</stp>
        <tr r="C117" s="2"/>
      </tp>
      <tp t="s">
        <v>#N/A N/A</v>
        <stp/>
        <stp>BDP|9959207919309020552</stp>
        <tr r="E37" s="2"/>
      </tp>
      <tp t="s">
        <v>#N/A N/A</v>
        <stp/>
        <stp>BDP|5503386905475476594</stp>
        <tr r="J158" s="2"/>
      </tp>
      <tp t="s">
        <v>#N/A N/A</v>
        <stp/>
        <stp>BDP|4676313007703560206</stp>
        <tr r="R358" s="2"/>
      </tp>
      <tp t="s">
        <v>#N/A N/A</v>
        <stp/>
        <stp>BDP|7497104857973500631</stp>
        <tr r="J69" s="2"/>
      </tp>
      <tp t="s">
        <v>#N/A N/A</v>
        <stp/>
        <stp>BDP|3272744093763480848</stp>
        <tr r="J42" s="2"/>
      </tp>
      <tp t="s">
        <v>#N/A N/A</v>
        <stp/>
        <stp>BDP|2408776968481879461</stp>
        <tr r="G131" s="2"/>
      </tp>
      <tp t="s">
        <v>#N/A N/A</v>
        <stp/>
        <stp>BDP|8345779827663072868</stp>
        <tr r="C20" s="2"/>
      </tp>
      <tp t="s">
        <v>#N/A N/A</v>
        <stp/>
        <stp>BDP|5618432096298206646</stp>
        <tr r="O77" s="2"/>
      </tp>
      <tp>
        <v>-1.2920000553131104</v>
        <stp/>
        <stp>BDP|14040948216575856429|22</stp>
        <stp>TER UW Equity</stp>
        <stp>RT_PX_CHG_PCT_1D</stp>
        <tr r="B477" s="2"/>
      </tp>
      <tp>
        <v>-2.0587000846862793</v>
        <stp/>
        <stp>BDP|10458767730466237840|22</stp>
        <stp>VST UN Equity</stp>
        <stp>RT_PX_CHG_PCT_1D</stp>
        <tr r="B239" s="2"/>
      </tp>
      <tp>
        <v>1.660599946975708</v>
        <stp/>
        <stp>BDP|14178903401127836563|22</stp>
        <stp>PCG UN Equity</stp>
        <stp>RT_PX_CHG_PCT_1D</stp>
        <tr r="B187" s="2"/>
      </tp>
      <tp>
        <v>0.27579998970031738</v>
        <stp/>
        <stp>BDP|11975785119986463438|22</stp>
        <stp>PHM UN Equity</stp>
        <stp>RT_PX_CHG_PCT_1D</stp>
        <tr r="B193" s="2"/>
      </tp>
      <tp>
        <v>-1.0420999526977539</v>
        <stp/>
        <stp>BDP|13275081037679571092|22</stp>
        <stp>BMY UN Equity</stp>
        <stp>RT_PX_CHG_PCT_1D</stp>
        <tr r="B76" s="2"/>
      </tp>
      <tp>
        <v>0.86729997396469116</v>
        <stp/>
        <stp>BDP|382702628928256564|22</stp>
        <stp>V UN Equity</stp>
        <stp>RT_PX_CHG_PCT_1D</stp>
        <tr r="B425" s="2"/>
      </tp>
      <tp>
        <v>0.53609997034072876</v>
        <stp/>
        <stp>BDP|14083169186361251142|22</stp>
        <stp>APH UN Equity</stp>
        <stp>RT_PX_CHG_PCT_1D</stp>
        <tr r="B345" s="2"/>
      </tp>
      <tp>
        <v>0.58310002088546753</v>
        <stp/>
        <stp>BDP|16126433156998783745|22</stp>
        <stp>EXC UW Equity</stp>
        <stp>RT_PX_CHG_PCT_1D</stp>
        <tr r="B489" s="2"/>
      </tp>
      <tp>
        <v>1.9026999473571777</v>
        <stp/>
        <stp>BDP|11003190038045659890|22</stp>
        <stp>FIS UN Equity</stp>
        <stp>RT_PX_CHG_PCT_1D</stp>
        <tr r="B406" s="2"/>
      </tp>
      <tp>
        <v>-0.15090000629425049</v>
        <stp/>
        <stp>BDP|15068397208570732182|22</stp>
        <stp>CMS UN Equity</stp>
        <stp>RT_PX_CHG_PCT_1D</stp>
        <tr r="B85" s="2"/>
      </tp>
      <tp>
        <v>1.4983999729156494</v>
        <stp/>
        <stp>BDP|13944176960152764810|22</stp>
        <stp>BXP UN Equity</stp>
        <stp>RT_PX_CHG_PCT_1D</stp>
        <tr r="B344" s="2"/>
      </tp>
      <tp>
        <v>0.20579999685287476</v>
        <stp/>
        <stp>BDP|14291631188963271905|22</stp>
        <stp>ED UN Equity</stp>
        <stp>RT_PX_CHG_PCT_1D</stp>
        <tr r="B90" s="2"/>
      </tp>
      <tp>
        <v>-5.59999980032444E-3</v>
        <stp/>
        <stp>BDP|13047125003881951831|22</stp>
        <stp>BX UN Equity</stp>
        <stp>RT_PX_CHG_PCT_1D</stp>
        <tr r="B230" s="2"/>
      </tp>
      <tp>
        <v>1.3935999870300293</v>
        <stp/>
        <stp>BDP|3626601683099750311|22</stp>
        <stp>MTCH UW Equity</stp>
        <stp>RT_PX_CHG_PCT_1D</stp>
        <tr r="B324" s="2"/>
      </tp>
      <tp t="s">
        <v>#N/A N/A</v>
        <stp/>
        <stp>BDP|3798856583786829233</stp>
        <tr r="P412" s="2"/>
      </tp>
      <tp t="s">
        <v>#N/A N/A</v>
        <stp/>
        <stp>BDP|4201483821430976589</stp>
        <tr r="F119" s="2"/>
      </tp>
      <tp t="s">
        <v>#N/A N/A</v>
        <stp/>
        <stp>BDP|6441428654434128492</stp>
        <tr r="M159" s="2"/>
      </tp>
      <tp t="s">
        <v>#N/A N/A</v>
        <stp/>
        <stp>BDP|7056565434024881202</stp>
        <tr r="Q471" s="2"/>
      </tp>
      <tp t="s">
        <v>#N/A N/A</v>
        <stp/>
        <stp>BDP|5453952265768622583</stp>
        <tr r="H246" s="2"/>
      </tp>
      <tp t="s">
        <v>#N/A N/A</v>
        <stp/>
        <stp>BDP|1807749215502744249</stp>
        <tr r="I128" s="2"/>
      </tp>
      <tp t="s">
        <v>#N/A N/A</v>
        <stp/>
        <stp>BDP|7513085570351539624</stp>
        <tr r="G316" s="2"/>
      </tp>
      <tp t="s">
        <v>#N/A N/A</v>
        <stp/>
        <stp>BDP|1798039974478276980</stp>
        <tr r="M456" s="2"/>
      </tp>
      <tp t="s">
        <v>#N/A N/A</v>
        <stp/>
        <stp>BDP|7807012057250710532</stp>
        <tr r="M445" s="2"/>
      </tp>
      <tp t="s">
        <v>#N/A N/A</v>
        <stp/>
        <stp>BDP|4238514555396848543</stp>
        <tr r="M192" s="2"/>
      </tp>
      <tp t="s">
        <v>#N/A N/A</v>
        <stp/>
        <stp>BDP|2724790735646608777</stp>
        <tr r="N225" s="2"/>
      </tp>
      <tp t="s">
        <v>#N/A N/A</v>
        <stp/>
        <stp>BDP|7730280553620174770</stp>
        <tr r="K166" s="2"/>
      </tp>
      <tp t="s">
        <v>#N/A N/A</v>
        <stp/>
        <stp>BDP|8488943905807901166</stp>
        <tr r="R464" s="2"/>
      </tp>
      <tp t="s">
        <v>#N/A N/A</v>
        <stp/>
        <stp>BDP|5983768254297862791</stp>
        <tr r="R81" s="2"/>
      </tp>
      <tp t="s">
        <v>#N/A N/A</v>
        <stp/>
        <stp>BDP|6678476194435975964</stp>
        <tr r="Q486" s="2"/>
      </tp>
      <tp t="s">
        <v>#N/A N/A</v>
        <stp/>
        <stp>BDP|4571466810952087496</stp>
        <tr r="E20" s="2"/>
      </tp>
      <tp t="s">
        <v>#N/A N/A</v>
        <stp/>
        <stp>BDP|7990177942011428431</stp>
        <tr r="R318" s="2"/>
      </tp>
      <tp t="s">
        <v>#N/A N/A</v>
        <stp/>
        <stp>BDP|8974365880953355773</stp>
        <tr r="L183" s="2"/>
      </tp>
      <tp t="s">
        <v>#N/A N/A</v>
        <stp/>
        <stp>BDP|2198115753604077580</stp>
        <tr r="K310" s="2"/>
      </tp>
      <tp t="s">
        <v>#N/A N/A</v>
        <stp/>
        <stp>BDP|1718251372811868230</stp>
        <tr r="F502" s="2"/>
      </tp>
      <tp t="s">
        <v>#N/A N/A</v>
        <stp/>
        <stp>BDP|3987508880288143137</stp>
        <tr r="H399" s="2"/>
      </tp>
      <tp t="s">
        <v>#N/A N/A</v>
        <stp/>
        <stp>BDP|1148282876047759432</stp>
        <tr r="M276" s="2"/>
      </tp>
      <tp t="s">
        <v>#N/A N/A</v>
        <stp/>
        <stp>BDP|4595025419113099155</stp>
        <tr r="O493" s="2"/>
      </tp>
      <tp t="s">
        <v>#N/A N/A</v>
        <stp/>
        <stp>BDP|7680721780266891972</stp>
        <tr r="J10" s="2"/>
      </tp>
      <tp t="s">
        <v>#N/A N/A</v>
        <stp/>
        <stp>BDP|2654220935241846523</stp>
        <tr r="L111" s="2"/>
      </tp>
      <tp t="s">
        <v>#N/A N/A</v>
        <stp/>
        <stp>BDP|7113202139485049436</stp>
        <tr r="G120" s="2"/>
      </tp>
      <tp t="s">
        <v>#N/A N/A</v>
        <stp/>
        <stp>BDP|3119760179750567405</stp>
        <tr r="F105" s="2"/>
      </tp>
      <tp t="s">
        <v>#N/A N/A</v>
        <stp/>
        <stp>BDP|5868884032391915804</stp>
        <tr r="E422" s="2"/>
      </tp>
      <tp t="s">
        <v>#N/A N/A</v>
        <stp/>
        <stp>BDP|2844085038087732146</stp>
        <tr r="L32" s="2"/>
      </tp>
      <tp t="s">
        <v>#N/A N/A</v>
        <stp/>
        <stp>BDP|7285829983108818806</stp>
        <tr r="R303" s="2"/>
      </tp>
      <tp t="s">
        <v>#N/A N/A</v>
        <stp/>
        <stp>BDP|2526741750462920533</stp>
        <tr r="O392" s="2"/>
      </tp>
      <tp t="s">
        <v>#N/A N/A</v>
        <stp/>
        <stp>BDP|4776099837396486663</stp>
        <tr r="H234" s="2"/>
      </tp>
      <tp t="s">
        <v>#N/A N/A</v>
        <stp/>
        <stp>BDP|8558022096471995702</stp>
        <tr r="E155" s="2"/>
      </tp>
      <tp t="s">
        <v>#N/A N/A</v>
        <stp/>
        <stp>BDP|3616279524331598589</stp>
        <tr r="J155" s="2"/>
      </tp>
      <tp t="s">
        <v>#N/A N/A</v>
        <stp/>
        <stp>BDP|8925935864011549139</stp>
        <tr r="R189" s="2"/>
      </tp>
      <tp t="s">
        <v>#N/A N/A</v>
        <stp/>
        <stp>BDP|8192644776656312880</stp>
        <tr r="E225" s="2"/>
      </tp>
      <tp t="s">
        <v>#N/A N/A</v>
        <stp/>
        <stp>BDP|7982285608515077712</stp>
        <tr r="M308" s="2"/>
      </tp>
      <tp t="s">
        <v>#N/A N/A</v>
        <stp/>
        <stp>BDP|4992439072640181011</stp>
        <tr r="R98" s="2"/>
      </tp>
      <tp t="s">
        <v>#N/A N/A</v>
        <stp/>
        <stp>BDP|3048764433758542881</stp>
        <tr r="K94" s="2"/>
      </tp>
      <tp t="s">
        <v>#N/A N/A</v>
        <stp/>
        <stp>BDP|8541253949560857990</stp>
        <tr r="I275" s="2"/>
      </tp>
      <tp t="s">
        <v>#N/A N/A</v>
        <stp/>
        <stp>BDP|5618437241350879244</stp>
        <tr r="P356" s="2"/>
      </tp>
      <tp t="s">
        <v>#N/A N/A</v>
        <stp/>
        <stp>BDP|5747231341176510283</stp>
        <tr r="H367" s="2"/>
      </tp>
      <tp t="s">
        <v>#N/A N/A</v>
        <stp/>
        <stp>BDP|3529928586124071185</stp>
        <tr r="G146" s="2"/>
      </tp>
      <tp t="s">
        <v>#N/A N/A</v>
        <stp/>
        <stp>BDP|4083074061704810172</stp>
        <tr r="O488" s="2"/>
      </tp>
      <tp t="s">
        <v>#N/A N/A</v>
        <stp/>
        <stp>BDP|7010888371229960696</stp>
        <tr r="R62" s="2"/>
      </tp>
      <tp t="s">
        <v>#N/A N/A</v>
        <stp/>
        <stp>BDP|3142097844699674938</stp>
        <tr r="Q209" s="2"/>
      </tp>
      <tp t="s">
        <v>#N/A N/A</v>
        <stp/>
        <stp>BDP|5678660852520395181</stp>
        <tr r="J360" s="2"/>
      </tp>
      <tp t="s">
        <v>#N/A N/A</v>
        <stp/>
        <stp>BDP|4533648948455065405</stp>
        <tr r="M85" s="2"/>
      </tp>
      <tp t="s">
        <v>#N/A N/A</v>
        <stp/>
        <stp>BDP|4298829348837476850</stp>
        <tr r="E221" s="2"/>
      </tp>
      <tp t="s">
        <v>#N/A N/A</v>
        <stp/>
        <stp>BDP|7892517692394415863</stp>
        <tr r="D268" s="2"/>
      </tp>
      <tp t="s">
        <v>#N/A N/A</v>
        <stp/>
        <stp>BDP|7347243026269097982</stp>
        <tr r="H475" s="2"/>
      </tp>
      <tp t="s">
        <v>#N/A N/A</v>
        <stp/>
        <stp>BDP|9357197264360726902</stp>
        <tr r="C107" s="2"/>
      </tp>
      <tp t="s">
        <v>#N/A N/A</v>
        <stp/>
        <stp>BDP|4635084562417428212</stp>
        <tr r="D467" s="2"/>
      </tp>
      <tp t="s">
        <v>#N/A N/A</v>
        <stp/>
        <stp>BDP|1704162377765784588</stp>
        <tr r="M429" s="2"/>
      </tp>
      <tp t="s">
        <v>#N/A N/A</v>
        <stp/>
        <stp>BDP|5779161719643207134</stp>
        <tr r="K446" s="2"/>
      </tp>
      <tp t="s">
        <v>#N/A N/A</v>
        <stp/>
        <stp>BDP|5604144845167956077</stp>
        <tr r="D43" s="2"/>
      </tp>
      <tp t="s">
        <v>#N/A N/A</v>
        <stp/>
        <stp>BDP|3519678679677191231</stp>
        <tr r="F503" s="2"/>
      </tp>
      <tp t="s">
        <v>#N/A N/A</v>
        <stp/>
        <stp>BDP|5651093559103958464</stp>
        <tr r="O331" s="2"/>
      </tp>
      <tp t="s">
        <v>#N/A N/A</v>
        <stp/>
        <stp>BDP|4182873750759842701</stp>
        <tr r="O439" s="2"/>
      </tp>
      <tp t="s">
        <v>#N/A N/A</v>
        <stp/>
        <stp>BDP|8246894722431056479</stp>
        <tr r="E360" s="2"/>
      </tp>
      <tp t="s">
        <v>#N/A N/A</v>
        <stp/>
        <stp>BDP|4569453467887138685</stp>
        <tr r="N59" s="2"/>
      </tp>
      <tp t="s">
        <v>#N/A N/A</v>
        <stp/>
        <stp>BDP|4860070425272616329</stp>
        <tr r="C228" s="2"/>
      </tp>
      <tp t="s">
        <v>#N/A N/A</v>
        <stp/>
        <stp>BDP|7793335938783521375</stp>
        <tr r="K442" s="2"/>
      </tp>
      <tp t="s">
        <v>#N/A N/A</v>
        <stp/>
        <stp>BDP|5961769871245576754</stp>
        <tr r="M354" s="2"/>
      </tp>
      <tp t="s">
        <v>#N/A N/A</v>
        <stp/>
        <stp>BDP|4547590451503326003</stp>
        <tr r="L385" s="2"/>
      </tp>
      <tp t="s">
        <v>#N/A N/A</v>
        <stp/>
        <stp>BDP|1258920782276860142</stp>
        <tr r="M420" s="2"/>
      </tp>
      <tp t="s">
        <v>#N/A N/A</v>
        <stp/>
        <stp>BDP|2910960740400043813</stp>
        <tr r="H4" s="2"/>
      </tp>
      <tp t="s">
        <v>#N/A N/A</v>
        <stp/>
        <stp>BDP|2572581056001052451</stp>
        <tr r="Q80" s="2"/>
      </tp>
      <tp t="s">
        <v>#N/A N/A</v>
        <stp/>
        <stp>BDP|3923794805693314084</stp>
        <tr r="C445" s="2"/>
      </tp>
      <tp t="s">
        <v>#N/A N/A</v>
        <stp/>
        <stp>BDP|3565540147044920111</stp>
        <tr r="M22" s="2"/>
      </tp>
      <tp t="s">
        <v>#N/A N/A</v>
        <stp/>
        <stp>BDP|1725986496761672710</stp>
        <tr r="P437" s="2"/>
      </tp>
      <tp t="s">
        <v>#N/A N/A</v>
        <stp/>
        <stp>BDP|3405775903143849067</stp>
        <tr r="O395" s="2"/>
      </tp>
      <tp t="s">
        <v>#N/A N/A</v>
        <stp/>
        <stp>BDP|4552386730616708542</stp>
        <tr r="L303" s="2"/>
      </tp>
      <tp t="s">
        <v>#N/A N/A</v>
        <stp/>
        <stp>BDP|2935628488963973843</stp>
        <tr r="R251" s="2"/>
      </tp>
      <tp t="s">
        <v>#N/A N/A</v>
        <stp/>
        <stp>BDP|5023290246871292528</stp>
        <tr r="K424" s="2"/>
      </tp>
      <tp t="s">
        <v>#N/A N/A</v>
        <stp/>
        <stp>BDP|5256494684158587653</stp>
        <tr r="Q36" s="2"/>
      </tp>
      <tp t="s">
        <v>#N/A N/A</v>
        <stp/>
        <stp>BDP|5189606248237568736</stp>
        <tr r="P202" s="2"/>
      </tp>
      <tp t="s">
        <v>#N/A N/A</v>
        <stp/>
        <stp>BDP|9411586846826749927</stp>
        <tr r="I486" s="2"/>
      </tp>
      <tp t="s">
        <v>#N/A N/A</v>
        <stp/>
        <stp>BDP|1421686832016260533</stp>
        <tr r="R229" s="2"/>
      </tp>
      <tp t="s">
        <v>#N/A N/A</v>
        <stp/>
        <stp>BDP|9238994347150062333</stp>
        <tr r="G219" s="2"/>
      </tp>
      <tp t="s">
        <v>#N/A N/A</v>
        <stp/>
        <stp>BDP|9870437882830527239</stp>
        <tr r="P60" s="2"/>
      </tp>
      <tp t="s">
        <v>#N/A N/A</v>
        <stp/>
        <stp>BDP|1034793704252179336</stp>
        <tr r="J133" s="2"/>
      </tp>
      <tp t="s">
        <v>#N/A N/A</v>
        <stp/>
        <stp>BDP|6522888584883594238</stp>
        <tr r="F457" s="2"/>
      </tp>
      <tp t="s">
        <v>#N/A N/A</v>
        <stp/>
        <stp>BDP|4775711265070924256</stp>
        <tr r="G307" s="2"/>
      </tp>
      <tp t="s">
        <v>#N/A N/A</v>
        <stp/>
        <stp>BDP|2741112468274454654</stp>
        <tr r="K399" s="2"/>
      </tp>
      <tp t="s">
        <v>#N/A N/A</v>
        <stp/>
        <stp>BDP|2539854221136822962</stp>
        <tr r="N263" s="2"/>
      </tp>
      <tp t="s">
        <v>#N/A N/A</v>
        <stp/>
        <stp>BDP|3196574311566343685</stp>
        <tr r="F473" s="2"/>
      </tp>
      <tp t="s">
        <v>#N/A N/A</v>
        <stp/>
        <stp>BDP|9126118202106724990</stp>
        <tr r="K438" s="2"/>
      </tp>
      <tp t="s">
        <v>#N/A N/A</v>
        <stp/>
        <stp>BDP|8438323644820758895</stp>
        <tr r="Q470" s="2"/>
      </tp>
      <tp t="s">
        <v>#N/A N/A</v>
        <stp/>
        <stp>BDP|2760204428415173029</stp>
        <tr r="M330" s="2"/>
      </tp>
      <tp t="s">
        <v>#N/A N/A</v>
        <stp/>
        <stp>BDP|8398385780465456135</stp>
        <tr r="D438" s="2"/>
      </tp>
      <tp t="s">
        <v>#N/A N/A</v>
        <stp/>
        <stp>BDP|4383297706672038302</stp>
        <tr r="J124" s="2"/>
      </tp>
      <tp t="s">
        <v>#N/A N/A</v>
        <stp/>
        <stp>BDP|1673111501970324796</stp>
        <tr r="P391" s="2"/>
      </tp>
      <tp t="s">
        <v>#N/A N/A</v>
        <stp/>
        <stp>BDP|6174015441800936546</stp>
        <tr r="G410" s="2"/>
      </tp>
      <tp t="s">
        <v>#N/A N/A</v>
        <stp/>
        <stp>BDP|9449096682296266018</stp>
        <tr r="E78" s="2"/>
      </tp>
      <tp t="s">
        <v>#N/A N/A</v>
        <stp/>
        <stp>BDP|9138426592754452799</stp>
        <tr r="L3" s="2"/>
      </tp>
      <tp t="s">
        <v>#N/A N/A</v>
        <stp/>
        <stp>BDP|7131156735570436292</stp>
        <tr r="O129" s="2"/>
      </tp>
      <tp t="s">
        <v>#N/A N/A</v>
        <stp/>
        <stp>BDP|5427725684718891569</stp>
        <tr r="C60" s="2"/>
      </tp>
      <tp t="s">
        <v>#N/A N/A</v>
        <stp/>
        <stp>BDP|6691383640376012028</stp>
        <tr r="D104" s="2"/>
      </tp>
      <tp t="s">
        <v>#N/A N/A</v>
        <stp/>
        <stp>BDP|8652587184865586732</stp>
        <tr r="E223" s="2"/>
      </tp>
      <tp t="s">
        <v>#N/A N/A</v>
        <stp/>
        <stp>BDP|4521060730182885279</stp>
        <tr r="M177" s="2"/>
      </tp>
      <tp t="s">
        <v>#N/A N/A</v>
        <stp/>
        <stp>BDP|5922176128390821120</stp>
        <tr r="O179" s="2"/>
      </tp>
      <tp t="s">
        <v>#N/A N/A</v>
        <stp/>
        <stp>BDP|2017232739537706312</stp>
        <tr r="I20" s="2"/>
      </tp>
      <tp t="s">
        <v>#N/A N/A</v>
        <stp/>
        <stp>BDP|7798978537452235892</stp>
        <tr r="E71" s="2"/>
      </tp>
      <tp t="s">
        <v>#N/A N/A</v>
        <stp/>
        <stp>BDP|5129399324223147019</stp>
        <tr r="R476" s="2"/>
      </tp>
      <tp t="s">
        <v>#N/A N/A</v>
        <stp/>
        <stp>BDP|4093685889325930848</stp>
        <tr r="L409" s="2"/>
      </tp>
      <tp t="s">
        <v>#N/A N/A</v>
        <stp/>
        <stp>BDP|8392558213159943203</stp>
        <tr r="R264" s="2"/>
      </tp>
      <tp t="s">
        <v>#N/A N/A</v>
        <stp/>
        <stp>BDP|4845550529226835202</stp>
        <tr r="C280" s="2"/>
      </tp>
      <tp t="s">
        <v>#N/A N/A</v>
        <stp/>
        <stp>BDP|7593612646874959671</stp>
        <tr r="D36" s="2"/>
      </tp>
      <tp t="s">
        <v>#N/A N/A</v>
        <stp/>
        <stp>BDP|9054436355677984825</stp>
        <tr r="O366" s="2"/>
      </tp>
      <tp t="s">
        <v>#N/A N/A</v>
        <stp/>
        <stp>BDP|5268587861584454529</stp>
        <tr r="N455" s="2"/>
      </tp>
      <tp t="s">
        <v>#N/A N/A</v>
        <stp/>
        <stp>BDP|9896684295737153694</stp>
        <tr r="L435" s="2"/>
      </tp>
      <tp t="s">
        <v>#N/A N/A</v>
        <stp/>
        <stp>BDP|1496070529970433439</stp>
        <tr r="G477" s="2"/>
      </tp>
      <tp t="s">
        <v>#N/A N/A</v>
        <stp/>
        <stp>BDP|6429959995022141385</stp>
        <tr r="N86" s="2"/>
      </tp>
      <tp t="s">
        <v>#N/A N/A</v>
        <stp/>
        <stp>BDP|5131598060279072852</stp>
        <tr r="K177" s="2"/>
      </tp>
      <tp t="s">
        <v>#N/A N/A</v>
        <stp/>
        <stp>BDP|4007364159291534479</stp>
        <tr r="N374" s="2"/>
      </tp>
      <tp t="s">
        <v>#N/A N/A</v>
        <stp/>
        <stp>BDP|5614620152538906925</stp>
        <tr r="O398" s="2"/>
      </tp>
      <tp t="s">
        <v>#N/A N/A</v>
        <stp/>
        <stp>BDP|8732332908565365921</stp>
        <tr r="N386" s="2"/>
      </tp>
      <tp t="s">
        <v>#N/A N/A</v>
        <stp/>
        <stp>BDP|1929114417200268600</stp>
        <tr r="G248" s="2"/>
      </tp>
      <tp t="s">
        <v>#N/A N/A</v>
        <stp/>
        <stp>BDP|4536525571668971922</stp>
        <tr r="I294" s="2"/>
      </tp>
      <tp t="s">
        <v>#N/A N/A</v>
        <stp/>
        <stp>BDP|2820981362262620896</stp>
        <tr r="H245" s="2"/>
      </tp>
      <tp t="s">
        <v>#N/A N/A</v>
        <stp/>
        <stp>BDP|8904992364028167881</stp>
        <tr r="P369" s="2"/>
      </tp>
      <tp t="s">
        <v>#N/A N/A</v>
        <stp/>
        <stp>BDP|2159240567493970262</stp>
        <tr r="R316" s="2"/>
      </tp>
      <tp t="s">
        <v>#N/A N/A</v>
        <stp/>
        <stp>BDP|7464479112587942258</stp>
        <tr r="K130" s="2"/>
      </tp>
      <tp>
        <v>0.21050000190734863</v>
        <stp/>
        <stp>BDP|4976884351606250734|22</stp>
        <stp>ANET UN Equity</stp>
        <stp>RT_PX_CHG_PCT_1D</stp>
        <tr r="B217" s="2"/>
      </tp>
      <tp t="s">
        <v>#N/A N/A</v>
        <stp/>
        <stp>BDP|7521519580214176977</stp>
        <tr r="G241" s="2"/>
      </tp>
      <tp t="s">
        <v>#N/A N/A</v>
        <stp/>
        <stp>BDP|9571413232910457900</stp>
        <tr r="F208" s="2"/>
      </tp>
      <tp t="s">
        <v>#N/A N/A</v>
        <stp/>
        <stp>BDP|7885558508866434333</stp>
        <tr r="K366" s="2"/>
      </tp>
      <tp t="s">
        <v>#N/A N/A</v>
        <stp/>
        <stp>BDP|5539007531156356758</stp>
        <tr r="Q122" s="2"/>
      </tp>
      <tp t="s">
        <v>#N/A N/A</v>
        <stp/>
        <stp>BDP|2315631272316284220</stp>
        <tr r="I225" s="2"/>
      </tp>
      <tp t="s">
        <v>#N/A N/A</v>
        <stp/>
        <stp>BDP|6076240486292794977</stp>
        <tr r="L62" s="2"/>
      </tp>
      <tp t="s">
        <v>#N/A N/A</v>
        <stp/>
        <stp>BDP|3919779424622071383</stp>
        <tr r="E3" s="2"/>
      </tp>
      <tp t="s">
        <v>#N/A N/A</v>
        <stp/>
        <stp>BDP|1047249641741701107</stp>
        <tr r="L360" s="2"/>
      </tp>
      <tp t="s">
        <v>#N/A N/A</v>
        <stp/>
        <stp>BDP|4598653956542037242</stp>
        <tr r="F292" s="2"/>
      </tp>
      <tp t="s">
        <v>#N/A N/A</v>
        <stp/>
        <stp>BDP|5001395536194812654</stp>
        <tr r="P211" s="2"/>
      </tp>
      <tp t="s">
        <v>#N/A N/A</v>
        <stp/>
        <stp>BDP|5803163958926428008</stp>
        <tr r="E243" s="2"/>
      </tp>
      <tp t="s">
        <v>#N/A N/A</v>
        <stp/>
        <stp>BDP|6442669765980346160</stp>
        <tr r="F2" s="2"/>
      </tp>
      <tp t="s">
        <v>#N/A N/A</v>
        <stp/>
        <stp>BDP|5780411527903761745</stp>
        <tr r="Q496" s="2"/>
      </tp>
      <tp t="s">
        <v>#N/A N/A</v>
        <stp/>
        <stp>BDP|4773470964451223042</stp>
        <tr r="G178" s="2"/>
      </tp>
      <tp t="s">
        <v>#N/A N/A</v>
        <stp/>
        <stp>BDP|9579135445103933883</stp>
        <tr r="I168" s="2"/>
      </tp>
      <tp t="s">
        <v>#N/A N/A</v>
        <stp/>
        <stp>BDP|5416088551397911068</stp>
        <tr r="F500" s="2"/>
      </tp>
      <tp t="s">
        <v>#N/A N/A</v>
        <stp/>
        <stp>BDP|9653075353749461244</stp>
        <tr r="N242" s="2"/>
      </tp>
      <tp t="s">
        <v>#N/A N/A</v>
        <stp/>
        <stp>BDP|7352215577990347548</stp>
        <tr r="E440" s="2"/>
      </tp>
      <tp t="s">
        <v>#N/A N/A</v>
        <stp/>
        <stp>BDP|2026379883076478828</stp>
        <tr r="J115" s="2"/>
      </tp>
      <tp t="s">
        <v>#N/A N/A</v>
        <stp/>
        <stp>BDP|7415962378126119897</stp>
        <tr r="E64" s="2"/>
      </tp>
      <tp t="s">
        <v>#N/A N/A</v>
        <stp/>
        <stp>BDP|8040822421502059712</stp>
        <tr r="D476" s="2"/>
      </tp>
      <tp t="s">
        <v>#N/A N/A</v>
        <stp/>
        <stp>BDP|8546904726693008711</stp>
        <tr r="F264" s="2"/>
      </tp>
      <tp t="s">
        <v>#N/A N/A</v>
        <stp/>
        <stp>BDP|8563847603422635561</stp>
        <tr r="O103" s="2"/>
      </tp>
      <tp t="s">
        <v>#N/A N/A</v>
        <stp/>
        <stp>BDP|6704129047703000708</stp>
        <tr r="Q149" s="2"/>
      </tp>
      <tp t="s">
        <v>#N/A N/A</v>
        <stp/>
        <stp>BDP|5722142653727647145</stp>
        <tr r="H255" s="2"/>
      </tp>
      <tp t="s">
        <v>#N/A N/A</v>
        <stp/>
        <stp>BDP|5191423344981729327</stp>
        <tr r="H83" s="2"/>
      </tp>
      <tp t="s">
        <v>#N/A N/A</v>
        <stp/>
        <stp>BDP|1260450623683507329</stp>
        <tr r="G221" s="2"/>
      </tp>
      <tp t="s">
        <v>#N/A N/A</v>
        <stp/>
        <stp>BDP|4855334516857917670</stp>
        <tr r="C153" s="2"/>
      </tp>
      <tp t="s">
        <v>#N/A N/A</v>
        <stp/>
        <stp>BDP|1667513316837529577</stp>
        <tr r="H161" s="2"/>
      </tp>
      <tp t="s">
        <v>#N/A N/A</v>
        <stp/>
        <stp>BDP|4741813153357396956</stp>
        <tr r="H306" s="2"/>
      </tp>
      <tp t="s">
        <v>#N/A N/A</v>
        <stp/>
        <stp>BDP|6290779152744495702</stp>
        <tr r="H263" s="2"/>
      </tp>
      <tp t="s">
        <v>#N/A N/A</v>
        <stp/>
        <stp>BDP|8998215229198600741</stp>
        <tr r="G234" s="2"/>
      </tp>
      <tp t="s">
        <v>#N/A N/A</v>
        <stp/>
        <stp>BDP|7135670321452488600</stp>
        <tr r="F454" s="2"/>
      </tp>
      <tp t="s">
        <v>#N/A N/A</v>
        <stp/>
        <stp>BDP|7564158258462344680</stp>
        <tr r="F283" s="2"/>
      </tp>
      <tp t="s">
        <v>#N/A N/A</v>
        <stp/>
        <stp>BDP|6471445976240570209</stp>
        <tr r="I203" s="2"/>
      </tp>
      <tp t="s">
        <v>#N/A N/A</v>
        <stp/>
        <stp>BDP|1566102127284102106</stp>
        <tr r="Q501" s="2"/>
      </tp>
      <tp t="s">
        <v>#N/A N/A</v>
        <stp/>
        <stp>BDP|5517165461683032611</stp>
        <tr r="I124" s="2"/>
      </tp>
      <tp t="s">
        <v>#N/A N/A</v>
        <stp/>
        <stp>BDP|9914187382447132012</stp>
        <tr r="L185" s="2"/>
      </tp>
      <tp t="s">
        <v>#N/A N/A</v>
        <stp/>
        <stp>BDP|5315750250062332260</stp>
        <tr r="E335" s="2"/>
      </tp>
      <tp t="s">
        <v>#N/A N/A</v>
        <stp/>
        <stp>BDP|4853894396294034642</stp>
        <tr r="F154" s="2"/>
      </tp>
      <tp t="s">
        <v>#N/A N/A</v>
        <stp/>
        <stp>BDP|3893716034521797196</stp>
        <tr r="C212" s="2"/>
      </tp>
      <tp t="s">
        <v>#N/A N/A</v>
        <stp/>
        <stp>BDP|5662842869404800805</stp>
        <tr r="H264" s="2"/>
      </tp>
      <tp t="s">
        <v>#N/A N/A</v>
        <stp/>
        <stp>BDP|4071308273931542656</stp>
        <tr r="N233" s="2"/>
      </tp>
      <tp t="s">
        <v>#N/A N/A</v>
        <stp/>
        <stp>BDP|2550560904354443406</stp>
        <tr r="J37" s="2"/>
      </tp>
      <tp t="s">
        <v>#N/A N/A</v>
        <stp/>
        <stp>BDP|6308670664125653453</stp>
        <tr r="P347" s="2"/>
      </tp>
      <tp t="s">
        <v>#N/A N/A</v>
        <stp/>
        <stp>BDP|3621205460030771026</stp>
        <tr r="K169" s="2"/>
      </tp>
      <tp t="s">
        <v>#N/A N/A</v>
        <stp/>
        <stp>BDP|7799347170625750144</stp>
        <tr r="J294" s="2"/>
      </tp>
      <tp t="s">
        <v>#N/A N/A</v>
        <stp/>
        <stp>BDP|3093002957095166465</stp>
        <tr r="C51" s="2"/>
      </tp>
      <tp t="s">
        <v>#N/A N/A</v>
        <stp/>
        <stp>BDP|1789230923614207256</stp>
        <tr r="G220" s="2"/>
      </tp>
      <tp t="s">
        <v>#N/A N/A</v>
        <stp/>
        <stp>BDP|2334956596386655369</stp>
        <tr r="D292" s="2"/>
      </tp>
      <tp t="s">
        <v>#N/A N/A</v>
        <stp/>
        <stp>BDP|9723948877631164150</stp>
        <tr r="L462" s="2"/>
      </tp>
      <tp t="s">
        <v>#N/A N/A</v>
        <stp/>
        <stp>BDP|6689245030503073325</stp>
        <tr r="M71" s="2"/>
      </tp>
      <tp t="s">
        <v>#N/A N/A</v>
        <stp/>
        <stp>BDP|7015803060599281722</stp>
        <tr r="C134" s="2"/>
      </tp>
      <tp t="s">
        <v>#N/A N/A</v>
        <stp/>
        <stp>BDP|2594470827237434415</stp>
        <tr r="I427" s="2"/>
      </tp>
      <tp t="s">
        <v>#N/A N/A</v>
        <stp/>
        <stp>BDP|4872683563944762744</stp>
        <tr r="E281" s="2"/>
      </tp>
      <tp t="s">
        <v>#N/A N/A</v>
        <stp/>
        <stp>BDP|2964101238831529642</stp>
        <tr r="F115" s="2"/>
      </tp>
      <tp t="s">
        <v>#N/A N/A</v>
        <stp/>
        <stp>BDP|2170629079382327690</stp>
        <tr r="N341" s="2"/>
      </tp>
      <tp t="s">
        <v>#N/A N/A</v>
        <stp/>
        <stp>BDP|8199359496983370610</stp>
        <tr r="M279" s="2"/>
      </tp>
      <tp t="s">
        <v>#N/A N/A</v>
        <stp/>
        <stp>BDP|9018878781449432720</stp>
        <tr r="C50" s="2"/>
      </tp>
      <tp t="s">
        <v>#N/A N/A</v>
        <stp/>
        <stp>BDP|8053936200663250513</stp>
        <tr r="P17" s="2"/>
      </tp>
      <tp t="s">
        <v>#N/A N/A</v>
        <stp/>
        <stp>BDP|6461797268027250777</stp>
        <tr r="J256" s="2"/>
      </tp>
      <tp t="s">
        <v>#N/A N/A</v>
        <stp/>
        <stp>BDP|5845800999175456653</stp>
        <tr r="K37" s="2"/>
      </tp>
      <tp t="s">
        <v>#N/A N/A</v>
        <stp/>
        <stp>BDP|4117532860525564573</stp>
        <tr r="E306" s="2"/>
      </tp>
      <tp t="s">
        <v>#N/A N/A</v>
        <stp/>
        <stp>BDP|2334144964555046734</stp>
        <tr r="L422" s="2"/>
      </tp>
      <tp t="s">
        <v>#N/A N/A</v>
        <stp/>
        <stp>BDP|5244603088225358992</stp>
        <tr r="G64" s="2"/>
      </tp>
      <tp t="s">
        <v>#N/A N/A</v>
        <stp/>
        <stp>BDP|2277081035244801271</stp>
        <tr r="C187" s="2"/>
      </tp>
      <tp t="s">
        <v>#N/A N/A</v>
        <stp/>
        <stp>BDP|2647477848514993108</stp>
        <tr r="J419" s="2"/>
      </tp>
      <tp t="s">
        <v>#N/A N/A</v>
        <stp/>
        <stp>BDP|4151824030361633948</stp>
        <tr r="O225" s="2"/>
      </tp>
      <tp t="s">
        <v>#N/A N/A</v>
        <stp/>
        <stp>BDP|3939870408009584522</stp>
        <tr r="G486" s="2"/>
      </tp>
      <tp t="s">
        <v>#N/A N/A</v>
        <stp/>
        <stp>BDP|9587779201701679849</stp>
        <tr r="C449" s="2"/>
      </tp>
      <tp t="s">
        <v>#N/A N/A</v>
        <stp/>
        <stp>BDP|7909429409266461275</stp>
        <tr r="N147" s="2"/>
      </tp>
      <tp t="s">
        <v>#N/A N/A</v>
        <stp/>
        <stp>BDP|2649529746574576065</stp>
        <tr r="E126" s="2"/>
      </tp>
      <tp t="s">
        <v>#N/A N/A</v>
        <stp/>
        <stp>BDP|6786000141397551223</stp>
        <tr r="H35" s="2"/>
      </tp>
      <tp t="s">
        <v>#N/A N/A</v>
        <stp/>
        <stp>BDP|8308050372531413918</stp>
        <tr r="D315" s="2"/>
      </tp>
      <tp t="s">
        <v>#N/A N/A</v>
        <stp/>
        <stp>BDP|6930629382358853703</stp>
        <tr r="K444" s="2"/>
      </tp>
      <tp t="s">
        <v>#N/A N/A</v>
        <stp/>
        <stp>BDP|2129275333806586218</stp>
        <tr r="O415" s="2"/>
      </tp>
      <tp t="s">
        <v>#N/A N/A</v>
        <stp/>
        <stp>BDP|4951236996858445091</stp>
        <tr r="Q244" s="2"/>
      </tp>
      <tp t="s">
        <v>#N/A N/A</v>
        <stp/>
        <stp>BDP|3588419212219330841</stp>
        <tr r="G231" s="2"/>
      </tp>
      <tp t="s">
        <v>#N/A N/A</v>
        <stp/>
        <stp>BDP|5707026165251177503</stp>
        <tr r="L431" s="2"/>
      </tp>
      <tp t="s">
        <v>#N/A N/A</v>
        <stp/>
        <stp>BDP|6854514224577861142</stp>
        <tr r="N343" s="2"/>
      </tp>
      <tp t="s">
        <v>#N/A N/A</v>
        <stp/>
        <stp>BDP|6863316573096824332</stp>
        <tr r="E18" s="2"/>
      </tp>
      <tp t="s">
        <v>#N/A N/A</v>
        <stp/>
        <stp>BDP|4684133939008598980</stp>
        <tr r="F209" s="2"/>
      </tp>
      <tp t="s">
        <v>#N/A N/A</v>
        <stp/>
        <stp>BDP|2810641217015818723</stp>
        <tr r="H294" s="2"/>
      </tp>
      <tp t="s">
        <v>#N/A N/A</v>
        <stp/>
        <stp>BDP|5074962494520675252</stp>
        <tr r="L460" s="2"/>
      </tp>
      <tp t="s">
        <v>#N/A N/A</v>
        <stp/>
        <stp>BDP|8160677205341556873</stp>
        <tr r="Q51" s="2"/>
      </tp>
      <tp t="s">
        <v>#N/A N/A</v>
        <stp/>
        <stp>BDP|1740322537367501162</stp>
        <tr r="C223" s="2"/>
      </tp>
      <tp t="s">
        <v>#N/A N/A</v>
        <stp/>
        <stp>BDP|7337356918304792688</stp>
        <tr r="E334" s="2"/>
      </tp>
      <tp t="s">
        <v>#N/A N/A</v>
        <stp/>
        <stp>BDP|6381219037496512613</stp>
        <tr r="F33" s="2"/>
      </tp>
      <tp t="s">
        <v>#N/A N/A</v>
        <stp/>
        <stp>BDP|8488878187597453816</stp>
        <tr r="F160" s="2"/>
      </tp>
      <tp>
        <v>2.7674000263214111</v>
        <stp/>
        <stp>BDP|7663009653911079556|22</stp>
        <stp>IDXX UW Equity</stp>
        <stp>RT_PX_CHG_PCT_1D</stp>
        <tr r="B279" s="2"/>
      </tp>
      <tp t="s">
        <v>#N/A N/A</v>
        <stp/>
        <stp>BDP|3366553209056899715</stp>
        <tr r="O133" s="2"/>
      </tp>
      <tp t="s">
        <v>#N/A N/A</v>
        <stp/>
        <stp>BDP|8698433446787141841</stp>
        <tr r="N288" s="2"/>
      </tp>
      <tp t="s">
        <v>#N/A N/A</v>
        <stp/>
        <stp>BDP|5016700839992757485</stp>
        <tr r="L23" s="2"/>
      </tp>
      <tp t="s">
        <v>#N/A N/A</v>
        <stp/>
        <stp>BDP|7614608605615533304</stp>
        <tr r="O368" s="2"/>
      </tp>
      <tp t="s">
        <v>#N/A N/A</v>
        <stp/>
        <stp>BDP|3281229816517880084</stp>
        <tr r="R162" s="2"/>
      </tp>
      <tp t="s">
        <v>#N/A N/A</v>
        <stp/>
        <stp>BDP|7185137500618761932</stp>
        <tr r="J348" s="2"/>
      </tp>
      <tp t="s">
        <v>#N/A N/A</v>
        <stp/>
        <stp>BDP|5090063492568401361</stp>
        <tr r="P252" s="2"/>
      </tp>
      <tp t="s">
        <v>#N/A N/A</v>
        <stp/>
        <stp>BDP|7664503240046207724</stp>
        <tr r="I243" s="2"/>
      </tp>
      <tp t="s">
        <v>#N/A N/A</v>
        <stp/>
        <stp>BDP|4082115126897767763</stp>
        <tr r="R250" s="2"/>
      </tp>
      <tp t="s">
        <v>#N/A N/A</v>
        <stp/>
        <stp>BDP|8726941901446424000</stp>
        <tr r="C331" s="2"/>
      </tp>
      <tp t="s">
        <v>#N/A N/A</v>
        <stp/>
        <stp>BDP|4806266521360909301</stp>
        <tr r="D286" s="2"/>
      </tp>
      <tp t="s">
        <v>#N/A N/A</v>
        <stp/>
        <stp>BDP|7453247038299670883</stp>
        <tr r="L477" s="2"/>
      </tp>
      <tp t="s">
        <v>#N/A N/A</v>
        <stp/>
        <stp>BDP|5101017072303366675</stp>
        <tr r="F339" s="2"/>
      </tp>
      <tp t="s">
        <v>#N/A N/A</v>
        <stp/>
        <stp>BDP|2967125900315867151</stp>
        <tr r="O94" s="2"/>
      </tp>
      <tp t="s">
        <v>#N/A N/A</v>
        <stp/>
        <stp>BDP|3765796458961602770</stp>
        <tr r="G414" s="2"/>
      </tp>
      <tp t="s">
        <v>#N/A N/A</v>
        <stp/>
        <stp>BDP|7255423304322581664</stp>
        <tr r="D225" s="2"/>
      </tp>
      <tp t="s">
        <v>#N/A N/A</v>
        <stp/>
        <stp>BDP|6845398816064326736</stp>
        <tr r="H85" s="2"/>
      </tp>
      <tp t="s">
        <v>#N/A N/A</v>
        <stp/>
        <stp>BDP|3404098204793638786</stp>
        <tr r="R349" s="2"/>
      </tp>
      <tp t="s">
        <v>#N/A N/A</v>
        <stp/>
        <stp>BDP|1193907874580579871</stp>
        <tr r="O388" s="2"/>
      </tp>
      <tp t="s">
        <v>#N/A N/A</v>
        <stp/>
        <stp>BDP|6913550710115356089</stp>
        <tr r="L126" s="2"/>
      </tp>
      <tp t="s">
        <v>#N/A N/A</v>
        <stp/>
        <stp>BDP|9852683751549572438</stp>
        <tr r="R397" s="2"/>
      </tp>
      <tp t="s">
        <v>#N/A N/A</v>
        <stp/>
        <stp>BDP|3544076835194755379</stp>
        <tr r="H326" s="2"/>
      </tp>
      <tp t="s">
        <v>#N/A N/A</v>
        <stp/>
        <stp>BDP|3560782674362812667</stp>
        <tr r="L163" s="2"/>
      </tp>
      <tp t="s">
        <v>#N/A N/A</v>
        <stp/>
        <stp>BDP|6422991632328163396</stp>
        <tr r="H185" s="2"/>
      </tp>
      <tp t="s">
        <v>#N/A N/A</v>
        <stp/>
        <stp>BDP|1027511412572738035</stp>
        <tr r="M439" s="2"/>
      </tp>
      <tp t="s">
        <v>#N/A N/A</v>
        <stp/>
        <stp>BDP|8241327985365166136</stp>
        <tr r="K307" s="2"/>
      </tp>
      <tp t="s">
        <v>#N/A N/A</v>
        <stp/>
        <stp>BDP|6114277659565013381</stp>
        <tr r="L24" s="2"/>
      </tp>
      <tp t="s">
        <v>#N/A N/A</v>
        <stp/>
        <stp>BDP|3464289379875470462</stp>
        <tr r="R188" s="2"/>
      </tp>
      <tp t="s">
        <v>#N/A N/A</v>
        <stp/>
        <stp>BDP|8797927241362762049</stp>
        <tr r="Q355" s="2"/>
      </tp>
      <tp t="s">
        <v>#N/A N/A</v>
        <stp/>
        <stp>BDP|1154647053723759664</stp>
        <tr r="O363" s="2"/>
      </tp>
      <tp t="s">
        <v>#N/A N/A</v>
        <stp/>
        <stp>BDP|7222502980324304964</stp>
        <tr r="J197" s="2"/>
      </tp>
      <tp t="s">
        <v>#N/A N/A</v>
        <stp/>
        <stp>BDP|5492097623871171187</stp>
        <tr r="E285" s="2"/>
      </tp>
      <tp t="s">
        <v>#N/A N/A</v>
        <stp/>
        <stp>BDP|5057414551070389370</stp>
        <tr r="K308" s="2"/>
      </tp>
      <tp t="s">
        <v>#N/A N/A</v>
        <stp/>
        <stp>BDP|9403289691432820717</stp>
        <tr r="K73" s="2"/>
      </tp>
      <tp t="s">
        <v>#N/A N/A</v>
        <stp/>
        <stp>BDP|2257991159141587836</stp>
        <tr r="J421" s="2"/>
      </tp>
      <tp t="s">
        <v>#N/A N/A</v>
        <stp/>
        <stp>BDP|2274168062742437060</stp>
        <tr r="L355" s="2"/>
      </tp>
      <tp t="s">
        <v>#N/A N/A</v>
        <stp/>
        <stp>BDP|7529129676440225676</stp>
        <tr r="F433" s="2"/>
      </tp>
      <tp t="s">
        <v>#N/A N/A</v>
        <stp/>
        <stp>BDP|6401335604360550229</stp>
        <tr r="M248" s="2"/>
      </tp>
      <tp t="s">
        <v>#N/A N/A</v>
        <stp/>
        <stp>BDP|7549248511806618528</stp>
        <tr r="L199" s="2"/>
      </tp>
      <tp t="s">
        <v>#N/A N/A</v>
        <stp/>
        <stp>BDP|6519032362477921098</stp>
        <tr r="K485" s="2"/>
      </tp>
      <tp t="s">
        <v>#N/A N/A</v>
        <stp/>
        <stp>BDP|8168836605431458673</stp>
        <tr r="C356" s="2"/>
      </tp>
      <tp t="s">
        <v>#N/A N/A</v>
        <stp/>
        <stp>BDP|9862160895656754087</stp>
        <tr r="P495" s="2"/>
      </tp>
      <tp t="s">
        <v>#N/A N/A</v>
        <stp/>
        <stp>BDP|3454994932689842736</stp>
        <tr r="K427" s="2"/>
      </tp>
      <tp t="s">
        <v>#N/A N/A</v>
        <stp/>
        <stp>BDP|8405713687134233444</stp>
        <tr r="H106" s="2"/>
      </tp>
      <tp t="s">
        <v>#N/A N/A</v>
        <stp/>
        <stp>BDP|2379623501717372471</stp>
        <tr r="G457" s="2"/>
      </tp>
      <tp t="s">
        <v>#N/A N/A</v>
        <stp/>
        <stp>BDP|5608251417755456446</stp>
        <tr r="N47" s="2"/>
      </tp>
      <tp t="s">
        <v>#N/A N/A</v>
        <stp/>
        <stp>BDP|3742618186919513313</stp>
        <tr r="I213" s="2"/>
      </tp>
      <tp t="s">
        <v>#N/A N/A</v>
        <stp/>
        <stp>BDP|8997063759403514979</stp>
        <tr r="N131" s="2"/>
      </tp>
      <tp t="s">
        <v>#N/A N/A</v>
        <stp/>
        <stp>BDP|8964499331358732029</stp>
        <tr r="R388" s="2"/>
      </tp>
      <tp t="s">
        <v>#N/A N/A</v>
        <stp/>
        <stp>BDP|1415841986970085627</stp>
        <tr r="G278" s="2"/>
      </tp>
      <tp t="s">
        <v>#N/A N/A</v>
        <stp/>
        <stp>BDP|9405961267929725873</stp>
        <tr r="G110" s="2"/>
      </tp>
      <tp t="s">
        <v>#N/A N/A</v>
        <stp/>
        <stp>BDP|6475054367502699556</stp>
        <tr r="E352" s="2"/>
      </tp>
      <tp t="s">
        <v>#N/A N/A</v>
        <stp/>
        <stp>BDP|2280507917311931096</stp>
        <tr r="I443" s="2"/>
      </tp>
      <tp t="s">
        <v>#N/A N/A</v>
        <stp/>
        <stp>BDP|2049013445369898896</stp>
        <tr r="I17" s="2"/>
      </tp>
      <tp t="s">
        <v>#N/A N/A</v>
        <stp/>
        <stp>BDP|3673837194557470208</stp>
        <tr r="J344" s="2"/>
      </tp>
      <tp t="s">
        <v>#N/A N/A</v>
        <stp/>
        <stp>BDP|3108584182401956879</stp>
        <tr r="M91" s="2"/>
      </tp>
      <tp t="s">
        <v>#N/A N/A</v>
        <stp/>
        <stp>BDP|1380832966658044034</stp>
        <tr r="I327" s="2"/>
      </tp>
      <tp t="s">
        <v>#N/A N/A</v>
        <stp/>
        <stp>BDP|4946375818186130723</stp>
        <tr r="I30" s="2"/>
      </tp>
      <tp t="s">
        <v>#N/A N/A</v>
        <stp/>
        <stp>BDP|6844573966433457186</stp>
        <tr r="O350" s="2"/>
      </tp>
      <tp t="s">
        <v>#N/A N/A</v>
        <stp/>
        <stp>BDP|1849497582482530837</stp>
        <tr r="I311" s="2"/>
      </tp>
      <tp t="s">
        <v>#N/A N/A</v>
        <stp/>
        <stp>BDP|1094218953276338742</stp>
        <tr r="D119" s="2"/>
      </tp>
      <tp t="s">
        <v>#N/A N/A</v>
        <stp/>
        <stp>BDP|1603210740852195234</stp>
        <tr r="P387" s="2"/>
      </tp>
      <tp t="s">
        <v>#N/A N/A</v>
        <stp/>
        <stp>BDP|6070616862385640403</stp>
        <tr r="F367" s="2"/>
      </tp>
      <tp t="s">
        <v>#N/A N/A</v>
        <stp/>
        <stp>BDP|8486639828809399296</stp>
        <tr r="R483" s="2"/>
      </tp>
      <tp t="s">
        <v>#N/A N/A</v>
        <stp/>
        <stp>BDP|1904127831844988061</stp>
        <tr r="O170" s="2"/>
      </tp>
      <tp>
        <v>0.89020001888275146</v>
        <stp/>
        <stp>BDP|14298959407355864071|22</stp>
        <stp>UNH UN Equity</stp>
        <stp>RT_PX_CHG_PCT_1D</stp>
        <tr r="B229" s="2"/>
      </tp>
      <tp>
        <v>0.5228000283241272</v>
        <stp/>
        <stp>BDP|10198069823531939122|22</stp>
        <stp>PSX UN Equity</stp>
        <stp>RT_PX_CHG_PCT_1D</stp>
        <tr r="B18" s="2"/>
      </tp>
      <tp>
        <v>-0.53600001335144043</v>
        <stp/>
        <stp>BDP|11480124991419789894|22</stp>
        <stp>AZO UN Equity</stp>
        <stp>RT_PX_CHG_PCT_1D</stp>
        <tr r="B60" s="2"/>
      </tp>
      <tp>
        <v>0.40450000762939453</v>
        <stp/>
        <stp>BDP|17737366678328354877|22</stp>
        <stp>BEN UN Equity</stp>
        <stp>RT_PX_CHG_PCT_1D</stp>
        <tr r="B122" s="2"/>
      </tp>
      <tp>
        <v>1.1300000362098217E-2</v>
        <stp/>
        <stp>BDP|18028503905809953238|22</stp>
        <stp>ETR UN Equity</stp>
        <stp>RT_PX_CHG_PCT_1D</stp>
        <tr r="B113" s="2"/>
      </tp>
      <tp>
        <v>0.46849998831748962</v>
        <stp/>
        <stp>BDP|10876074881993397857|22</stp>
        <stp>ICE UN Equity</stp>
        <stp>RT_PX_CHG_PCT_1D</stp>
        <tr r="B405" s="2"/>
      </tp>
      <tp>
        <v>-0.83859997987747192</v>
        <stp/>
        <stp>BDP|6846387442787195813|22</stp>
        <stp>LRCX UW Equity</stp>
        <stp>RT_PX_CHG_PCT_1D</stp>
        <tr r="B458" s="2"/>
      </tp>
      <tp>
        <v>1.6917999982833862</v>
        <stp/>
        <stp>BDP|3217728047970934000|22</stp>
        <stp>GRMN UN Equity</stp>
        <stp>RT_PX_CHG_PCT_1D</stp>
        <tr r="B123" s="2"/>
      </tp>
      <tp t="s">
        <v>#N/A N/A</v>
        <stp/>
        <stp>BDP|7285591861577417344</stp>
        <tr r="K221" s="2"/>
      </tp>
      <tp t="s">
        <v>#N/A N/A</v>
        <stp/>
        <stp>BDP|7046528586648820260</stp>
        <tr r="R490" s="2"/>
      </tp>
      <tp t="s">
        <v>#N/A N/A</v>
        <stp/>
        <stp>BDP|9936115422402082801</stp>
        <tr r="H385" s="2"/>
      </tp>
      <tp t="s">
        <v>#N/A N/A</v>
        <stp/>
        <stp>BDP|7070724317384929569</stp>
        <tr r="E261" s="2"/>
      </tp>
      <tp t="s">
        <v>#N/A N/A</v>
        <stp/>
        <stp>BDP|2215124574555681187</stp>
        <tr r="O358" s="2"/>
      </tp>
      <tp t="s">
        <v>#N/A N/A</v>
        <stp/>
        <stp>BDP|9433269103439836232</stp>
        <tr r="M351" s="2"/>
      </tp>
      <tp t="s">
        <v>#N/A N/A</v>
        <stp/>
        <stp>BDP|4765099230157771037</stp>
        <tr r="F279" s="2"/>
      </tp>
      <tp t="s">
        <v>#N/A N/A</v>
        <stp/>
        <stp>BDP|1866490417297873342</stp>
        <tr r="I493" s="2"/>
      </tp>
      <tp t="s">
        <v>#N/A N/A</v>
        <stp/>
        <stp>BDP|5075890311415344917</stp>
        <tr r="K18" s="2"/>
      </tp>
      <tp t="s">
        <v>#N/A N/A</v>
        <stp/>
        <stp>BDP|3079985196363110053</stp>
        <tr r="D162" s="2"/>
      </tp>
      <tp t="s">
        <v>#N/A N/A</v>
        <stp/>
        <stp>BDP|1311639199877623950</stp>
        <tr r="J354" s="2"/>
      </tp>
      <tp t="s">
        <v>#N/A N/A</v>
        <stp/>
        <stp>BDP|5229542612806823768</stp>
        <tr r="M295" s="2"/>
      </tp>
      <tp t="s">
        <v>#N/A N/A</v>
        <stp/>
        <stp>BDP|1307538179850232316</stp>
        <tr r="P246" s="2"/>
      </tp>
      <tp t="s">
        <v>#N/A N/A</v>
        <stp/>
        <stp>BDP|1067050108584453533</stp>
        <tr r="D491" s="2"/>
      </tp>
      <tp t="s">
        <v>#N/A N/A</v>
        <stp/>
        <stp>BDP|4371572619544729407</stp>
        <tr r="G355" s="2"/>
      </tp>
      <tp t="s">
        <v>#N/A N/A</v>
        <stp/>
        <stp>BDP|9265189230663783875</stp>
        <tr r="O167" s="2"/>
      </tp>
      <tp t="s">
        <v>#N/A N/A</v>
        <stp/>
        <stp>BDP|8457721003058764785</stp>
        <tr r="L2" s="2"/>
      </tp>
      <tp t="s">
        <v>#N/A N/A</v>
        <stp/>
        <stp>BDP|7625585074036459345</stp>
        <tr r="C230" s="2"/>
      </tp>
      <tp t="s">
        <v>#N/A N/A</v>
        <stp/>
        <stp>BDP|2021189335910160062</stp>
        <tr r="C157" s="2"/>
      </tp>
      <tp t="s">
        <v>#N/A N/A</v>
        <stp/>
        <stp>BDP|1599996480567206751</stp>
        <tr r="C407" s="2"/>
      </tp>
      <tp t="s">
        <v>#N/A N/A</v>
        <stp/>
        <stp>BDP|6033987243869809287</stp>
        <tr r="I417" s="2"/>
      </tp>
      <tp t="s">
        <v>#N/A N/A</v>
        <stp/>
        <stp>BDP|3458639469810195347</stp>
        <tr r="G365" s="2"/>
      </tp>
      <tp t="s">
        <v>#N/A N/A</v>
        <stp/>
        <stp>BDP|4097823183386325296</stp>
        <tr r="H77" s="2"/>
      </tp>
      <tp t="s">
        <v>#N/A N/A</v>
        <stp/>
        <stp>BDP|8194708599452245410</stp>
        <tr r="K45" s="2"/>
      </tp>
      <tp t="s">
        <v>#N/A N/A</v>
        <stp/>
        <stp>BDP|6701797256455485179</stp>
        <tr r="N329" s="2"/>
      </tp>
      <tp t="s">
        <v>#N/A N/A</v>
        <stp/>
        <stp>BDP|2372873697105841604</stp>
        <tr r="O244" s="2"/>
      </tp>
      <tp t="s">
        <v>#N/A N/A</v>
        <stp/>
        <stp>BDP|6934067037583405675</stp>
        <tr r="H168" s="2"/>
      </tp>
      <tp t="s">
        <v>#N/A N/A</v>
        <stp/>
        <stp>BDP|8058036225648526280</stp>
        <tr r="H392" s="2"/>
      </tp>
      <tp t="s">
        <v>#N/A N/A</v>
        <stp/>
        <stp>BDP|4016891889254311084</stp>
        <tr r="L136" s="2"/>
      </tp>
      <tp t="s">
        <v>#N/A N/A</v>
        <stp/>
        <stp>BDP|5112296128723800609</stp>
        <tr r="L417" s="2"/>
      </tp>
      <tp t="s">
        <v>#N/A N/A</v>
        <stp/>
        <stp>BDP|3105186012816754540</stp>
        <tr r="I474" s="2"/>
      </tp>
      <tp t="s">
        <v>#N/A N/A</v>
        <stp/>
        <stp>BDP|3822578968679910960</stp>
        <tr r="Q279" s="2"/>
      </tp>
      <tp t="s">
        <v>#N/A N/A</v>
        <stp/>
        <stp>BDP|3087790070453138002</stp>
        <tr r="E38" s="2"/>
      </tp>
      <tp t="s">
        <v>#N/A N/A</v>
        <stp/>
        <stp>BDP|4068686069375885116</stp>
        <tr r="O374" s="2"/>
      </tp>
      <tp t="s">
        <v>#N/A N/A</v>
        <stp/>
        <stp>BDP|8500096904579445148</stp>
        <tr r="D72" s="2"/>
      </tp>
      <tp t="s">
        <v>#N/A N/A</v>
        <stp/>
        <stp>BDP|5525586278516529182</stp>
        <tr r="L450" s="2"/>
      </tp>
      <tp t="s">
        <v>#N/A N/A</v>
        <stp/>
        <stp>BDP|5816019605591682424</stp>
        <tr r="J65" s="2"/>
      </tp>
      <tp t="s">
        <v>#N/A N/A</v>
        <stp/>
        <stp>BDP|3921657310130052441</stp>
        <tr r="G180" s="2"/>
      </tp>
      <tp t="s">
        <v>#N/A N/A</v>
        <stp/>
        <stp>BDP|6992439957901183641</stp>
        <tr r="E7" s="2"/>
      </tp>
      <tp t="s">
        <v>#N/A N/A</v>
        <stp/>
        <stp>BDP|2905517431396573243</stp>
        <tr r="J333" s="2"/>
      </tp>
      <tp t="s">
        <v>#N/A N/A</v>
        <stp/>
        <stp>BDP|2071195414633178141</stp>
        <tr r="D319" s="2"/>
      </tp>
      <tp t="s">
        <v>#N/A N/A</v>
        <stp/>
        <stp>BDP|1980925434768018379</stp>
        <tr r="P435" s="2"/>
      </tp>
      <tp t="s">
        <v>#N/A N/A</v>
        <stp/>
        <stp>BDP|4934007306251174564</stp>
        <tr r="F284" s="2"/>
      </tp>
      <tp t="s">
        <v>#N/A N/A</v>
        <stp/>
        <stp>BDP|4420317985349011682</stp>
        <tr r="I266" s="2"/>
      </tp>
      <tp t="s">
        <v>#N/A N/A</v>
        <stp/>
        <stp>BDP|3737270063232302587</stp>
        <tr r="H178" s="2"/>
      </tp>
      <tp t="s">
        <v>#N/A N/A</v>
        <stp/>
        <stp>BDP|6135003978677361638</stp>
        <tr r="L430" s="2"/>
      </tp>
      <tp t="s">
        <v>#N/A N/A</v>
        <stp/>
        <stp>BDP|4140793450375770368</stp>
        <tr r="P316" s="2"/>
      </tp>
      <tp t="s">
        <v>#N/A N/A</v>
        <stp/>
        <stp>BDP|9767170881044040489</stp>
        <tr r="P7" s="2"/>
      </tp>
      <tp t="s">
        <v>#N/A N/A</v>
        <stp/>
        <stp>BDP|8407909979484064241</stp>
        <tr r="M62" s="2"/>
      </tp>
      <tp t="s">
        <v>#N/A N/A</v>
        <stp/>
        <stp>BDP|7156912552368269398</stp>
        <tr r="C85" s="2"/>
      </tp>
      <tp t="s">
        <v>#N/A N/A</v>
        <stp/>
        <stp>BDP|3941502630723372637</stp>
        <tr r="J188" s="2"/>
      </tp>
      <tp t="s">
        <v>#N/A N/A</v>
        <stp/>
        <stp>BDP|1178065512752955251</stp>
        <tr r="N254" s="2"/>
      </tp>
      <tp t="s">
        <v>#N/A N/A</v>
        <stp/>
        <stp>BDP|9722457251361931935</stp>
        <tr r="L375" s="2"/>
      </tp>
      <tp t="s">
        <v>#N/A N/A</v>
        <stp/>
        <stp>BDP|3017547659655071644</stp>
        <tr r="N85" s="2"/>
      </tp>
      <tp t="s">
        <v>#N/A N/A</v>
        <stp/>
        <stp>BDP|4443307928754441112</stp>
        <tr r="P82" s="2"/>
      </tp>
      <tp t="s">
        <v>#N/A N/A</v>
        <stp/>
        <stp>BDP|8544307017723305981</stp>
        <tr r="E9" s="2"/>
      </tp>
      <tp t="s">
        <v>#N/A N/A</v>
        <stp/>
        <stp>BDP|8013650479751409813</stp>
        <tr r="L403" s="2"/>
      </tp>
      <tp t="s">
        <v>#N/A N/A</v>
        <stp/>
        <stp>BDP|3715533371063475281</stp>
        <tr r="K35" s="2"/>
      </tp>
      <tp t="s">
        <v>#N/A N/A</v>
        <stp/>
        <stp>BDP|2710184233072520200</stp>
        <tr r="D290" s="2"/>
      </tp>
      <tp t="s">
        <v>#N/A N/A</v>
        <stp/>
        <stp>BDP|9783705016846933910</stp>
        <tr r="G396" s="2"/>
      </tp>
      <tp t="s">
        <v>#N/A N/A</v>
        <stp/>
        <stp>BDP|5361595734341775201</stp>
        <tr r="K334" s="2"/>
      </tp>
      <tp t="s">
        <v>#N/A N/A</v>
        <stp/>
        <stp>BDP|6843881353702525988</stp>
        <tr r="G252" s="2"/>
      </tp>
      <tp t="s">
        <v>#N/A N/A</v>
        <stp/>
        <stp>BDP|7403889572409444141</stp>
        <tr r="O370" s="2"/>
      </tp>
      <tp t="s">
        <v>#N/A N/A</v>
        <stp/>
        <stp>BDP|3974045477572253668</stp>
        <tr r="O298" s="2"/>
      </tp>
      <tp t="s">
        <v>#N/A N/A</v>
        <stp/>
        <stp>BDP|4209930313854845846</stp>
        <tr r="I239" s="2"/>
      </tp>
      <tp t="s">
        <v>#N/A N/A</v>
        <stp/>
        <stp>BDP|3500457440444882765</stp>
        <tr r="L19" s="2"/>
      </tp>
      <tp t="s">
        <v>#N/A N/A</v>
        <stp/>
        <stp>BDP|7685295220307673078</stp>
        <tr r="Q422" s="2"/>
      </tp>
      <tp t="s">
        <v>#N/A N/A</v>
        <stp/>
        <stp>BDP|5341386685179629760</stp>
        <tr r="I379" s="2"/>
      </tp>
      <tp t="s">
        <v>#N/A N/A</v>
        <stp/>
        <stp>BDP|4592947392851530580</stp>
        <tr r="M423" s="2"/>
      </tp>
      <tp t="s">
        <v>#N/A N/A</v>
        <stp/>
        <stp>BDP|3739996416469222244</stp>
        <tr r="K306" s="2"/>
      </tp>
      <tp t="s">
        <v>#N/A N/A</v>
        <stp/>
        <stp>BDP|9600955713752656381</stp>
        <tr r="D379" s="2"/>
      </tp>
      <tp t="s">
        <v>#N/A N/A</v>
        <stp/>
        <stp>BDP|6255384456656634642</stp>
        <tr r="O149" s="2"/>
      </tp>
      <tp t="s">
        <v>#N/A N/A</v>
        <stp/>
        <stp>BDP|1455065548735301071</stp>
        <tr r="M355" s="2"/>
      </tp>
      <tp t="s">
        <v>#N/A N/A</v>
        <stp/>
        <stp>BDP|7923327012462416729</stp>
        <tr r="P18" s="2"/>
      </tp>
      <tp t="s">
        <v>#N/A N/A</v>
        <stp/>
        <stp>BDP|1985009305242297312</stp>
        <tr r="F243" s="2"/>
      </tp>
      <tp t="s">
        <v>#N/A N/A</v>
        <stp/>
        <stp>BDP|4807010424482080424</stp>
        <tr r="D178" s="2"/>
      </tp>
      <tp t="s">
        <v>#N/A N/A</v>
        <stp/>
        <stp>BDP|2125128749007612031</stp>
        <tr r="C471" s="2"/>
      </tp>
      <tp t="s">
        <v>#N/A N/A</v>
        <stp/>
        <stp>BDP|4536629548797560151</stp>
        <tr r="C126" s="2"/>
      </tp>
      <tp t="s">
        <v>#N/A N/A</v>
        <stp/>
        <stp>BDP|7498351969163040172</stp>
        <tr r="N94" s="2"/>
      </tp>
      <tp t="s">
        <v>#N/A N/A</v>
        <stp/>
        <stp>BDP|3036561319883475442</stp>
        <tr r="O303" s="2"/>
      </tp>
      <tp t="s">
        <v>#N/A N/A</v>
        <stp/>
        <stp>BDP|8314960554814916076</stp>
        <tr r="E207" s="2"/>
      </tp>
      <tp t="s">
        <v>#N/A N/A</v>
        <stp/>
        <stp>BDP|4840140153520637063</stp>
        <tr r="K263" s="2"/>
      </tp>
      <tp t="s">
        <v>#N/A N/A</v>
        <stp/>
        <stp>BDP|2059462338031139405</stp>
        <tr r="E98" s="2"/>
      </tp>
      <tp t="s">
        <v>#N/A N/A</v>
        <stp/>
        <stp>BDP|6457617604790919075</stp>
        <tr r="R267" s="2"/>
      </tp>
      <tp t="s">
        <v>#N/A N/A</v>
        <stp/>
        <stp>BDP|3200656027952991566</stp>
        <tr r="O344" s="2"/>
      </tp>
      <tp t="s">
        <v>#N/A N/A</v>
        <stp/>
        <stp>BDP|7134783244010392419</stp>
        <tr r="H121" s="2"/>
      </tp>
      <tp t="s">
        <v>#N/A N/A</v>
        <stp/>
        <stp>BDP|7183087763865327465</stp>
        <tr r="E57" s="2"/>
      </tp>
      <tp t="s">
        <v>#N/A N/A</v>
        <stp/>
        <stp>BDP|6006633072384795399</stp>
        <tr r="E152" s="2"/>
      </tp>
      <tp t="s">
        <v>#N/A N/A</v>
        <stp/>
        <stp>BDP|1578571471907938459</stp>
        <tr r="I452" s="2"/>
      </tp>
      <tp t="s">
        <v>#N/A N/A</v>
        <stp/>
        <stp>BDP|9149508544311925938</stp>
        <tr r="M210" s="2"/>
      </tp>
      <tp>
        <v>-0.19239999353885651</v>
        <stp/>
        <stp>BDP|3650698667158367754|22</stp>
        <stp>GDDY UN Equity</stp>
        <stp>RT_PX_CHG_PCT_1D</stp>
        <tr r="B92" s="2"/>
      </tp>
      <tp t="s">
        <v>#N/A N/A</v>
        <stp/>
        <stp>BDP|8776824731303081080</stp>
        <tr r="Q174" s="2"/>
      </tp>
      <tp t="s">
        <v>#N/A N/A</v>
        <stp/>
        <stp>BDP|7289222669353608031</stp>
        <tr r="J415" s="2"/>
      </tp>
      <tp t="s">
        <v>#N/A N/A</v>
        <stp/>
        <stp>BDP|7617833106886916963</stp>
        <tr r="H305" s="2"/>
      </tp>
      <tp t="s">
        <v>#N/A N/A</v>
        <stp/>
        <stp>BDP|5644581414858153973</stp>
        <tr r="M331" s="2"/>
      </tp>
      <tp t="s">
        <v>#N/A N/A</v>
        <stp/>
        <stp>BDP|8084242878614150912</stp>
        <tr r="R125" s="2"/>
      </tp>
      <tp t="s">
        <v>#N/A N/A</v>
        <stp/>
        <stp>BDP|9547339998317722456</stp>
        <tr r="E329" s="2"/>
      </tp>
      <tp t="s">
        <v>#N/A N/A</v>
        <stp/>
        <stp>BDP|7236479634408466897</stp>
        <tr r="R470" s="2"/>
      </tp>
      <tp t="s">
        <v>#N/A N/A</v>
        <stp/>
        <stp>BDP|6989829083377623121</stp>
        <tr r="H307" s="2"/>
      </tp>
      <tp t="s">
        <v>#N/A N/A</v>
        <stp/>
        <stp>BDP|3430294974621449717</stp>
        <tr r="G16" s="2"/>
      </tp>
      <tp t="s">
        <v>#N/A N/A</v>
        <stp/>
        <stp>BDP|9269751523969848508</stp>
        <tr r="L441" s="2"/>
      </tp>
      <tp t="s">
        <v>#N/A N/A</v>
        <stp/>
        <stp>BDP|4693085200932011626</stp>
        <tr r="H141" s="2"/>
      </tp>
      <tp t="s">
        <v>#N/A N/A</v>
        <stp/>
        <stp>BDP|2726729536101819779</stp>
        <tr r="D229" s="2"/>
      </tp>
      <tp t="s">
        <v>#N/A N/A</v>
        <stp/>
        <stp>BDP|8540366370194860870</stp>
        <tr r="O127" s="2"/>
      </tp>
      <tp t="s">
        <v>#N/A N/A</v>
        <stp/>
        <stp>BDP|8742478092140720598</stp>
        <tr r="H91" s="2"/>
      </tp>
      <tp t="s">
        <v>#N/A N/A</v>
        <stp/>
        <stp>BDP|4812605906706544470</stp>
        <tr r="O37" s="2"/>
      </tp>
      <tp t="s">
        <v>#N/A N/A</v>
        <stp/>
        <stp>BDP|7613089673783206338</stp>
        <tr r="R345" s="2"/>
      </tp>
      <tp t="s">
        <v>#N/A N/A</v>
        <stp/>
        <stp>BDP|9012659256863837968</stp>
        <tr r="H496" s="2"/>
      </tp>
      <tp t="s">
        <v>#N/A N/A</v>
        <stp/>
        <stp>BDP|1592836527208952352</stp>
        <tr r="E331" s="2"/>
      </tp>
      <tp t="s">
        <v>#N/A N/A</v>
        <stp/>
        <stp>BDP|5428846846451839839</stp>
        <tr r="G251" s="2"/>
      </tp>
      <tp t="s">
        <v>#N/A N/A</v>
        <stp/>
        <stp>BDP|8583495724316461815</stp>
        <tr r="J195" s="2"/>
      </tp>
      <tp t="s">
        <v>#N/A N/A</v>
        <stp/>
        <stp>BDP|4730665321254913448</stp>
        <tr r="I401" s="2"/>
      </tp>
      <tp t="s">
        <v>#N/A N/A</v>
        <stp/>
        <stp>BDP|5301557307092526298</stp>
        <tr r="L414" s="2"/>
      </tp>
      <tp t="s">
        <v>#N/A N/A</v>
        <stp/>
        <stp>BDP|8313196397746999695</stp>
        <tr r="J361" s="2"/>
      </tp>
      <tp t="s">
        <v>#N/A N/A</v>
        <stp/>
        <stp>BDP|1319528429740207672</stp>
        <tr r="J269" s="2"/>
      </tp>
      <tp t="s">
        <v>#N/A N/A</v>
        <stp/>
        <stp>BDP|6440480191618790375</stp>
        <tr r="C259" s="2"/>
      </tp>
      <tp t="s">
        <v>#N/A N/A</v>
        <stp/>
        <stp>BDP|7842470809401852234</stp>
        <tr r="Q313" s="2"/>
      </tp>
      <tp t="s">
        <v>#N/A N/A</v>
        <stp/>
        <stp>BDP|6818310326556138134</stp>
        <tr r="F14" s="2"/>
      </tp>
      <tp t="s">
        <v>#N/A N/A</v>
        <stp/>
        <stp>BDP|9614598632219715678</stp>
        <tr r="R406" s="2"/>
      </tp>
      <tp t="s">
        <v>#N/A N/A</v>
        <stp/>
        <stp>BDP|7451378899744478938</stp>
        <tr r="D384" s="2"/>
      </tp>
      <tp t="s">
        <v>#N/A N/A</v>
        <stp/>
        <stp>BDP|5809942851029243023</stp>
        <tr r="E151" s="2"/>
      </tp>
      <tp t="s">
        <v>#N/A N/A</v>
        <stp/>
        <stp>BDP|4130762503452802110</stp>
        <tr r="C251" s="2"/>
      </tp>
      <tp t="s">
        <v>#N/A N/A</v>
        <stp/>
        <stp>BDP|3141093617571214307</stp>
        <tr r="H123" s="2"/>
      </tp>
      <tp t="s">
        <v>#N/A N/A</v>
        <stp/>
        <stp>BDP|6087799459031905546</stp>
        <tr r="E284" s="2"/>
      </tp>
      <tp t="s">
        <v>#N/A N/A</v>
        <stp/>
        <stp>BDP|1929361057720109743</stp>
        <tr r="O205" s="2"/>
      </tp>
      <tp t="s">
        <v>#N/A N/A</v>
        <stp/>
        <stp>BDP|4974510230016664436</stp>
        <tr r="E270" s="2"/>
      </tp>
      <tp t="s">
        <v>#N/A N/A</v>
        <stp/>
        <stp>BDP|7751136040671045396</stp>
        <tr r="O484" s="2"/>
      </tp>
      <tp t="s">
        <v>#N/A N/A</v>
        <stp/>
        <stp>BDP|8477107792678339882</stp>
        <tr r="O449" s="2"/>
      </tp>
      <tp>
        <v>-18.486799240112305</v>
        <stp/>
        <stp>BDP|7218288630071169925|22</stp>
        <stp>CHTR UW Equity</stp>
        <stp>RT_PX_CHG_PCT_1D</stp>
        <tr r="B159" s="2"/>
      </tp>
      <tp t="s">
        <v>#N/A N/A</v>
        <stp/>
        <stp>BDP|3961620869754727778</stp>
        <tr r="K116" s="2"/>
      </tp>
      <tp t="s">
        <v>#N/A N/A</v>
        <stp/>
        <stp>BDP|9014551672943433816</stp>
        <tr r="F444" s="2"/>
      </tp>
      <tp t="s">
        <v>#N/A N/A</v>
        <stp/>
        <stp>BDP|8819915964834963366</stp>
        <tr r="E414" s="2"/>
      </tp>
      <tp t="s">
        <v>#N/A N/A</v>
        <stp/>
        <stp>BDP|7532572223601538168</stp>
        <tr r="K50" s="2"/>
      </tp>
      <tp t="s">
        <v>#N/A N/A</v>
        <stp/>
        <stp>BDP|7093388448520332018</stp>
        <tr r="K173" s="2"/>
      </tp>
      <tp t="s">
        <v>#N/A N/A</v>
        <stp/>
        <stp>BDP|5250456532071553329</stp>
        <tr r="K335" s="2"/>
      </tp>
      <tp t="s">
        <v>#N/A N/A</v>
        <stp/>
        <stp>BDP|5100432272791628746</stp>
        <tr r="F474" s="2"/>
      </tp>
      <tp t="s">
        <v>#N/A N/A</v>
        <stp/>
        <stp>BDP|5047385566746411687</stp>
        <tr r="R298" s="2"/>
      </tp>
      <tp t="s">
        <v>#N/A N/A</v>
        <stp/>
        <stp>BDP|1137391469933093732</stp>
        <tr r="L454" s="2"/>
      </tp>
      <tp t="s">
        <v>#N/A N/A</v>
        <stp/>
        <stp>BDP|7417047964446762717</stp>
        <tr r="K415" s="2"/>
      </tp>
      <tp t="s">
        <v>#N/A N/A</v>
        <stp/>
        <stp>BDP|8181967674155385324</stp>
        <tr r="L261" s="2"/>
      </tp>
      <tp t="s">
        <v>#N/A N/A</v>
        <stp/>
        <stp>BDP|6550484780619907365</stp>
        <tr r="F118" s="2"/>
      </tp>
      <tp t="s">
        <v>#N/A N/A</v>
        <stp/>
        <stp>BDP|1871898251278214409</stp>
        <tr r="O498" s="2"/>
      </tp>
      <tp t="s">
        <v>#N/A N/A</v>
        <stp/>
        <stp>BDP|6620937595425733356</stp>
        <tr r="N452" s="2"/>
      </tp>
      <tp t="s">
        <v>#N/A N/A</v>
        <stp/>
        <stp>BDP|5459190175082281189</stp>
        <tr r="Q357" s="2"/>
      </tp>
      <tp t="s">
        <v>#N/A N/A</v>
        <stp/>
        <stp>BDP|5713660452772502442</stp>
        <tr r="L25" s="2"/>
      </tp>
      <tp t="s">
        <v>#N/A N/A</v>
        <stp/>
        <stp>BDP|8779262417462538916</stp>
        <tr r="F153" s="2"/>
      </tp>
      <tp t="s">
        <v>#N/A N/A</v>
        <stp/>
        <stp>BDP|5770805414298471453</stp>
        <tr r="O397" s="2"/>
      </tp>
      <tp t="s">
        <v>#N/A N/A</v>
        <stp/>
        <stp>BDP|5367414642466039321</stp>
        <tr r="H289" s="2"/>
      </tp>
      <tp t="s">
        <v>#N/A N/A</v>
        <stp/>
        <stp>BDP|6512714517258603870</stp>
        <tr r="M79" s="2"/>
      </tp>
      <tp t="s">
        <v>#N/A N/A</v>
        <stp/>
        <stp>BDP|3445308373997418012</stp>
        <tr r="D120" s="2"/>
      </tp>
      <tp t="s">
        <v>#N/A N/A</v>
        <stp/>
        <stp>BDP|1503306246706341023</stp>
        <tr r="K128" s="2"/>
      </tp>
      <tp t="s">
        <v>#N/A N/A</v>
        <stp/>
        <stp>BDP|3562381166171155785</stp>
        <tr r="E325" s="2"/>
      </tp>
      <tp t="s">
        <v>#N/A N/A</v>
        <stp/>
        <stp>BDP|4496658225140107068</stp>
        <tr r="H362" s="2"/>
      </tp>
      <tp t="s">
        <v>#N/A N/A</v>
        <stp/>
        <stp>BDP|8294027101178346014</stp>
        <tr r="M478" s="2"/>
      </tp>
      <tp t="s">
        <v>#N/A N/A</v>
        <stp/>
        <stp>BDP|6473826907807134935</stp>
        <tr r="L397" s="2"/>
      </tp>
      <tp t="s">
        <v>#N/A N/A</v>
        <stp/>
        <stp>BDP|1387972987696271625</stp>
        <tr r="P290" s="2"/>
      </tp>
      <tp t="s">
        <v>#N/A N/A</v>
        <stp/>
        <stp>BDP|4217850729578936649</stp>
        <tr r="O34" s="2"/>
      </tp>
      <tp t="s">
        <v>#N/A N/A</v>
        <stp/>
        <stp>BDP|4246330316457108150</stp>
        <tr r="O403" s="2"/>
      </tp>
      <tp t="s">
        <v>#N/A N/A</v>
        <stp/>
        <stp>BDP|5311333656243555006</stp>
        <tr r="H268" s="2"/>
      </tp>
      <tp t="s">
        <v>#N/A N/A</v>
        <stp/>
        <stp>BDP|8498308553167349976</stp>
        <tr r="M103" s="2"/>
      </tp>
      <tp t="s">
        <v>#N/A N/A</v>
        <stp/>
        <stp>BDP|2071787630466280099</stp>
        <tr r="L90" s="2"/>
      </tp>
      <tp t="s">
        <v>#N/A N/A</v>
        <stp/>
        <stp>BDP|1110682699116142822</stp>
        <tr r="P405" s="2"/>
      </tp>
      <tp t="s">
        <v>#N/A N/A</v>
        <stp/>
        <stp>BDP|5982799017266364573</stp>
        <tr r="F239" s="2"/>
      </tp>
      <tp t="s">
        <v>#N/A N/A</v>
        <stp/>
        <stp>BDP|7026731042977223331</stp>
        <tr r="Q131" s="2"/>
      </tp>
      <tp t="s">
        <v>#N/A N/A</v>
        <stp/>
        <stp>BDP|9788253371479504565</stp>
        <tr r="K367" s="2"/>
      </tp>
      <tp t="s">
        <v>#N/A N/A</v>
        <stp/>
        <stp>BDP|2292764744544347531</stp>
        <tr r="F388" s="2"/>
      </tp>
      <tp t="s">
        <v>#N/A N/A</v>
        <stp/>
        <stp>BDP|4234739473173208706</stp>
        <tr r="M137" s="2"/>
      </tp>
      <tp t="s">
        <v>#N/A N/A</v>
        <stp/>
        <stp>BDP|3036765955220338108</stp>
        <tr r="P453" s="2"/>
      </tp>
      <tp t="s">
        <v>#N/A N/A</v>
        <stp/>
        <stp>BDP|1955394410687202428</stp>
        <tr r="I16" s="2"/>
      </tp>
      <tp t="s">
        <v>#N/A N/A</v>
        <stp/>
        <stp>BDP|2734711385009058436</stp>
        <tr r="G58" s="2"/>
      </tp>
      <tp t="s">
        <v>#N/A N/A</v>
        <stp/>
        <stp>BDP|7025043476635355512</stp>
        <tr r="N87" s="2"/>
      </tp>
      <tp t="s">
        <v>#N/A N/A</v>
        <stp/>
        <stp>BDP|2893197932231357109</stp>
        <tr r="J110" s="2"/>
      </tp>
      <tp t="s">
        <v>#N/A N/A</v>
        <stp/>
        <stp>BDP|3450684292104904873</stp>
        <tr r="D172" s="2"/>
      </tp>
      <tp t="s">
        <v>#N/A N/A</v>
        <stp/>
        <stp>BDP|5395261143227787411</stp>
        <tr r="I270" s="2"/>
      </tp>
      <tp t="s">
        <v>#N/A N/A</v>
        <stp/>
        <stp>BDP|4276615876310016553</stp>
        <tr r="L411" s="2"/>
      </tp>
      <tp t="s">
        <v>#N/A N/A</v>
        <stp/>
        <stp>BDP|6004205554095563410</stp>
        <tr r="K262" s="2"/>
      </tp>
      <tp t="s">
        <v>#N/A N/A</v>
        <stp/>
        <stp>BDP|7478040617270372641</stp>
        <tr r="G461" s="2"/>
      </tp>
      <tp t="s">
        <v>#N/A N/A</v>
        <stp/>
        <stp>BDP|6177395292178361497</stp>
        <tr r="H374" s="2"/>
      </tp>
      <tp t="s">
        <v>#N/A N/A</v>
        <stp/>
        <stp>BDP|3187673911900645414</stp>
        <tr r="K422" s="2"/>
      </tp>
      <tp t="s">
        <v>#N/A N/A</v>
        <stp/>
        <stp>BDP|6507224994684662951</stp>
        <tr r="J238" s="2"/>
      </tp>
      <tp t="s">
        <v>#N/A N/A</v>
        <stp/>
        <stp>BDP|9059162370409505635</stp>
        <tr r="C476" s="2"/>
      </tp>
      <tp t="s">
        <v>#N/A N/A</v>
        <stp/>
        <stp>BDP|9075003495613633328</stp>
        <tr r="Q7" s="2"/>
      </tp>
      <tp t="s">
        <v>#N/A N/A</v>
        <stp/>
        <stp>BDP|4669568951517370334</stp>
        <tr r="P285" s="2"/>
      </tp>
      <tp t="s">
        <v>#N/A N/A</v>
        <stp/>
        <stp>BDP|1898982284557441712</stp>
        <tr r="L79" s="2"/>
      </tp>
      <tp t="s">
        <v>#N/A N/A</v>
        <stp/>
        <stp>BDP|5374681199343177928</stp>
        <tr r="O90" s="2"/>
      </tp>
      <tp t="s">
        <v>#N/A N/A</v>
        <stp/>
        <stp>BDP|3213133710674970799</stp>
        <tr r="P9" s="2"/>
      </tp>
      <tp t="s">
        <v>#N/A N/A</v>
        <stp/>
        <stp>BDP|2636171673855119121</stp>
        <tr r="N421" s="2"/>
      </tp>
      <tp t="s">
        <v>#N/A N/A</v>
        <stp/>
        <stp>BDP|6821689449795979116</stp>
        <tr r="H421" s="2"/>
      </tp>
      <tp t="s">
        <v>#N/A N/A</v>
        <stp/>
        <stp>BDP|3869339562150963615</stp>
        <tr r="E369" s="2"/>
      </tp>
      <tp t="s">
        <v>#N/A N/A</v>
        <stp/>
        <stp>BDP|6651923271621740938</stp>
        <tr r="R147" s="2"/>
      </tp>
      <tp t="s">
        <v>#N/A N/A</v>
        <stp/>
        <stp>BDP|2016538177241108144</stp>
        <tr r="M127" s="2"/>
      </tp>
      <tp t="s">
        <v>#N/A N/A</v>
        <stp/>
        <stp>BDP|1547768425611576523</stp>
        <tr r="F254" s="2"/>
      </tp>
      <tp t="s">
        <v>#N/A N/A</v>
        <stp/>
        <stp>BDP|5973639966956903346</stp>
        <tr r="L21" s="2"/>
      </tp>
      <tp t="s">
        <v>#N/A N/A</v>
        <stp/>
        <stp>BDP|6157147080106509912</stp>
        <tr r="R187" s="2"/>
      </tp>
      <tp t="s">
        <v>#N/A N/A</v>
        <stp/>
        <stp>BDP|7800131263246007693</stp>
        <tr r="O286" s="2"/>
      </tp>
      <tp t="s">
        <v>#N/A N/A</v>
        <stp/>
        <stp>BDP|6179838194792194563</stp>
        <tr r="N478" s="2"/>
      </tp>
      <tp t="s">
        <v>#N/A N/A</v>
        <stp/>
        <stp>BDP|5832192151425171400</stp>
        <tr r="P410" s="2"/>
      </tp>
      <tp t="s">
        <v>#N/A N/A</v>
        <stp/>
        <stp>BDP|7577165197047060856</stp>
        <tr r="I118" s="2"/>
      </tp>
      <tp t="s">
        <v>#N/A N/A</v>
        <stp/>
        <stp>BDP|1157043654211056504</stp>
        <tr r="J274" s="2"/>
      </tp>
      <tp t="s">
        <v>#N/A N/A</v>
        <stp/>
        <stp>BDP|6725972187026036167</stp>
        <tr r="C156" s="2"/>
      </tp>
      <tp t="s">
        <v>#N/A N/A</v>
        <stp/>
        <stp>BDP|6029478577562325729</stp>
        <tr r="H146" s="2"/>
      </tp>
      <tp t="s">
        <v>#N/A N/A</v>
        <stp/>
        <stp>BDP|6178132680556602954</stp>
        <tr r="G418" s="2"/>
      </tp>
      <tp t="s">
        <v>#N/A N/A</v>
        <stp/>
        <stp>BDP|8981598997284409026</stp>
        <tr r="N208" s="2"/>
      </tp>
      <tp t="s">
        <v>#N/A N/A</v>
        <stp/>
        <stp>BDP|5155453295349726170</stp>
        <tr r="R38" s="2"/>
      </tp>
      <tp t="s">
        <v>#N/A N/A</v>
        <stp/>
        <stp>BDP|7494049675239513914</stp>
        <tr r="D404" s="2"/>
      </tp>
      <tp t="s">
        <v>#N/A N/A</v>
        <stp/>
        <stp>BDP|5493329166095821595</stp>
        <tr r="M373" s="2"/>
      </tp>
      <tp t="s">
        <v>#N/A N/A</v>
        <stp/>
        <stp>BDP|7479295953798902862</stp>
        <tr r="F263" s="2"/>
      </tp>
      <tp t="s">
        <v>#N/A N/A</v>
        <stp/>
        <stp>BDP|2003515770551575151</stp>
        <tr r="G450" s="2"/>
      </tp>
      <tp t="s">
        <v>#N/A N/A</v>
        <stp/>
        <stp>BDP|8787910091969510136</stp>
        <tr r="D276" s="2"/>
      </tp>
      <tp t="s">
        <v>#N/A N/A</v>
        <stp/>
        <stp>BDP|8055651423255229952</stp>
        <tr r="G405" s="2"/>
      </tp>
      <tp t="s">
        <v>#N/A N/A</v>
        <stp/>
        <stp>BDP|2381570877246236670</stp>
        <tr r="P103" s="2"/>
      </tp>
      <tp t="s">
        <v>#N/A N/A</v>
        <stp/>
        <stp>BDP|1169409757571739171</stp>
        <tr r="C350" s="2"/>
      </tp>
      <tp t="s">
        <v>#N/A N/A</v>
        <stp/>
        <stp>BDP|1390103662650641610</stp>
        <tr r="I198" s="2"/>
      </tp>
      <tp t="s">
        <v>#N/A N/A</v>
        <stp/>
        <stp>BDP|5615524491978338107</stp>
        <tr r="D169" s="2"/>
      </tp>
      <tp t="s">
        <v>#N/A N/A</v>
        <stp/>
        <stp>BDP|9789936911100731147</stp>
        <tr r="L38" s="2"/>
      </tp>
      <tp t="s">
        <v>#N/A N/A</v>
        <stp/>
        <stp>BDP|3865289214205575571</stp>
        <tr r="C62" s="2"/>
      </tp>
      <tp t="s">
        <v>#N/A N/A</v>
        <stp/>
        <stp>BDP|7567315256355392472</stp>
        <tr r="O443" s="2"/>
      </tp>
      <tp t="s">
        <v>#N/A N/A</v>
        <stp/>
        <stp>BDP|6409429527380673010</stp>
        <tr r="H319" s="2"/>
      </tp>
      <tp t="s">
        <v>#N/A N/A</v>
        <stp/>
        <stp>BDP|4603299723194375093</stp>
        <tr r="P349" s="2"/>
      </tp>
      <tp t="s">
        <v>#N/A N/A</v>
        <stp/>
        <stp>BDP|7008659554040220454</stp>
        <tr r="O231" s="2"/>
      </tp>
      <tp t="s">
        <v>#N/A N/A</v>
        <stp/>
        <stp>BDP|8625220542739899783</stp>
        <tr r="R246" s="2"/>
      </tp>
      <tp t="s">
        <v>#N/A N/A</v>
        <stp/>
        <stp>BDP|6583571141853447414</stp>
        <tr r="I149" s="2"/>
      </tp>
      <tp t="s">
        <v>#N/A N/A</v>
        <stp/>
        <stp>BDP|6228622867966604078</stp>
        <tr r="O198" s="2"/>
      </tp>
      <tp t="s">
        <v>#N/A N/A</v>
        <stp/>
        <stp>BDP|9901990669336832070</stp>
        <tr r="E65" s="2"/>
      </tp>
      <tp t="s">
        <v>#N/A N/A</v>
        <stp/>
        <stp>BDP|7355151431854659179</stp>
        <tr r="H242" s="2"/>
      </tp>
      <tp t="s">
        <v>#N/A N/A</v>
        <stp/>
        <stp>BDP|2634740354578226827</stp>
        <tr r="F286" s="2"/>
      </tp>
      <tp t="s">
        <v>#N/A N/A</v>
        <stp/>
        <stp>BDP|3498312204882324243</stp>
        <tr r="N290" s="2"/>
      </tp>
      <tp t="s">
        <v>#N/A N/A</v>
        <stp/>
        <stp>BDP|5223615855573831583</stp>
        <tr r="L494" s="2"/>
      </tp>
      <tp t="s">
        <v>#N/A N/A</v>
        <stp/>
        <stp>BDP|9265664522335309833</stp>
        <tr r="Q444" s="2"/>
      </tp>
      <tp t="s">
        <v>#N/A N/A</v>
        <stp/>
        <stp>BDP|4095920033537711908</stp>
        <tr r="I325" s="2"/>
      </tp>
      <tp t="s">
        <v>#N/A N/A</v>
        <stp/>
        <stp>BDP|7669104045220148241</stp>
        <tr r="P395" s="2"/>
      </tp>
      <tp t="s">
        <v>#N/A N/A</v>
        <stp/>
        <stp>BDP|2550054934415603440</stp>
        <tr r="P269" s="2"/>
      </tp>
      <tp t="s">
        <v>#N/A N/A</v>
        <stp/>
        <stp>BDP|2138945226739709025</stp>
        <tr r="K2" s="2"/>
      </tp>
      <tp t="s">
        <v>#N/A N/A</v>
        <stp/>
        <stp>BDP|4016214421090483429</stp>
        <tr r="L329" s="2"/>
      </tp>
      <tp t="s">
        <v>#N/A N/A</v>
        <stp/>
        <stp>BDP|8565334382682267105</stp>
        <tr r="F341" s="2"/>
      </tp>
      <tp t="s">
        <v>#N/A N/A</v>
        <stp/>
        <stp>BDP|9308862634526078476</stp>
        <tr r="J105" s="2"/>
      </tp>
      <tp t="s">
        <v>#N/A N/A</v>
        <stp/>
        <stp>BDP|1192857109438256187</stp>
        <tr r="P355" s="2"/>
      </tp>
      <tp t="s">
        <v>#N/A N/A</v>
        <stp/>
        <stp>BDP|8120665261401593942</stp>
        <tr r="R418" s="2"/>
      </tp>
      <tp t="s">
        <v>#N/A N/A</v>
        <stp/>
        <stp>BDP|4869720720494910549</stp>
        <tr r="H460" s="2"/>
      </tp>
      <tp t="s">
        <v>#N/A N/A</v>
        <stp/>
        <stp>BDP|3213652160817431447</stp>
        <tr r="G169" s="2"/>
      </tp>
      <tp t="s">
        <v>#N/A N/A</v>
        <stp/>
        <stp>BDP|2299193159164222276</stp>
        <tr r="N218" s="2"/>
      </tp>
      <tp t="s">
        <v>#N/A N/A</v>
        <stp/>
        <stp>BDP|8672240978745883859</stp>
        <tr r="E145" s="2"/>
      </tp>
      <tp t="s">
        <v>#N/A N/A</v>
        <stp/>
        <stp>BDP|8439754829554719982</stp>
        <tr r="O417" s="2"/>
      </tp>
      <tp t="s">
        <v>#N/A N/A</v>
        <stp/>
        <stp>BDP|7487344126890277632</stp>
        <tr r="C89" s="2"/>
      </tp>
      <tp t="s">
        <v>#N/A N/A</v>
        <stp/>
        <stp>BDP|9054923248195402197</stp>
        <tr r="F269" s="2"/>
      </tp>
      <tp t="s">
        <v>#N/A N/A</v>
        <stp/>
        <stp>BDP|2364443422341311515</stp>
        <tr r="C94" s="2"/>
      </tp>
      <tp t="s">
        <v>#N/A N/A</v>
        <stp/>
        <stp>BDP|4637036352999084800</stp>
        <tr r="J131" s="2"/>
      </tp>
      <tp t="s">
        <v>#N/A N/A</v>
        <stp/>
        <stp>BDP|4142784409595674616</stp>
        <tr r="H409" s="2"/>
      </tp>
      <tp t="s">
        <v>#N/A N/A</v>
        <stp/>
        <stp>BDP|7645115566593055366</stp>
        <tr r="M365" s="2"/>
      </tp>
      <tp t="s">
        <v>#N/A N/A</v>
        <stp/>
        <stp>BDP|1267199855113996600</stp>
        <tr r="R258" s="2"/>
      </tp>
      <tp t="s">
        <v>#N/A N/A</v>
        <stp/>
        <stp>BDP|4892487730827467408</stp>
        <tr r="R451" s="2"/>
      </tp>
      <tp t="s">
        <v>#N/A N/A</v>
        <stp/>
        <stp>BDP|4949678554030800766</stp>
        <tr r="O76" s="2"/>
      </tp>
      <tp t="s">
        <v>#N/A N/A</v>
        <stp/>
        <stp>BDP|7494149499999450693</stp>
        <tr r="F179" s="2"/>
      </tp>
      <tp t="s">
        <v>#N/A N/A</v>
        <stp/>
        <stp>BDP|9678710788321226799</stp>
        <tr r="K181" s="2"/>
      </tp>
      <tp t="s">
        <v>#N/A N/A</v>
        <stp/>
        <stp>BDP|4608452651096154376</stp>
        <tr r="M305" s="2"/>
      </tp>
      <tp t="s">
        <v>#N/A N/A</v>
        <stp/>
        <stp>BDP|8877421179548278355</stp>
        <tr r="C263" s="2"/>
      </tp>
      <tp t="s">
        <v>#N/A N/A</v>
        <stp/>
        <stp>BDP|3106148141220785672</stp>
        <tr r="R218" s="2"/>
      </tp>
      <tp t="s">
        <v>#N/A N/A</v>
        <stp/>
        <stp>BDP|1200381774471957433</stp>
        <tr r="O348" s="2"/>
      </tp>
      <tp t="s">
        <v>#N/A N/A</v>
        <stp/>
        <stp>BDP|5337946852038536145</stp>
        <tr r="O100" s="2"/>
      </tp>
      <tp t="s">
        <v>#N/A N/A</v>
        <stp/>
        <stp>BDP|1138127900767132765</stp>
        <tr r="O404" s="2"/>
      </tp>
      <tp t="s">
        <v>#N/A N/A</v>
        <stp/>
        <stp>BDP|6956605478622606533</stp>
        <tr r="D500" s="2"/>
      </tp>
      <tp t="s">
        <v>#N/A N/A</v>
        <stp/>
        <stp>BDP|1492305964813659725</stp>
        <tr r="I374" s="2"/>
      </tp>
      <tp t="s">
        <v>#N/A N/A</v>
        <stp/>
        <stp>BDP|9154356139049018096</stp>
        <tr r="M285" s="2"/>
      </tp>
      <tp t="s">
        <v>#N/A N/A</v>
        <stp/>
        <stp>BDP|6766373870704248661</stp>
        <tr r="E370" s="2"/>
      </tp>
      <tp t="s">
        <v>#N/A N/A</v>
        <stp/>
        <stp>BDP|9959537365072941820</stp>
        <tr r="D419" s="2"/>
      </tp>
      <tp>
        <v>-0.41139999032020569</v>
        <stp/>
        <stp>BDP|1242389763588537338|22</stp>
        <stp>INCY UW Equity</stp>
        <stp>RT_PX_CHG_PCT_1D</stp>
        <tr r="B306" s="2"/>
      </tp>
      <tp t="s">
        <v>#N/A N/A</v>
        <stp/>
        <stp>BDP|9111416204909872490</stp>
        <tr r="F406" s="2"/>
      </tp>
      <tp t="s">
        <v>#N/A N/A</v>
        <stp/>
        <stp>BDP|7272676469680186787</stp>
        <tr r="N398" s="2"/>
      </tp>
      <tp t="s">
        <v>#N/A N/A</v>
        <stp/>
        <stp>BDP|2376623180859407506</stp>
        <tr r="E69" s="2"/>
      </tp>
      <tp t="s">
        <v>#N/A N/A</v>
        <stp/>
        <stp>BDP|8882289342516605819</stp>
        <tr r="F439" s="2"/>
      </tp>
      <tp t="s">
        <v>#N/A N/A</v>
        <stp/>
        <stp>BDP|8169091969929661724</stp>
        <tr r="N315" s="2"/>
      </tp>
      <tp t="s">
        <v>#N/A N/A</v>
        <stp/>
        <stp>BDP|6033376806491576419</stp>
        <tr r="N461" s="2"/>
      </tp>
      <tp t="s">
        <v>#N/A N/A</v>
        <stp/>
        <stp>BDP|5567898891214800002</stp>
        <tr r="E90" s="2"/>
      </tp>
      <tp t="s">
        <v>#N/A N/A</v>
        <stp/>
        <stp>BDP|6512776515180129035</stp>
        <tr r="G415" s="2"/>
      </tp>
      <tp t="s">
        <v>#N/A N/A</v>
        <stp/>
        <stp>BDP|2604578438396987253</stp>
        <tr r="M465" s="2"/>
      </tp>
      <tp t="s">
        <v>#N/A N/A</v>
        <stp/>
        <stp>BDP|7288062521770186516</stp>
        <tr r="J144" s="2"/>
      </tp>
      <tp t="s">
        <v>#N/A N/A</v>
        <stp/>
        <stp>BDP|9465739311639686653</stp>
        <tr r="I307" s="2"/>
      </tp>
      <tp t="s">
        <v>#N/A N/A</v>
        <stp/>
        <stp>BDP|1788699641406822522</stp>
        <tr r="E303" s="2"/>
      </tp>
      <tp t="s">
        <v>#N/A N/A</v>
        <stp/>
        <stp>BDP|4512667260133426723</stp>
        <tr r="M173" s="2"/>
      </tp>
      <tp>
        <v>-5.0999999046325684E-2</v>
        <stp/>
        <stp>BDP|13562054738483639746|22</stp>
        <stp>PNC UN Equity</stp>
        <stp>RT_PX_CHG_PCT_1D</stp>
        <tr r="B195" s="2"/>
      </tp>
      <tp>
        <v>1.5178999900817871</v>
        <stp/>
        <stp>BDP|15288557327391067349|22</stp>
        <stp>SYF UN Equity</stp>
        <stp>RT_PX_CHG_PCT_1D</stp>
        <tr r="B138" s="2"/>
      </tp>
      <tp>
        <v>-0.70069998502731323</v>
        <stp/>
        <stp>BDP|11881033396924421473|22</stp>
        <stp>COP UN Equity</stp>
        <stp>RT_PX_CHG_PCT_1D</stp>
        <tr r="B192" s="2"/>
      </tp>
      <tp>
        <v>3.0917000770568848</v>
        <stp/>
        <stp>BDP|14249439348624289010|22</stp>
        <stp>ELV UN Equity</stp>
        <stp>RT_PX_CHG_PCT_1D</stp>
        <tr r="B384" s="2"/>
      </tp>
      <tp>
        <v>-0.3935999870300293</v>
        <stp/>
        <stp>BDP|10840605451632354471|22</stp>
        <stp>DIS UN Equity</stp>
        <stp>RT_PX_CHG_PCT_1D</stp>
        <tr r="B14" s="2"/>
      </tp>
      <tp>
        <v>-0.45559999346733093</v>
        <stp/>
        <stp>BDP|17915269283163280212|22</stp>
        <stp>FDS UN Equity</stp>
        <stp>RT_PX_CHG_PCT_1D</stp>
        <tr r="B359" s="2"/>
      </tp>
      <tp>
        <v>-6.7302999496459961</v>
        <stp/>
        <stp>BDP|10824809932047596511|22</stp>
        <stp>DOC UN Equity</stp>
        <stp>RT_PX_CHG_PCT_1D</stp>
        <tr r="B134" s="2"/>
      </tp>
      <tp>
        <v>-2.0968000888824463</v>
        <stp/>
        <stp>BDP|16101303750034797609|22</stp>
        <stp>HCA UN Equity</stp>
        <stp>RT_PX_CHG_PCT_1D</stp>
        <tr r="B48" s="2"/>
      </tp>
      <tp>
        <v>0.37839999794960022</v>
        <stp/>
        <stp>BDP|14214550114243137253|22</stp>
        <stp>KEY UN Equity</stp>
        <stp>RT_PX_CHG_PCT_1D</stp>
        <tr r="B281" s="2"/>
      </tp>
      <tp>
        <v>-0.59249997138977051</v>
        <stp/>
        <stp>BDP|10375866156984231468|22</stp>
        <stp>AMT UN Equity</stp>
        <stp>RT_PX_CHG_PCT_1D</stp>
        <tr r="B339" s="2"/>
      </tp>
      <tp>
        <v>0.2215999960899353</v>
        <stp/>
        <stp>BDP|14140725462421237135|22</stp>
        <stp>NOC UN Equity</stp>
        <stp>RT_PX_CHG_PCT_1D</stp>
        <tr r="B180" s="2"/>
      </tp>
      <tp>
        <v>3.826200008392334</v>
        <stp/>
        <stp>BDP|17062949470374797316|22</stp>
        <stp>HUM UN Equity</stp>
        <stp>RT_PX_CHG_PCT_1D</stp>
        <tr r="B143" s="2"/>
      </tp>
      <tp>
        <v>0.33840000629425049</v>
        <stp/>
        <stp>BDP|2555747876415632961|22</stp>
        <stp>LULU UW Equity</stp>
        <stp>RT_PX_CHG_PCT_1D</stp>
        <tr r="B25" s="2"/>
      </tp>
      <tp t="s">
        <v>#N/A N/A</v>
        <stp/>
        <stp>BDP|6015585761297178328</stp>
        <tr r="H479" s="2"/>
      </tp>
      <tp t="s">
        <v>#N/A N/A</v>
        <stp/>
        <stp>BDP|1338393854586695025</stp>
        <tr r="D79" s="2"/>
      </tp>
      <tp t="s">
        <v>#N/A N/A</v>
        <stp/>
        <stp>BDP|8761224893463490186</stp>
        <tr r="P264" s="2"/>
      </tp>
      <tp t="s">
        <v>#N/A N/A</v>
        <stp/>
        <stp>BDP|3536900098950643216</stp>
        <tr r="H464" s="2"/>
      </tp>
      <tp t="s">
        <v>#N/A N/A</v>
        <stp/>
        <stp>BDP|1080150470333655596</stp>
        <tr r="L376" s="2"/>
      </tp>
      <tp t="s">
        <v>#N/A N/A</v>
        <stp/>
        <stp>BDP|2520439278568668823</stp>
        <tr r="K365" s="2"/>
      </tp>
      <tp t="s">
        <v>#N/A N/A</v>
        <stp/>
        <stp>BDP|3695506998337719930</stp>
        <tr r="Q146" s="2"/>
      </tp>
      <tp t="s">
        <v>#N/A N/A</v>
        <stp/>
        <stp>BDP|4112140758938654911</stp>
        <tr r="H458" s="2"/>
      </tp>
      <tp t="s">
        <v>#N/A N/A</v>
        <stp/>
        <stp>BDP|4370860868418248358</stp>
        <tr r="E153" s="2"/>
      </tp>
      <tp t="s">
        <v>#N/A N/A</v>
        <stp/>
        <stp>BDP|8831137285032088243</stp>
        <tr r="F235" s="2"/>
      </tp>
      <tp t="s">
        <v>#N/A N/A</v>
        <stp/>
        <stp>BDP|3266510315645582396</stp>
        <tr r="C55" s="2"/>
      </tp>
      <tp t="s">
        <v>#N/A N/A</v>
        <stp/>
        <stp>BDP|7000221715324484199</stp>
        <tr r="P13" s="2"/>
      </tp>
      <tp t="s">
        <v>#N/A N/A</v>
        <stp/>
        <stp>BDP|6127930070238110194</stp>
        <tr r="J213" s="2"/>
      </tp>
      <tp t="s">
        <v>#N/A N/A</v>
        <stp/>
        <stp>BDP|4574785866017128305</stp>
        <tr r="E72" s="2"/>
      </tp>
      <tp t="s">
        <v>#N/A N/A</v>
        <stp/>
        <stp>BDP|4830418562276494157</stp>
        <tr r="O345" s="2"/>
      </tp>
      <tp t="s">
        <v>#N/A N/A</v>
        <stp/>
        <stp>BDP|7781250619355592045</stp>
        <tr r="F342" s="2"/>
      </tp>
      <tp>
        <v>-0.21359999477863312</v>
        <stp/>
        <stp>BDP|7879015510195191528|22</stp>
        <stp>FICO UN Equity</stp>
        <stp>RT_PX_CHG_PCT_1D</stp>
        <tr r="B264" s="2"/>
      </tp>
      <tp t="s">
        <v>#N/A N/A</v>
        <stp/>
        <stp>BDP|4808117845558323849</stp>
        <tr r="R234" s="2"/>
      </tp>
      <tp t="s">
        <v>#N/A N/A</v>
        <stp/>
        <stp>BDP|3567357818613673359</stp>
        <tr r="C308" s="2"/>
      </tp>
      <tp t="s">
        <v>#N/A N/A</v>
        <stp/>
        <stp>BDP|6739188123514463031</stp>
        <tr r="C123" s="2"/>
      </tp>
      <tp t="s">
        <v>#N/A N/A</v>
        <stp/>
        <stp>BDP|2229996030649299023</stp>
        <tr r="O278" s="2"/>
      </tp>
      <tp t="s">
        <v>#N/A N/A</v>
        <stp/>
        <stp>BDP|5878427875364799332</stp>
        <tr r="N109" s="2"/>
      </tp>
      <tp t="s">
        <v>#N/A N/A</v>
        <stp/>
        <stp>BDP|7995952274588317007</stp>
        <tr r="R155" s="2"/>
      </tp>
      <tp t="s">
        <v>#N/A N/A</v>
        <stp/>
        <stp>BDP|4050905273549883200</stp>
        <tr r="F319" s="2"/>
      </tp>
      <tp t="s">
        <v>#N/A N/A</v>
        <stp/>
        <stp>BDP|2974028732033001322</stp>
        <tr r="O341" s="2"/>
      </tp>
      <tp t="s">
        <v>#N/A N/A</v>
        <stp/>
        <stp>BDP|4904824089983972607</stp>
        <tr r="N384" s="2"/>
      </tp>
      <tp t="s">
        <v>#N/A N/A</v>
        <stp/>
        <stp>BDP|8627030812031805942</stp>
        <tr r="I350" s="2"/>
      </tp>
      <tp t="s">
        <v>#N/A N/A</v>
        <stp/>
        <stp>BDP|6291420336961576184</stp>
        <tr r="N127" s="2"/>
      </tp>
      <tp t="s">
        <v>#N/A N/A</v>
        <stp/>
        <stp>BDP|7911159748522672198</stp>
        <tr r="E227" s="2"/>
      </tp>
      <tp t="s">
        <v>#N/A N/A</v>
        <stp/>
        <stp>BDP|3274295694578619124</stp>
        <tr r="J111" s="2"/>
      </tp>
      <tp t="s">
        <v>#N/A N/A</v>
        <stp/>
        <stp>BDP|2480507665885201585</stp>
        <tr r="N369" s="2"/>
      </tp>
      <tp t="s">
        <v>#N/A N/A</v>
        <stp/>
        <stp>BDP|3893920423849379014</stp>
        <tr r="I503" s="2"/>
      </tp>
      <tp t="s">
        <v>#N/A N/A</v>
        <stp/>
        <stp>BDP|2803660425532582559</stp>
        <tr r="C346" s="2"/>
      </tp>
      <tp t="s">
        <v>#N/A N/A</v>
        <stp/>
        <stp>BDP|6086408245096631187</stp>
        <tr r="H99" s="2"/>
      </tp>
      <tp t="s">
        <v>#N/A N/A</v>
        <stp/>
        <stp>BDP|8786333285644890622</stp>
        <tr r="G130" s="2"/>
      </tp>
      <tp t="s">
        <v>#N/A N/A</v>
        <stp/>
        <stp>BDP|5080470403563517395</stp>
        <tr r="L302" s="2"/>
      </tp>
      <tp t="s">
        <v>#N/A N/A</v>
        <stp/>
        <stp>BDP|8386206104929683294</stp>
        <tr r="R351" s="2"/>
      </tp>
      <tp t="s">
        <v>#N/A N/A</v>
        <stp/>
        <stp>BDP|5848640625064319429</stp>
        <tr r="Q364" s="2"/>
      </tp>
      <tp t="s">
        <v>#N/A N/A</v>
        <stp/>
        <stp>BDP|5658918790702724684</stp>
        <tr r="R465" s="2"/>
      </tp>
      <tp t="s">
        <v>#N/A N/A</v>
        <stp/>
        <stp>BDP|4536542253647807226</stp>
        <tr r="H300" s="2"/>
      </tp>
      <tp t="s">
        <v>#N/A N/A</v>
        <stp/>
        <stp>BDP|4705981874469369202</stp>
        <tr r="J420" s="2"/>
      </tp>
      <tp t="s">
        <v>#N/A N/A</v>
        <stp/>
        <stp>BDP|9917820044295718102</stp>
        <tr r="N228" s="2"/>
      </tp>
      <tp t="s">
        <v>#N/A N/A</v>
        <stp/>
        <stp>BDP|2211232668425330227</stp>
        <tr r="C214" s="2"/>
      </tp>
      <tp t="s">
        <v>#N/A N/A</v>
        <stp/>
        <stp>BDP|8331896351463052731</stp>
        <tr r="L107" s="2"/>
      </tp>
      <tp t="s">
        <v>#N/A N/A</v>
        <stp/>
        <stp>BDP|4855231244081607210</stp>
        <tr r="R471" s="2"/>
      </tp>
      <tp t="s">
        <v>#N/A N/A</v>
        <stp/>
        <stp>BDP|5577304477164223487</stp>
        <tr r="J232" s="2"/>
      </tp>
      <tp t="s">
        <v>#N/A N/A</v>
        <stp/>
        <stp>BDP|3796575638587071308</stp>
        <tr r="G490" s="2"/>
      </tp>
      <tp t="s">
        <v>#N/A N/A</v>
        <stp/>
        <stp>BDP|1492570235037722182</stp>
        <tr r="H163" s="2"/>
      </tp>
      <tp t="s">
        <v>#N/A N/A</v>
        <stp/>
        <stp>BDP|5777694971765069069</stp>
        <tr r="I171" s="2"/>
      </tp>
      <tp t="s">
        <v>#N/A N/A</v>
        <stp/>
        <stp>BDP|7423237883839908547</stp>
        <tr r="P73" s="2"/>
      </tp>
      <tp t="s">
        <v>#N/A N/A</v>
        <stp/>
        <stp>BDP|2840214273101720749</stp>
        <tr r="Q62" s="2"/>
      </tp>
      <tp t="s">
        <v>#N/A N/A</v>
        <stp/>
        <stp>BDP|5029648256266335187</stp>
        <tr r="I221" s="2"/>
      </tp>
      <tp t="s">
        <v>#N/A N/A</v>
        <stp/>
        <stp>BDP|8465807837481955331</stp>
        <tr r="E453" s="2"/>
      </tp>
      <tp t="s">
        <v>#N/A N/A</v>
        <stp/>
        <stp>BDP|2618962876094740986</stp>
        <tr r="L416" s="2"/>
      </tp>
      <tp t="s">
        <v>#N/A N/A</v>
        <stp/>
        <stp>BDP|3537812319138530313</stp>
        <tr r="C217" s="2"/>
      </tp>
      <tp t="s">
        <v>#N/A N/A</v>
        <stp/>
        <stp>BDP|1579098027276593477</stp>
        <tr r="N138" s="2"/>
      </tp>
      <tp t="s">
        <v>#N/A N/A</v>
        <stp/>
        <stp>BDP|2428231658714038065</stp>
        <tr r="R238" s="2"/>
      </tp>
      <tp t="s">
        <v>#N/A N/A</v>
        <stp/>
        <stp>BDP|4341235598829650779</stp>
        <tr r="J456" s="2"/>
      </tp>
      <tp t="s">
        <v>#N/A N/A</v>
        <stp/>
        <stp>BDP|1362825149948574449</stp>
        <tr r="N209" s="2"/>
      </tp>
      <tp t="s">
        <v>#N/A N/A</v>
        <stp/>
        <stp>BDP|2501908424051088987</stp>
        <tr r="H235" s="2"/>
      </tp>
      <tp t="s">
        <v>#N/A N/A</v>
        <stp/>
        <stp>BDP|4603165251300910111</stp>
        <tr r="E498" s="2"/>
      </tp>
      <tp t="s">
        <v>#N/A N/A</v>
        <stp/>
        <stp>BDP|3698756546872953329</stp>
        <tr r="M178" s="2"/>
      </tp>
      <tp t="s">
        <v>#N/A N/A</v>
        <stp/>
        <stp>BDP|2617836689385195630</stp>
        <tr r="F259" s="2"/>
      </tp>
      <tp t="s">
        <v>#N/A N/A</v>
        <stp/>
        <stp>BDP|6987728843634220049</stp>
        <tr r="M224" s="2"/>
      </tp>
      <tp t="s">
        <v>#N/A N/A</v>
        <stp/>
        <stp>BDP|9807010095360478168</stp>
        <tr r="H280" s="2"/>
      </tp>
      <tp t="s">
        <v>#N/A N/A</v>
        <stp/>
        <stp>BDP|6927875310879795778</stp>
        <tr r="I406" s="2"/>
      </tp>
      <tp t="s">
        <v>#N/A N/A</v>
        <stp/>
        <stp>BDP|4062546553236877314</stp>
        <tr r="N419" s="2"/>
      </tp>
      <tp t="s">
        <v>#N/A N/A</v>
        <stp/>
        <stp>BDP|6604412568524428156</stp>
        <tr r="E172" s="2"/>
      </tp>
      <tp t="s">
        <v>#N/A N/A</v>
        <stp/>
        <stp>BDP|1878752631761362516</stp>
        <tr r="C241" s="2"/>
      </tp>
      <tp t="s">
        <v>#N/A N/A</v>
        <stp/>
        <stp>BDP|7880169258076105495</stp>
        <tr r="G127" s="2"/>
      </tp>
      <tp t="s">
        <v>#N/A N/A</v>
        <stp/>
        <stp>BDP|8817078195118589814</stp>
        <tr r="P488" s="2"/>
      </tp>
      <tp t="s">
        <v>#N/A N/A</v>
        <stp/>
        <stp>BDP|6711614639733563143</stp>
        <tr r="C368" s="2"/>
      </tp>
      <tp t="s">
        <v>#N/A N/A</v>
        <stp/>
        <stp>BDP|3623864884802999030</stp>
        <tr r="Q74" s="2"/>
      </tp>
      <tp t="s">
        <v>#N/A N/A</v>
        <stp/>
        <stp>BDP|9974577886386730316</stp>
        <tr r="M400" s="2"/>
      </tp>
      <tp t="s">
        <v>#N/A N/A</v>
        <stp/>
        <stp>BDP|7992127527795239012</stp>
        <tr r="K487" s="2"/>
      </tp>
      <tp t="s">
        <v>#N/A N/A</v>
        <stp/>
        <stp>BDP|7992426825750638073</stp>
        <tr r="G304" s="2"/>
      </tp>
      <tp t="s">
        <v>#N/A N/A</v>
        <stp/>
        <stp>BDP|6746831471809253180</stp>
        <tr r="N123" s="2"/>
      </tp>
      <tp t="s">
        <v>#N/A N/A</v>
        <stp/>
        <stp>BDP|2187760335114905344</stp>
        <tr r="I56" s="2"/>
      </tp>
      <tp t="s">
        <v>#N/A N/A</v>
        <stp/>
        <stp>BDP|4494178574161146299</stp>
        <tr r="P279" s="2"/>
      </tp>
      <tp t="s">
        <v>#N/A N/A</v>
        <stp/>
        <stp>BDP|7815431821482596202</stp>
        <tr r="N161" s="2"/>
      </tp>
      <tp t="s">
        <v>#N/A N/A</v>
        <stp/>
        <stp>BDP|5173277882919314787</stp>
        <tr r="K337" s="2"/>
      </tp>
      <tp t="s">
        <v>#N/A N/A</v>
        <stp/>
        <stp>BDP|9663873203183433398</stp>
        <tr r="M229" s="2"/>
      </tp>
      <tp t="s">
        <v>#N/A N/A</v>
        <stp/>
        <stp>BDP|4092449086051971849</stp>
        <tr r="E282" s="2"/>
      </tp>
      <tp t="s">
        <v>#N/A N/A</v>
        <stp/>
        <stp>BDP|1998493919720708513</stp>
        <tr r="H278" s="2"/>
      </tp>
      <tp t="s">
        <v>#N/A N/A</v>
        <stp/>
        <stp>BDP|9700082481077037710</stp>
        <tr r="Q34" s="2"/>
      </tp>
      <tp t="s">
        <v>#N/A N/A</v>
        <stp/>
        <stp>BDP|2444167458270310761</stp>
        <tr r="F493" s="2"/>
      </tp>
      <tp t="s">
        <v>#N/A N/A</v>
        <stp/>
        <stp>BDP|3004356858752639643</stp>
        <tr r="D344" s="2"/>
      </tp>
      <tp t="s">
        <v>#N/A N/A</v>
        <stp/>
        <stp>BDP|3653160247620938711</stp>
        <tr r="F56" s="2"/>
      </tp>
      <tp t="s">
        <v>#N/A N/A</v>
        <stp/>
        <stp>BDP|4121276159043988198</stp>
        <tr r="R365" s="2"/>
      </tp>
      <tp t="s">
        <v>#N/A N/A</v>
        <stp/>
        <stp>BDP|8732623847018417395</stp>
        <tr r="F161" s="2"/>
      </tp>
      <tp t="s">
        <v>#N/A N/A</v>
        <stp/>
        <stp>BDP|8746057138003755921</stp>
        <tr r="C379" s="2"/>
      </tp>
      <tp t="s">
        <v>#N/A N/A</v>
        <stp/>
        <stp>BDP|5312717319067700530</stp>
        <tr r="D372" s="2"/>
      </tp>
      <tp t="s">
        <v>#N/A N/A</v>
        <stp/>
        <stp>BDP|7352936632785648988</stp>
        <tr r="C67" s="2"/>
      </tp>
      <tp t="s">
        <v>#N/A N/A</v>
        <stp/>
        <stp>BDP|5734542266866042195</stp>
        <tr r="O140" s="2"/>
      </tp>
      <tp t="s">
        <v>#N/A N/A</v>
        <stp/>
        <stp>BDP|8452849596380947833</stp>
        <tr r="M489" s="2"/>
      </tp>
      <tp t="s">
        <v>#N/A N/A</v>
        <stp/>
        <stp>BDP|9175555517988886472</stp>
        <tr r="D82" s="2"/>
      </tp>
      <tp t="s">
        <v>#N/A N/A</v>
        <stp/>
        <stp>BDP|2987403241114522718</stp>
        <tr r="I165" s="2"/>
      </tp>
      <tp t="s">
        <v>#N/A N/A</v>
        <stp/>
        <stp>BDP|1175447470160812313</stp>
        <tr r="C45" s="2"/>
      </tp>
      <tp t="s">
        <v>#N/A N/A</v>
        <stp/>
        <stp>BDP|4686150079777197473</stp>
        <tr r="H420" s="2"/>
      </tp>
      <tp t="s">
        <v>#N/A N/A</v>
        <stp/>
        <stp>BDP|9105692798740540796</stp>
        <tr r="K76" s="2"/>
      </tp>
      <tp t="s">
        <v>#N/A N/A</v>
        <stp/>
        <stp>BDP|1874304405630169305</stp>
        <tr r="H308" s="2"/>
      </tp>
      <tp t="s">
        <v>#N/A N/A</v>
        <stp/>
        <stp>BDP|1946424590218028576</stp>
        <tr r="Q77" s="2"/>
      </tp>
      <tp t="s">
        <v>#N/A N/A</v>
        <stp/>
        <stp>BDP|6881906237235334817</stp>
        <tr r="O308" s="2"/>
      </tp>
      <tp t="s">
        <v>#N/A N/A</v>
        <stp/>
        <stp>BDP|3055585429520981556</stp>
        <tr r="I143" s="2"/>
      </tp>
      <tp t="s">
        <v>#N/A N/A</v>
        <stp/>
        <stp>BDP|9740790695882011466</stp>
        <tr r="I14" s="2"/>
      </tp>
      <tp t="s">
        <v>#N/A N/A</v>
        <stp/>
        <stp>BDP|4755489555517324341</stp>
        <tr r="P146" s="2"/>
      </tp>
      <tp t="s">
        <v>#N/A N/A</v>
        <stp/>
        <stp>BDP|3788879778404170948</stp>
        <tr r="P123" s="2"/>
      </tp>
      <tp t="s">
        <v>#N/A N/A</v>
        <stp/>
        <stp>BDP|2677685352090986087</stp>
        <tr r="P256" s="2"/>
      </tp>
      <tp t="s">
        <v>#N/A N/A</v>
        <stp/>
        <stp>BDP|4632102329223775558</stp>
        <tr r="R407" s="2"/>
      </tp>
      <tp t="s">
        <v>#N/A N/A</v>
        <stp/>
        <stp>BDP|8450114984972849243</stp>
        <tr r="N266" s="2"/>
      </tp>
      <tp t="s">
        <v>#N/A N/A</v>
        <stp/>
        <stp>BDP|7476072941585894777</stp>
        <tr r="L343" s="2"/>
      </tp>
      <tp t="s">
        <v>#N/A N/A</v>
        <stp/>
        <stp>BDP|2330077094452835853</stp>
        <tr r="L52" s="2"/>
      </tp>
      <tp t="s">
        <v>#N/A N/A</v>
        <stp/>
        <stp>BDP|3387104408294449729</stp>
        <tr r="E320" s="2"/>
      </tp>
      <tp t="s">
        <v>#N/A N/A</v>
        <stp/>
        <stp>BDP|1702530819385976191</stp>
        <tr r="I238" s="2"/>
      </tp>
      <tp t="s">
        <v>#N/A N/A</v>
        <stp/>
        <stp>BDP|1853021461105243345</stp>
        <tr r="J367" s="2"/>
      </tp>
      <tp t="s">
        <v>#N/A N/A</v>
        <stp/>
        <stp>BDP|8018333599574438730</stp>
        <tr r="Q116" s="2"/>
      </tp>
      <tp t="s">
        <v>#N/A N/A</v>
        <stp/>
        <stp>BDP|4261782075422120735</stp>
        <tr r="G15" s="2"/>
      </tp>
      <tp t="s">
        <v>#N/A N/A</v>
        <stp/>
        <stp>BDP|4909356222715755142</stp>
        <tr r="R113" s="2"/>
      </tp>
      <tp t="s">
        <v>#N/A N/A</v>
        <stp/>
        <stp>BDP|7766792043447989263</stp>
        <tr r="L292" s="2"/>
      </tp>
      <tp t="s">
        <v>#N/A N/A</v>
        <stp/>
        <stp>BDP|2237354140937527301</stp>
        <tr r="J445" s="2"/>
      </tp>
      <tp t="s">
        <v>#N/A N/A</v>
        <stp/>
        <stp>BDP|3588291809737704702</stp>
        <tr r="N303" s="2"/>
      </tp>
      <tp t="s">
        <v>#N/A N/A</v>
        <stp/>
        <stp>BDP|4190992046168565090</stp>
        <tr r="M426" s="2"/>
      </tp>
      <tp t="s">
        <v>#N/A N/A</v>
        <stp/>
        <stp>BDP|1779193594240184891</stp>
        <tr r="G140" s="2"/>
      </tp>
      <tp t="s">
        <v>#N/A N/A</v>
        <stp/>
        <stp>BDP|5893821461512956809</stp>
        <tr r="O14" s="2"/>
      </tp>
      <tp t="s">
        <v>#N/A N/A</v>
        <stp/>
        <stp>BDP|2210014481028118315</stp>
        <tr r="Q223" s="2"/>
      </tp>
      <tp t="s">
        <v>#N/A N/A</v>
        <stp/>
        <stp>BDP|6366092162154960530</stp>
        <tr r="G206" s="2"/>
      </tp>
      <tp t="s">
        <v>#N/A N/A</v>
        <stp/>
        <stp>BDP|6534343232581147602</stp>
        <tr r="O17" s="2"/>
      </tp>
      <tp t="s">
        <v>#N/A N/A</v>
        <stp/>
        <stp>BDP|5606655342461734740</stp>
        <tr r="R196" s="2"/>
      </tp>
      <tp t="s">
        <v>#N/A N/A</v>
        <stp/>
        <stp>BDP|2958285955327601301</stp>
        <tr r="O184" s="2"/>
      </tp>
      <tp t="s">
        <v>#N/A N/A</v>
        <stp/>
        <stp>BDP|5287610884923134940</stp>
        <tr r="D73" s="2"/>
      </tp>
      <tp t="s">
        <v>#N/A N/A</v>
        <stp/>
        <stp>BDP|6479994825298363495</stp>
        <tr r="J379" s="2"/>
      </tp>
      <tp t="s">
        <v>#N/A N/A</v>
        <stp/>
        <stp>BDP|5291478127872746078</stp>
        <tr r="O116" s="2"/>
      </tp>
      <tp t="s">
        <v>#N/A N/A</v>
        <stp/>
        <stp>BDP|2725710744077169710</stp>
        <tr r="O99" s="2"/>
      </tp>
      <tp t="s">
        <v>#N/A N/A</v>
        <stp/>
        <stp>BDP|1071145461405346245</stp>
        <tr r="K355" s="2"/>
      </tp>
      <tp>
        <v>2.2379999160766602</v>
        <stp/>
        <stp>BDP|1781518263359930896|22</stp>
        <stp>DDOG UW Equity</stp>
        <stp>RT_PX_CHG_PCT_1D</stp>
        <tr r="B404" s="2"/>
      </tp>
      <tp t="s">
        <v>#N/A N/A</v>
        <stp/>
        <stp>BDP|9079975368905577294</stp>
        <tr r="I115" s="2"/>
      </tp>
      <tp t="s">
        <v>#N/A N/A</v>
        <stp/>
        <stp>BDP|7624967136298492416</stp>
        <tr r="G347" s="2"/>
      </tp>
      <tp t="s">
        <v>#N/A N/A</v>
        <stp/>
        <stp>BDP|4923947391146894376</stp>
        <tr r="F376" s="2"/>
      </tp>
      <tp t="s">
        <v>#N/A N/A</v>
        <stp/>
        <stp>BDP|3093262145254716073</stp>
        <tr r="E371" s="2"/>
      </tp>
      <tp t="s">
        <v>#N/A N/A</v>
        <stp/>
        <stp>BDP|5084742953610129654</stp>
        <tr r="I498" s="2"/>
      </tp>
      <tp t="s">
        <v>#N/A N/A</v>
        <stp/>
        <stp>BDP|1223541763354245748</stp>
        <tr r="K103" s="2"/>
      </tp>
      <tp t="s">
        <v>#N/A N/A</v>
        <stp/>
        <stp>BDP|5980087694034790919</stp>
        <tr r="Q439" s="2"/>
      </tp>
      <tp t="s">
        <v>#N/A N/A</v>
        <stp/>
        <stp>BDP|8607344998195015695</stp>
        <tr r="E101" s="2"/>
      </tp>
      <tp t="s">
        <v>#N/A N/A</v>
        <stp/>
        <stp>BDP|4011057515137369300</stp>
        <tr r="L103" s="2"/>
      </tp>
      <tp t="s">
        <v>#N/A N/A</v>
        <stp/>
        <stp>BDP|4282058818100585498</stp>
        <tr r="D452" s="2"/>
      </tp>
      <tp t="s">
        <v>#N/A N/A</v>
        <stp/>
        <stp>BDP|5627129303875005043</stp>
        <tr r="M116" s="2"/>
      </tp>
      <tp t="s">
        <v>#N/A N/A</v>
        <stp/>
        <stp>BDP|7396816560080298836</stp>
        <tr r="R454" s="2"/>
      </tp>
      <tp t="s">
        <v>#N/A N/A</v>
        <stp/>
        <stp>BDP|3968581684047430824</stp>
        <tr r="R73" s="2"/>
      </tp>
      <tp t="s">
        <v>#N/A N/A</v>
        <stp/>
        <stp>BDP|3123430429916016289</stp>
        <tr r="E180" s="2"/>
      </tp>
      <tp t="s">
        <v>#N/A N/A</v>
        <stp/>
        <stp>BDP|3669016925819598942</stp>
        <tr r="Q441" s="2"/>
      </tp>
      <tp t="s">
        <v>#N/A N/A</v>
        <stp/>
        <stp>BDP|4005121140705834597</stp>
        <tr r="G394" s="2"/>
      </tp>
      <tp t="s">
        <v>#N/A N/A</v>
        <stp/>
        <stp>BDP|1242044575491917692</stp>
        <tr r="I441" s="2"/>
      </tp>
      <tp t="s">
        <v>#N/A N/A</v>
        <stp/>
        <stp>BDP|7134969019718930648</stp>
        <tr r="P468" s="2"/>
      </tp>
      <tp t="s">
        <v>#N/A N/A</v>
        <stp/>
        <stp>BDP|7409723710100733018</stp>
        <tr r="G417" s="2"/>
      </tp>
      <tp t="s">
        <v>#N/A N/A</v>
        <stp/>
        <stp>BDP|4427823446350492943</stp>
        <tr r="Q173" s="2"/>
      </tp>
      <tp t="s">
        <v>#N/A N/A</v>
        <stp/>
        <stp>BDP|1238852155885486869</stp>
        <tr r="G455" s="2"/>
      </tp>
      <tp t="s">
        <v>#N/A N/A</v>
        <stp/>
        <stp>BDP|2917296041922654773</stp>
        <tr r="M216" s="2"/>
      </tp>
      <tp t="s">
        <v>#N/A N/A</v>
        <stp/>
        <stp>BDP|4588744459056116195</stp>
        <tr r="C386" s="2"/>
      </tp>
      <tp t="s">
        <v>#N/A N/A</v>
        <stp/>
        <stp>BDP|9381092565736866870</stp>
        <tr r="K252" s="2"/>
      </tp>
      <tp t="s">
        <v>#N/A N/A</v>
        <stp/>
        <stp>BDP|1371616072265987496</stp>
        <tr r="Q210" s="2"/>
      </tp>
      <tp t="s">
        <v>#N/A N/A</v>
        <stp/>
        <stp>BDP|1233939191263278322</stp>
        <tr r="K279" s="2"/>
      </tp>
      <tp t="s">
        <v>#N/A N/A</v>
        <stp/>
        <stp>BDP|4117213160783397231</stp>
        <tr r="G44" s="2"/>
      </tp>
      <tp t="s">
        <v>#N/A N/A</v>
        <stp/>
        <stp>BDP|6066052983329722619</stp>
        <tr r="P208" s="2"/>
      </tp>
      <tp t="s">
        <v>#N/A N/A</v>
        <stp/>
        <stp>BDP|1089507064304754738</stp>
        <tr r="C442" s="2"/>
      </tp>
      <tp t="s">
        <v>#N/A N/A</v>
        <stp/>
        <stp>BDP|5382753199142982862</stp>
        <tr r="N261" s="2"/>
      </tp>
      <tp t="s">
        <v>#N/A N/A</v>
        <stp/>
        <stp>BDP|1007382569932000718</stp>
        <tr r="E266" s="2"/>
      </tp>
      <tp t="s">
        <v>#N/A N/A</v>
        <stp/>
        <stp>BDP|4638467404977379679</stp>
        <tr r="D129" s="2"/>
      </tp>
      <tp t="s">
        <v>#N/A N/A</v>
        <stp/>
        <stp>BDP|8521957082648401061</stp>
        <tr r="C303" s="2"/>
      </tp>
      <tp t="s">
        <v>#N/A N/A</v>
        <stp/>
        <stp>BDP|7923561558153754505</stp>
        <tr r="L381" s="2"/>
      </tp>
      <tp t="s">
        <v>#N/A N/A</v>
        <stp/>
        <stp>BDP|4116507400187359720</stp>
        <tr r="F58" s="2"/>
      </tp>
      <tp t="s">
        <v>#N/A N/A</v>
        <stp/>
        <stp>BDP|8644230562064644912</stp>
        <tr r="K193" s="2"/>
      </tp>
      <tp t="s">
        <v>#N/A N/A</v>
        <stp/>
        <stp>BDP|6299407033881355126</stp>
        <tr r="R482" s="2"/>
      </tp>
      <tp t="s">
        <v>#N/A N/A</v>
        <stp/>
        <stp>BDP|2304032639227811714</stp>
        <tr r="M479" s="2"/>
      </tp>
      <tp t="s">
        <v>#N/A N/A</v>
        <stp/>
        <stp>BDP|1496063270865470260</stp>
        <tr r="Q177" s="2"/>
      </tp>
      <tp t="s">
        <v>#N/A N/A</v>
        <stp/>
        <stp>BDP|7744831580293572517</stp>
        <tr r="P218" s="2"/>
      </tp>
      <tp t="s">
        <v>#N/A N/A</v>
        <stp/>
        <stp>BDP|6599744047981652507</stp>
        <tr r="R203" s="2"/>
      </tp>
      <tp t="s">
        <v>#N/A N/A</v>
        <stp/>
        <stp>BDP|1195256071482118753</stp>
        <tr r="J290" s="2"/>
      </tp>
      <tp t="s">
        <v>#N/A N/A</v>
        <stp/>
        <stp>BDP|2190407252263136137</stp>
        <tr r="L313" s="2"/>
      </tp>
      <tp t="s">
        <v>#N/A N/A</v>
        <stp/>
        <stp>BDP|8488459056119411129</stp>
        <tr r="Q181" s="2"/>
      </tp>
      <tp t="s">
        <v>#N/A N/A</v>
        <stp/>
        <stp>BDP|1568416778790591385</stp>
        <tr r="O102" s="2"/>
      </tp>
      <tp t="s">
        <v>#N/A N/A</v>
        <stp/>
        <stp>BDP|9108609725869746529</stp>
        <tr r="G114" s="2"/>
      </tp>
      <tp t="s">
        <v>#N/A N/A</v>
        <stp/>
        <stp>BDP|6852578129261686116</stp>
        <tr r="K179" s="2"/>
      </tp>
      <tp t="s">
        <v>#N/A N/A</v>
        <stp/>
        <stp>BDP|8310950412644209576</stp>
        <tr r="R394" s="2"/>
      </tp>
      <tp t="s">
        <v>#N/A N/A</v>
        <stp/>
        <stp>BDP|2729673276640210256</stp>
        <tr r="R138" s="2"/>
      </tp>
      <tp t="s">
        <v>#N/A N/A</v>
        <stp/>
        <stp>BDP|5646871196325229047</stp>
        <tr r="L207" s="2"/>
      </tp>
      <tp t="s">
        <v>#N/A N/A</v>
        <stp/>
        <stp>BDP|3999355695600168899</stp>
        <tr r="E53" s="2"/>
      </tp>
      <tp t="s">
        <v>#N/A N/A</v>
        <stp/>
        <stp>BDP|1376505655358275853</stp>
        <tr r="O131" s="2"/>
      </tp>
      <tp t="s">
        <v>#N/A N/A</v>
        <stp/>
        <stp>BDP|2312370504486454655</stp>
        <tr r="L504" s="2"/>
      </tp>
      <tp t="s">
        <v>#N/A N/A</v>
        <stp/>
        <stp>BDP|5739281513604921341</stp>
        <tr r="M440" s="2"/>
      </tp>
      <tp t="s">
        <v>#N/A N/A</v>
        <stp/>
        <stp>BDP|8609601221849942484</stp>
        <tr r="H459" s="2"/>
      </tp>
      <tp t="s">
        <v>#N/A N/A</v>
        <stp/>
        <stp>BDP|7026441030067711658</stp>
        <tr r="N33" s="2"/>
      </tp>
      <tp t="s">
        <v>#N/A N/A</v>
        <stp/>
        <stp>BDP|4807273229487081205</stp>
        <tr r="G28" s="2"/>
      </tp>
      <tp t="s">
        <v>#N/A N/A</v>
        <stp/>
        <stp>BDP|3183267592370724943</stp>
        <tr r="Q54" s="2"/>
      </tp>
      <tp t="s">
        <v>#N/A N/A</v>
        <stp/>
        <stp>BDP|6020051461474387513</stp>
        <tr r="P339" s="2"/>
      </tp>
      <tp t="s">
        <v>#N/A N/A</v>
        <stp/>
        <stp>BDP|6111256501626692354</stp>
        <tr r="F257" s="2"/>
      </tp>
      <tp t="s">
        <v>#N/A N/A</v>
        <stp/>
        <stp>BDP|5429996382781061499</stp>
        <tr r="K131" s="2"/>
      </tp>
      <tp t="s">
        <v>#N/A N/A</v>
        <stp/>
        <stp>BDP|7912966399101285721</stp>
        <tr r="O421" s="2"/>
      </tp>
      <tp t="s">
        <v>#N/A N/A</v>
        <stp/>
        <stp>BDP|4075570500064911489</stp>
        <tr r="P119" s="2"/>
      </tp>
      <tp t="s">
        <v>#N/A N/A</v>
        <stp/>
        <stp>BDP|8716764779890754997</stp>
        <tr r="Q241" s="2"/>
      </tp>
      <tp t="s">
        <v>#N/A N/A</v>
        <stp/>
        <stp>BDP|7781155756150525270</stp>
        <tr r="E187" s="2"/>
      </tp>
      <tp t="s">
        <v>#N/A N/A</v>
        <stp/>
        <stp>BDP|5575910343369407055</stp>
        <tr r="P157" s="2"/>
      </tp>
      <tp t="s">
        <v>#N/A N/A</v>
        <stp/>
        <stp>BDP|1713476137337373022</stp>
        <tr r="R408" s="2"/>
      </tp>
      <tp t="s">
        <v>#N/A N/A</v>
        <stp/>
        <stp>BDP|5779901138708928603</stp>
        <tr r="R171" s="2"/>
      </tp>
      <tp t="s">
        <v>#N/A N/A</v>
        <stp/>
        <stp>BDP|4392548072576267112</stp>
        <tr r="O387" s="2"/>
      </tp>
      <tp t="s">
        <v>#N/A N/A</v>
        <stp/>
        <stp>BDP|5332142751156601663</stp>
        <tr r="I342" s="2"/>
      </tp>
      <tp t="s">
        <v>#N/A N/A</v>
        <stp/>
        <stp>BDP|6619542470037508211</stp>
        <tr r="M236" s="2"/>
      </tp>
      <tp t="s">
        <v>#N/A N/A</v>
        <stp/>
        <stp>BDP|8731493689933093617</stp>
        <tr r="C299" s="2"/>
      </tp>
      <tp t="s">
        <v>#N/A N/A</v>
        <stp/>
        <stp>BDP|9399992712172847269</stp>
        <tr r="E142" s="2"/>
      </tp>
      <tp t="s">
        <v>#N/A N/A</v>
        <stp/>
        <stp>BDP|2441021433460026035</stp>
        <tr r="C361" s="2"/>
      </tp>
      <tp t="s">
        <v>#N/A N/A</v>
        <stp/>
        <stp>BDP|9871462052390266986</stp>
        <tr r="F379" s="2"/>
      </tp>
      <tp t="s">
        <v>#N/A N/A</v>
        <stp/>
        <stp>BDP|3223346072587033124</stp>
        <tr r="G373" s="2"/>
      </tp>
      <tp t="s">
        <v>#N/A N/A</v>
        <stp/>
        <stp>BDP|1311900281605228463</stp>
        <tr r="R163" s="2"/>
      </tp>
      <tp>
        <v>0</v>
        <stp/>
        <stp>BDP|9897910107016359126|22</stp>
        <stp>LDOS UN Equity</stp>
        <stp>RT_PX_CHG_PCT_1D</stp>
        <tr r="B421" s="2"/>
      </tp>
      <tp t="s">
        <v>#N/A N/A</v>
        <stp/>
        <stp>BDP|4630289054244962647</stp>
        <tr r="G424" s="2"/>
      </tp>
      <tp t="s">
        <v>#N/A N/A</v>
        <stp/>
        <stp>BDP|3756260516987958690</stp>
        <tr r="K305" s="2"/>
      </tp>
      <tp t="s">
        <v>#N/A N/A</v>
        <stp/>
        <stp>BDP|4826828713905709998</stp>
        <tr r="F389" s="2"/>
      </tp>
      <tp t="s">
        <v>#N/A N/A</v>
        <stp/>
        <stp>BDP|9283608244848102205</stp>
        <tr r="O28" s="2"/>
      </tp>
      <tp t="s">
        <v>#N/A N/A</v>
        <stp/>
        <stp>BDP|6331951312866273913</stp>
        <tr r="M14" s="2"/>
      </tp>
      <tp t="s">
        <v>#N/A N/A</v>
        <stp/>
        <stp>BDP|3487020011137137414</stp>
        <tr r="I212" s="2"/>
      </tp>
      <tp t="s">
        <v>#N/A N/A</v>
        <stp/>
        <stp>BDP|5641501927321763210</stp>
        <tr r="K432" s="2"/>
      </tp>
      <tp t="s">
        <v>#N/A N/A</v>
        <stp/>
        <stp>BDP|7468525686409567222</stp>
        <tr r="O475" s="2"/>
      </tp>
      <tp t="s">
        <v>#N/A N/A</v>
        <stp/>
        <stp>BDP|8565993969287776152</stp>
        <tr r="N308" s="2"/>
      </tp>
      <tp t="s">
        <v>#N/A N/A</v>
        <stp/>
        <stp>BDP|2373939698202685191</stp>
        <tr r="G112" s="2"/>
      </tp>
      <tp t="s">
        <v>#N/A N/A</v>
        <stp/>
        <stp>BDP|7138620193788531122</stp>
        <tr r="I201" s="2"/>
      </tp>
      <tp t="s">
        <v>#N/A N/A</v>
        <stp/>
        <stp>BDP|7777422333878602978</stp>
        <tr r="E288" s="2"/>
      </tp>
      <tp t="s">
        <v>#N/A N/A</v>
        <stp/>
        <stp>BDP|4159254790836350809</stp>
        <tr r="O463" s="2"/>
      </tp>
      <tp t="s">
        <v>#N/A N/A</v>
        <stp/>
        <stp>BDP|5928734065235830000</stp>
        <tr r="L443" s="2"/>
      </tp>
      <tp t="s">
        <v>#N/A N/A</v>
        <stp/>
        <stp>BDP|2172066482798284308</stp>
        <tr r="L48" s="2"/>
      </tp>
      <tp>
        <v>-1.0714000463485718</v>
        <stp/>
        <stp>BDP|9864173205514518707|22</stp>
        <stp>MKTX UW Equity</stp>
        <stp>RT_PX_CHG_PCT_1D</stp>
        <tr r="B375" s="2"/>
      </tp>
      <tp t="s">
        <v>#N/A N/A</v>
        <stp/>
        <stp>BDP|4650934116174098970</stp>
        <tr r="P106" s="2"/>
      </tp>
      <tp t="s">
        <v>#N/A N/A</v>
        <stp/>
        <stp>BDP|2937066841864200384</stp>
        <tr r="I298" s="2"/>
      </tp>
      <tp t="s">
        <v>#N/A N/A</v>
        <stp/>
        <stp>BDP|2682763271401349260</stp>
        <tr r="E466" s="2"/>
      </tp>
      <tp t="s">
        <v>#N/A N/A</v>
        <stp/>
        <stp>BDP|7331783168604686313</stp>
        <tr r="I422" s="2"/>
      </tp>
      <tp t="s">
        <v>#N/A N/A</v>
        <stp/>
        <stp>BDP|5000109030430480608</stp>
        <tr r="N395" s="2"/>
      </tp>
      <tp t="s">
        <v>#N/A N/A</v>
        <stp/>
        <stp>BDP|4931135948789082966</stp>
        <tr r="O243" s="2"/>
      </tp>
      <tp t="s">
        <v>#N/A N/A</v>
        <stp/>
        <stp>BDP|5486466671274552327</stp>
        <tr r="O98" s="2"/>
      </tp>
      <tp t="s">
        <v>#N/A N/A</v>
        <stp/>
        <stp>BDP|6781240617317824387</stp>
        <tr r="Q30" s="2"/>
      </tp>
      <tp t="s">
        <v>#N/A N/A</v>
        <stp/>
        <stp>BDP|6139377022971674764</stp>
        <tr r="N459" s="2"/>
      </tp>
      <tp t="s">
        <v>#N/A N/A</v>
        <stp/>
        <stp>BDP|1744773143501762207</stp>
        <tr r="R167" s="2"/>
      </tp>
      <tp t="s">
        <v>#N/A N/A</v>
        <stp/>
        <stp>BDP|1498473428851849775</stp>
        <tr r="L184" s="2"/>
      </tp>
      <tp t="s">
        <v>#N/A N/A</v>
        <stp/>
        <stp>BDP|2230180775011221493</stp>
        <tr r="D494" s="2"/>
      </tp>
      <tp t="s">
        <v>#N/A N/A</v>
        <stp/>
        <stp>BDP|2102161737961482005</stp>
        <tr r="R469" s="2"/>
      </tp>
      <tp t="s">
        <v>#N/A N/A</v>
        <stp/>
        <stp>BDP|2450413417195106372</stp>
        <tr r="M181" s="2"/>
      </tp>
      <tp t="s">
        <v>#N/A N/A</v>
        <stp/>
        <stp>BDP|8138497171898904248</stp>
        <tr r="I247" s="2"/>
      </tp>
      <tp t="s">
        <v>#N/A N/A</v>
        <stp/>
        <stp>BDP|4136863405128009565</stp>
        <tr r="R201" s="2"/>
      </tp>
      <tp t="s">
        <v>#N/A N/A</v>
        <stp/>
        <stp>BDP|4407997989442834686</stp>
        <tr r="C154" s="2"/>
      </tp>
      <tp t="s">
        <v>#N/A N/A</v>
        <stp/>
        <stp>BDP|8438561002435065946</stp>
        <tr r="C271" s="2"/>
      </tp>
      <tp t="s">
        <v>#N/A N/A</v>
        <stp/>
        <stp>BDP|2106149329772963201</stp>
        <tr r="Q188" s="2"/>
      </tp>
      <tp t="s">
        <v>#N/A N/A</v>
        <stp/>
        <stp>BDP|9366457046988587008</stp>
        <tr r="D393" s="2"/>
      </tp>
      <tp t="s">
        <v>#N/A N/A</v>
        <stp/>
        <stp>BDP|8200457915528385441</stp>
        <tr r="Q482" s="2"/>
      </tp>
      <tp t="s">
        <v>#N/A N/A</v>
        <stp/>
        <stp>BDP|3980837028971143963</stp>
        <tr r="C79" s="2"/>
      </tp>
      <tp t="s">
        <v>#N/A N/A</v>
        <stp/>
        <stp>BDP|4577347683279774706</stp>
        <tr r="H279" s="2"/>
      </tp>
      <tp t="s">
        <v>#N/A N/A</v>
        <stp/>
        <stp>BDP|5121214467843182335</stp>
        <tr r="R287" s="2"/>
      </tp>
      <tp t="s">
        <v>#N/A N/A</v>
        <stp/>
        <stp>BDP|6143013256420137226</stp>
        <tr r="C384" s="2"/>
      </tp>
      <tp t="s">
        <v>#N/A N/A</v>
        <stp/>
        <stp>BDP|6989798752572145767</stp>
        <tr r="G300" s="2"/>
      </tp>
      <tp t="s">
        <v>#N/A N/A</v>
        <stp/>
        <stp>BDP|1712801230488257307</stp>
        <tr r="E171" s="2"/>
      </tp>
      <tp>
        <v>1.3411999940872192</v>
        <stp/>
        <stp>BDP|14369514935922499550|22</stp>
        <stp>TTD UQ Equity</stp>
        <stp>RT_PX_CHG_PCT_1D</stp>
        <tr r="B100" s="2"/>
      </tp>
      <tp>
        <v>0.71929997205734253</v>
        <stp/>
        <stp>BDP|16978744328595756091|22</stp>
        <stp>COF UN Equity</stp>
        <stp>RT_PX_CHG_PCT_1D</stp>
        <tr r="B317" s="2"/>
      </tp>
      <tp>
        <v>-0.49630001187324524</v>
        <stp/>
        <stp>BDP|15607284892684348644|22</stp>
        <stp>FRT UN Equity</stp>
        <stp>RT_PX_CHG_PCT_1D</stp>
        <tr r="B452" s="2"/>
      </tp>
      <tp>
        <v>1.6033999919891357</v>
        <stp/>
        <stp>BDP|11956017716727845813|22</stp>
        <stp>LEN UN Equity</stp>
        <stp>RT_PX_CHG_PCT_1D</stp>
        <tr r="B157" s="2"/>
      </tp>
      <tp>
        <v>0.17929999530315399</v>
        <stp/>
        <stp>BDP|14441102050340916656|22</stp>
        <stp>OXY UN Equity</stp>
        <stp>RT_PX_CHG_PCT_1D</stp>
        <tr r="B183" s="2"/>
      </tp>
      <tp>
        <v>2.6696000099182129</v>
        <stp/>
        <stp>BDP|16181512040171436588|22</stp>
        <stp>ON UW Equity</stp>
        <stp>RT_PX_CHG_PCT_1D</stp>
        <tr r="B370" s="2"/>
      </tp>
      <tp t="s">
        <v>#N/A N/A</v>
        <stp/>
        <stp>BDP|9591096596580358237</stp>
        <tr r="L424" s="2"/>
      </tp>
      <tp t="s">
        <v>#N/A N/A</v>
        <stp/>
        <stp>BDP|2666556834404563289</stp>
        <tr r="K110" s="2"/>
      </tp>
      <tp t="s">
        <v>#N/A N/A</v>
        <stp/>
        <stp>BDP|6999301793369210721</stp>
        <tr r="C131" s="2"/>
      </tp>
      <tp t="s">
        <v>#N/A N/A</v>
        <stp/>
        <stp>BDP|2839547638950921675</stp>
        <tr r="P351" s="2"/>
      </tp>
      <tp t="s">
        <v>#N/A N/A</v>
        <stp/>
        <stp>BDP|2908823997375058469</stp>
        <tr r="C388" s="2"/>
      </tp>
      <tp t="s">
        <v>#N/A N/A</v>
        <stp/>
        <stp>BDP|1208346329324582602</stp>
        <tr r="O409" s="2"/>
      </tp>
      <tp t="s">
        <v>#N/A N/A</v>
        <stp/>
        <stp>BDP|4598576211504963602</stp>
        <tr r="K57" s="2"/>
      </tp>
      <tp t="s">
        <v>#N/A N/A</v>
        <stp/>
        <stp>BDP|7054620832145919535</stp>
        <tr r="D26" s="2"/>
      </tp>
      <tp t="s">
        <v>#N/A N/A</v>
        <stp/>
        <stp>BDP|8216544196594226282</stp>
        <tr r="D378" s="2"/>
      </tp>
      <tp t="s">
        <v>#N/A N/A</v>
        <stp/>
        <stp>BDP|2023737628503149602</stp>
        <tr r="I214" s="2"/>
      </tp>
      <tp t="s">
        <v>#N/A N/A</v>
        <stp/>
        <stp>BDP|8770857809984548656</stp>
        <tr r="H182" s="2"/>
      </tp>
      <tp t="s">
        <v>#N/A N/A</v>
        <stp/>
        <stp>BDP|5857242679995889764</stp>
        <tr r="N156" s="2"/>
      </tp>
      <tp t="s">
        <v>#N/A N/A</v>
        <stp/>
        <stp>BDP|4228362438346076076</stp>
        <tr r="C451" s="2"/>
      </tp>
      <tp t="s">
        <v>#N/A N/A</v>
        <stp/>
        <stp>BDP|2868885503460923817</stp>
        <tr r="R443" s="2"/>
      </tp>
      <tp t="s">
        <v>#N/A N/A</v>
        <stp/>
        <stp>BDP|4887450926914241420</stp>
        <tr r="P354" s="2"/>
      </tp>
      <tp t="s">
        <v>#N/A N/A</v>
        <stp/>
        <stp>BDP|1231249316606306688</stp>
        <tr r="O332" s="2"/>
      </tp>
      <tp t="s">
        <v>#N/A N/A</v>
        <stp/>
        <stp>BDP|5039645166896252183</stp>
        <tr r="L172" s="2"/>
      </tp>
      <tp t="s">
        <v>#N/A N/A</v>
        <stp/>
        <stp>BDP|2468630158965116666</stp>
        <tr r="M272" s="2"/>
      </tp>
      <tp t="s">
        <v>#N/A N/A</v>
        <stp/>
        <stp>BDP|4437696762714289251</stp>
        <tr r="C430" s="2"/>
      </tp>
      <tp t="s">
        <v>#N/A N/A</v>
        <stp/>
        <stp>BDP|5035662874520885620</stp>
        <tr r="C332" s="2"/>
      </tp>
      <tp t="s">
        <v>#N/A N/A</v>
        <stp/>
        <stp>BDP|9850468705077674855</stp>
        <tr r="J283" s="2"/>
      </tp>
      <tp t="s">
        <v>#N/A N/A</v>
        <stp/>
        <stp>BDP|8732982907753796070</stp>
        <tr r="J129" s="2"/>
      </tp>
      <tp t="s">
        <v>#N/A N/A</v>
        <stp/>
        <stp>BDP|2173370861354884172</stp>
        <tr r="G427" s="2"/>
      </tp>
      <tp t="s">
        <v>#N/A N/A</v>
        <stp/>
        <stp>BDP|7823325802612070408</stp>
        <tr r="R127" s="2"/>
      </tp>
      <tp t="s">
        <v>#N/A N/A</v>
        <stp/>
        <stp>BDP|2262172655020943413</stp>
        <tr r="F484" s="2"/>
      </tp>
      <tp t="s">
        <v>#N/A N/A</v>
        <stp/>
        <stp>BDP|9994729384333427732</stp>
        <tr r="L178" s="2"/>
      </tp>
      <tp t="s">
        <v>#N/A N/A</v>
        <stp/>
        <stp>BDP|8780359791085966524</stp>
        <tr r="N37" s="2"/>
      </tp>
      <tp t="s">
        <v>#N/A N/A</v>
        <stp/>
        <stp>BDP|2520857872376834926</stp>
        <tr r="C419" s="2"/>
      </tp>
      <tp t="s">
        <v>#N/A N/A</v>
        <stp/>
        <stp>BDP|4831254755094314535</stp>
        <tr r="G270" s="2"/>
      </tp>
      <tp t="s">
        <v>#N/A N/A</v>
        <stp/>
        <stp>BDP|5422388735040690777</stp>
        <tr r="G122" s="2"/>
      </tp>
      <tp t="s">
        <v>#N/A N/A</v>
        <stp/>
        <stp>BDP|3822361587368563241</stp>
        <tr r="J351" s="2"/>
      </tp>
      <tp t="s">
        <v>#N/A N/A</v>
        <stp/>
        <stp>BDP|1480272129410698340</stp>
        <tr r="E473" s="2"/>
      </tp>
      <tp t="s">
        <v>#N/A N/A</v>
        <stp/>
        <stp>BDP|3429169734732709184</stp>
        <tr r="G321" s="2"/>
      </tp>
      <tp t="s">
        <v>#N/A N/A</v>
        <stp/>
        <stp>BDP|8146332815939776190</stp>
        <tr r="K92" s="2"/>
      </tp>
      <tp t="s">
        <v>#N/A N/A</v>
        <stp/>
        <stp>BDP|4816206771917666463</stp>
        <tr r="F278" s="2"/>
      </tp>
      <tp t="s">
        <v>#N/A N/A</v>
        <stp/>
        <stp>BDP|6842556889048447199</stp>
        <tr r="H339" s="2"/>
      </tp>
      <tp t="s">
        <v>#N/A N/A</v>
        <stp/>
        <stp>BDP|4247061505892171495</stp>
        <tr r="M84" s="2"/>
      </tp>
      <tp t="s">
        <v>#N/A N/A</v>
        <stp/>
        <stp>BDP|1723114888512582825</stp>
        <tr r="C61" s="2"/>
      </tp>
      <tp t="s">
        <v>#N/A N/A</v>
        <stp/>
        <stp>BDP|3534099484940855996</stp>
        <tr r="N75" s="2"/>
      </tp>
      <tp t="s">
        <v>#N/A N/A</v>
        <stp/>
        <stp>BDP|9654892339426951665</stp>
        <tr r="N426" s="2"/>
      </tp>
      <tp t="s">
        <v>#N/A N/A</v>
        <stp/>
        <stp>BDP|3089731156990830340</stp>
        <tr r="L382" s="2"/>
      </tp>
      <tp t="s">
        <v>#N/A N/A</v>
        <stp/>
        <stp>BDP|8498223761808895668</stp>
        <tr r="I378" s="2"/>
      </tp>
      <tp t="s">
        <v>#N/A N/A</v>
        <stp/>
        <stp>BDP|4297434429316753669</stp>
        <tr r="N258" s="2"/>
      </tp>
      <tp t="s">
        <v>#N/A N/A</v>
        <stp/>
        <stp>BDP|2046459618743006648</stp>
        <tr r="F203" s="2"/>
      </tp>
      <tp t="s">
        <v>#N/A N/A</v>
        <stp/>
        <stp>BDP|3450074968791278604</stp>
        <tr r="F92" s="2"/>
      </tp>
      <tp t="s">
        <v>#N/A N/A</v>
        <stp/>
        <stp>BDP|6973154144451637070</stp>
        <tr r="I230" s="2"/>
      </tp>
      <tp t="s">
        <v>#N/A N/A</v>
        <stp/>
        <stp>BDP|8832354085861824099</stp>
        <tr r="L9" s="2"/>
      </tp>
      <tp t="s">
        <v>#N/A N/A</v>
        <stp/>
        <stp>BDP|1275346624033373181</stp>
        <tr r="M254" s="2"/>
      </tp>
      <tp t="s">
        <v>#N/A N/A</v>
        <stp/>
        <stp>BDP|4850246925641375735</stp>
        <tr r="C168" s="2"/>
      </tp>
      <tp t="s">
        <v>#N/A N/A</v>
        <stp/>
        <stp>BDP|1759498565855239400</stp>
        <tr r="D13" s="2"/>
      </tp>
      <tp t="s">
        <v>#N/A N/A</v>
        <stp/>
        <stp>BDP|9342753057609694090</stp>
        <tr r="I292" s="2"/>
      </tp>
      <tp t="s">
        <v>#N/A N/A</v>
        <stp/>
        <stp>BDP|3283590146213143326</stp>
        <tr r="R70" s="2"/>
      </tp>
      <tp t="s">
        <v>#N/A N/A</v>
        <stp/>
        <stp>BDP|2589661947317940536</stp>
        <tr r="Q413" s="2"/>
      </tp>
      <tp t="s">
        <v>#N/A N/A</v>
        <stp/>
        <stp>BDP|3254428355364909425</stp>
        <tr r="P156" s="2"/>
      </tp>
      <tp t="s">
        <v>#N/A N/A</v>
        <stp/>
        <stp>BDP|3312622125232383793</stp>
        <tr r="J376" s="2"/>
      </tp>
      <tp t="s">
        <v>#N/A N/A</v>
        <stp/>
        <stp>BDP|9810952673926717376</stp>
        <tr r="I135" s="2"/>
      </tp>
      <tp t="s">
        <v>#N/A N/A</v>
        <stp/>
        <stp>BDP|6448754146075180285</stp>
        <tr r="Q388" s="2"/>
      </tp>
      <tp t="s">
        <v>#N/A N/A</v>
        <stp/>
        <stp>BDP|8538116038500441869</stp>
        <tr r="I234" s="2"/>
      </tp>
      <tp t="s">
        <v>#N/A N/A</v>
        <stp/>
        <stp>BDP|2131185921677054469</stp>
        <tr r="G470" s="2"/>
      </tp>
      <tp t="s">
        <v>#N/A N/A</v>
        <stp/>
        <stp>BDP|1192361003644972437</stp>
        <tr r="K107" s="2"/>
      </tp>
      <tp t="s">
        <v>#N/A N/A</v>
        <stp/>
        <stp>BDP|8606912079544947092</stp>
        <tr r="N98" s="2"/>
      </tp>
      <tp t="s">
        <v>#N/A N/A</v>
        <stp/>
        <stp>BDP|6452719528241260019</stp>
        <tr r="D350" s="2"/>
      </tp>
      <tp t="s">
        <v>#N/A N/A</v>
        <stp/>
        <stp>BDP|7221489330490773239</stp>
        <tr r="P499" s="2"/>
      </tp>
      <tp t="s">
        <v>#N/A N/A</v>
        <stp/>
        <stp>BDP|7864301200470026661</stp>
        <tr r="G430" s="2"/>
      </tp>
      <tp t="s">
        <v>#N/A N/A</v>
        <stp/>
        <stp>BDP|7669605801246876516</stp>
        <tr r="G383" s="2"/>
      </tp>
      <tp t="s">
        <v>#N/A N/A</v>
        <stp/>
        <stp>BDP|5817507557651663675</stp>
        <tr r="Q262" s="2"/>
      </tp>
      <tp t="s">
        <v>#N/A N/A</v>
        <stp/>
        <stp>BDP|5091708247520002497</stp>
        <tr r="H27" s="2"/>
      </tp>
      <tp t="s">
        <v>#N/A N/A</v>
        <stp/>
        <stp>BDP|1658794853066568774</stp>
        <tr r="G115" s="2"/>
      </tp>
      <tp t="s">
        <v>#N/A N/A</v>
        <stp/>
        <stp>BDP|4172661878674154306</stp>
        <tr r="N442" s="2"/>
      </tp>
      <tp t="s">
        <v>#N/A N/A</v>
        <stp/>
        <stp>BDP|9261301867366852833</stp>
        <tr r="M18" s="2"/>
      </tp>
      <tp t="s">
        <v>#N/A N/A</v>
        <stp/>
        <stp>BDP|4014086663892489212</stp>
        <tr r="P243" s="2"/>
      </tp>
      <tp t="s">
        <v>#N/A N/A</v>
        <stp/>
        <stp>BDP|4514510231446224693</stp>
        <tr r="Q202" s="2"/>
      </tp>
      <tp t="s">
        <v>#N/A N/A</v>
        <stp/>
        <stp>BDP|1274867182997154498</stp>
        <tr r="N34" s="2"/>
      </tp>
      <tp t="s">
        <v>#N/A N/A</v>
        <stp/>
        <stp>BDP|2058793145845235609</stp>
        <tr r="Q140" s="2"/>
      </tp>
      <tp t="s">
        <v>#N/A N/A</v>
        <stp/>
        <stp>BDP|6740517378717426141</stp>
        <tr r="L204" s="2"/>
      </tp>
      <tp t="s">
        <v>#N/A N/A</v>
        <stp/>
        <stp>BDP|2074461683524242891</stp>
        <tr r="H20" s="2"/>
      </tp>
      <tp t="s">
        <v>#N/A N/A</v>
        <stp/>
        <stp>BDP|8057990632990738036</stp>
        <tr r="K126" s="2"/>
      </tp>
      <tp t="s">
        <v>#N/A N/A</v>
        <stp/>
        <stp>BDP|3616767551414928779</stp>
        <tr r="M57" s="2"/>
      </tp>
      <tp t="s">
        <v>#N/A N/A</v>
        <stp/>
        <stp>BDP|2887116545631603450</stp>
        <tr r="K114" s="2"/>
      </tp>
      <tp t="s">
        <v>#N/A N/A</v>
        <stp/>
        <stp>BDP|2629445345403814309</stp>
        <tr r="G433" s="2"/>
      </tp>
      <tp t="s">
        <v>#N/A N/A</v>
        <stp/>
        <stp>BDP|8078287034238015338</stp>
        <tr r="R39" s="2"/>
      </tp>
      <tp t="s">
        <v>#N/A N/A</v>
        <stp/>
        <stp>BDP|7021199309796846272</stp>
        <tr r="I68" s="2"/>
      </tp>
      <tp t="s">
        <v>#N/A N/A</v>
        <stp/>
        <stp>BDP|5143630007765261488</stp>
        <tr r="O218" s="2"/>
      </tp>
      <tp t="s">
        <v>#N/A N/A</v>
        <stp/>
        <stp>BDP|4697402699433474844</stp>
        <tr r="E405" s="2"/>
      </tp>
      <tp t="s">
        <v>#N/A N/A</v>
        <stp/>
        <stp>BDP|4991220323772514420</stp>
        <tr r="F275" s="2"/>
      </tp>
      <tp t="s">
        <v>#N/A N/A</v>
        <stp/>
        <stp>BDP|2903710954881000337</stp>
        <tr r="I107" s="2"/>
      </tp>
      <tp t="s">
        <v>#N/A N/A</v>
        <stp/>
        <stp>BDP|5952118431735331057</stp>
        <tr r="K172" s="2"/>
      </tp>
      <tp t="s">
        <v>#N/A N/A</v>
        <stp/>
        <stp>BDP|4877659269533283592</stp>
        <tr r="P194" s="2"/>
      </tp>
      <tp t="s">
        <v>#N/A N/A</v>
        <stp/>
        <stp>BDP|2950165553297269316</stp>
        <tr r="I442" s="2"/>
      </tp>
      <tp t="s">
        <v>#N/A N/A</v>
        <stp/>
        <stp>BDP|5100325595735927802</stp>
        <tr r="L177" s="2"/>
      </tp>
      <tp t="s">
        <v>#N/A N/A</v>
        <stp/>
        <stp>BDP|5293458154151942750</stp>
        <tr r="M334" s="2"/>
      </tp>
      <tp t="s">
        <v>#N/A N/A</v>
        <stp/>
        <stp>BDP|9631236052354035881</stp>
        <tr r="D310" s="2"/>
      </tp>
      <tp t="s">
        <v>#N/A N/A</v>
        <stp/>
        <stp>BDP|5757324112772059787</stp>
        <tr r="E239" s="2"/>
      </tp>
      <tp t="s">
        <v>#N/A N/A</v>
        <stp/>
        <stp>BDP|4482584658371392781</stp>
        <tr r="G375" s="2"/>
      </tp>
      <tp t="s">
        <v>#N/A N/A</v>
        <stp/>
        <stp>BDP|2277393829895726497</stp>
        <tr r="E66" s="2"/>
      </tp>
      <tp t="s">
        <v>#N/A N/A</v>
        <stp/>
        <stp>BDP|7951616734777899787</stp>
        <tr r="D62" s="2"/>
      </tp>
      <tp t="s">
        <v>#N/A N/A</v>
        <stp/>
        <stp>BDP|3223981703288089056</stp>
        <tr r="M228" s="2"/>
      </tp>
      <tp t="s">
        <v>#N/A N/A</v>
        <stp/>
        <stp>BDP|6667698276906095350</stp>
        <tr r="R43" s="2"/>
      </tp>
      <tp t="s">
        <v>#N/A N/A</v>
        <stp/>
        <stp>BDP|9852873505460565336</stp>
        <tr r="R9" s="2"/>
      </tp>
      <tp t="s">
        <v>#N/A N/A</v>
        <stp/>
        <stp>BDP|9476941283329865376</stp>
        <tr r="E231" s="2"/>
      </tp>
      <tp t="s">
        <v>#N/A N/A</v>
        <stp/>
        <stp>BDP|5336343447428467886</stp>
        <tr r="O87" s="2"/>
      </tp>
      <tp t="s">
        <v>#N/A N/A</v>
        <stp/>
        <stp>BDP|1608729385908439497</stp>
        <tr r="C105" s="2"/>
      </tp>
      <tp t="s">
        <v>#N/A N/A</v>
        <stp/>
        <stp>BDP|7875504714326157712</stp>
        <tr r="Q195" s="2"/>
      </tp>
      <tp t="s">
        <v>#N/A N/A</v>
        <stp/>
        <stp>BDP|1038211890209508186</stp>
        <tr r="C413" s="2"/>
      </tp>
      <tp>
        <v>11.349300384521484</v>
        <stp/>
        <stp>BDP|8626824597021954466|22</stp>
        <stp>DECK UN Equity</stp>
        <stp>RT_PX_CHG_PCT_1D</stp>
        <tr r="B497" s="2"/>
      </tp>
      <tp t="s">
        <v>#N/A N/A</v>
        <stp/>
        <stp>BDP|3193644059425494759</stp>
        <tr r="G403" s="2"/>
      </tp>
      <tp t="s">
        <v>#N/A N/A</v>
        <stp/>
        <stp>BDP|3069873534982910876</stp>
        <tr r="H313" s="2"/>
      </tp>
      <tp t="s">
        <v>#N/A N/A</v>
        <stp/>
        <stp>BDP|9768902697439582283</stp>
        <tr r="H424" s="2"/>
      </tp>
      <tp t="s">
        <v>#N/A N/A</v>
        <stp/>
        <stp>BDP|4132712542395786081</stp>
        <tr r="C30" s="2"/>
      </tp>
      <tp t="s">
        <v>#N/A N/A</v>
        <stp/>
        <stp>BDP|2718538225641535697</stp>
        <tr r="N257" s="2"/>
      </tp>
      <tp t="s">
        <v>#N/A N/A</v>
        <stp/>
        <stp>BDP|8064431809186581822</stp>
        <tr r="K43" s="2"/>
      </tp>
      <tp t="s">
        <v>#N/A N/A</v>
        <stp/>
        <stp>BDP|2836600487299206700</stp>
        <tr r="R194" s="2"/>
      </tp>
      <tp t="s">
        <v>#N/A N/A</v>
        <stp/>
        <stp>BDP|5173692737350525274</stp>
        <tr r="E479" s="2"/>
      </tp>
      <tp t="s">
        <v>#N/A N/A</v>
        <stp/>
        <stp>BDP|6039422223565548793</stp>
        <tr r="E451" s="2"/>
      </tp>
      <tp t="s">
        <v>#N/A N/A</v>
        <stp/>
        <stp>BDP|7562204421675950002</stp>
        <tr r="C164" s="2"/>
      </tp>
      <tp t="s">
        <v>#N/A N/A</v>
        <stp/>
        <stp>BDP|3405918538523992896</stp>
        <tr r="F307" s="2"/>
      </tp>
      <tp t="s">
        <v>#N/A N/A</v>
        <stp/>
        <stp>BDP|5674702540841389580</stp>
        <tr r="Q132" s="2"/>
      </tp>
      <tp t="s">
        <v>#N/A N/A</v>
        <stp/>
        <stp>BDP|8823917379675458193</stp>
        <tr r="M504" s="2"/>
      </tp>
      <tp t="s">
        <v>#N/A N/A</v>
        <stp/>
        <stp>BDP|7658257267022040392</stp>
        <tr r="P36" s="2"/>
      </tp>
      <tp t="s">
        <v>#N/A N/A</v>
        <stp/>
        <stp>BDP|8927830436718712963</stp>
        <tr r="I195" s="2"/>
      </tp>
      <tp t="s">
        <v>#N/A N/A</v>
        <stp/>
        <stp>BDP|3960606500296665123</stp>
        <tr r="L383" s="2"/>
      </tp>
      <tp t="s">
        <v>#N/A N/A</v>
        <stp/>
        <stp>BDP|5773247650084657482</stp>
        <tr r="H90" s="2"/>
      </tp>
      <tp t="s">
        <v>#N/A N/A</v>
        <stp/>
        <stp>BDP|6580657140515766354</stp>
        <tr r="R481" s="2"/>
      </tp>
      <tp t="s">
        <v>#N/A N/A</v>
        <stp/>
        <stp>BDP|9362914113920587368</stp>
        <tr r="D114" s="2"/>
      </tp>
      <tp t="s">
        <v>#N/A N/A</v>
        <stp/>
        <stp>BDP|6284124351611604151</stp>
        <tr r="G121" s="2"/>
      </tp>
      <tp t="s">
        <v>#N/A N/A</v>
        <stp/>
        <stp>BDP|7162865146929437073</stp>
        <tr r="I353" s="2"/>
      </tp>
      <tp t="s">
        <v>#N/A N/A</v>
        <stp/>
        <stp>BDP|1391089402535298690</stp>
        <tr r="I210" s="2"/>
      </tp>
      <tp t="s">
        <v>#N/A N/A</v>
        <stp/>
        <stp>BDP|3449214737765784570</stp>
        <tr r="H247" s="2"/>
      </tp>
      <tp t="s">
        <v>#N/A N/A</v>
        <stp/>
        <stp>BDP|6169062610773045658</stp>
        <tr r="E339" s="2"/>
      </tp>
      <tp t="s">
        <v>#N/A N/A</v>
        <stp/>
        <stp>BDP|7252955151491474802</stp>
        <tr r="H209" s="2"/>
      </tp>
      <tp t="s">
        <v>#N/A N/A</v>
        <stp/>
        <stp>BDP|2078126039697059593</stp>
        <tr r="L372" s="2"/>
      </tp>
      <tp t="s">
        <v>#N/A N/A</v>
        <stp/>
        <stp>BDP|6718434667644598249</stp>
        <tr r="E44" s="2"/>
      </tp>
      <tp t="s">
        <v>#N/A N/A</v>
        <stp/>
        <stp>BDP|4801872959103746832</stp>
        <tr r="F392" s="2"/>
      </tp>
      <tp t="s">
        <v>#N/A N/A</v>
        <stp/>
        <stp>BDP|6021250412776407111</stp>
        <tr r="N449" s="2"/>
      </tp>
      <tp t="s">
        <v>#N/A N/A</v>
        <stp/>
        <stp>BDP|7564455713246405655</stp>
        <tr r="D302" s="2"/>
      </tp>
      <tp t="s">
        <v>#N/A N/A</v>
        <stp/>
        <stp>BDP|3811796967757430707</stp>
        <tr r="P287" s="2"/>
      </tp>
      <tp t="s">
        <v>#N/A N/A</v>
        <stp/>
        <stp>BDP|1341668781255734802</stp>
        <tr r="J83" s="2"/>
      </tp>
      <tp t="s">
        <v>#N/A N/A</v>
        <stp/>
        <stp>BDP|1947705510902240783</stp>
        <tr r="O430" s="2"/>
      </tp>
      <tp t="s">
        <v>#N/A N/A</v>
        <stp/>
        <stp>BDP|9019273985582996380</stp>
        <tr r="E278" s="2"/>
      </tp>
      <tp t="s">
        <v>#N/A N/A</v>
        <stp/>
        <stp>BDP|2805827552309808435</stp>
        <tr r="I384" s="2"/>
      </tp>
      <tp t="s">
        <v>#N/A N/A</v>
        <stp/>
        <stp>BDP|8003662531089750637</stp>
        <tr r="R411" s="2"/>
      </tp>
      <tp t="s">
        <v>#N/A N/A</v>
        <stp/>
        <stp>BDP|3219424751562170237</stp>
        <tr r="J430" s="2"/>
      </tp>
      <tp t="s">
        <v>#N/A N/A</v>
        <stp/>
        <stp>BDP|2725606870153373272</stp>
        <tr r="I38" s="2"/>
      </tp>
      <tp t="s">
        <v>#N/A N/A</v>
        <stp/>
        <stp>BDP|9535894978361330545</stp>
        <tr r="C324" s="2"/>
      </tp>
      <tp t="s">
        <v>#N/A N/A</v>
        <stp/>
        <stp>BDP|3644314672314232144</stp>
        <tr r="N58" s="2"/>
      </tp>
      <tp t="s">
        <v>#N/A N/A</v>
        <stp/>
        <stp>BDP|7471695194672846827</stp>
        <tr r="N414" s="2"/>
      </tp>
      <tp t="s">
        <v>#N/A N/A</v>
        <stp/>
        <stp>BDP|2735449370764183712</stp>
        <tr r="G213" s="2"/>
      </tp>
      <tp t="s">
        <v>#N/A N/A</v>
        <stp/>
        <stp>BDP|5192209072094005639</stp>
        <tr r="D279" s="2"/>
      </tp>
      <tp t="s">
        <v>#N/A N/A</v>
        <stp/>
        <stp>BDP|3575358294362623926</stp>
        <tr r="E230" s="2"/>
      </tp>
      <tp t="s">
        <v>#N/A N/A</v>
        <stp/>
        <stp>BDP|2155525866783376068</stp>
        <tr r="J500" s="2"/>
      </tp>
      <tp t="s">
        <v>#N/A N/A</v>
        <stp/>
        <stp>BDP|4448187349697160449</stp>
        <tr r="L305" s="2"/>
      </tp>
      <tp t="s">
        <v>#N/A N/A</v>
        <stp/>
        <stp>BDP|8408015735871742875</stp>
        <tr r="I429" s="2"/>
      </tp>
      <tp t="s">
        <v>#N/A N/A</v>
        <stp/>
        <stp>BDP|9568918330655378470</stp>
        <tr r="O234" s="2"/>
      </tp>
      <tp t="s">
        <v>#N/A N/A</v>
        <stp/>
        <stp>BDP|4991593306702025160</stp>
        <tr r="G145" s="2"/>
      </tp>
      <tp t="s">
        <v>#N/A N/A</v>
        <stp/>
        <stp>BDP|4590642502071221118</stp>
        <tr r="M167" s="2"/>
      </tp>
      <tp t="s">
        <v>#N/A N/A</v>
        <stp/>
        <stp>BDP|3293747445351256318</stp>
        <tr r="F63" s="2"/>
      </tp>
      <tp t="s">
        <v>#N/A N/A</v>
        <stp/>
        <stp>BDP|4128116045262232176</stp>
        <tr r="G207" s="2"/>
      </tp>
      <tp t="s">
        <v>#N/A N/A</v>
        <stp/>
        <stp>BDP|8111678367363206938</stp>
        <tr r="Q119" s="2"/>
      </tp>
      <tp t="s">
        <v>#N/A N/A</v>
        <stp/>
        <stp>BDP|9138530396617726035</stp>
        <tr r="N430" s="2"/>
      </tp>
      <tp t="s">
        <v>#N/A N/A</v>
        <stp/>
        <stp>BDP|7359492535711973362</stp>
        <tr r="I373" s="2"/>
      </tp>
      <tp t="s">
        <v>#N/A N/A</v>
        <stp/>
        <stp>BDP|3735552807066751221</stp>
        <tr r="G123" s="2"/>
      </tp>
      <tp t="s">
        <v>#N/A N/A</v>
        <stp/>
        <stp>BDP|1244782773013152087</stp>
        <tr r="J480" s="2"/>
      </tp>
      <tp t="s">
        <v>#N/A N/A</v>
        <stp/>
        <stp>BDP|2736547453506479642</stp>
        <tr r="O91" s="2"/>
      </tp>
      <tp t="s">
        <v>#N/A N/A</v>
        <stp/>
        <stp>BDP|3895862144914255980</stp>
        <tr r="G95" s="2"/>
      </tp>
      <tp t="s">
        <v>#N/A N/A</v>
        <stp/>
        <stp>BDP|4377473214607268423</stp>
        <tr r="R56" s="2"/>
      </tp>
      <tp t="s">
        <v>#N/A N/A</v>
        <stp/>
        <stp>BDP|1433369820854619645</stp>
        <tr r="O144" s="2"/>
      </tp>
      <tp t="s">
        <v>#N/A N/A</v>
        <stp/>
        <stp>BDP|1345150166074923090</stp>
        <tr r="F94" s="2"/>
      </tp>
      <tp t="s">
        <v>#N/A N/A</v>
        <stp/>
        <stp>BDP|6444564893661856995</stp>
        <tr r="F411" s="2"/>
      </tp>
      <tp t="s">
        <v>#N/A N/A</v>
        <stp/>
        <stp>BDP|7773150191784381911</stp>
        <tr r="N54" s="2"/>
      </tp>
      <tp t="s">
        <v>#N/A N/A</v>
        <stp/>
        <stp>BDP|7481108988235586982</stp>
        <tr r="O336" s="2"/>
      </tp>
      <tp t="s">
        <v>#N/A N/A</v>
        <stp/>
        <stp>BDP|6216258276597279626</stp>
        <tr r="H456" s="2"/>
      </tp>
      <tp t="s">
        <v>#N/A N/A</v>
        <stp/>
        <stp>BDP|7193140195164867993</stp>
        <tr r="R247" s="2"/>
      </tp>
      <tp t="s">
        <v>#N/A N/A</v>
        <stp/>
        <stp>BDP|8783936936729324907</stp>
        <tr r="M481" s="2"/>
      </tp>
      <tp t="s">
        <v>#N/A N/A</v>
        <stp/>
        <stp>BDP|9711827220913776237</stp>
        <tr r="C283" s="2"/>
      </tp>
      <tp t="s">
        <v>#N/A N/A</v>
        <stp/>
        <stp>BDP|8658469864111464915</stp>
        <tr r="O191" s="2"/>
      </tp>
      <tp t="s">
        <v>#N/A N/A</v>
        <stp/>
        <stp>BDP|1022388609091271123</stp>
        <tr r="I386" s="2"/>
      </tp>
      <tp t="s">
        <v>#N/A N/A</v>
        <stp/>
        <stp>BDP|9767542397275579201</stp>
        <tr r="D5" s="2"/>
      </tp>
      <tp t="s">
        <v>#N/A N/A</v>
        <stp/>
        <stp>BDP|8814408085232902458</stp>
        <tr r="E81" s="2"/>
      </tp>
      <tp t="s">
        <v>#N/A N/A</v>
        <stp/>
        <stp>BDP|1584143643857586168</stp>
        <tr r="R497" s="2"/>
      </tp>
      <tp t="s">
        <v>#N/A N/A</v>
        <stp/>
        <stp>BDP|4727641504799717916</stp>
        <tr r="L231" s="2"/>
      </tp>
      <tp t="s">
        <v>#N/A N/A</v>
        <stp/>
        <stp>BDP|5613259565794123769</stp>
        <tr r="F482" s="2"/>
      </tp>
      <tp t="s">
        <v>#N/A N/A</v>
        <stp/>
        <stp>BDP|9158800623254335500</stp>
        <tr r="G482" s="2"/>
      </tp>
      <tp t="s">
        <v>#N/A N/A</v>
        <stp/>
        <stp>BDP|7487257713771774748</stp>
        <tr r="L487" s="2"/>
      </tp>
      <tp t="s">
        <v>#N/A N/A</v>
        <stp/>
        <stp>BDP|4981786024586088545</stp>
        <tr r="I142" s="2"/>
      </tp>
      <tp t="s">
        <v>#N/A N/A</v>
        <stp/>
        <stp>BDP|1242151011675017674</stp>
        <tr r="N245" s="2"/>
      </tp>
      <tp t="s">
        <v>#N/A N/A</v>
        <stp/>
        <stp>BDP|1292500141400008254</stp>
        <tr r="D332" s="2"/>
      </tp>
      <tp t="s">
        <v>#N/A N/A</v>
        <stp/>
        <stp>BDP|7823370229194194012</stp>
        <tr r="O228" s="2"/>
      </tp>
      <tp t="s">
        <v>#N/A N/A</v>
        <stp/>
        <stp>BDP|1499456307595903290</stp>
        <tr r="D343" s="2"/>
      </tp>
      <tp t="s">
        <v>#N/A N/A</v>
        <stp/>
        <stp>BDP|2382428406560081417</stp>
        <tr r="H135" s="2"/>
      </tp>
      <tp t="s">
        <v>#N/A N/A</v>
        <stp/>
        <stp>BDP|8425925822876042721</stp>
        <tr r="O378" s="2"/>
      </tp>
      <tp t="s">
        <v>#N/A N/A</v>
        <stp/>
        <stp>BDP|5489637677717729114</stp>
        <tr r="C232" s="2"/>
      </tp>
      <tp t="s">
        <v>#N/A N/A</v>
        <stp/>
        <stp>BDP|7494233347020074363</stp>
        <tr r="M413" s="2"/>
      </tp>
      <tp t="s">
        <v>#N/A N/A</v>
        <stp/>
        <stp>BDP|3353626260169412832</stp>
        <tr r="D223" s="2"/>
      </tp>
      <tp t="s">
        <v>#N/A N/A</v>
        <stp/>
        <stp>BDP|2246101385900598945</stp>
        <tr r="I255" s="2"/>
      </tp>
      <tp t="s">
        <v>#N/A N/A</v>
        <stp/>
        <stp>BDP|5666396749495161512</stp>
        <tr r="M342" s="2"/>
      </tp>
      <tp t="s">
        <v>#N/A N/A</v>
        <stp/>
        <stp>BDP|1302744302681241515</stp>
        <tr r="H430" s="2"/>
      </tp>
      <tp t="s">
        <v>#N/A N/A</v>
        <stp/>
        <stp>BDP|6925289373952380378</stp>
        <tr r="J85" s="2"/>
      </tp>
      <tp t="s">
        <v>#N/A N/A</v>
        <stp/>
        <stp>BDP|6032796054316816033</stp>
        <tr r="K159" s="2"/>
      </tp>
      <tp t="s">
        <v>#N/A N/A</v>
        <stp/>
        <stp>BDP|1556075952624639202</stp>
        <tr r="R435" s="2"/>
      </tp>
      <tp t="s">
        <v>#N/A N/A</v>
        <stp/>
        <stp>BDP|3002507444246340608</stp>
        <tr r="L334" s="2"/>
      </tp>
      <tp t="s">
        <v>#N/A N/A</v>
        <stp/>
        <stp>BDP|5210642776840783608</stp>
        <tr r="Q416" s="2"/>
      </tp>
      <tp t="s">
        <v>#N/A N/A</v>
        <stp/>
        <stp>BDP|3305699889169247666</stp>
        <tr r="M198" s="2"/>
      </tp>
      <tp t="s">
        <v>#N/A N/A</v>
        <stp/>
        <stp>BDP|7555918862419523341</stp>
        <tr r="L198" s="2"/>
      </tp>
      <tp t="s">
        <v>#N/A N/A</v>
        <stp/>
        <stp>BDP|4557705760315489261</stp>
        <tr r="P4" s="2"/>
      </tp>
      <tp t="s">
        <v>#N/A N/A</v>
        <stp/>
        <stp>BDP|8738805762731549578</stp>
        <tr r="D188" s="2"/>
      </tp>
      <tp t="s">
        <v>#N/A N/A</v>
        <stp/>
        <stp>BDP|1880690186999158419</stp>
        <tr r="Q288" s="2"/>
      </tp>
      <tp t="s">
        <v>#N/A N/A</v>
        <stp/>
        <stp>BDP|5875539215494036795</stp>
        <tr r="D245" s="2"/>
      </tp>
      <tp t="s">
        <v>#N/A N/A</v>
        <stp/>
        <stp>BDP|8243828332929587802</stp>
        <tr r="N246" s="2"/>
      </tp>
      <tp t="s">
        <v>#N/A N/A</v>
        <stp/>
        <stp>BDP|3245149122231027332</stp>
        <tr r="M255" s="2"/>
      </tp>
      <tp t="s">
        <v>#N/A N/A</v>
        <stp/>
        <stp>BDP|5737715444115205179</stp>
        <tr r="J501" s="2"/>
      </tp>
      <tp t="s">
        <v>#N/A N/A</v>
        <stp/>
        <stp>BDP|6895990674782763856</stp>
        <tr r="E16" s="2"/>
      </tp>
      <tp t="s">
        <v>#N/A N/A</v>
        <stp/>
        <stp>BDP|5300674717117064742</stp>
        <tr r="Q457" s="2"/>
      </tp>
      <tp t="s">
        <v>#N/A N/A</v>
        <stp/>
        <stp>BDP|2112168602604489566</stp>
        <tr r="E274" s="2"/>
      </tp>
      <tp t="s">
        <v>#N/A N/A</v>
        <stp/>
        <stp>BDP|5089796600980605084</stp>
        <tr r="I27" s="2"/>
      </tp>
      <tp t="s">
        <v>#N/A N/A</v>
        <stp/>
        <stp>BDP|8721423861649750140</stp>
        <tr r="R105" s="2"/>
      </tp>
      <tp t="s">
        <v>#N/A N/A</v>
        <stp/>
        <stp>BDP|9264841611413139112</stp>
        <tr r="D88" s="2"/>
      </tp>
      <tp t="s">
        <v>#N/A N/A</v>
        <stp/>
        <stp>BDP|6274231557766050511</stp>
        <tr r="K283" s="2"/>
      </tp>
      <tp t="s">
        <v>#N/A N/A</v>
        <stp/>
        <stp>BDP|3425918481820541063</stp>
        <tr r="G310" s="2"/>
      </tp>
      <tp t="s">
        <v>#N/A N/A</v>
        <stp/>
        <stp>BDP|2064379186469484227</stp>
        <tr r="H56" s="2"/>
      </tp>
      <tp t="s">
        <v>#N/A N/A</v>
        <stp/>
        <stp>BDP|4147576476573301740</stp>
        <tr r="E237" s="2"/>
      </tp>
      <tp t="s">
        <v>#N/A N/A</v>
        <stp/>
        <stp>BDP|4242666901311649143</stp>
        <tr r="F75" s="2"/>
      </tp>
      <tp t="s">
        <v>#N/A N/A</v>
        <stp/>
        <stp>BDP|6499929493600036423</stp>
        <tr r="Q192" s="2"/>
      </tp>
      <tp t="s">
        <v>#N/A N/A</v>
        <stp/>
        <stp>BDP|9885782159028908143</stp>
        <tr r="O18" s="2"/>
      </tp>
      <tp t="s">
        <v>#N/A N/A</v>
        <stp/>
        <stp>BDP|6483110216077569327</stp>
        <tr r="G88" s="2"/>
      </tp>
      <tp t="s">
        <v>#N/A N/A</v>
        <stp/>
        <stp>BDP|3822627559901740300</stp>
        <tr r="C487" s="2"/>
      </tp>
      <tp t="s">
        <v>#N/A N/A</v>
        <stp/>
        <stp>BDP|5371648619527829722</stp>
        <tr r="D77" s="2"/>
      </tp>
      <tp t="s">
        <v>#N/A N/A</v>
        <stp/>
        <stp>BDP|7569193265834971647</stp>
        <tr r="K371" s="2"/>
      </tp>
      <tp t="s">
        <v>#N/A N/A</v>
        <stp/>
        <stp>BDP|9555714287562489632</stp>
        <tr r="E176" s="2"/>
      </tp>
      <tp t="s">
        <v>#N/A N/A</v>
        <stp/>
        <stp>BDP|4465534341290646744</stp>
        <tr r="R353" s="2"/>
      </tp>
      <tp t="s">
        <v>#N/A N/A</v>
        <stp/>
        <stp>BDP|2715795885039619697</stp>
        <tr r="R243" s="2"/>
      </tp>
      <tp t="s">
        <v>#N/A N/A</v>
        <stp/>
        <stp>BDP|8830543679091207932</stp>
        <tr r="G250" s="2"/>
      </tp>
      <tp t="s">
        <v>#N/A N/A</v>
        <stp/>
        <stp>BDP|6998491180138490002</stp>
        <tr r="K282" s="2"/>
      </tp>
      <tp t="s">
        <v>#N/A N/A</v>
        <stp/>
        <stp>BDP|4548565977641334530</stp>
        <tr r="Q84" s="2"/>
      </tp>
      <tp t="s">
        <v>#N/A N/A</v>
        <stp/>
        <stp>BDP|4721216464603011164</stp>
        <tr r="L128" s="2"/>
      </tp>
      <tp t="s">
        <v>#N/A N/A</v>
        <stp/>
        <stp>BDP|3755717166292733234</stp>
        <tr r="O63" s="2"/>
      </tp>
      <tp t="s">
        <v>#N/A N/A</v>
        <stp/>
        <stp>BDP|9630242088556721790</stp>
        <tr r="F256" s="2"/>
      </tp>
      <tp t="s">
        <v>#N/A N/A</v>
        <stp/>
        <stp>BDP|4443910897360279659</stp>
        <tr r="O270" s="2"/>
      </tp>
      <tp t="s">
        <v>#N/A N/A</v>
        <stp/>
        <stp>BDP|4456308839396831004</stp>
        <tr r="L51" s="2"/>
      </tp>
      <tp t="s">
        <v>#N/A N/A</v>
        <stp/>
        <stp>BDP|1059692622620625788</stp>
        <tr r="Q246" s="2"/>
      </tp>
      <tp t="s">
        <v>#N/A N/A</v>
        <stp/>
        <stp>BDP|2084034879436659190</stp>
        <tr r="K148" s="2"/>
      </tp>
      <tp t="s">
        <v>#N/A N/A</v>
        <stp/>
        <stp>BDP|7049862450878098036</stp>
        <tr r="I100" s="2"/>
      </tp>
      <tp t="s">
        <v>#N/A N/A</v>
        <stp/>
        <stp>BDP|7274241812892669479</stp>
        <tr r="E158" s="2"/>
      </tp>
      <tp t="s">
        <v>#N/A N/A</v>
        <stp/>
        <stp>BDP|3046464957522700234</stp>
        <tr r="N364" s="2"/>
      </tp>
      <tp t="s">
        <v>#N/A N/A</v>
        <stp/>
        <stp>BDP|5402745350481372467</stp>
        <tr r="C226" s="2"/>
      </tp>
      <tp t="s">
        <v>#N/A N/A</v>
        <stp/>
        <stp>BDP|1739247716030755071</stp>
        <tr r="E447" s="2"/>
      </tp>
      <tp t="s">
        <v>#N/A N/A</v>
        <stp/>
        <stp>BDP|6103604651844567309</stp>
        <tr r="R78" s="2"/>
      </tp>
      <tp t="s">
        <v>#N/A N/A</v>
        <stp/>
        <stp>BDP|5967070840356905527</stp>
        <tr r="L218" s="2"/>
      </tp>
      <tp t="s">
        <v>#N/A N/A</v>
        <stp/>
        <stp>BDP|9730577555018508351</stp>
        <tr r="H155" s="2"/>
      </tp>
      <tp t="s">
        <v>#N/A N/A</v>
        <stp/>
        <stp>BDP|8347645504499531531</stp>
        <tr r="C490" s="2"/>
      </tp>
      <tp t="s">
        <v>#N/A N/A</v>
        <stp/>
        <stp>BDP|2076102747383656645</stp>
        <tr r="I332" s="2"/>
      </tp>
      <tp>
        <v>0.42300000786781311</v>
        <stp/>
        <stp>BDP|16505753304385224003|22</stp>
        <stp>ROK UN Equity</stp>
        <stp>RT_PX_CHG_PCT_1D</stp>
        <tr r="B337" s="2"/>
      </tp>
      <tp>
        <v>-0.37700000405311584</v>
        <stp/>
        <stp>BDP|18268462202916854799|22</stp>
        <stp>TXN UW Equity</stp>
        <stp>RT_PX_CHG_PCT_1D</stp>
        <tr r="B220" s="2"/>
      </tp>
      <tp>
        <v>1.9136999845504761</v>
        <stp/>
        <stp>BDP|12126982862203355516|22</stp>
        <stp>UNP UN Equity</stp>
        <stp>RT_PX_CHG_PCT_1D</stp>
        <tr r="B227" s="2"/>
      </tp>
      <tp>
        <v>3.3046000003814697</v>
        <stp/>
        <stp>BDP|13381818791098209661|22</stp>
        <stp>GEV UN Equity</stp>
        <stp>RT_PX_CHG_PCT_1D</stp>
        <tr r="B487" s="2"/>
      </tp>
      <tp>
        <v>-2.5425999164581299</v>
        <stp/>
        <stp>BDP|14785060770277135088|22</stp>
        <stp>AOS UN Equity</stp>
        <stp>RT_PX_CHG_PCT_1D</stp>
        <tr r="B287" s="2"/>
      </tp>
      <tp>
        <v>2.2300000190734863</v>
        <stp/>
        <stp>BDP|13791607807215748819|22</stp>
        <stp>CMG UN Equity</stp>
        <stp>RT_PX_CHG_PCT_1D</stp>
        <tr r="B408" s="2"/>
      </tp>
      <tp>
        <v>0.92030000686645508</v>
        <stp/>
        <stp>BDP|16997343315375102568|22</stp>
        <stp>BDX UN Equity</stp>
        <stp>RT_PX_CHG_PCT_1D</stp>
        <tr r="B72" s="2"/>
      </tp>
      <tp>
        <v>-0.55980002880096436</v>
        <stp/>
        <stp>BDP|12004660911038257434|22</stp>
        <stp>LII UN Equity</stp>
        <stp>RT_PX_CHG_PCT_1D</stp>
        <tr r="B56" s="2"/>
      </tp>
      <tp>
        <v>0.23250000178813934</v>
        <stp/>
        <stp>BDP|13923254341146507606|22</stp>
        <stp>EXR UN Equity</stp>
        <stp>RT_PX_CHG_PCT_1D</stp>
        <tr r="B16" s="2"/>
      </tp>
      <tp>
        <v>0.99849998950958252</v>
        <stp/>
        <stp>BDP|12064277230916711618|22</stp>
        <stp>MMC UN Equity</stp>
        <stp>RT_PX_CHG_PCT_1D</stp>
        <tr r="B164" s="2"/>
      </tp>
      <tp>
        <v>0.7378000020980835</v>
        <stp/>
        <stp>BDP|16396894721203772199|22</stp>
        <stp>MLM UN Equity</stp>
        <stp>RT_PX_CHG_PCT_1D</stp>
        <tr r="B476" s="2"/>
      </tp>
      <tp t="s">
        <v>#N/A N/A</v>
        <stp/>
        <stp>BDP|3027446934872839526</stp>
        <tr r="L215" s="2"/>
      </tp>
      <tp t="s">
        <v>#N/A N/A</v>
        <stp/>
        <stp>BDP|5998154620132032767</stp>
        <tr r="J461" s="2"/>
      </tp>
      <tp t="s">
        <v>#N/A N/A</v>
        <stp/>
        <stp>BDP|6647422859320267458</stp>
        <tr r="N55" s="2"/>
      </tp>
      <tp t="s">
        <v>#N/A N/A</v>
        <stp/>
        <stp>BDP|8534399932042701937</stp>
        <tr r="F167" s="2"/>
      </tp>
      <tp t="s">
        <v>#N/A N/A</v>
        <stp/>
        <stp>BDP|7742651711161111289</stp>
        <tr r="M265" s="2"/>
      </tp>
      <tp t="s">
        <v>#N/A N/A</v>
        <stp/>
        <stp>BDP|7389589826334110762</stp>
        <tr r="L330" s="2"/>
      </tp>
      <tp t="s">
        <v>#N/A N/A</v>
        <stp/>
        <stp>BDP|6402049417910974446</stp>
        <tr r="Q236" s="2"/>
      </tp>
      <tp t="s">
        <v>#N/A N/A</v>
        <stp/>
        <stp>BDP|4202046805040002797</stp>
        <tr r="I290" s="2"/>
      </tp>
      <tp t="s">
        <v>#N/A N/A</v>
        <stp/>
        <stp>BDP|6579230665506932700</stp>
        <tr r="E6" s="2"/>
      </tp>
      <tp t="s">
        <v>#N/A N/A</v>
        <stp/>
        <stp>BDP|7515475671430938703</stp>
        <tr r="H2" s="2"/>
      </tp>
      <tp t="s">
        <v>#N/A N/A</v>
        <stp/>
        <stp>BDP|2091413162191090291</stp>
        <tr r="D417" s="2"/>
      </tp>
      <tp t="s">
        <v>#N/A N/A</v>
        <stp/>
        <stp>BDP|6610118429137488102</stp>
        <tr r="K311" s="2"/>
      </tp>
      <tp t="s">
        <v>#N/A N/A</v>
        <stp/>
        <stp>BDP|1200234119075647459</stp>
        <tr r="H126" s="2"/>
      </tp>
      <tp t="s">
        <v>#N/A N/A</v>
        <stp/>
        <stp>BDP|6931243076061782170</stp>
        <tr r="K327" s="2"/>
      </tp>
      <tp t="s">
        <v>#N/A N/A</v>
        <stp/>
        <stp>BDP|2946977844815741967</stp>
        <tr r="C404" s="2"/>
      </tp>
      <tp t="s">
        <v>#N/A N/A</v>
        <stp/>
        <stp>BDP|6738961056860489988</stp>
        <tr r="Q406" s="2"/>
      </tp>
      <tp t="s">
        <v>#N/A N/A</v>
        <stp/>
        <stp>BDP|5805682863345042388</stp>
        <tr r="K361" s="2"/>
      </tp>
      <tp t="s">
        <v>#N/A N/A</v>
        <stp/>
        <stp>BDP|2012597702972710671</stp>
        <tr r="C307" s="2"/>
      </tp>
      <tp t="s">
        <v>#N/A N/A</v>
        <stp/>
        <stp>BDP|3158051249910672405</stp>
        <tr r="N141" s="2"/>
      </tp>
      <tp t="s">
        <v>#N/A N/A</v>
        <stp/>
        <stp>BDP|4149311543057176792</stp>
        <tr r="M21" s="2"/>
      </tp>
      <tp t="s">
        <v>#N/A N/A</v>
        <stp/>
        <stp>BDP|6080076877701807339</stp>
        <tr r="O478" s="2"/>
      </tp>
      <tp t="s">
        <v>#N/A N/A</v>
        <stp/>
        <stp>BDP|5941565984742742971</stp>
        <tr r="I461" s="2"/>
      </tp>
      <tp t="s">
        <v>#N/A N/A</v>
        <stp/>
        <stp>BDP|8032485183620567754</stp>
        <tr r="D47" s="2"/>
      </tp>
      <tp t="s">
        <v>#N/A N/A</v>
        <stp/>
        <stp>BDP|1777199701364565719</stp>
        <tr r="L369" s="2"/>
      </tp>
      <tp t="s">
        <v>#N/A N/A</v>
        <stp/>
        <stp>BDP|6585272945800958350</stp>
        <tr r="D37" s="2"/>
      </tp>
      <tp t="s">
        <v>#N/A N/A</v>
        <stp/>
        <stp>BDP|4010104048133505163</stp>
        <tr r="C141" s="2"/>
      </tp>
      <tp t="s">
        <v>#N/A N/A</v>
        <stp/>
        <stp>BDP|5022537623031349086</stp>
        <tr r="E426" s="2"/>
      </tp>
      <tp t="s">
        <v>#N/A N/A</v>
        <stp/>
        <stp>BDP|9828944253704362270</stp>
        <tr r="E503" s="2"/>
      </tp>
      <tp t="s">
        <v>#N/A N/A</v>
        <stp/>
        <stp>BDP|3287712297109980765</stp>
        <tr r="K27" s="2"/>
      </tp>
      <tp t="s">
        <v>#N/A N/A</v>
        <stp/>
        <stp>BDP|8136880031061196113</stp>
        <tr r="E47" s="2"/>
      </tp>
      <tp t="s">
        <v>#N/A N/A</v>
        <stp/>
        <stp>BDP|5134198166095540434</stp>
        <tr r="I137" s="2"/>
      </tp>
      <tp t="s">
        <v>#N/A N/A</v>
        <stp/>
        <stp>BDP|9483933859520776613</stp>
        <tr r="L110" s="2"/>
      </tp>
      <tp t="s">
        <v>#N/A N/A</v>
        <stp/>
        <stp>BDP|2896943674426979993</stp>
        <tr r="P494" s="2"/>
      </tp>
      <tp t="s">
        <v>#N/A N/A</v>
        <stp/>
        <stp>BDP|1507501164670921108</stp>
        <tr r="Q22" s="2"/>
      </tp>
      <tp t="s">
        <v>#N/A N/A</v>
        <stp/>
        <stp>BDP|3397217128889436969</stp>
        <tr r="G297" s="2"/>
      </tp>
      <tp t="s">
        <v>#N/A N/A</v>
        <stp/>
        <stp>BDP|4787013019287607115</stp>
        <tr r="H343" s="2"/>
      </tp>
      <tp t="s">
        <v>#N/A N/A</v>
        <stp/>
        <stp>BDP|7582794345324700360</stp>
        <tr r="C457" s="2"/>
      </tp>
      <tp t="s">
        <v>#N/A N/A</v>
        <stp/>
        <stp>BDP|5491087998148592798</stp>
        <tr r="G466" s="2"/>
      </tp>
      <tp t="s">
        <v>#N/A N/A</v>
        <stp/>
        <stp>BDP|4013167725440954427</stp>
        <tr r="R252" s="2"/>
      </tp>
      <tp t="s">
        <v>#N/A N/A</v>
        <stp/>
        <stp>BDP|5720640713614923516</stp>
        <tr r="E102" s="2"/>
      </tp>
      <tp t="s">
        <v>#N/A N/A</v>
        <stp/>
        <stp>BDP|6530483939044928652</stp>
        <tr r="Q176" s="2"/>
      </tp>
      <tp t="s">
        <v>#N/A N/A</v>
        <stp/>
        <stp>BDP|6863125598109854427</stp>
        <tr r="K151" s="2"/>
      </tp>
      <tp t="s">
        <v>#N/A N/A</v>
        <stp/>
        <stp>BDP|7334491604373137370</stp>
        <tr r="J427" s="2"/>
      </tp>
      <tp t="s">
        <v>#N/A N/A</v>
        <stp/>
        <stp>BDP|1138288136373233059</stp>
        <tr r="J350" s="2"/>
      </tp>
      <tp t="s">
        <v>#N/A N/A</v>
        <stp/>
        <stp>BDP|4796485132175108548</stp>
        <tr r="L401" s="2"/>
      </tp>
      <tp t="s">
        <v>#N/A N/A</v>
        <stp/>
        <stp>BDP|7002321661251330084</stp>
        <tr r="M403" s="2"/>
      </tp>
      <tp t="s">
        <v>#N/A N/A</v>
        <stp/>
        <stp>BDP|1642312130101827372</stp>
        <tr r="D86" s="2"/>
      </tp>
      <tp t="s">
        <v>#N/A N/A</v>
        <stp/>
        <stp>BDP|4585297815010310437</stp>
        <tr r="K362" s="2"/>
      </tp>
      <tp t="s">
        <v>#N/A N/A</v>
        <stp/>
        <stp>BDP|4192218558288135809</stp>
        <tr r="I233" s="2"/>
      </tp>
      <tp t="s">
        <v>#N/A N/A</v>
        <stp/>
        <stp>BDP|5843100491079875788</stp>
        <tr r="L246" s="2"/>
      </tp>
      <tp t="s">
        <v>#N/A N/A</v>
        <stp/>
        <stp>BDP|3043728939626616240</stp>
        <tr r="Q17" s="2"/>
      </tp>
      <tp t="s">
        <v>#N/A N/A</v>
        <stp/>
        <stp>BDP|7813548030570154243</stp>
        <tr r="N4" s="2"/>
      </tp>
      <tp t="s">
        <v>#N/A N/A</v>
        <stp/>
        <stp>BDP|9847386075999869740</stp>
        <tr r="R122" s="2"/>
      </tp>
      <tp t="s">
        <v>#N/A N/A</v>
        <stp/>
        <stp>BDP|4512360923921863711</stp>
        <tr r="D421" s="2"/>
      </tp>
      <tp t="s">
        <v>#N/A N/A</v>
        <stp/>
        <stp>BDP|8032298995660617032</stp>
        <tr r="D203" s="2"/>
      </tp>
      <tp t="s">
        <v>#N/A N/A</v>
        <stp/>
        <stp>BDP|2639361629185596559</stp>
        <tr r="Q375" s="2"/>
      </tp>
      <tp t="s">
        <v>#N/A N/A</v>
        <stp/>
        <stp>BDP|4767470951584145294</stp>
        <tr r="M256" s="2"/>
      </tp>
      <tp t="s">
        <v>#N/A N/A</v>
        <stp/>
        <stp>BDP|9283534216547628988</stp>
        <tr r="M296" s="2"/>
      </tp>
      <tp t="s">
        <v>#N/A N/A</v>
        <stp/>
        <stp>BDP|2083553419891123443</stp>
        <tr r="N375" s="2"/>
      </tp>
      <tp t="s">
        <v>#N/A N/A</v>
        <stp/>
        <stp>BDP|2553112241481567597</stp>
        <tr r="H94" s="2"/>
      </tp>
      <tp t="s">
        <v>#N/A N/A</v>
        <stp/>
        <stp>BDP|6005550841884481094</stp>
        <tr r="I410" s="2"/>
      </tp>
      <tp t="s">
        <v>#N/A N/A</v>
        <stp/>
        <stp>BDP|4763689201878655916</stp>
        <tr r="F497" s="2"/>
      </tp>
      <tp t="s">
        <v>#N/A N/A</v>
        <stp/>
        <stp>BDP|5517731485670218980</stp>
        <tr r="M135" s="2"/>
      </tp>
      <tp t="s">
        <v>#N/A N/A</v>
        <stp/>
        <stp>BDP|4874335973052289143</stp>
        <tr r="J225" s="2"/>
      </tp>
      <tp t="s">
        <v>#N/A N/A</v>
        <stp/>
        <stp>BDP|8133370956625692881</stp>
        <tr r="O349" s="2"/>
      </tp>
      <tp t="s">
        <v>#N/A N/A</v>
        <stp/>
        <stp>BDP|1883434648641460393</stp>
        <tr r="D55" s="2"/>
      </tp>
      <tp t="s">
        <v>#N/A N/A</v>
        <stp/>
        <stp>BDP|1777153785388084391</stp>
        <tr r="F429" s="2"/>
      </tp>
      <tp t="s">
        <v>#N/A N/A</v>
        <stp/>
        <stp>BDP|4598532208362227024</stp>
        <tr r="I223" s="2"/>
      </tp>
      <tp t="s">
        <v>#N/A N/A</v>
        <stp/>
        <stp>BDP|4737499722164120539</stp>
        <tr r="O60" s="2"/>
      </tp>
      <tp t="s">
        <v>#N/A N/A</v>
        <stp/>
        <stp>BDP|2796086775827728135</stp>
        <tr r="P90" s="2"/>
      </tp>
      <tp t="s">
        <v>#N/A N/A</v>
        <stp/>
        <stp>BDP|9925849639530249189</stp>
        <tr r="I110" s="2"/>
      </tp>
      <tp t="s">
        <v>#N/A N/A</v>
        <stp/>
        <stp>BDP|8149098144807328814</stp>
        <tr r="C335" s="2"/>
      </tp>
      <tp t="s">
        <v>#N/A N/A</v>
        <stp/>
        <stp>BDP|1927547164310060177</stp>
        <tr r="J395" s="2"/>
      </tp>
      <tp t="s">
        <v>#N/A N/A</v>
        <stp/>
        <stp>BDP|5073547375673639792</stp>
        <tr r="N473" s="2"/>
      </tp>
      <tp t="s">
        <v>#N/A N/A</v>
        <stp/>
        <stp>BDP|3399089204181704167</stp>
        <tr r="H261" s="2"/>
      </tp>
      <tp t="s">
        <v>#N/A N/A</v>
        <stp/>
        <stp>BDP|7105157428043508471</stp>
        <tr r="O132" s="2"/>
      </tp>
      <tp t="s">
        <v>#N/A N/A</v>
        <stp/>
        <stp>BDP|9532446719517633819</stp>
        <tr r="K21" s="2"/>
      </tp>
      <tp t="s">
        <v>#N/A N/A</v>
        <stp/>
        <stp>BDP|9975129883476249552</stp>
        <tr r="C137" s="2"/>
      </tp>
      <tp t="s">
        <v>#N/A N/A</v>
        <stp/>
        <stp>BDP|3103075662360297690</stp>
        <tr r="G229" s="2"/>
      </tp>
      <tp t="s">
        <v>#N/A N/A</v>
        <stp/>
        <stp>BDP|3738736978194096433</stp>
        <tr r="R289" s="2"/>
      </tp>
      <tp t="s">
        <v>#N/A N/A</v>
        <stp/>
        <stp>BDP|7735134732300178682</stp>
        <tr r="N129" s="2"/>
      </tp>
      <tp t="s">
        <v>#N/A N/A</v>
        <stp/>
        <stp>BDP|7807647011813589077</stp>
        <tr r="O309" s="2"/>
      </tp>
      <tp t="s">
        <v>#N/A N/A</v>
        <stp/>
        <stp>BDP|2670595210453944690</stp>
        <tr r="R413" s="2"/>
      </tp>
      <tp t="s">
        <v>#N/A N/A</v>
        <stp/>
        <stp>BDP|3396963999991563163</stp>
        <tr r="I458" s="2"/>
      </tp>
      <tp>
        <v>1.4332000017166138</v>
        <stp/>
        <stp>BDP|8221061309646418284|22</stp>
        <stp>NDAQ UW Equity</stp>
        <stp>RT_PX_CHG_PCT_1D</stp>
        <tr r="B387" s="2"/>
      </tp>
      <tp t="s">
        <v>#N/A N/A</v>
        <stp/>
        <stp>BDP|7962259174289266860</stp>
        <tr r="K473" s="2"/>
      </tp>
      <tp t="s">
        <v>#N/A N/A</v>
        <stp/>
        <stp>BDP|4689298642069738869</stp>
        <tr r="J96" s="2"/>
      </tp>
      <tp t="s">
        <v>#N/A N/A</v>
        <stp/>
        <stp>BDP|8022943412937941430</stp>
        <tr r="P181" s="2"/>
      </tp>
      <tp t="s">
        <v>#N/A N/A</v>
        <stp/>
        <stp>BDP|4116453954140968659</stp>
        <tr r="G473" s="2"/>
      </tp>
      <tp t="s">
        <v>#N/A N/A</v>
        <stp/>
        <stp>BDP|4488217731937001189</stp>
        <tr r="J210" s="2"/>
      </tp>
      <tp t="s">
        <v>#N/A N/A</v>
        <stp/>
        <stp>BDP|2238408258670135071</stp>
        <tr r="G464" s="2"/>
      </tp>
      <tp t="s">
        <v>#N/A N/A</v>
        <stp/>
        <stp>BDP|7523509677855727392</stp>
        <tr r="D6" s="2"/>
      </tp>
      <tp t="s">
        <v>#N/A N/A</v>
        <stp/>
        <stp>BDP|7871868736408111759</stp>
        <tr r="P188" s="2"/>
      </tp>
      <tp t="s">
        <v>#N/A N/A</v>
        <stp/>
        <stp>BDP|6866167903431860590</stp>
        <tr r="D106" s="2"/>
      </tp>
      <tp t="s">
        <v>#N/A N/A</v>
        <stp/>
        <stp>BDP|4894239453529726935</stp>
        <tr r="R129" s="2"/>
      </tp>
      <tp t="s">
        <v>#N/A N/A</v>
        <stp/>
        <stp>BDP|2135181135184742775</stp>
        <tr r="M48" s="2"/>
      </tp>
      <tp t="s">
        <v>#N/A N/A</v>
        <stp/>
        <stp>BDP|4601312006595832151</stp>
        <tr r="R479" s="2"/>
      </tp>
      <tp t="s">
        <v>#N/A N/A</v>
        <stp/>
        <stp>BDP|8693094839498386095</stp>
        <tr r="N365" s="2"/>
      </tp>
      <tp t="s">
        <v>#N/A N/A</v>
        <stp/>
        <stp>BDP|7874734030203337346</stp>
        <tr r="G314" s="2"/>
      </tp>
      <tp t="s">
        <v>#N/A N/A</v>
        <stp/>
        <stp>BDP|6928477745732439736</stp>
        <tr r="L117" s="2"/>
      </tp>
      <tp t="s">
        <v>#N/A N/A</v>
        <stp/>
        <stp>BDP|5752621401455014586</stp>
        <tr r="D48" s="2"/>
      </tp>
      <tp t="s">
        <v>#N/A N/A</v>
        <stp/>
        <stp>BDP|4037217058319020953</stp>
        <tr r="D275" s="2"/>
      </tp>
      <tp t="s">
        <v>#N/A N/A</v>
        <stp/>
        <stp>BDP|4802995736475865831</stp>
        <tr r="L461" s="2"/>
      </tp>
      <tp t="s">
        <v>#N/A N/A</v>
        <stp/>
        <stp>BDP|3443930415321777996</stp>
        <tr r="J203" s="2"/>
      </tp>
      <tp t="s">
        <v>#N/A N/A</v>
        <stp/>
        <stp>BDP|9462997180569147206</stp>
        <tr r="M312" s="2"/>
      </tp>
      <tp t="s">
        <v>#N/A N/A</v>
        <stp/>
        <stp>BDP|6146072159419280903</stp>
        <tr r="J201" s="2"/>
      </tp>
      <tp t="s">
        <v>#N/A N/A</v>
        <stp/>
        <stp>BDP|5486795906137031666</stp>
        <tr r="L384" s="2"/>
      </tp>
      <tp t="s">
        <v>#N/A N/A</v>
        <stp/>
        <stp>BDP|2936151555475452008</stp>
        <tr r="R456" s="2"/>
      </tp>
      <tp t="s">
        <v>#N/A N/A</v>
        <stp/>
        <stp>BDP|6073728708232584028</stp>
        <tr r="Q469" s="2"/>
      </tp>
      <tp t="s">
        <v>#N/A N/A</v>
        <stp/>
        <stp>BDP|3365825510508587192</stp>
        <tr r="I397" s="2"/>
      </tp>
      <tp t="s">
        <v>#N/A N/A</v>
        <stp/>
        <stp>BDP|1474431451034305789</stp>
        <tr r="Q212" s="2"/>
      </tp>
      <tp t="s">
        <v>#N/A N/A</v>
        <stp/>
        <stp>BDP|5138854689931325733</stp>
        <tr r="E268" s="2"/>
      </tp>
      <tp t="s">
        <v>#N/A N/A</v>
        <stp/>
        <stp>BDP|2583340335927876618</stp>
        <tr r="G75" s="2"/>
      </tp>
      <tp t="s">
        <v>#N/A N/A</v>
        <stp/>
        <stp>BDP|9887870232566558759</stp>
        <tr r="R86" s="2"/>
      </tp>
      <tp t="s">
        <v>#N/A N/A</v>
        <stp/>
        <stp>BDP|5178416033063783299</stp>
        <tr r="H3" s="2"/>
      </tp>
      <tp t="s">
        <v>#N/A N/A</v>
        <stp/>
        <stp>BDP|9207197902972645929</stp>
        <tr r="Q354" s="2"/>
      </tp>
      <tp t="s">
        <v>#N/A N/A</v>
        <stp/>
        <stp>BDP|2449504372236335583</stp>
        <tr r="L164" s="2"/>
      </tp>
      <tp t="s">
        <v>#N/A N/A</v>
        <stp/>
        <stp>BDP|7792834898076007318</stp>
        <tr r="M11" s="2"/>
      </tp>
      <tp t="s">
        <v>#N/A N/A</v>
        <stp/>
        <stp>BDP|9903655985073752736</stp>
        <tr r="I205" s="2"/>
      </tp>
      <tp t="s">
        <v>#N/A N/A</v>
        <stp/>
        <stp>BDP|9578801674854150123</stp>
        <tr r="I302" s="2"/>
      </tp>
      <tp t="s">
        <v>#N/A N/A</v>
        <stp/>
        <stp>BDP|5434468452862512578</stp>
        <tr r="J173" s="2"/>
      </tp>
      <tp t="s">
        <v>#N/A N/A</v>
        <stp/>
        <stp>BDP|4091876897597160136</stp>
        <tr r="G21" s="2"/>
      </tp>
      <tp t="s">
        <v>#N/A N/A</v>
        <stp/>
        <stp>BDP|6698056768365853615</stp>
        <tr r="J443" s="2"/>
      </tp>
      <tp t="s">
        <v>#N/A N/A</v>
        <stp/>
        <stp>BDP|5173890045829925362</stp>
        <tr r="D198" s="2"/>
      </tp>
      <tp t="s">
        <v>#N/A N/A</v>
        <stp/>
        <stp>BDP|5696715164790566742</stp>
        <tr r="D189" s="2"/>
      </tp>
      <tp t="s">
        <v>#N/A N/A</v>
        <stp/>
        <stp>BDP|1459161302030198333</stp>
        <tr r="R44" s="2"/>
      </tp>
      <tp t="s">
        <v>#N/A N/A</v>
        <stp/>
        <stp>BDP|5575032805981986785</stp>
        <tr r="N372" s="2"/>
      </tp>
      <tp t="s">
        <v>#N/A N/A</v>
        <stp/>
        <stp>BDP|7089528024106351575</stp>
        <tr r="N45" s="2"/>
      </tp>
      <tp t="s">
        <v>#N/A N/A</v>
        <stp/>
        <stp>BDP|2570367620244569445</stp>
        <tr r="K180" s="2"/>
      </tp>
      <tp t="s">
        <v>#N/A N/A</v>
        <stp/>
        <stp>BDP|7220137334413594528</stp>
        <tr r="N111" s="2"/>
      </tp>
      <tp t="s">
        <v>#N/A N/A</v>
        <stp/>
        <stp>BDP|2387102410661855099</stp>
        <tr r="P94" s="2"/>
      </tp>
      <tp t="s">
        <v>#N/A N/A</v>
        <stp/>
        <stp>BDP|2197275752872505437</stp>
        <tr r="M326" s="2"/>
      </tp>
      <tp t="s">
        <v>#N/A N/A</v>
        <stp/>
        <stp>BDP|5686031163823477305</stp>
        <tr r="E418" s="2"/>
      </tp>
      <tp t="s">
        <v>#N/A N/A</v>
        <stp/>
        <stp>BDP|1295760033615558309</stp>
        <tr r="P452" s="2"/>
      </tp>
      <tp t="s">
        <v>#N/A N/A</v>
        <stp/>
        <stp>BDP|2545204006200318320</stp>
        <tr r="M199" s="2"/>
      </tp>
      <tp t="s">
        <v>#N/A N/A</v>
        <stp/>
        <stp>BDP|7788583173271727799</stp>
        <tr r="R140" s="2"/>
      </tp>
      <tp t="s">
        <v>#N/A N/A</v>
        <stp/>
        <stp>BDP|4677789556763340699</stp>
        <tr r="C393" s="2"/>
      </tp>
      <tp t="s">
        <v>#N/A N/A</v>
        <stp/>
        <stp>BDP|6967021533586275081</stp>
        <tr r="Q66" s="2"/>
      </tp>
      <tp t="s">
        <v>#N/A N/A</v>
        <stp/>
        <stp>BDP|1241435574343514224</stp>
        <tr r="P334" s="2"/>
      </tp>
      <tp t="s">
        <v>#N/A N/A</v>
        <stp/>
        <stp>BDP|7767055459124104584</stp>
        <tr r="E365" s="2"/>
      </tp>
      <tp t="s">
        <v>#N/A N/A</v>
        <stp/>
        <stp>BDP|7849736342894999325</stp>
        <tr r="Q417" s="2"/>
      </tp>
      <tp t="s">
        <v>#N/A N/A</v>
        <stp/>
        <stp>BDP|6029586317180856149</stp>
        <tr r="G200" s="2"/>
      </tp>
      <tp t="s">
        <v>#N/A N/A</v>
        <stp/>
        <stp>BDP|1645028971162575733</stp>
        <tr r="C438" s="2"/>
      </tp>
      <tp t="s">
        <v>#N/A N/A</v>
        <stp/>
        <stp>BDP|9361617180374794063</stp>
        <tr r="C305" s="2"/>
      </tp>
      <tp t="s">
        <v>#N/A N/A</v>
        <stp/>
        <stp>BDP|6043900474683080872</stp>
        <tr r="I432" s="2"/>
      </tp>
      <tp t="s">
        <v>#N/A N/A</v>
        <stp/>
        <stp>BDP|7351374668845799488</stp>
        <tr r="Q430" s="2"/>
      </tp>
      <tp t="s">
        <v>#N/A N/A</v>
        <stp/>
        <stp>BDP|2033481269086718559</stp>
        <tr r="R389" s="2"/>
      </tp>
      <tp t="s">
        <v>#N/A N/A</v>
        <stp/>
        <stp>BDP|9764056219483107899</stp>
        <tr r="D260" s="2"/>
      </tp>
      <tp t="s">
        <v>#N/A N/A</v>
        <stp/>
        <stp>BDP|3698617752125606602</stp>
        <tr r="D202" s="2"/>
      </tp>
      <tp t="s">
        <v>#N/A N/A</v>
        <stp/>
        <stp>BDP|4846889889025928233</stp>
        <tr r="E385" s="2"/>
      </tp>
      <tp t="s">
        <v>#N/A N/A</v>
        <stp/>
        <stp>BDP|5778959440613072810</stp>
        <tr r="Q481" s="2"/>
      </tp>
      <tp t="s">
        <v>#N/A N/A</v>
        <stp/>
        <stp>BDP|5082151837432843697</stp>
        <tr r="M449" s="2"/>
      </tp>
      <tp t="s">
        <v>#N/A N/A</v>
        <stp/>
        <stp>BDP|6799092984835115883</stp>
        <tr r="L318" s="2"/>
      </tp>
      <tp t="s">
        <v>#N/A N/A</v>
        <stp/>
        <stp>BDP|6250345739276910353</stp>
        <tr r="C387" s="2"/>
      </tp>
      <tp t="s">
        <v>#N/A N/A</v>
        <stp/>
        <stp>BDP|2871399445743721508</stp>
        <tr r="J369" s="2"/>
      </tp>
      <tp t="s">
        <v>#N/A N/A</v>
        <stp/>
        <stp>BDP|7439217103121240772</stp>
        <tr r="C3" s="2"/>
      </tp>
      <tp t="s">
        <v>#N/A N/A</v>
        <stp/>
        <stp>BDP|2657870719339876133</stp>
        <tr r="D201" s="2"/>
      </tp>
      <tp t="s">
        <v>#N/A N/A</v>
        <stp/>
        <stp>BDP|2446373959027024097</stp>
        <tr r="O314" s="2"/>
      </tp>
      <tp t="s">
        <v>#N/A N/A</v>
        <stp/>
        <stp>BDP|7121019441560782051</stp>
        <tr r="G230" s="2"/>
      </tp>
      <tp t="s">
        <v>#N/A N/A</v>
        <stp/>
        <stp>BDP|6437770453190671752</stp>
        <tr r="E295" s="2"/>
      </tp>
      <tp t="s">
        <v>#N/A N/A</v>
        <stp/>
        <stp>BDP|2613172801426461677</stp>
        <tr r="G89" s="2"/>
      </tp>
      <tp>
        <v>-0.21889999508857727</v>
        <stp/>
        <stp>BDP|3923032066355587605|22</stp>
        <stp>ABNB UW Equity</stp>
        <stp>RT_PX_CHG_PCT_1D</stp>
        <tr r="B89" s="2"/>
      </tp>
      <tp t="s">
        <v>#N/A N/A</v>
        <stp/>
        <stp>BDP|7243283198129096626</stp>
        <tr r="H65" s="2"/>
      </tp>
      <tp t="s">
        <v>#N/A N/A</v>
        <stp/>
        <stp>BDP|7884244137451913420</stp>
        <tr r="J46" s="2"/>
      </tp>
      <tp t="s">
        <v>#N/A N/A</v>
        <stp/>
        <stp>BDP|4087041973333456337</stp>
        <tr r="I314" s="2"/>
      </tp>
      <tp t="s">
        <v>#N/A N/A</v>
        <stp/>
        <stp>BDP|6182373801740438635</stp>
        <tr r="C406" s="2"/>
      </tp>
      <tp t="s">
        <v>#N/A N/A</v>
        <stp/>
        <stp>BDP|3926643528447086350</stp>
        <tr r="G387" s="2"/>
      </tp>
      <tp t="s">
        <v>#N/A N/A</v>
        <stp/>
        <stp>BDP|1281625511415121007</stp>
        <tr r="G256" s="2"/>
      </tp>
      <tp t="s">
        <v>#N/A N/A</v>
        <stp/>
        <stp>BDP|5332372347353285215</stp>
        <tr r="Q96" s="2"/>
      </tp>
      <tp t="s">
        <v>#N/A N/A</v>
        <stp/>
        <stp>BDP|1428309810373100359</stp>
        <tr r="L167" s="2"/>
      </tp>
      <tp t="s">
        <v>#N/A N/A</v>
        <stp/>
        <stp>BDP|2903747264667096799</stp>
        <tr r="N332" s="2"/>
      </tp>
      <tp t="s">
        <v>#N/A N/A</v>
        <stp/>
        <stp>BDP|8636896228796660715</stp>
        <tr r="Q276" s="2"/>
      </tp>
      <tp t="s">
        <v>#N/A N/A</v>
        <stp/>
        <stp>BDP|6194109251458745972</stp>
        <tr r="H139" s="2"/>
      </tp>
      <tp t="s">
        <v>#N/A N/A</v>
        <stp/>
        <stp>BDP|3101271670264543133</stp>
        <tr r="L41" s="2"/>
      </tp>
      <tp>
        <v>2.325700044631958</v>
        <stp/>
        <stp>BDP|3422896199764676768|22</stp>
        <stp>CDNS UW Equity</stp>
        <stp>RT_PX_CHG_PCT_1D</stp>
        <tr r="B332" s="2"/>
      </tp>
      <tp t="s">
        <v>#N/A N/A</v>
        <stp/>
        <stp>BDP|5508007181666205879</stp>
        <tr r="O68" s="2"/>
      </tp>
      <tp t="s">
        <v>#N/A N/A</v>
        <stp/>
        <stp>BDP|8123998446172659494</stp>
        <tr r="N260" s="2"/>
      </tp>
      <tp t="s">
        <v>#N/A N/A</v>
        <stp/>
        <stp>BDP|6107011418464997001</stp>
        <tr r="D65" s="2"/>
      </tp>
      <tp t="s">
        <v>#N/A N/A</v>
        <stp/>
        <stp>BDP|4053368918102760787</stp>
        <tr r="N252" s="2"/>
      </tp>
      <tp t="s">
        <v>#N/A N/A</v>
        <stp/>
        <stp>BDP|6087340218890983747</stp>
        <tr r="E488" s="2"/>
      </tp>
      <tp t="s">
        <v>#N/A N/A</v>
        <stp/>
        <stp>BDP|3068026032433929087</stp>
        <tr r="J488" s="2"/>
      </tp>
      <tp t="s">
        <v>#N/A N/A</v>
        <stp/>
        <stp>BDP|1188322806834373577</stp>
        <tr r="R110" s="2"/>
      </tp>
      <tp t="s">
        <v>#N/A N/A</v>
        <stp/>
        <stp>BDP|2362203843653379421</stp>
        <tr r="G237" s="2"/>
      </tp>
      <tp t="s">
        <v>#N/A N/A</v>
        <stp/>
        <stp>BDP|6029287907076867166</stp>
        <tr r="K142" s="2"/>
      </tp>
      <tp t="s">
        <v>#N/A N/A</v>
        <stp/>
        <stp>BDP|7626551956693797739</stp>
        <tr r="K284" s="2"/>
      </tp>
      <tp t="s">
        <v>#N/A N/A</v>
        <stp/>
        <stp>BDP|4639947162490747863</stp>
        <tr r="M69" s="2"/>
      </tp>
      <tp t="s">
        <v>#N/A N/A</v>
        <stp/>
        <stp>BDP|1867203289010836881</stp>
        <tr r="N339" s="2"/>
      </tp>
      <tp t="s">
        <v>#N/A N/A</v>
        <stp/>
        <stp>BDP|1791259462703451554</stp>
        <tr r="H162" s="2"/>
      </tp>
      <tp t="s">
        <v>#N/A N/A</v>
        <stp/>
        <stp>BDP|3195329682063956893</stp>
        <tr r="F449" s="2"/>
      </tp>
      <tp t="s">
        <v>#N/A N/A</v>
        <stp/>
        <stp>BDP|5676320802365057077</stp>
        <tr r="H225" s="2"/>
      </tp>
      <tp t="s">
        <v>#N/A N/A</v>
        <stp/>
        <stp>BDP|2385512869951372392</stp>
        <tr r="L438" s="2"/>
      </tp>
      <tp t="s">
        <v>#N/A N/A</v>
        <stp/>
        <stp>BDP|3221277570081427401</stp>
        <tr r="O82" s="2"/>
      </tp>
      <tp t="s">
        <v>#N/A N/A</v>
        <stp/>
        <stp>BDP|5225864987826628036</stp>
        <tr r="O135" s="2"/>
      </tp>
      <tp t="s">
        <v>#N/A N/A</v>
        <stp/>
        <stp>BDP|1201339496829287133</stp>
        <tr r="O224" s="2"/>
      </tp>
      <tp t="s">
        <v>#N/A N/A</v>
        <stp/>
        <stp>BDP|7181497661104856274</stp>
        <tr r="R458" s="2"/>
      </tp>
      <tp t="s">
        <v>#N/A N/A</v>
        <stp/>
        <stp>BDP|4462699902281106083</stp>
        <tr r="F298" s="2"/>
      </tp>
      <tp t="s">
        <v>#N/A N/A</v>
        <stp/>
        <stp>BDP|9620132785695449623</stp>
        <tr r="M46" s="2"/>
      </tp>
      <tp t="s">
        <v>#N/A N/A</v>
        <stp/>
        <stp>BDP|2319679521176188320</stp>
        <tr r="I9" s="2"/>
      </tp>
      <tp t="s">
        <v>#N/A N/A</v>
        <stp/>
        <stp>BDP|1403346513379401917</stp>
        <tr r="L155" s="2"/>
      </tp>
      <tp t="s">
        <v>#N/A N/A</v>
        <stp/>
        <stp>BDP|1253865725718717003</stp>
        <tr r="K474" s="2"/>
      </tp>
      <tp t="s">
        <v>#N/A N/A</v>
        <stp/>
        <stp>BDP|7625091369026261421</stp>
        <tr r="F297" s="2"/>
      </tp>
      <tp t="s">
        <v>#N/A N/A</v>
        <stp/>
        <stp>BDP|8942526274311001895</stp>
        <tr r="E100" s="2"/>
      </tp>
      <tp t="s">
        <v>#N/A N/A</v>
        <stp/>
        <stp>BDP|2346162582620570843</stp>
        <tr r="C93" s="2"/>
      </tp>
      <tp t="s">
        <v>#N/A N/A</v>
        <stp/>
        <stp>BDP|1008337601637069640</stp>
        <tr r="D98" s="2"/>
      </tp>
      <tp t="s">
        <v>#N/A N/A</v>
        <stp/>
        <stp>BDP|8513960307826174427</stp>
        <tr r="K364" s="2"/>
      </tp>
      <tp t="s">
        <v>#N/A N/A</v>
        <stp/>
        <stp>BDP|6712831413415645969</stp>
        <tr r="O418" s="2"/>
      </tp>
      <tp t="s">
        <v>#N/A N/A</v>
        <stp/>
        <stp>BDP|6542774527657299706</stp>
        <tr r="R2" s="2"/>
      </tp>
      <tp t="s">
        <v>#N/A N/A</v>
        <stp/>
        <stp>BDP|1597515241693143036</stp>
        <tr r="F149" s="2"/>
      </tp>
      <tp t="s">
        <v>#N/A N/A</v>
        <stp/>
        <stp>BDP|4151534769580483487</stp>
        <tr r="F313" s="2"/>
      </tp>
      <tp t="s">
        <v>#N/A N/A</v>
        <stp/>
        <stp>BDP|3268278994432266943</stp>
        <tr r="C71" s="2"/>
      </tp>
      <tp t="s">
        <v>#N/A N/A</v>
        <stp/>
        <stp>BDP|8176553482732744468</stp>
        <tr r="H407" s="2"/>
      </tp>
      <tp t="s">
        <v>#N/A N/A</v>
        <stp/>
        <stp>BDP|7712476561397697103</stp>
        <tr r="N358" s="2"/>
      </tp>
      <tp t="s">
        <v>#N/A N/A</v>
        <stp/>
        <stp>BDP|6664653914507267528</stp>
        <tr r="O189" s="2"/>
      </tp>
      <tp t="s">
        <v>#N/A N/A</v>
        <stp/>
        <stp>BDP|5962745057241857555</stp>
        <tr r="L150" s="2"/>
      </tp>
      <tp t="s">
        <v>#N/A N/A</v>
        <stp/>
        <stp>BDP|5235814173970098976</stp>
        <tr r="P113" s="2"/>
      </tp>
      <tp t="s">
        <v>#N/A N/A</v>
        <stp/>
        <stp>BDP|4079591062055545191</stp>
        <tr r="Q43" s="2"/>
      </tp>
      <tp t="s">
        <v>#N/A N/A</v>
        <stp/>
        <stp>BDP|7918421803206632693</stp>
        <tr r="J403" s="2"/>
      </tp>
      <tp t="s">
        <v>#N/A N/A</v>
        <stp/>
        <stp>BDP|1326077626066508607</stp>
        <tr r="I242" s="2"/>
      </tp>
      <tp t="s">
        <v>#N/A N/A</v>
        <stp/>
        <stp>BDP|6198707656736089104</stp>
        <tr r="F287" s="2"/>
      </tp>
      <tp t="s">
        <v>#N/A N/A</v>
        <stp/>
        <stp>BDP|7222377359455221796</stp>
        <tr r="O26" s="2"/>
      </tp>
      <tp t="s">
        <v>#N/A N/A</v>
        <stp/>
        <stp>BDP|2703975784217388737</stp>
        <tr r="P288" s="2"/>
      </tp>
      <tp t="s">
        <v>#N/A N/A</v>
        <stp/>
        <stp>BDP|8088136662385320962</stp>
        <tr r="D87" s="2"/>
      </tp>
      <tp t="s">
        <v>#N/A N/A</v>
        <stp/>
        <stp>BDP|2041120902878038842</stp>
        <tr r="O221" s="2"/>
      </tp>
      <tp t="s">
        <v>#N/A N/A</v>
        <stp/>
        <stp>BDP|8443368681812596221</stp>
        <tr r="K25" s="2"/>
      </tp>
      <tp t="s">
        <v>#N/A N/A</v>
        <stp/>
        <stp>BDP|4707708450080310509</stp>
        <tr r="N397" s="2"/>
      </tp>
      <tp t="s">
        <v>#N/A N/A</v>
        <stp/>
        <stp>BDP|1622344496700322836</stp>
        <tr r="J250" s="2"/>
      </tp>
      <tp t="s">
        <v>#N/A N/A</v>
        <stp/>
        <stp>BDP|6889799133066566733</stp>
        <tr r="O213" s="2"/>
      </tp>
      <tp t="s">
        <v>#N/A N/A</v>
        <stp/>
        <stp>BDP|3088267224811460126</stp>
        <tr r="N167" s="2"/>
      </tp>
      <tp t="s">
        <v>#N/A N/A</v>
        <stp/>
        <stp>BDP|3152160513725948590</stp>
        <tr r="P295" s="2"/>
      </tp>
      <tp t="s">
        <v>#N/A N/A</v>
        <stp/>
        <stp>BDP|5739406191378471379</stp>
        <tr r="I376" s="2"/>
      </tp>
      <tp t="s">
        <v>#N/A N/A</v>
        <stp/>
        <stp>BDP|8744615247130187953</stp>
        <tr r="C239" s="2"/>
      </tp>
      <tp t="s">
        <v>#N/A N/A</v>
        <stp/>
        <stp>BDP|9465561200679529628</stp>
        <tr r="R19" s="2"/>
      </tp>
      <tp t="s">
        <v>#N/A N/A</v>
        <stp/>
        <stp>BDP|2357730730840294578</stp>
        <tr r="E324" s="2"/>
      </tp>
      <tp t="s">
        <v>#N/A N/A</v>
        <stp/>
        <stp>BDP|2455734780458050623</stp>
        <tr r="N185" s="2"/>
      </tp>
      <tp t="s">
        <v>#N/A N/A</v>
        <stp/>
        <stp>BDP|9208318299857754786</stp>
        <tr r="L294" s="2"/>
      </tp>
      <tp t="s">
        <v>#N/A N/A</v>
        <stp/>
        <stp>BDP|7916810948051110945</stp>
        <tr r="P213" s="2"/>
      </tp>
      <tp t="s">
        <v>#N/A N/A</v>
        <stp/>
        <stp>BDP|5748076850425003651</stp>
        <tr r="J134" s="2"/>
      </tp>
      <tp t="s">
        <v>#N/A N/A</v>
        <stp/>
        <stp>BDP|7645635622043374311</stp>
        <tr r="I482" s="2"/>
      </tp>
      <tp>
        <v>0.5965999960899353</v>
        <stp/>
        <stp>BDP|15345356355350452464|22</stp>
        <stp>YUM UN Equity</stp>
        <stp>RT_PX_CHG_PCT_1D</stp>
        <tr r="B352" s="2"/>
      </tp>
      <tp>
        <v>0.13379999995231628</v>
        <stp/>
        <stp>BDP|14740328988101254208|22</stp>
        <stp>HAL UN Equity</stp>
        <stp>RT_PX_CHG_PCT_1D</stp>
        <tr r="B132" s="2"/>
      </tp>
      <tp>
        <v>1.3867000341415405</v>
        <stp/>
        <stp>BDP|18071237133100486579|22</stp>
        <stp>LKQ UW Equity</stp>
        <stp>RT_PX_CHG_PCT_1D</stp>
        <tr r="B496" s="2"/>
      </tp>
      <tp>
        <v>-9.3299999833106995E-2</v>
        <stp/>
        <stp>BDP|16625914596462133181|22</stp>
        <stp>HAS UW Equity</stp>
        <stp>RT_PX_CHG_PCT_1D</stp>
        <tr r="B270" s="2"/>
      </tp>
      <tp>
        <v>1.497499942779541</v>
        <stp/>
        <stp>BDP|17496633969616351337|22</stp>
        <stp>EG UN Equity</stp>
        <stp>RT_PX_CHG_PCT_1D</stp>
        <tr r="B484" s="2"/>
      </tp>
      <tp>
        <v>1.3042999505996704</v>
        <stp/>
        <stp>BDP|11869000484521332518|22</stp>
        <stp>FE UN Equity</stp>
        <stp>RT_PX_CHG_PCT_1D</stp>
        <tr r="B354" s="2"/>
      </tp>
      <tp>
        <v>1.2472000122070313</v>
        <stp/>
        <stp>BDP|2557990878557501658|22</stp>
        <stp>TRMB UW Equity</stp>
        <stp>RT_PX_CHG_PCT_1D</stp>
        <tr r="B383" s="2"/>
      </tp>
      <tp>
        <v>0.91289997100830078</v>
        <stp/>
        <stp>BDP|3895780891662053693|22</stp>
        <stp>WYNN UW Equity</stp>
        <stp>RT_PX_CHG_PCT_1D</stp>
        <tr r="B409" s="2"/>
      </tp>
      <tp t="s">
        <v>#N/A N/A</v>
        <stp/>
        <stp>BDP|38419826768928731</stp>
        <tr r="O457" s="2"/>
      </tp>
      <tp t="s">
        <v>#N/A N/A</v>
        <stp/>
        <stp>BDP|27256470425582990</stp>
        <tr r="D139" s="2"/>
      </tp>
      <tp>
        <v>-0.55479997396469116</v>
        <stp/>
        <stp>BDP|2248282304938190855|22</stp>
        <stp>VRTX UW Equity</stp>
        <stp>RT_PX_CHG_PCT_1D</stp>
        <tr r="B462" s="2"/>
      </tp>
      <tp>
        <v>2.5441999435424805</v>
        <stp/>
        <stp>BDP|6849580626823113255|22</stp>
        <stp>PLTR UW Equity</stp>
        <stp>RT_PX_CHG_PCT_1D</stp>
        <tr r="B443" s="2"/>
      </tp>
      <tp t="s">
        <v>#N/A N/A</v>
        <stp/>
        <stp>BDP|12684697031442672</stp>
        <tr r="C248" s="2"/>
      </tp>
      <tp t="s">
        <v>#N/A N/A</v>
        <stp/>
        <stp>BDP|32440913465670888</stp>
        <tr r="I8" s="2"/>
      </tp>
      <tp>
        <v>6.6697001457214355</v>
        <stp/>
        <stp>BDP|6438674643957130097|22</stp>
        <stp>VRSN UW Equity</stp>
        <stp>RT_PX_CHG_PCT_1D</stp>
        <tr r="B355" s="2"/>
      </tp>
      <tp>
        <v>3.712899923324585</v>
        <stp/>
        <stp>BDP|8328810322013544637|22</stp>
        <stp>SMCI UW Equity</stp>
        <stp>RT_PX_CHG_PCT_1D</stp>
        <tr r="B54" s="2"/>
      </tp>
      <tp t="s">
        <v>#N/A N/A</v>
        <stp/>
        <stp>BDP|32233070988606639</stp>
        <tr r="F90" s="2"/>
      </tp>
      <tp t="s">
        <v>#N/A N/A</v>
        <stp/>
        <stp>BDP|97327682331483102</stp>
        <tr r="J258" s="2"/>
      </tp>
      <tp>
        <v>0.46219998598098755</v>
        <stp/>
        <stp>BDP|6971524813981818126|22</stp>
        <stp>UBER UN Equity</stp>
        <stp>RT_PX_CHG_PCT_1D</stp>
        <tr r="B210" s="2"/>
      </tp>
      <tp t="s">
        <v>#N/A N/A</v>
        <stp/>
        <stp>BDP|73104132778659077</stp>
        <tr r="D218" s="2"/>
      </tp>
      <tp t="s">
        <v>#N/A N/A</v>
        <stp/>
        <stp>BDP|10459034669705469</stp>
        <tr r="P281" s="2"/>
      </tp>
      <tp t="s">
        <v>#N/A N/A</v>
        <stp/>
        <stp>BDP|97915943814739348</stp>
        <tr r="L437" s="2"/>
      </tp>
      <tp t="s">
        <v>#N/A N/A</v>
        <stp/>
        <stp>BDP|88819701486803496</stp>
        <tr r="F245" s="2"/>
      </tp>
      <tp t="s">
        <v>#N/A N/A</v>
        <stp/>
        <stp>BDP|66272395934253245</stp>
        <tr r="L188" s="2"/>
      </tp>
      <tp t="s">
        <v>#N/A N/A</v>
        <stp/>
        <stp>BDP|23117153438364112</stp>
        <tr r="N439" s="2"/>
      </tp>
      <tp>
        <v>-1.1196999549865723</v>
        <stp/>
        <stp>BDP|1351296848605170930|22</stp>
        <stp>SWKS UW Equity</stp>
        <stp>RT_PX_CHG_PCT_1D</stp>
        <tr r="B335" s="2"/>
      </tp>
      <tp>
        <v>-1.3335000276565552</v>
        <stp/>
        <stp>BDP|5082730568664548486|22</stp>
        <stp>SNPS UW Equity</stp>
        <stp>RT_PX_CHG_PCT_1D</stp>
        <tr r="B348" s="2"/>
      </tp>
      <tp>
        <v>9.7000002861022949E-3</v>
        <stp/>
        <stp>BDP|4405135956311382997|22</stp>
        <stp>VLTO UN Equity</stp>
        <stp>RT_PX_CHG_PCT_1D</stp>
        <tr r="B199" s="2"/>
      </tp>
      <tp t="s">
        <v>#N/A N/A</v>
        <stp/>
        <stp>BDP|99556678685713879</stp>
        <tr r="I287" s="2"/>
      </tp>
      <tp>
        <v>0.68690001964569092</v>
        <stp/>
        <stp>BDP|8013672400315644698|22</stp>
        <stp>ZBRA UW Equity</stp>
        <stp>RT_PX_CHG_PCT_1D</stp>
        <tr r="B398" s="2"/>
      </tp>
      <tp t="s">
        <v>#N/A N/A</v>
        <stp/>
        <stp>BDP|67721365658297721</stp>
        <tr r="K78" s="2"/>
      </tp>
      <tp t="s">
        <v>#N/A N/A</v>
        <stp/>
        <stp>BDP|63937765231206012</stp>
        <tr r="K67" s="2"/>
      </tp>
      <tp t="s">
        <v>#N/A N/A</v>
        <stp/>
        <stp>BDP|16970120557614288</stp>
        <tr r="H202" s="2"/>
      </tp>
      <tp>
        <v>-1.5959999561309814</v>
        <stp/>
        <stp>BDP|5915028652590109072|22</stp>
        <stp>TMUS UW Equity</stp>
        <stp>RT_PX_CHG_PCT_1D</stp>
        <tr r="B465" s="2"/>
      </tp>
      <tp t="s">
        <v>#N/A N/A</v>
        <stp/>
        <stp>BDP|70078564506349165</stp>
        <tr r="D217" s="2"/>
      </tp>
      <tp t="s">
        <v>#N/A N/A</v>
        <stp/>
        <stp>BDP|86858132579357373</stp>
        <tr r="M349" s="2"/>
      </tp>
      <tp t="s">
        <v>#N/A N/A</v>
        <stp/>
        <stp>BDP|75548005024795066</stp>
        <tr r="E104" s="2"/>
      </tp>
      <tp t="s">
        <v>#N/A N/A</v>
        <stp/>
        <stp>BDP|76638073967461789</stp>
        <tr r="N230" s="2"/>
      </tp>
      <tp t="s">
        <v>#N/A N/A</v>
        <stp/>
        <stp>BDP|31527820661956711</stp>
        <tr r="F234" s="2"/>
      </tp>
      <tp t="s">
        <v>#N/A N/A</v>
        <stp/>
        <stp>BDP|53572743095307403</stp>
        <tr r="I383" s="2"/>
      </tp>
      <tp t="s">
        <v>#N/A N/A</v>
        <stp/>
        <stp>BDP|99404110134794157</stp>
        <tr r="G79" s="2"/>
      </tp>
      <tp t="s">
        <v>#N/A N/A</v>
        <stp/>
        <stp>BDP|21749622443033650</stp>
        <tr r="P465" s="2"/>
      </tp>
      <tp t="s">
        <v>#N/A N/A</v>
        <stp/>
        <stp>BDP|57740061970688138</stp>
        <tr r="R154" s="2"/>
      </tp>
      <tp t="s">
        <v>#N/A N/A</v>
        <stp/>
        <stp>BDP|29090663976323059</stp>
        <tr r="L17" s="2"/>
      </tp>
      <tp>
        <v>-0.51039999723434448</v>
        <stp/>
        <stp>BDP|8980252165261451457|22</stp>
        <stp>SBAC UW Equity</stp>
        <stp>RT_PX_CHG_PCT_1D</stp>
        <tr r="B367" s="2"/>
      </tp>
      <tp t="s">
        <v>#N/A N/A</v>
        <stp/>
        <stp>BDP|54997137079629069</stp>
        <tr r="H467" s="2"/>
      </tp>
      <tp t="s">
        <v>#N/A N/A</v>
        <stp/>
        <stp>BDP|84397507582684273</stp>
        <tr r="I70" s="2"/>
      </tp>
      <tp t="s">
        <v>#N/A N/A</v>
        <stp/>
        <stp>BDP|53396210423119220</stp>
        <tr r="G163" s="2"/>
      </tp>
      <tp t="s">
        <v>#N/A N/A</v>
        <stp/>
        <stp>BDP|93263953794939055</stp>
        <tr r="K58" s="2"/>
      </tp>
      <tp>
        <v>-0.44130000472068787</v>
        <stp/>
        <stp>BDP|1130156695620060499|22</stp>
        <stp>POOL UW Equity</stp>
        <stp>RT_PX_CHG_PCT_1D</stp>
        <tr r="B444" s="2"/>
      </tp>
      <tp>
        <v>0.27259999513626099</v>
        <stp/>
        <stp>BDP|1177009053309326120|22</stp>
        <stp>ULTA UW Equity</stp>
        <stp>RT_PX_CHG_PCT_1D</stp>
        <tr r="B226" s="2"/>
      </tp>
      <tp t="s">
        <v>#N/A N/A</v>
        <stp/>
        <stp>BDP|59213234264918783</stp>
        <tr r="H332" s="2"/>
      </tp>
      <tp t="s">
        <v>#N/A N/A</v>
        <stp/>
        <stp>BDP|58411435113876682</stp>
        <tr r="O146" s="2"/>
      </tp>
      <tp t="s">
        <v>#N/A N/A</v>
        <stp/>
        <stp>BDP|72358144651431443</stp>
        <tr r="F233" s="2"/>
      </tp>
      <tp t="s">
        <v>#N/A N/A</v>
        <stp/>
        <stp>BDP|57245174052958532</stp>
        <tr r="H105" s="2"/>
      </tp>
      <tp>
        <v>1.0489000082015991</v>
        <stp/>
        <stp>BDP|6405829664764926238|22</stp>
        <stp>PANW UW Equity</stp>
        <stp>RT_PX_CHG_PCT_1D</stp>
        <tr r="B449" s="2"/>
      </tp>
      <tp>
        <v>-0.27270001173019409</v>
        <stp/>
        <stp>BDP|5785126467681578466|22</stp>
        <stp>REGN UW Equity</stp>
        <stp>RT_PX_CHG_PCT_1D</stp>
        <tr r="B340" s="2"/>
      </tp>
      <tp t="s">
        <v>#N/A N/A</v>
        <stp/>
        <stp>BDP|92545511082615311</stp>
        <tr r="J192" s="2"/>
      </tp>
      <tp t="s">
        <v>#N/A N/A</v>
        <stp/>
        <stp>BDP|20720543336462040</stp>
        <tr r="E437" s="2"/>
      </tp>
      <tp t="s">
        <v>#N/A N/A</v>
        <stp/>
        <stp>BDP|29307130955081094</stp>
        <tr r="P305" s="2"/>
      </tp>
      <tp t="s">
        <v>#N/A N/A</v>
        <stp/>
        <stp>BDP|94675028934131456</stp>
        <tr r="M389" s="2"/>
      </tp>
      <tp t="s">
        <v>#N/A N/A</v>
        <stp/>
        <stp>BDP|57282236400972613</stp>
        <tr r="O355" s="2"/>
      </tp>
      <tp t="s">
        <v>#N/A N/A</v>
        <stp/>
        <stp>BDP|39414360637451221</stp>
        <tr r="O367" s="2"/>
      </tp>
      <tp t="s">
        <v>#N/A N/A</v>
        <stp/>
        <stp>BDP|31081120996247375</stp>
        <tr r="O227" s="2"/>
      </tp>
      <tp>
        <v>0.20559999346733093</v>
        <stp/>
        <stp>BDP|6233878330233373865|22</stp>
        <stp>PYPL UW Equity</stp>
        <stp>RT_PX_CHG_PCT_1D</stp>
        <tr r="B478" s="2"/>
      </tp>
      <tp t="s">
        <v>#N/A N/A</v>
        <stp/>
        <stp>BDP|76612510060982179</stp>
        <tr r="G138" s="2"/>
      </tp>
      <tp t="s">
        <v>#N/A N/A</v>
        <stp/>
        <stp>BDP|62500658261241719</stp>
        <tr r="J433" s="2"/>
      </tp>
      <tp t="s">
        <v>#N/A N/A</v>
        <stp/>
        <stp>BDP|114579440284805024</stp>
        <tr r="E129" s="2"/>
      </tp>
      <tp t="s">
        <v>#N/A N/A</v>
        <stp/>
        <stp>BDP|358763822053959323</stp>
        <tr r="J479" s="2"/>
      </tp>
      <tp t="s">
        <v>#N/A N/A</v>
        <stp/>
        <stp>BDP|649495843465108005</stp>
        <tr r="D149" s="2"/>
      </tp>
      <tp t="s">
        <v>#N/A N/A</v>
        <stp/>
        <stp>BDP|132645619705357722</stp>
        <tr r="O150" s="2"/>
      </tp>
      <tp>
        <v>2.0645999908447266</v>
        <stp/>
        <stp>BDP|14045826145815253765|22</stp>
        <stp>MCHP UW Equity</stp>
        <stp>RT_PX_CHG_PCT_1D</stp>
        <tr r="B295" s="2"/>
      </tp>
      <tp t="s">
        <v>#N/A N/A</v>
        <stp/>
        <stp>BDP|842607307994635771</stp>
        <tr r="I444" s="2"/>
      </tp>
      <tp t="s">
        <v>#N/A N/A</v>
        <stp/>
        <stp>BDP|967836421897792820</stp>
        <tr r="N280" s="2"/>
      </tp>
      <tp>
        <v>0.45550000667572021</v>
        <stp/>
        <stp>BDP|18228851668142336120|22</stp>
        <stp>GOOG UW Equity</stp>
        <stp>RT_PX_CHG_PCT_1D</stp>
        <tr r="B422" s="2"/>
      </tp>
      <tp t="s">
        <v>#N/A N/A</v>
        <stp/>
        <stp>BDP|637615876956851260</stp>
        <tr r="F232" s="2"/>
      </tp>
      <tp>
        <v>0.60680001974105835</v>
        <stp/>
        <stp>BDP|14192997613811247815|22</stp>
        <stp>INTU UW Equity</stp>
        <stp>RT_PX_CHG_PCT_1D</stp>
        <tr r="B293" s="2"/>
      </tp>
      <tp t="s">
        <v>#N/A N/A</v>
        <stp/>
        <stp>BDP|823402494650195851</stp>
        <tr r="L464" s="2"/>
      </tp>
      <tp t="s">
        <v>#N/A N/A</v>
        <stp/>
        <stp>BDP|520193638225966246</stp>
        <tr r="Q86" s="2"/>
      </tp>
      <tp t="s">
        <v>#N/A N/A</v>
        <stp/>
        <stp>BDP|519592554237470253</stp>
        <tr r="G153" s="2"/>
      </tp>
      <tp t="s">
        <v>#N/A N/A</v>
        <stp/>
        <stp>BDP|344391887596157862</stp>
        <tr r="E67" s="2"/>
      </tp>
      <tp t="s">
        <v>#N/A N/A</v>
        <stp/>
        <stp>BDP|705993793115526025</stp>
        <tr r="F331" s="2"/>
      </tp>
      <tp>
        <v>-0.63849997520446777</v>
        <stp/>
        <stp>BDP|10618449051533041101|22</stp>
        <stp>AMGN UW Equity</stp>
        <stp>RT_PX_CHG_PCT_1D</stp>
        <tr r="B242" s="2"/>
      </tp>
      <tp t="s">
        <v>#N/A N/A</v>
        <stp/>
        <stp>BDP|471515116902835300</stp>
        <tr r="O50" s="2"/>
      </tp>
      <tp t="s">
        <v>#N/A N/A</v>
        <stp/>
        <stp>BDP|680495703940606115</stp>
        <tr r="H236" s="2"/>
      </tp>
      <tp t="s">
        <v>#N/A N/A</v>
        <stp/>
        <stp>BDP|859498466341563662</stp>
        <tr r="O360" s="2"/>
      </tp>
      <tp t="s">
        <v>#N/A N/A</v>
        <stp/>
        <stp>BDP|302528625274143612</stp>
        <tr r="Q446" s="2"/>
      </tp>
      <tp t="s">
        <v>#N/A N/A</v>
        <stp/>
        <stp>BDP|430740043607606117</stp>
        <tr r="I240" s="2"/>
      </tp>
      <tp t="s">
        <v>#N/A N/A</v>
        <stp/>
        <stp>BDP|715532288401142988</stp>
        <tr r="O459" s="2"/>
      </tp>
      <tp t="s">
        <v>#N/A N/A</v>
        <stp/>
        <stp>BDP|180704365927417356</stp>
        <tr r="P292" s="2"/>
      </tp>
      <tp t="s">
        <v>#N/A N/A</v>
        <stp/>
        <stp>BDP|393273852263114115</stp>
        <tr r="N396" s="2"/>
      </tp>
      <tp t="s">
        <v>#N/A N/A</v>
        <stp/>
        <stp>BDP|764697482072308996</stp>
        <tr r="D205" s="2"/>
      </tp>
      <tp t="s">
        <v>#N/A N/A</v>
        <stp/>
        <stp>BDP|193536991468790130</stp>
        <tr r="D439" s="2"/>
      </tp>
      <tp t="s">
        <v>#N/A N/A</v>
        <stp/>
        <stp>BDP|974596748554721081</stp>
        <tr r="O199" s="2"/>
      </tp>
      <tp>
        <v>0.3513999879360199</v>
        <stp/>
        <stp>BDP|11844546783962928367|22</stp>
        <stp>FITB UW Equity</stp>
        <stp>RT_PX_CHG_PCT_1D</stp>
        <tr r="B268" s="2"/>
      </tp>
      <tp>
        <v>-0.23109999299049377</v>
        <stp/>
        <stp>BDP|10541514114965396995|22</stp>
        <stp>KLAC UW Equity</stp>
        <stp>RT_PX_CHG_PCT_1D</stp>
        <tr r="B248" s="2"/>
      </tp>
      <tp t="s">
        <v>#N/A N/A</v>
        <stp/>
        <stp>BDP|407579472684696358</stp>
        <tr r="H435" s="2"/>
      </tp>
      <tp t="s">
        <v>#N/A N/A</v>
        <stp/>
        <stp>BDP|341008901093422648</stp>
        <tr r="H472" s="2"/>
      </tp>
      <tp t="s">
        <v>#N/A N/A</v>
        <stp/>
        <stp>BDP|550136885535997994</stp>
        <tr r="C272" s="2"/>
      </tp>
      <tp t="s">
        <v>#N/A N/A</v>
        <stp/>
        <stp>BDP|996089302030963595</stp>
        <tr r="M97" s="2"/>
      </tp>
      <tp t="s">
        <v>#N/A N/A</v>
        <stp/>
        <stp>BDP|950016859240783059</stp>
        <tr r="N256" s="2"/>
      </tp>
      <tp t="s">
        <v>#N/A N/A</v>
        <stp/>
        <stp>BDP|128843686047219226</stp>
        <tr r="H427" s="2"/>
      </tp>
      <tp t="s">
        <v>#N/A N/A</v>
        <stp/>
        <stp>BDP|144551463657365171</stp>
        <tr r="E5" s="2"/>
      </tp>
      <tp t="s">
        <v>#N/A N/A</v>
        <stp/>
        <stp>BDP|434656646312157556</stp>
        <tr r="N235" s="2"/>
      </tp>
      <tp>
        <v>-0.50800001621246338</v>
        <stp/>
        <stp>BDP|14566585599977771870|22</stp>
        <stp>NXPI UW Equity</stp>
        <stp>RT_PX_CHG_PCT_1D</stp>
        <tr r="B151" s="2"/>
      </tp>
      <tp>
        <v>0.61330002546310425</v>
        <stp/>
        <stp>BDP|13490476116779703795|22</stp>
        <stp>NWSA UW Equity</stp>
        <stp>RT_PX_CHG_PCT_1D</stp>
        <tr r="B488" s="2"/>
      </tp>
      <tp t="s">
        <v>#N/A N/A</v>
        <stp/>
        <stp>BDP|829354640431710262</stp>
        <tr r="D262" s="2"/>
      </tp>
      <tp t="s">
        <v>#N/A N/A</v>
        <stp/>
        <stp>BDP|909204942811639302</stp>
        <tr r="P195" s="2"/>
      </tp>
      <tp t="s">
        <v>#N/A N/A</v>
        <stp/>
        <stp>BDP|827882858831609803</stp>
        <tr r="K312" s="2"/>
      </tp>
      <tp t="s">
        <v>#N/A N/A</v>
        <stp/>
        <stp>BDP|145996537639439742</stp>
        <tr r="H149" s="2"/>
      </tp>
      <tp t="s">
        <v>#N/A N/A</v>
        <stp/>
        <stp>BDP|498608296363852828</stp>
        <tr r="R52" s="2"/>
      </tp>
      <tp t="s">
        <v>#N/A N/A</v>
        <stp/>
        <stp>BDP|383088791674475978</stp>
        <tr r="G346" s="2"/>
      </tp>
      <tp t="s">
        <v>#N/A N/A</v>
        <stp/>
        <stp>BDP|235496002415747576</stp>
        <tr r="K461" s="2"/>
      </tp>
      <tp>
        <v>2.6501998901367188</v>
        <stp/>
        <stp>BDP|14607237706850698231|22</stp>
        <stp>GILD UW Equity</stp>
        <stp>RT_PX_CHG_PCT_1D</stp>
        <tr r="B269" s="2"/>
      </tp>
      <tp t="s">
        <v>#N/A N/A</v>
        <stp/>
        <stp>BDP|924346507907928093</stp>
        <tr r="D80" s="2"/>
      </tp>
      <tp t="s">
        <v>#N/A N/A</v>
        <stp/>
        <stp>BDP|638525619849564934</stp>
        <tr r="G260" s="2"/>
      </tp>
      <tp t="s">
        <v>#N/A N/A</v>
        <stp/>
        <stp>BDP|482753760053130644</stp>
        <tr r="H78" s="2"/>
      </tp>
      <tp t="s">
        <v>#N/A N/A</v>
        <stp/>
        <stp>BDP|357242070655281415</stp>
        <tr r="P66" s="2"/>
      </tp>
      <tp t="s">
        <v>#N/A N/A</v>
        <stp/>
        <stp>BDP|117573553912238639</stp>
        <tr r="P185" s="2"/>
      </tp>
      <tp t="s">
        <v>#N/A N/A</v>
        <stp/>
        <stp>BDP|167363826192357766</stp>
        <tr r="M288" s="2"/>
      </tp>
      <tp t="s">
        <v>#N/A N/A</v>
        <stp/>
        <stp>BDP|623718204184035760</stp>
        <tr r="Q480" s="2"/>
      </tp>
      <tp t="s">
        <v>#N/A N/A</v>
        <stp/>
        <stp>BDP|518192857907732797</stp>
        <tr r="Q305" s="2"/>
      </tp>
      <tp t="s">
        <v>#N/A N/A</v>
        <stp/>
        <stp>BDP|229183419900467423</stp>
        <tr r="R54" s="2"/>
      </tp>
      <tp t="s">
        <v>#N/A N/A</v>
        <stp/>
        <stp>BDP|107796205331883232</stp>
        <tr r="N44" s="2"/>
      </tp>
      <tp t="s">
        <v>#N/A N/A</v>
        <stp/>
        <stp>BDP|677304276258240849</stp>
        <tr r="O464" s="2"/>
      </tp>
      <tp t="s">
        <v>#N/A N/A</v>
        <stp/>
        <stp>BDP|982710219843742104</stp>
        <tr r="Q180" s="2"/>
      </tp>
      <tp t="s">
        <v>#N/A N/A</v>
        <stp/>
        <stp>BDP|374846279413879805</stp>
        <tr r="N350" s="2"/>
      </tp>
      <tp t="s">
        <v>#N/A N/A</v>
        <stp/>
        <stp>BDP|427899779013045833</stp>
        <tr r="Q404" s="2"/>
      </tp>
      <tp t="s">
        <v>#N/A N/A</v>
        <stp/>
        <stp>BDP|119208102207565162</stp>
        <tr r="G196" s="2"/>
      </tp>
      <tp t="s">
        <v>#N/A N/A</v>
        <stp/>
        <stp>BDP|418677065324242044</stp>
        <tr r="C475" s="2"/>
      </tp>
      <tp t="s">
        <v>#N/A N/A</v>
        <stp/>
        <stp>BDP|970224708031265737</stp>
        <tr r="L192" s="2"/>
      </tp>
      <tp t="s">
        <v>#N/A N/A</v>
        <stp/>
        <stp>BDP|459247657611477213</stp>
        <tr r="P418" s="2"/>
      </tp>
      <tp t="s">
        <v>#N/A N/A</v>
        <stp/>
        <stp>BDP|552363670613975380</stp>
        <tr r="I475" s="2"/>
      </tp>
      <tp t="s">
        <v>#N/A N/A</v>
        <stp/>
        <stp>BDP|509855524697503929</stp>
        <tr r="N316" s="2"/>
      </tp>
      <tp t="s">
        <v>#N/A N/A</v>
        <stp/>
        <stp>BDP|446273561067082711</stp>
        <tr r="G282" s="2"/>
      </tp>
      <tp t="s">
        <v>#N/A N/A</v>
        <stp/>
        <stp>BDP|348264721500783402</stp>
        <tr r="F401" s="2"/>
      </tp>
      <tp>
        <v>0.23559999465942383</v>
        <stp/>
        <stp>BDP|15937377102200851513|22</stp>
        <stp>MPWR UW Equity</stp>
        <stp>RT_PX_CHG_PCT_1D</stp>
        <tr r="B22" s="2"/>
      </tp>
      <tp>
        <v>0.50919997692108154</v>
        <stp/>
        <stp>BDP|12008364121724630450|22</stp>
        <stp>AVGO UW Equity</stp>
        <stp>RT_PX_CHG_PCT_1D</stp>
        <tr r="B6" s="2"/>
      </tp>
      <tp>
        <v>0</v>
        <stp/>
        <stp>BDP|6667601668367444791|22</stp>
        <stp>D UN Equity</stp>
        <stp>RT_PX_CHG_PCT_1D</stp>
        <tr r="B99" s="2"/>
      </tp>
      <tp t="s">
        <v>#N/A N/A</v>
        <stp/>
        <stp>BDP|694938618178272737</stp>
        <tr r="L380" s="2"/>
      </tp>
      <tp t="s">
        <v>#N/A N/A</v>
        <stp/>
        <stp>BDP|978874243883849884</stp>
        <tr r="L373" s="2"/>
      </tp>
      <tp t="s">
        <v>#N/A N/A</v>
        <stp/>
        <stp>BDP|897213340840431100</stp>
        <tr r="F246" s="2"/>
      </tp>
      <tp t="s">
        <v>#N/A N/A</v>
        <stp/>
        <stp>BDP|108470683498018383</stp>
        <tr r="Q53" s="2"/>
      </tp>
      <tp t="s">
        <v>#N/A N/A</v>
        <stp/>
        <stp>BDP|733118048374182627</stp>
        <tr r="J388" s="2"/>
      </tp>
      <tp t="s">
        <v>#N/A N/A</v>
        <stp/>
        <stp>BDP|395001372122714281</stp>
        <tr r="C458" s="2"/>
      </tp>
      <tp t="s">
        <v>#N/A N/A</v>
        <stp/>
        <stp>BDP|156263452328355898</stp>
        <tr r="N366" s="2"/>
      </tp>
      <tp t="s">
        <v>#N/A N/A</v>
        <stp/>
        <stp>BDP|239815918366052842</stp>
        <tr r="I271" s="2"/>
      </tp>
      <tp t="s">
        <v>#N/A N/A</v>
        <stp/>
        <stp>BDP|297383377976735553</stp>
        <tr r="J191" s="2"/>
      </tp>
      <tp t="s">
        <v>#N/A N/A</v>
        <stp/>
        <stp>BDP|386796245530671416</stp>
        <tr r="K332" s="2"/>
      </tp>
      <tp t="s">
        <v>#N/A N/A</v>
        <stp/>
        <stp>BDP|380185292307519844</stp>
        <tr r="H64" s="2"/>
      </tp>
      <tp t="s">
        <v>#N/A N/A</v>
        <stp/>
        <stp>BDP|571613305172108383</stp>
        <tr r="H451" s="2"/>
      </tp>
      <tp t="s">
        <v>#N/A N/A</v>
        <stp/>
        <stp>BDP|771715000766955676</stp>
        <tr r="G156" s="2"/>
      </tp>
      <tp t="s">
        <v>#N/A N/A</v>
        <stp/>
        <stp>BDP|900383684814592894</stp>
        <tr r="K26" s="2"/>
      </tp>
      <tp t="s">
        <v>#N/A N/A</v>
        <stp/>
        <stp>BDP|865668484668856188</stp>
        <tr r="R17" s="2"/>
      </tp>
      <tp t="s">
        <v>#N/A N/A</v>
        <stp/>
        <stp>BDP|879046688859763680</stp>
        <tr r="G451" s="2"/>
      </tp>
      <tp t="s">
        <v>#N/A N/A</v>
        <stp/>
        <stp>BDP|453289671580279243</stp>
        <tr r="J292" s="2"/>
      </tp>
      <tp t="s">
        <v>#N/A N/A</v>
        <stp/>
        <stp>BDP|943040931282349642</stp>
        <tr r="J492" s="2"/>
      </tp>
      <tp t="s">
        <v>#N/A N/A</v>
        <stp/>
        <stp>BDP|676553198538602366</stp>
        <tr r="P271" s="2"/>
      </tp>
      <tp>
        <v>0.50720000267028809</v>
        <stp/>
        <stp>BDP|13787600586616981146|22</stp>
        <stp>KEYS UN Equity</stp>
        <stp>RT_PX_CHG_PCT_1D</stp>
        <tr r="B228" s="2"/>
      </tp>
      <tp t="s">
        <v>#N/A N/A</v>
        <stp/>
        <stp>BDP|382368523055633348</stp>
        <tr r="R190" s="2"/>
      </tp>
      <tp t="s">
        <v>#N/A N/A</v>
        <stp/>
        <stp>BDP|453720640161704553</stp>
        <tr r="I420" s="2"/>
      </tp>
      <tp t="s">
        <v>#N/A N/A</v>
        <stp/>
        <stp>BDP|674323155042050340</stp>
        <tr r="R472" s="2"/>
      </tp>
      <tp t="s">
        <v>#N/A N/A</v>
        <stp/>
        <stp>BDP|317173418353972403</stp>
        <tr r="C10" s="2"/>
      </tp>
      <tp>
        <v>-0.25560000538825989</v>
        <stp/>
        <stp>BDP|10583114779190655380|22</stp>
        <stp>ADBE UW Equity</stp>
        <stp>RT_PX_CHG_PCT_1D</stp>
        <tr r="B238" s="2"/>
      </tp>
      <tp>
        <v>1.0113999843597412</v>
        <stp/>
        <stp>BDP|17657885895656382262|22</stp>
        <stp>ACGL UW Equity</stp>
        <stp>RT_PX_CHG_PCT_1D</stp>
        <tr r="B482" s="2"/>
      </tp>
      <tp t="s">
        <v>#N/A N/A</v>
        <stp/>
        <stp>BDP|515383139673576465</stp>
        <tr r="F39" s="2"/>
      </tp>
      <tp t="s">
        <v>#N/A N/A</v>
        <stp/>
        <stp>BDP|426111046783054133</stp>
        <tr r="I164" s="2"/>
      </tp>
      <tp t="s">
        <v>#N/A N/A</v>
        <stp/>
        <stp>BDP|318726169015118396</stp>
        <tr r="N325" s="2"/>
      </tp>
      <tp t="s">
        <v>#N/A N/A</v>
        <stp/>
        <stp>BDP|787167033602651757</stp>
        <tr r="G125" s="2"/>
      </tp>
      <tp t="s">
        <v>#N/A N/A</v>
        <stp/>
        <stp>BDP|168555167983562770</stp>
        <tr r="I185" s="2"/>
      </tp>
      <tp t="s">
        <v>#N/A N/A</v>
        <stp/>
        <stp>BDP|897863682851781695</stp>
        <tr r="F174" s="2"/>
      </tp>
      <tp t="s">
        <v>#N/A N/A</v>
        <stp/>
        <stp>BDP|707459231389296935</stp>
        <tr r="G109" s="2"/>
      </tp>
      <tp t="s">
        <v>#N/A N/A</v>
        <stp/>
        <stp>BDP|396642869401501684</stp>
        <tr r="Q304" s="2"/>
      </tp>
      <tp>
        <v>-0.50940001010894775</v>
        <stp/>
        <stp>BDP|15321204459730870038|22</stp>
        <stp>ORLY UW Equity</stp>
        <stp>RT_PX_CHG_PCT_1D</stp>
        <tr r="B301" s="2"/>
      </tp>
      <tp>
        <v>0.26750001311302185</v>
        <stp/>
        <stp>BDP|11014509883331178857|22</stp>
        <stp>NTAP UW Equity</stp>
        <stp>RT_PX_CHG_PCT_1D</stp>
        <tr r="B326" s="2"/>
      </tp>
      <tp>
        <v>1.3920999765396118</v>
        <stp/>
        <stp>BDP|817789477405711573|22</stp>
        <stp>FI UN Equity</stp>
        <stp>RT_PX_CHG_PCT_1D</stp>
        <tr r="B250" s="2"/>
      </tp>
      <tp t="s">
        <v>#N/A N/A</v>
        <stp/>
        <stp>BDP|422557107474800726</stp>
        <tr r="R440" s="2"/>
      </tp>
      <tp t="s">
        <v>#N/A N/A</v>
        <stp/>
        <stp>BDP|446148955366870408</stp>
        <tr r="O19" s="2"/>
      </tp>
      <tp t="s">
        <v>#N/A N/A</v>
        <stp/>
        <stp>BDP|905114560577089659</stp>
        <tr r="E290" s="2"/>
      </tp>
      <tp t="s">
        <v>#N/A N/A</v>
        <stp/>
        <stp>BDP|321688159583837644</stp>
        <tr r="D420" s="2"/>
      </tp>
      <tp t="s">
        <v>#N/A N/A</v>
        <stp/>
        <stp>BDP|378811014086075985</stp>
        <tr r="L310" s="2"/>
      </tp>
      <tp t="s">
        <v>#N/A N/A</v>
        <stp/>
        <stp>BDP|855710745083032623</stp>
        <tr r="P162" s="2"/>
      </tp>
      <tp t="s">
        <v>#N/A N/A</v>
        <stp/>
        <stp>BDP|735243790705287885</stp>
        <tr r="E316" s="2"/>
      </tp>
      <tp t="s">
        <v>#N/A N/A</v>
        <stp/>
        <stp>BDP|282444051545908271</stp>
        <tr r="E446" s="2"/>
      </tp>
      <tp t="s">
        <v>#N/A N/A</v>
        <stp/>
        <stp>BDP|931688260492353481</stp>
        <tr r="C48" s="2"/>
      </tp>
      <tp t="s">
        <v>#N/A N/A</v>
        <stp/>
        <stp>BDP|310297573134478772</stp>
        <tr r="I42" s="2"/>
      </tp>
      <tp t="s">
        <v>#N/A N/A</v>
        <stp/>
        <stp>BDP|986719827940299372</stp>
        <tr r="O428" s="2"/>
      </tp>
      <tp t="s">
        <v>#N/A N/A</v>
        <stp/>
        <stp>BDP|788323860440692392</stp>
        <tr r="K16" s="2"/>
      </tp>
      <tp t="s">
        <v>#N/A N/A</v>
        <stp/>
        <stp>BDP|647421134903839232</stp>
        <tr r="L426" s="2"/>
      </tp>
      <tp t="s">
        <v>#N/A N/A</v>
        <stp/>
        <stp>BDP|479943832148815416</stp>
        <tr r="N399" s="2"/>
      </tp>
      <tp t="s">
        <v>#N/A N/A</v>
        <stp/>
        <stp>BDP|261745590049312110</stp>
        <tr r="Q403" s="2"/>
      </tp>
      <tp t="s">
        <v>#N/A N/A</v>
        <stp/>
        <stp>BDP|369721219432812241</stp>
        <tr r="J264" s="2"/>
      </tp>
      <tp t="s">
        <v>#N/A N/A</v>
        <stp/>
        <stp>BDP|746330649238984908</stp>
        <tr r="C422" s="2"/>
      </tp>
      <tp t="s">
        <v>#N/A N/A</v>
        <stp/>
        <stp>BDP|312239262727708503</stp>
        <tr r="M110" s="2"/>
      </tp>
      <tp t="s">
        <v>#N/A N/A</v>
        <stp/>
        <stp>BDP|858427184438259292</stp>
        <tr r="J168" s="2"/>
      </tp>
      <tp t="s">
        <v>#N/A N/A</v>
        <stp/>
        <stp>BDP|328044392438290716</stp>
        <tr r="J179" s="2"/>
      </tp>
      <tp t="s">
        <v>#N/A N/A</v>
        <stp/>
        <stp>BDP|442593073171910507</stp>
        <tr r="M187" s="2"/>
      </tp>
      <tp t="s">
        <v>#N/A N/A</v>
        <stp/>
        <stp>BDP|535814090750184729</stp>
        <tr r="P244" s="2"/>
      </tp>
      <tp t="s">
        <v>#N/A N/A</v>
        <stp/>
        <stp>BDP|225665313304283555</stp>
        <tr r="G40" s="2"/>
      </tp>
      <tp t="s">
        <v>#N/A N/A</v>
        <stp/>
        <stp>BDP|353796999481550961</stp>
        <tr r="N201" s="2"/>
      </tp>
      <tp t="s">
        <v>#N/A N/A</v>
        <stp/>
        <stp>BDP|197343552113635318</stp>
        <tr r="F22" s="2"/>
      </tp>
      <tp t="s">
        <v>#N/A N/A</v>
        <stp/>
        <stp>BDP|730335786524848987</stp>
        <tr r="H389" s="2"/>
      </tp>
      <tp t="s">
        <v>#N/A N/A</v>
        <stp/>
        <stp>BDP|201006513846488177</stp>
        <tr r="I495" s="2"/>
      </tp>
      <tp t="s">
        <v>#N/A N/A</v>
        <stp/>
        <stp>BDP|180745945852409763</stp>
        <tr r="I468" s="2"/>
      </tp>
      <tp t="s">
        <v>#N/A N/A</v>
        <stp/>
        <stp>BDP|238609962753451575</stp>
        <tr r="K204" s="2"/>
      </tp>
      <tp t="s">
        <v>#N/A N/A</v>
        <stp/>
        <stp>BDP|235236767677779526</stp>
        <tr r="D231" s="2"/>
      </tp>
      <tp>
        <v>-1.5973999500274658</v>
        <stp/>
        <stp>BDP|18224328267951733555|22</stp>
        <stp>HSIC UW Equity</stp>
        <stp>RT_PX_CHG_PCT_1D</stp>
        <tr r="B357" s="2"/>
      </tp>
      <tp>
        <v>-1.6484999656677246</v>
        <stp/>
        <stp>BDP|11455549113789851444|22</stp>
        <stp>EXPE UW Equity</stp>
        <stp>RT_PX_CHG_PCT_1D</stp>
        <tr r="B417" s="2"/>
      </tp>
      <tp>
        <v>-0.13809999823570251</v>
        <stp/>
        <stp>BDP|17845372472510966010|22</stp>
        <stp>NVDA UW Equity</stp>
        <stp>RT_PX_CHG_PCT_1D</stp>
        <tr r="B360" s="2"/>
      </tp>
      <tp>
        <v>-3.7599999457597733E-2</v>
        <stp/>
        <stp>BDP|2938361598381808975|22</stp>
        <stp>K UN Equity</stp>
        <stp>RT_PX_CHG_PCT_1D</stp>
        <tr r="B152" s="2"/>
      </tp>
      <tp t="s">
        <v>#N/A N/A</v>
        <stp/>
        <stp>BDP|887646967728140965</stp>
        <tr r="P257" s="2"/>
      </tp>
      <tp t="s">
        <v>#N/A N/A</v>
        <stp/>
        <stp>BDP|805272725995112474</stp>
        <tr r="P309" s="2"/>
      </tp>
      <tp t="s">
        <v>#N/A N/A</v>
        <stp/>
        <stp>BDP|274648259314789642</stp>
        <tr r="M59" s="2"/>
      </tp>
      <tp t="s">
        <v>#N/A N/A</v>
        <stp/>
        <stp>BDP|722127742002253696</stp>
        <tr r="C32" s="2"/>
      </tp>
      <tp t="s">
        <v>#N/A N/A</v>
        <stp/>
        <stp>BDP|167268400980207393</stp>
        <tr r="O156" s="2"/>
      </tp>
      <tp t="s">
        <v>#N/A N/A</v>
        <stp/>
        <stp>BDP|490107031781092295</stp>
        <tr r="G37" s="2"/>
      </tp>
      <tp t="s">
        <v>#N/A N/A</v>
        <stp/>
        <stp>BDP|239139738615046647</stp>
        <tr r="O54" s="2"/>
      </tp>
      <tp t="s">
        <v>#N/A N/A</v>
        <stp/>
        <stp>BDP|704359610247802479</stp>
        <tr r="G191" s="2"/>
      </tp>
      <tp t="s">
        <v>#N/A N/A</v>
        <stp/>
        <stp>BDP|407771665641874107</stp>
        <tr r="H266" s="2"/>
      </tp>
      <tp t="s">
        <v>#N/A N/A</v>
        <stp/>
        <stp>BDP|566721869533777317</stp>
        <tr r="O263" s="2"/>
      </tp>
      <tp t="s">
        <v>#N/A N/A</v>
        <stp/>
        <stp>BDP|626057301993913213</stp>
        <tr r="M37" s="2"/>
      </tp>
      <tp t="s">
        <v>#N/A N/A</v>
        <stp/>
        <stp>BDP|330148836601295296</stp>
        <tr r="N255" s="2"/>
      </tp>
      <tp>
        <v>-0.44589999318122864</v>
        <stp/>
        <stp>BDP|16471411050751258028|22</stp>
        <stp>CHRW UW Equity</stp>
        <stp>RT_PX_CHG_PCT_1D</stp>
        <tr r="B349" s="2"/>
      </tp>
      <tp t="s">
        <v>#N/A N/A</v>
        <stp/>
        <stp>BDP|499151006153457386</stp>
        <tr r="K249" s="2"/>
      </tp>
      <tp t="s">
        <v>#N/A N/A</v>
        <stp/>
        <stp>BDP|203376368021295543</stp>
        <tr r="I226" s="2"/>
      </tp>
      <tp t="s">
        <v>#N/A N/A</v>
        <stp/>
        <stp>BDP|834268459474889243</stp>
        <tr r="Q503" s="2"/>
      </tp>
      <tp t="s">
        <v>#N/A N/A</v>
        <stp/>
        <stp>BDP|695947420753393957</stp>
        <tr r="M50" s="2"/>
      </tp>
      <tp t="s">
        <v>#N/A N/A</v>
        <stp/>
        <stp>BDP|596601035786632234</stp>
        <tr r="K455" s="2"/>
      </tp>
      <tp t="s">
        <v>#N/A N/A</v>
        <stp/>
        <stp>BDP|260926091000245167</stp>
        <tr r="Q92" s="2"/>
      </tp>
      <tp t="s">
        <v>#N/A N/A</v>
        <stp/>
        <stp>BDP|731143396049056005</stp>
        <tr r="O416" s="2"/>
      </tp>
      <tp t="s">
        <v>#N/A N/A</v>
        <stp/>
        <stp>BDP|296217174700215437</stp>
        <tr r="L175" s="2"/>
      </tp>
      <tp t="s">
        <v>#N/A N/A</v>
        <stp/>
        <stp>BDP|735434377335545703</stp>
        <tr r="J293" s="2"/>
      </tp>
      <tp t="s">
        <v>#N/A N/A</v>
        <stp/>
        <stp>BDP|166286096662052890</stp>
        <tr r="N407" s="2"/>
      </tp>
      <tp t="s">
        <v>#N/A N/A</v>
        <stp/>
        <stp>BDP|749056232266649401</stp>
        <tr r="L479" s="2"/>
      </tp>
      <tp t="s">
        <v>#N/A N/A</v>
        <stp/>
        <stp>BDP|105220724020196112</stp>
        <tr r="E36" s="2"/>
      </tp>
      <tp t="s">
        <v>#N/A N/A</v>
        <stp/>
        <stp>BDP|353612571668033845</stp>
        <tr r="C402" s="2"/>
      </tp>
      <tp t="s">
        <v>#N/A N/A</v>
        <stp/>
        <stp>BDP|808771179731052061</stp>
        <tr r="E87" s="2"/>
      </tp>
      <tp t="s">
        <v>#N/A N/A</v>
        <stp/>
        <stp>BDP|282486908923153632</stp>
        <tr r="E428" s="2"/>
      </tp>
      <tp t="s">
        <v>#N/A N/A</v>
        <stp/>
        <stp>BDP|628782571006808770</stp>
        <tr r="M240" s="2"/>
      </tp>
      <tp t="s">
        <v>#N/A N/A</v>
        <stp/>
        <stp>BDP|778280630664930478</stp>
        <tr r="K458" s="2"/>
      </tp>
      <tp t="s">
        <v>#N/A N/A</v>
        <stp/>
        <stp>BDP|696233580809198250</stp>
        <tr r="P14" s="2"/>
      </tp>
      <tp t="s">
        <v>#N/A N/A</v>
        <stp/>
        <stp>BDP|575221049285697292</stp>
        <tr r="R27" s="2"/>
      </tp>
      <tp t="s">
        <v>#N/A N/A</v>
        <stp/>
        <stp>BDP|742322255687383012</stp>
        <tr r="L336" s="2"/>
      </tp>
      <tp t="s">
        <v>#N/A N/A</v>
        <stp/>
        <stp>BDP|960436622256381198</stp>
        <tr r="H480" s="2"/>
      </tp>
      <tp t="s">
        <v>#N/A N/A</v>
        <stp/>
        <stp>BDP|685640714364098244</stp>
        <tr r="C385" s="2"/>
      </tp>
      <tp t="s">
        <v>#N/A N/A</v>
        <stp/>
        <stp>BDP|494370732252552378</stp>
        <tr r="N355" s="2"/>
      </tp>
      <tp t="s">
        <v>#N/A N/A</v>
        <stp/>
        <stp>BDP|150089966835493289</stp>
        <tr r="P145" s="2"/>
      </tp>
      <tp t="s">
        <v>#N/A N/A</v>
        <stp/>
        <stp>BDP|627410219573423790</stp>
        <tr r="E340" s="2"/>
      </tp>
      <tp>
        <v>0.66140002012252808</v>
        <stp/>
        <stp>BDP|10275104480751944167|22</stp>
        <stp>OTIS UN Equity</stp>
        <stp>RT_PX_CHG_PCT_1D</stp>
        <tr r="B70" s="2"/>
      </tp>
      <tp>
        <v>1.2609000205993652</v>
        <stp/>
        <stp>BDP|167014936932573721|22</stp>
        <stp>PH UN Equity</stp>
        <stp>RT_PX_CHG_PCT_1D</stp>
        <tr r="B188" s="2"/>
      </tp>
      <tp t="s">
        <v>#N/A N/A</v>
        <stp/>
        <stp>BDP|107259314821955256</stp>
        <tr r="O347" s="2"/>
      </tp>
      <tp t="s">
        <v>#N/A N/A</v>
        <stp/>
        <stp>BDP|474350779967489305</stp>
        <tr r="R455" s="2"/>
      </tp>
      <tp t="s">
        <v>#N/A N/A</v>
        <stp/>
        <stp>BDP|611683953961679266</stp>
        <tr r="Q385" s="2"/>
      </tp>
      <tp t="s">
        <v>#N/A N/A</v>
        <stp/>
        <stp>BDP|106131356384832022</stp>
        <tr r="N2" s="2"/>
      </tp>
      <tp t="s">
        <v>#N/A N/A</v>
        <stp/>
        <stp>BDP|750092270542403545</stp>
        <tr r="J220" s="2"/>
      </tp>
      <tp t="s">
        <v>#N/A N/A</v>
        <stp/>
        <stp>BDP|572952721759996277</stp>
        <tr r="I352" s="2"/>
      </tp>
      <tp t="s">
        <v>#N/A N/A</v>
        <stp/>
        <stp>BDP|221933708521726864</stp>
        <tr r="C26" s="2"/>
      </tp>
      <tp t="s">
        <v>#N/A N/A</v>
        <stp/>
        <stp>BDP|789990452255766922</stp>
        <tr r="J93" s="2"/>
      </tp>
      <tp t="s">
        <v>#N/A N/A</v>
        <stp/>
        <stp>BDP|822449759969977868</stp>
        <tr r="N462" s="2"/>
      </tp>
      <tp t="s">
        <v>#N/A N/A</v>
        <stp/>
        <stp>BDP|967151116113354336</stp>
        <tr r="J95" s="2"/>
      </tp>
      <tp t="s">
        <v>#N/A N/A</v>
        <stp/>
        <stp>BDP|946121023026339506</stp>
        <tr r="C204" s="2"/>
      </tp>
      <tp t="s">
        <v>#N/A N/A</v>
        <stp/>
        <stp>BDP|965910839203208984</stp>
        <tr r="N380" s="2"/>
      </tp>
      <tp t="s">
        <v>#N/A N/A</v>
        <stp/>
        <stp>BDP|926205536339118852</stp>
        <tr r="M132" s="2"/>
      </tp>
      <tp t="s">
        <v>#N/A N/A</v>
        <stp/>
        <stp>BDP|911499567855767745</stp>
        <tr r="I249" s="2"/>
      </tp>
      <tp t="s">
        <v>#N/A N/A</v>
        <stp/>
        <stp>BDP|706220330295881487</stp>
        <tr r="E291" s="2"/>
      </tp>
      <tp t="s">
        <v>#N/A N/A</v>
        <stp/>
        <stp>BDP|942766348120364310</stp>
        <tr r="H323" s="2"/>
      </tp>
      <tp t="s">
        <v>#N/A N/A</v>
        <stp/>
        <stp>BDP|548308243771630660</stp>
        <tr r="C57" s="2"/>
      </tp>
      <tp t="s">
        <v>#N/A N/A</v>
        <stp/>
        <stp>BDP|457361453086103064</stp>
        <tr r="G385" s="2"/>
      </tp>
      <tp t="s">
        <v>#N/A N/A</v>
        <stp/>
        <stp>BDP|265870592683964282</stp>
        <tr r="P441" s="2"/>
      </tp>
      <tp t="s">
        <v>#N/A N/A</v>
        <stp/>
        <stp>BDP|836268483992391895</stp>
        <tr r="M317" s="2"/>
      </tp>
      <tp t="s">
        <v>#N/A N/A</v>
        <stp/>
        <stp>BDP|402467405441600561</stp>
        <tr r="K445" s="2"/>
      </tp>
      <tp t="s">
        <v>#N/A N/A</v>
        <stp/>
        <stp>BDP|518107340850364518</stp>
        <tr r="F150" s="2"/>
      </tp>
      <tp t="s">
        <v>#N/A N/A</v>
        <stp/>
        <stp>BDP|313925381484648512</stp>
        <tr r="L250" s="2"/>
      </tp>
      <tp t="s">
        <v>#N/A N/A</v>
        <stp/>
        <stp>BDP|928180122546755548</stp>
        <tr r="J304" s="2"/>
      </tp>
      <tp t="s">
        <v>#N/A N/A</v>
        <stp/>
        <stp>BDP|392065236395695654</stp>
        <tr r="K463" s="2"/>
      </tp>
      <tp t="s">
        <v>#N/A N/A</v>
        <stp/>
        <stp>BDP|617726545517452451</stp>
        <tr r="M163" s="2"/>
      </tp>
      <tp t="s">
        <v>#N/A N/A</v>
        <stp/>
        <stp>BDP|266108439537950536</stp>
        <tr r="L143" s="2"/>
      </tp>
      <tp t="s">
        <v>#N/A N/A</v>
        <stp/>
        <stp>BDP|349488229386677050</stp>
        <tr r="R339" s="2"/>
      </tp>
      <tp t="s">
        <v>#N/A N/A</v>
        <stp/>
        <stp>BDP|441271901564409671</stp>
        <tr r="I207" s="2"/>
      </tp>
      <tp t="s">
        <v>#N/A N/A</v>
        <stp/>
        <stp>BDP|974908574017812949</stp>
        <tr r="R46" s="2"/>
      </tp>
      <tp t="s">
        <v>#N/A N/A</v>
        <stp/>
        <stp>BDP|379119943105222029</stp>
        <tr r="L102" s="2"/>
      </tp>
      <tp t="s">
        <v>#N/A N/A</v>
        <stp/>
        <stp>BDP|271571660356652508</stp>
        <tr r="D376" s="2"/>
      </tp>
      <tp>
        <v>0.55390000343322754</v>
        <stp/>
        <stp>BDP|17754395020258142404|22</stp>
        <stp>MSFT UW Equity</stp>
        <stp>RT_PX_CHG_PCT_1D</stp>
        <tr r="B41" s="2"/>
      </tp>
      <tp t="s">
        <v>#N/A N/A</v>
        <stp/>
        <stp>BDP|306988999567731481</stp>
        <tr r="K11" s="2"/>
      </tp>
      <tp t="s">
        <v>#N/A N/A</v>
        <stp/>
        <stp>BDP|833444943017577472</stp>
        <tr r="I169" s="2"/>
      </tp>
      <tp t="s">
        <v>#N/A N/A</v>
        <stp/>
        <stp>BDP|875700639994828348</stp>
        <tr r="J481" s="2"/>
      </tp>
      <tp t="s">
        <v>#N/A N/A</v>
        <stp/>
        <stp>BDP|200779067990817259</stp>
        <tr r="E42" s="2"/>
      </tp>
      <tp t="s">
        <v>#N/A N/A</v>
        <stp/>
        <stp>BDP|269637814185975139</stp>
        <tr r="Q491" s="2"/>
      </tp>
      <tp t="s">
        <v>#N/A N/A</v>
        <stp/>
        <stp>BDP|377997404403706964</stp>
        <tr r="P298" s="2"/>
      </tp>
      <tp t="s">
        <v>#N/A N/A</v>
        <stp/>
        <stp>BDP|630524039090657539</stp>
        <tr r="I262" s="2"/>
      </tp>
      <tp>
        <v>-0.4171999990940094</v>
        <stp/>
        <stp>BDP|13212687402014705996|22</stp>
        <stp>ODFL UW Equity</stp>
        <stp>RT_PX_CHG_PCT_1D</stp>
        <tr r="B327" s="2"/>
      </tp>
      <tp t="s">
        <v>#N/A N/A</v>
        <stp/>
        <stp>BDP|421829586791169289</stp>
        <tr r="M215" s="2"/>
      </tp>
      <tp t="s">
        <v>#N/A N/A</v>
        <stp/>
        <stp>BDP|568335138396153542</stp>
        <tr r="G315" s="2"/>
      </tp>
      <tp t="s">
        <v>#N/A N/A</v>
        <stp/>
        <stp>BDP|271363394458009147</stp>
        <tr r="G134" s="2"/>
      </tp>
      <tp t="s">
        <v>#N/A N/A</v>
        <stp/>
        <stp>BDP|653316675533734412</stp>
        <tr r="O425" s="2"/>
      </tp>
      <tp>
        <v>5.6099999696016312E-2</v>
        <stp/>
        <stp>BDP|12736315841844286092|22</stp>
        <stp>AAPL UW Equity</stp>
        <stp>RT_PX_CHG_PCT_1D</stp>
        <tr r="B243" s="2"/>
      </tp>
      <tp t="s">
        <v>#N/A N/A</v>
        <stp/>
        <stp>BDP|740917249459800726</stp>
        <tr r="E496" s="2"/>
      </tp>
      <tp>
        <v>2.0610001087188721</v>
        <stp/>
        <stp>BDP|14800875001978819701|22</stp>
        <stp>CBRE UN Equity</stp>
        <stp>RT_PX_CHG_PCT_1D</stp>
        <tr r="B401" s="2"/>
      </tp>
      <tp t="s">
        <v>#N/A N/A</v>
        <stp/>
        <stp>BDP|882987007882224836</stp>
        <tr r="O317" s="2"/>
      </tp>
      <tp t="s">
        <v>#N/A N/A</v>
        <stp/>
        <stp>BDP|235856356796132860</stp>
        <tr r="Q90" s="2"/>
      </tp>
      <tp t="s">
        <v>#N/A N/A</v>
        <stp/>
        <stp>BDP|761324202561585155</stp>
        <tr r="Q251" s="2"/>
      </tp>
      <tp t="s">
        <v>#N/A N/A</v>
        <stp/>
        <stp>BDP|935013229978051963</stp>
        <tr r="H423" s="2"/>
      </tp>
      <tp t="s">
        <v>#N/A N/A</v>
        <stp/>
        <stp>BDP|678352202778654805</stp>
        <tr r="E229" s="2"/>
      </tp>
      <tp t="s">
        <v>#N/A N/A</v>
        <stp/>
        <stp>BDP|369796842967132784</stp>
        <tr r="P301" s="2"/>
      </tp>
      <tp t="s">
        <v>#N/A N/A</v>
        <stp/>
        <stp>BDP|417904382150340243</stp>
        <tr r="L427" s="2"/>
      </tp>
      <tp t="s">
        <v>#N/A N/A</v>
        <stp/>
        <stp>BDP|602252373702201431</stp>
        <tr r="E416" s="2"/>
      </tp>
      <tp t="s">
        <v>#N/A N/A</v>
        <stp/>
        <stp>BDP|228156930801603033</stp>
        <tr r="K293" s="2"/>
      </tp>
      <tp t="s">
        <v>#N/A N/A</v>
        <stp/>
        <stp>BDP|744641025624217363</stp>
        <tr r="I132" s="2"/>
      </tp>
      <tp>
        <v>2.5453999042510986</v>
        <stp/>
        <stp>BDP|12138393926233279164|22</stp>
        <stp>FSLR UW Equity</stp>
        <stp>RT_PX_CHG_PCT_1D</stp>
        <tr r="B424" s="2"/>
      </tp>
      <tp>
        <v>1.2747999429702759</v>
        <stp/>
        <stp>BDP|14818039576511192617|22</stp>
        <stp>CRWD UW Equity</stp>
        <stp>RT_PX_CHG_PCT_1D</stp>
        <tr r="B296" s="2"/>
      </tp>
      <tp>
        <v>1.4838000535964966</v>
        <stp/>
        <stp>BDP|11806415007228620983|22</stp>
        <stp>ISRG UW Equity</stp>
        <stp>RT_PX_CHG_PCT_1D</stp>
        <tr r="B362" s="2"/>
      </tp>
      <tp>
        <v>0.64170002937316895</v>
        <stp/>
        <stp>BDP|833697638885353749|22</stp>
        <stp>VTRS UW Equity</stp>
        <stp>RT_PX_CHG_PCT_1D</stp>
        <tr r="B168" s="2"/>
      </tp>
      <tp t="s">
        <v>#N/A N/A</v>
        <stp/>
        <stp>BDP|231106583093414892</stp>
        <tr r="R115" s="2"/>
      </tp>
      <tp t="s">
        <v>#N/A N/A</v>
        <stp/>
        <stp>BDP|196285516781664040</stp>
        <tr r="M260" s="2"/>
      </tp>
      <tp t="s">
        <v>#N/A N/A</v>
        <stp/>
        <stp>BDP|605042413782936156</stp>
        <tr r="F164" s="2"/>
      </tp>
      <tp t="s">
        <v>#N/A N/A</v>
        <stp/>
        <stp>BDP|890304855335401174</stp>
        <tr r="L174" s="2"/>
      </tp>
      <tp t="s">
        <v>#N/A N/A</v>
        <stp/>
        <stp>BDP|574680253821022005</stp>
        <tr r="K414" s="2"/>
      </tp>
      <tp t="s">
        <v>#N/A N/A</v>
        <stp/>
        <stp>BDP|864716520616599120</stp>
        <tr r="R211" s="2"/>
      </tp>
      <tp t="s">
        <v>#N/A N/A</v>
        <stp/>
        <stp>BDP|891769197699231552</stp>
        <tr r="P456" s="2"/>
      </tp>
      <tp t="s">
        <v>#N/A N/A</v>
        <stp/>
        <stp>BDP|788784014224518017</stp>
        <tr r="D288" s="2"/>
      </tp>
      <tp t="s">
        <v>#N/A N/A</v>
        <stp/>
        <stp>BDP|228698964713200154</stp>
        <tr r="M314" s="2"/>
      </tp>
      <tp>
        <v>-1.2371000051498413</v>
        <stp/>
        <stp>BDP|15884039361978589579|22</stp>
        <stp>EBAY UW Equity</stp>
        <stp>RT_PX_CHG_PCT_1D</stp>
        <tr r="B365" s="2"/>
      </tp>
      <tp t="s">
        <v>#N/A N/A</v>
        <stp/>
        <stp>BDP|580976946379414696</stp>
        <tr r="Q433" s="2"/>
      </tp>
      <tp t="s">
        <v>#N/A N/A</v>
        <stp/>
        <stp>BDP|942644138991944651</stp>
        <tr r="L354" s="2"/>
      </tp>
      <tp t="s">
        <v>#N/A N/A</v>
        <stp/>
        <stp>BDP|127468174418876912</stp>
        <tr r="J26" s="2"/>
      </tp>
      <tp t="s">
        <v>#N/A N/A</v>
        <stp/>
        <stp>BDP|224934635231702991</stp>
        <tr r="R369" s="2"/>
      </tp>
      <tp t="s">
        <v>#N/A N/A</v>
        <stp/>
        <stp>BDP|283998089155153691</stp>
        <tr r="Q25" s="2"/>
      </tp>
      <tp t="s">
        <v>#N/A N/A</v>
        <stp/>
        <stp>BDP|491585160081194067</stp>
        <tr r="L299" s="2"/>
      </tp>
      <tp t="s">
        <v>#N/A N/A</v>
        <stp/>
        <stp>BDP|831764638053639546</stp>
        <tr r="P101" s="2"/>
      </tp>
      <tp t="s">
        <v>#N/A N/A</v>
        <stp/>
        <stp>BDP|289440664800174076</stp>
        <tr r="F199" s="2"/>
      </tp>
      <tp>
        <v>0.56999999284744263</v>
        <stp/>
        <stp>BDP|11544008432835442309|22</stp>
        <stp>MDLZ UW Equity</stp>
        <stp>RT_PX_CHG_PCT_1D</stp>
        <tr r="B141" s="2"/>
      </tp>
      <tp t="s">
        <v>#N/A N/A</v>
        <stp/>
        <stp>BDP|832859723229300185</stp>
        <tr r="I217" s="2"/>
      </tp>
      <tp t="s">
        <v>#N/A N/A</v>
        <stp/>
        <stp>BDP|290752537963542527</stp>
        <tr r="R160" s="2"/>
      </tp>
      <tp t="s">
        <v>#N/A N/A</v>
        <stp/>
        <stp>BDP|683450318723865430</stp>
        <tr r="L227" s="2"/>
      </tp>
      <tp t="s">
        <v>#N/A N/A</v>
        <stp/>
        <stp>BDP|824525399226017838</stp>
        <tr r="P61" s="2"/>
      </tp>
      <tp t="s">
        <v>#N/A N/A</v>
        <stp/>
        <stp>BDP|761886490572661184</stp>
        <tr r="H288" s="2"/>
      </tp>
      <tp t="s">
        <v>#N/A N/A</v>
        <stp/>
        <stp>BDP|639330219461739198</stp>
        <tr r="P294" s="2"/>
      </tp>
      <tp t="s">
        <v>#N/A N/A</v>
        <stp/>
        <stp>BDP|701702417743683740</stp>
        <tr r="D359" s="2"/>
      </tp>
      <tp t="s">
        <v>#N/A N/A</v>
        <stp/>
        <stp>BDP|849851205489272386</stp>
        <tr r="C244" s="2"/>
      </tp>
      <tp t="s">
        <v>#N/A N/A</v>
        <stp/>
        <stp>BDP|285330561704501379</stp>
        <tr r="F137" s="2"/>
      </tp>
      <tp t="s">
        <v>#N/A N/A</v>
        <stp/>
        <stp>BDP|111794352768947812</stp>
        <tr r="Q107" s="2"/>
      </tp>
      <tp t="s">
        <v>#N/A N/A</v>
        <stp/>
        <stp>BDP|283197797023769983</stp>
        <tr r="P470" s="2"/>
      </tp>
      <tp>
        <v>4.3000001460313797E-2</v>
        <stp/>
        <stp>BDP|15571123243896683357|22</stp>
        <stp>EVRG UW Equity</stp>
        <stp>RT_PX_CHG_PCT_1D</stp>
        <tr r="B323" s="2"/>
      </tp>
      <tp t="s">
        <v>#N/A N/A</v>
        <stp/>
        <stp>BDP|708178969329308363</stp>
        <tr r="E165" s="2"/>
      </tp>
      <tp t="s">
        <v>#N/A N/A</v>
        <stp/>
        <stp>BDP|346922247590831026</stp>
        <tr r="M172" s="2"/>
      </tp>
      <tp t="s">
        <v>#N/A N/A</v>
        <stp/>
        <stp>BDP|763285780181761660</stp>
        <tr r="I371" s="2"/>
      </tp>
      <tp>
        <v>-0.37549999356269836</v>
        <stp/>
        <stp>BDP|14585746696573701222|22</stp>
        <stp>FAST UW Equity</stp>
        <stp>RT_PX_CHG_PCT_1D</stp>
        <tr r="B265" s="2"/>
      </tp>
      <tp t="s">
        <v>#N/A N/A</v>
        <stp/>
        <stp>BDP|795501781342174288</stp>
        <tr r="J327" s="2"/>
      </tp>
      <tp t="s">
        <v>#N/A N/A</v>
        <stp/>
        <stp>BDP|519065981451810427</stp>
        <tr r="O473" s="2"/>
      </tp>
      <tp t="s">
        <v>#N/A N/A</v>
        <stp/>
        <stp>BDP|286887541888070924</stp>
        <tr r="Q443" s="2"/>
      </tp>
      <tp t="s">
        <v>#N/A N/A</v>
        <stp/>
        <stp>BDP|191230989040486752</stp>
        <tr r="C398" s="2"/>
      </tp>
      <tp t="s">
        <v>#N/A N/A</v>
        <stp/>
        <stp>BDP|283020887025559089</stp>
        <tr r="G336" s="2"/>
      </tp>
      <tp t="s">
        <v>#N/A N/A</v>
        <stp/>
        <stp>BDP|591388863630546809</stp>
        <tr r="R75" s="2"/>
      </tp>
      <tp t="s">
        <v>#N/A N/A</v>
        <stp/>
        <stp>BDP|238486486088296955</stp>
        <tr r="Q242" s="2"/>
      </tp>
      <tp t="s">
        <v>#N/A N/A</v>
        <stp/>
        <stp>BDP|818905349126143647</stp>
        <tr r="D57" s="2"/>
      </tp>
      <tp t="s">
        <v>#N/A N/A</v>
        <stp/>
        <stp>BDP|468624431260266809</stp>
        <tr r="R114" s="2"/>
      </tp>
      <tp t="s">
        <v>#N/A N/A</v>
        <stp/>
        <stp>BDP|548941811533101645</stp>
        <tr r="J485" s="2"/>
      </tp>
      <tp t="s">
        <v>#N/A N/A</v>
        <stp/>
        <stp>BDP|145653396112240061</stp>
        <tr r="G53" s="2"/>
      </tp>
      <tp t="s">
        <v>#N/A N/A</v>
        <stp/>
        <stp>BDP|335585948414422815</stp>
        <tr r="R392" s="2"/>
      </tp>
      <tp t="s">
        <v>#N/A N/A</v>
        <stp/>
        <stp>BDP|147179886507235357</stp>
        <tr r="F215" s="2"/>
      </tp>
      <tp t="s">
        <v>#N/A N/A</v>
        <stp/>
        <stp>BDP|831738382130881261</stp>
        <tr r="I426" s="2"/>
      </tp>
      <tp t="s">
        <v>#N/A N/A</v>
        <stp/>
        <stp>BDP|665666086555941687</stp>
        <tr r="H416" s="2"/>
      </tp>
      <tp t="s">
        <v>#N/A N/A</v>
        <stp/>
        <stp>BDP|320960305860468446</stp>
        <tr r="G117" s="2"/>
      </tp>
      <tp t="s">
        <v>#N/A N/A</v>
        <stp/>
        <stp>BDP|873258836485372989</stp>
        <tr r="Q318" s="2"/>
      </tp>
      <tp t="s">
        <v>#N/A N/A</v>
        <stp/>
        <stp>BDP|735942655038249955</stp>
        <tr r="C103" s="2"/>
      </tp>
      <tp t="s">
        <v>#N/A N/A</v>
        <stp/>
        <stp>BDP|161839317892425636</stp>
        <tr r="H262" s="2"/>
      </tp>
      <tp t="s">
        <v>#N/A N/A</v>
        <stp/>
        <stp>BDP|730683489397528414</stp>
        <tr r="K145" s="2"/>
      </tp>
      <tp t="s">
        <v>#N/A N/A</v>
        <stp/>
        <stp>BDP|644598148339053540</stp>
        <tr r="H67" s="2"/>
      </tp>
      <tp t="s">
        <v>#N/A N/A</v>
        <stp/>
        <stp>BDP|997916111882881724</stp>
        <tr r="E441" s="2"/>
      </tp>
      <tp t="s">
        <v>#N/A N/A</v>
        <stp/>
        <stp>BDP|697612374435272920</stp>
        <tr r="L260" s="2"/>
      </tp>
      <tp t="s">
        <v>#N/A N/A</v>
        <stp/>
        <stp>BDP|965522999266524744</stp>
        <tr r="H11" s="2"/>
      </tp>
      <tp t="s">
        <v>#N/A N/A</v>
        <stp/>
        <stp>BDP|612145380482164607</stp>
        <tr r="C257" s="2"/>
      </tp>
      <tp>
        <v>0.58569997549057007</v>
        <stp/>
        <stp>BDP|12623320707263882959|22</stp>
        <stp>CSCO UW Equity</stp>
        <stp>RT_PX_CHG_PCT_1D</stp>
        <tr r="B38" s="2"/>
      </tp>
      <tp t="s">
        <v>#N/A N/A</v>
        <stp/>
        <stp>BDP|736051238779651608</stp>
        <tr r="L279" s="2"/>
      </tp>
      <tp t="s">
        <v>#N/A N/A</v>
        <stp/>
        <stp>BDP|758662555609931611</stp>
        <tr r="P76" s="2"/>
      </tp>
      <tp>
        <v>0.77120000123977661</v>
        <stp/>
        <stp>BDP|13178648491010551068|22</stp>
        <stp>NDSN UW Equity</stp>
        <stp>RT_PX_CHG_PCT_1D</stp>
        <tr r="B320" s="2"/>
      </tp>
      <tp t="s">
        <v>#N/A N/A</v>
        <stp/>
        <stp>BDP|154124055570304889</stp>
        <tr r="F236" s="2"/>
      </tp>
      <tp t="s">
        <v>#N/A N/A</v>
        <stp/>
        <stp>BDP|945211538655944845</stp>
        <tr r="D432" s="2"/>
      </tp>
      <tp t="s">
        <v>#N/A N/A</v>
        <stp/>
        <stp>BDP|433149094763881734</stp>
        <tr r="G57" s="2"/>
      </tp>
      <tp t="s">
        <v>#N/A N/A</v>
        <stp/>
        <stp>BDP|459894905144038006</stp>
        <tr r="H32" s="2"/>
      </tp>
      <tp t="s">
        <v>#N/A N/A</v>
        <stp/>
        <stp>BDP|295852939906241156</stp>
        <tr r="I227" s="2"/>
      </tp>
      <tp t="s">
        <v>#N/A N/A</v>
        <stp/>
        <stp>BDP|244405233858242397</stp>
        <tr r="F290" s="2"/>
      </tp>
      <tp t="s">
        <v>#N/A N/A</v>
        <stp/>
        <stp>BDP|595668192151296290</stp>
        <tr r="G452" s="2"/>
      </tp>
      <tp t="s">
        <v>#N/A N/A</v>
        <stp/>
        <stp>BDP|900992780154211990</stp>
        <tr r="K369" s="2"/>
      </tp>
      <tp t="s">
        <v>#N/A N/A</v>
        <stp/>
        <stp>BDP|840871279737825452</stp>
        <tr r="D330" s="2"/>
      </tp>
      <tp t="s">
        <v>#N/A N/A</v>
        <stp/>
        <stp>BDP|311036295625804061</stp>
        <tr r="J166" s="2"/>
      </tp>
      <tp t="s">
        <v>#N/A N/A</v>
        <stp/>
        <stp>BDP|114686986042269093</stp>
        <tr r="O316" s="2"/>
      </tp>
      <tp t="s">
        <v>#N/A N/A</v>
        <stp/>
        <stp>BDP|306935360381450207</stp>
        <tr r="E29" s="2"/>
      </tp>
      <tp t="s">
        <v>#N/A N/A</v>
        <stp/>
        <stp>BDP|733128397562623608</stp>
        <tr r="R419" s="2"/>
      </tp>
      <tp t="s">
        <v>#N/A N/A</v>
        <stp/>
        <stp>BDP|606556787881298038</stp>
        <tr r="C351" s="2"/>
      </tp>
      <tp>
        <v>0.24400000274181366</v>
        <stp/>
        <stp>BDP|17665261712251466648|22</stp>
        <stp>CBOE UF Equity</stp>
        <stp>RT_PX_CHG_PCT_1D</stp>
        <tr r="B173" s="2"/>
      </tp>
      <tp t="s">
        <v>#N/A N/A</v>
        <stp/>
        <stp>BDP|203196694651114580</stp>
        <tr r="H198" s="2"/>
      </tp>
      <tp t="s">
        <v>#N/A N/A</v>
        <stp/>
        <stp>BDP|857050296123887658</stp>
        <tr r="G353" s="2"/>
      </tp>
      <tp t="s">
        <v>#N/A N/A</v>
        <stp/>
        <stp>BDP|948083813259195444</stp>
        <tr r="R461" s="2"/>
      </tp>
      <tp t="s">
        <v>#N/A N/A</v>
        <stp/>
        <stp>BDP|686740705672557957</stp>
        <tr r="C474" s="2"/>
      </tp>
      <tp t="s">
        <v>#N/A N/A</v>
        <stp/>
        <stp>BDP|980306483431261686</stp>
        <tr r="H25" s="2"/>
      </tp>
      <tp t="s">
        <v>#N/A N/A</v>
        <stp/>
        <stp>BDP|337087160512297880</stp>
        <tr r="D160" s="2"/>
      </tp>
      <tp t="s">
        <v>#N/A N/A</v>
        <stp/>
        <stp>BDP|942426298253605278</stp>
        <tr r="C99" s="2"/>
      </tp>
      <tp t="s">
        <v>#N/A N/A</v>
        <stp/>
        <stp>BDP|816094670968388308</stp>
        <tr r="N32" s="2"/>
      </tp>
      <tp t="s">
        <v>#N/A N/A</v>
        <stp/>
        <stp>BDP|855883220625117332</stp>
        <tr r="N292" s="2"/>
      </tp>
      <tp>
        <v>0.42399999499320984</v>
        <stp/>
        <stp>BDP|17742530167057457888|22</stp>
        <stp>CTVA UN Equity</stp>
        <stp>RT_PX_CHG_PCT_1D</stp>
        <tr r="B219" s="2"/>
      </tp>
      <tp>
        <v>0.77230000495910645</v>
        <stp/>
        <stp>BDP|162443140007725550|22</stp>
        <stp>SPGI UN Equity</stp>
        <stp>RT_PX_CHG_PCT_1D</stp>
        <tr r="B166" s="2"/>
      </tp>
      <tp t="s">
        <v>#N/A N/A</v>
        <stp/>
        <stp>BDP|245048406437975853</stp>
        <tr r="M435" s="2"/>
      </tp>
      <tp t="s">
        <v>#N/A N/A</v>
        <stp/>
        <stp>BDP|631047444158859326</stp>
        <tr r="K333" s="2"/>
      </tp>
      <tp>
        <v>-8.5284996032714844</v>
        <stp/>
        <stp>BDP|13950788736583437314|22</stp>
        <stp>INTC UW Equity</stp>
        <stp>RT_PX_CHG_PCT_1D</stp>
        <tr r="B39" s="2"/>
      </tp>
      <tp>
        <v>0.10180000215768814</v>
        <stp/>
        <stp>BDP|12209527808839211609|22</stp>
        <stp>BALL UN Equity</stp>
        <stp>RT_PX_CHG_PCT_1D</stp>
        <tr r="B65" s="2"/>
      </tp>
      <tp t="s">
        <v>#N/A N/A</v>
        <stp/>
        <stp>BDP|943972173730096137</stp>
        <tr r="N199" s="2"/>
      </tp>
      <tp t="s">
        <v>#N/A N/A</v>
        <stp/>
        <stp>BDP|232320195046326381</stp>
        <tr r="O307" s="2"/>
      </tp>
      <tp t="s">
        <v>#N/A N/A</v>
        <stp/>
        <stp>BDP|596121558602039904</stp>
        <tr r="L56" s="2"/>
      </tp>
      <tp t="s">
        <v>#N/A N/A</v>
        <stp/>
        <stp>BDP|402937480068113697</stp>
        <tr r="D484" s="2"/>
      </tp>
      <tp t="s">
        <v>#N/A N/A</v>
        <stp/>
        <stp>BDP|860774103099081148</stp>
        <tr r="O61" s="2"/>
      </tp>
      <tp t="s">
        <v>#N/A N/A</v>
        <stp/>
        <stp>BDP|267413568679681442</stp>
        <tr r="N172" s="2"/>
      </tp>
      <tp t="s">
        <v>#N/A N/A</v>
        <stp/>
        <stp>BDP|372910898949654655</stp>
        <tr r="I129" s="2"/>
      </tp>
      <tp t="s">
        <v>#N/A N/A</v>
        <stp/>
        <stp>BDP|843129487414742231</stp>
        <tr r="J172" s="2"/>
      </tp>
      <tp>
        <v>-1.2704999446868896</v>
        <stp/>
        <stp>BDP|12906749412401600464|22</stp>
        <stp>COIN UW Equity</stp>
        <stp>RT_PX_CHG_PCT_1D</stp>
        <tr r="B500" s="2"/>
      </tp>
      <tp t="s">
        <v>#N/A N/A</v>
        <stp/>
        <stp>BDP|198395622248264636</stp>
        <tr r="M409" s="2"/>
      </tp>
      <tp t="s">
        <v>#N/A N/A</v>
        <stp/>
        <stp>BDP|647839078280766019</stp>
        <tr r="P327" s="2"/>
      </tp>
      <tp t="s">
        <v>#N/A N/A</v>
        <stp/>
        <stp>BDP|413858996977545993</stp>
        <tr r="Q425" s="2"/>
      </tp>
      <tp t="s">
        <v>#N/A N/A</v>
        <stp/>
        <stp>BDP|432464797805958782</stp>
        <tr r="L11" s="2"/>
      </tp>
      <tp t="s">
        <v>#N/A N/A</v>
        <stp/>
        <stp>BDP|360776662847479971</stp>
        <tr r="D30" s="2"/>
      </tp>
      <tp t="s">
        <v>#N/A N/A</v>
        <stp/>
        <stp>BDP|358844972197122711</stp>
        <tr r="O33" s="2"/>
      </tp>
      <tp t="s">
        <v>#N/A N/A</v>
        <stp/>
        <stp>BDP|691657753578026401</stp>
        <tr r="O279" s="2"/>
      </tp>
      <tp t="s">
        <v>#N/A N/A</v>
        <stp/>
        <stp>BDP|609911644037557565</stp>
        <tr r="G335" s="2"/>
      </tp>
      <tp t="s">
        <v>#N/A N/A</v>
        <stp/>
        <stp>BDP|584208811508493416</stp>
        <tr r="I108" s="2"/>
      </tp>
      <tp t="s">
        <v>#N/A N/A</v>
        <stp/>
        <stp>BDP|528076552493457959</stp>
        <tr r="H114" s="2"/>
      </tp>
      <tp t="s">
        <v>#N/A N/A</v>
        <stp/>
        <stp>BDP|716291985934986134</stp>
        <tr r="O362" s="2"/>
      </tp>
      <tp t="s">
        <v>#N/A N/A</v>
        <stp/>
        <stp>BDP|486980415342242587</stp>
        <tr r="G33" s="2"/>
      </tp>
      <tp t="s">
        <v>#N/A N/A</v>
        <stp/>
        <stp>BDP|548174682142140427</stp>
        <tr r="R148" s="2"/>
      </tp>
      <tp>
        <v>-9.9299997091293335E-2</v>
        <stp/>
        <stp>BDP|670891649564011794|22</stp>
        <stp>PM UN Equity</stp>
        <stp>RT_PX_CHG_PCT_1D</stp>
        <tr r="B388" s="2"/>
      </tp>
      <tp t="s">
        <v>#N/A N/A</v>
        <stp/>
        <stp>BDP|474694508880800814</stp>
        <tr r="E497" s="2"/>
      </tp>
      <tp t="s">
        <v>#N/A N/A</v>
        <stp/>
        <stp>BDP|190995063937279646</stp>
        <tr r="G93" s="2"/>
      </tp>
      <tp>
        <v>-0.29559999704360962</v>
        <stp/>
        <stp>BDP|10886086970583842320|22</stp>
        <stp>ENPH UQ Equity</stp>
        <stp>RT_PX_CHG_PCT_1D</stp>
        <tr r="B63" s="2"/>
      </tp>
      <tp t="s">
        <v>#N/A N/A</v>
        <stp/>
        <stp>BDP|110270850971992800</stp>
        <tr r="J151" s="2"/>
      </tp>
      <tp>
        <v>0.79759997129440308</v>
        <stp/>
        <stp>BDP|13059305736768275950|22</stp>
        <stp>MNST UW Equity</stp>
        <stp>RT_PX_CHG_PCT_1D</stp>
        <tr r="B413" s="2"/>
      </tp>
      <tp t="s">
        <v>#N/A N/A</v>
        <stp/>
        <stp>BDP|802118892522114431</stp>
        <tr r="O458" s="2"/>
      </tp>
      <tp t="s">
        <v>#N/A N/A</v>
        <stp/>
        <stp>BDP|889231595724575107</stp>
        <tr r="H286" s="2"/>
      </tp>
      <tp t="s">
        <v>#N/A N/A</v>
        <stp/>
        <stp>BDP|317215392511185453</stp>
        <tr r="L480" s="2"/>
      </tp>
      <tp t="s">
        <v>#N/A N/A</v>
        <stp/>
        <stp>BDP|327656024103666901</stp>
        <tr r="H285" s="2"/>
      </tp>
      <tp t="s">
        <v>#N/A N/A</v>
        <stp/>
        <stp>BDP|174685598108657934</stp>
        <tr r="Q211" s="2"/>
      </tp>
      <tp t="s">
        <v>#N/A N/A</v>
        <stp/>
        <stp>BDP|107414510478797311</stp>
        <tr r="E197" s="2"/>
      </tp>
      <tp t="s">
        <v>#N/A N/A</v>
        <stp/>
        <stp>BDP|168611816921873890</stp>
        <tr r="P171" s="2"/>
      </tp>
      <tp t="s">
        <v>#N/A N/A</v>
        <stp/>
        <stp>BDP|622623997765181450</stp>
        <tr r="J11" s="2"/>
      </tp>
      <tp t="s">
        <v>#N/A N/A</v>
        <stp/>
        <stp>BDP|858734111171916937</stp>
        <tr r="F330" s="2"/>
      </tp>
      <tp>
        <v>-0.4749000072479248</v>
        <stp/>
        <stp>BDP|10913637728661304136|22</stp>
        <stp>FANG UW Equity</stp>
        <stp>RT_PX_CHG_PCT_1D</stp>
        <tr r="B448" s="2"/>
      </tp>
      <tp t="s">
        <v>#N/A N/A</v>
        <stp/>
        <stp>BDP|193043693055775233</stp>
        <tr r="E378" s="2"/>
      </tp>
      <tp t="s">
        <v>#N/A N/A</v>
        <stp/>
        <stp>BDP|897832868631225133</stp>
        <tr r="O251" s="2"/>
      </tp>
      <tp t="s">
        <v>#N/A N/A</v>
        <stp/>
        <stp>BDP|712418382086180472</stp>
        <tr r="F462" s="2"/>
      </tp>
      <tp t="s">
        <v>#N/A N/A</v>
        <stp/>
        <stp>BDP|912903972346034695</stp>
        <tr r="H417" s="2"/>
      </tp>
      <tp t="s">
        <v>#N/A N/A</v>
        <stp/>
        <stp>BDP|347973853540581213</stp>
        <tr r="G164" s="2"/>
      </tp>
      <tp t="s">
        <v>#N/A N/A</v>
        <stp/>
        <stp>BDP|142715168708977728</stp>
        <tr r="E39" s="2"/>
      </tp>
      <tp>
        <v>-7.8199997544288635E-2</v>
        <stp/>
        <stp>BDP|18204601340503944684|22</stp>
        <stp>CTSH UW Equity</stp>
        <stp>RT_PX_CHG_PCT_1D</stp>
        <tr r="B361" s="2"/>
      </tp>
      <tp>
        <v>0.54850000143051147</v>
        <stp/>
        <stp>BDP|17539457267129144418|22</stp>
        <stp>MSCI UN Equity</stp>
        <stp>RT_PX_CHG_PCT_1D</stp>
        <tr r="B64" s="2"/>
      </tp>
      <tp>
        <v>0.63870000839233398</v>
        <stp/>
        <stp>BDP|10003695143359066048|22</stp>
        <stp>APTV UN Equity</stp>
        <stp>RT_PX_CHG_PCT_1D</stp>
        <tr r="B191" s="2"/>
      </tp>
      <tp>
        <v>-0.58789998292922974</v>
        <stp/>
        <stp>BDP|656520534745085889|22</stp>
        <stp>CL UN Equity</stp>
        <stp>RT_PX_CHG_PCT_1D</stp>
        <tr r="B86" s="2"/>
      </tp>
      <tp>
        <v>-1.5836999416351318</v>
        <stp/>
        <stp>BDP|320253600818104492|22</stp>
        <stp>PARA UW Equity</stp>
        <stp>RT_PX_CHG_PCT_1D</stp>
        <tr r="B260" s="2"/>
      </tp>
      <tp t="s">
        <v>#N/A N/A</v>
        <stp/>
        <stp>BDP|630626687164574389</stp>
        <tr r="G462" s="2"/>
      </tp>
      <tp t="s">
        <v>#N/A N/A</v>
        <stp/>
        <stp>BDP|396331359238765700</stp>
        <tr r="N327" s="2"/>
      </tp>
      <tp t="s">
        <v>#N/A N/A</v>
        <stp/>
        <stp>BDP|567875225451167286</stp>
        <tr r="K115" s="2"/>
      </tp>
      <tp t="s">
        <v>#N/A N/A</v>
        <stp/>
        <stp>BDP|995357788916818423</stp>
        <tr r="J323" s="2"/>
      </tp>
      <tp t="s">
        <v>#N/A N/A</v>
        <stp/>
        <stp>BDP|682422476113886953</stp>
        <tr r="N115" s="2"/>
      </tp>
      <tp t="s">
        <v>#N/A N/A</v>
        <stp/>
        <stp>BDP|277950249185195109</stp>
        <tr r="N121" s="2"/>
      </tp>
      <tp>
        <v>4.960000142455101E-2</v>
        <stp/>
        <stp>BDP|16171151611392038466|22</stp>
        <stp>AKAM UW Equity</stp>
        <stp>RT_PX_CHG_PCT_1D</stp>
        <tr r="B373" s="2"/>
      </tp>
      <tp t="s">
        <v>#N/A N/A</v>
        <stp/>
        <stp>BDP|331082299462260285</stp>
        <tr r="D446" s="2"/>
      </tp>
      <tp t="s">
        <v>#N/A N/A</v>
        <stp/>
        <stp>BDP|632259441859871603</stp>
        <tr r="L217" s="2"/>
      </tp>
      <tp t="s">
        <v>#N/A N/A</v>
        <stp/>
        <stp>BDP|394927716198897953</stp>
        <tr r="M156" s="2"/>
      </tp>
      <tp>
        <v>0.71090000867843628</v>
        <stp/>
        <stp>BDP|10326395435107633692|22</stp>
        <stp>FOXA UW Equity</stp>
        <stp>RT_PX_CHG_PCT_1D</stp>
        <tr r="B282" s="2"/>
      </tp>
      <tp>
        <v>2.7637999057769775</v>
        <stp/>
        <stp>BDP|13713811351429367510|22</stp>
        <stp>BLDR UN Equity</stp>
        <stp>RT_PX_CHG_PCT_1D</stp>
        <tr r="B81" s="2"/>
      </tp>
      <tp>
        <v>-0.20489999651908875</v>
        <stp/>
        <stp>BDP|11136467147735412673|22</stp>
        <stp>AMCR UN Equity</stp>
        <stp>RT_PX_CHG_PCT_1D</stp>
        <tr r="B463" s="2"/>
      </tp>
      <tp t="s">
        <v>#N/A N/A</v>
        <stp/>
        <stp>BDP|739132653029097435</stp>
        <tr r="G118" s="2"/>
      </tp>
      <tp t="s">
        <v>#N/A N/A</v>
        <stp/>
        <stp>BDP|160084300091584894</stp>
        <tr r="N173" s="2"/>
      </tp>
      <tp t="s">
        <v>#N/A N/A</v>
        <stp/>
        <stp>BDP|691462993750697408</stp>
        <tr r="K235" s="2"/>
      </tp>
      <tp t="s">
        <v>#N/A N/A</v>
        <stp/>
        <stp>BDP|741466906178372515</stp>
        <tr r="D241" s="2"/>
      </tp>
      <tp t="s">
        <v>#N/A N/A</v>
        <stp/>
        <stp>BDP|145762504018063661</stp>
        <tr r="D16" s="2"/>
      </tp>
      <tp t="s">
        <v>#N/A N/A</v>
        <stp/>
        <stp>BDP|666377895986299509</stp>
        <tr r="F210" s="2"/>
      </tp>
      <tp t="s">
        <v>#N/A N/A</v>
        <stp/>
        <stp>BDP|537472087987378203</stp>
        <tr r="K281" s="2"/>
      </tp>
      <tp t="s">
        <v>#N/A N/A</v>
        <stp/>
        <stp>BDP|940465955579958138</stp>
        <tr r="G481" s="2"/>
      </tp>
      <tp t="s">
        <v>#N/A N/A</v>
        <stp/>
        <stp>BDP|349843302707779621</stp>
        <tr r="C138" s="2"/>
      </tp>
      <tp t="s">
        <v>#N/A N/A</v>
        <stp/>
        <stp>BDP|307628681814454341</stp>
        <tr r="R11" s="2"/>
      </tp>
      <tp t="s">
        <v>#N/A N/A</v>
        <stp/>
        <stp>BDP|942612397344917275</stp>
        <tr r="Q499" s="2"/>
      </tp>
      <tp t="s">
        <v>#N/A N/A</v>
        <stp/>
        <stp>BDP|158419005969743434</stp>
        <tr r="L300" s="2"/>
      </tp>
      <tp>
        <v>-0.84789997339248657</v>
        <stp/>
        <stp>BDP|12007323132209677897|22</stp>
        <stp>FFIV UW Equity</stp>
        <stp>RT_PX_CHG_PCT_1D</stp>
        <tr r="B372" s="2"/>
      </tp>
      <tp t="s">
        <v>#N/A N/A</v>
        <stp/>
        <stp>BDP|677727314378542778</stp>
        <tr r="I390" s="2"/>
      </tp>
      <tp t="s">
        <v>#N/A N/A</v>
        <stp/>
        <stp>BDP|343065292074546419</stp>
        <tr r="L316" s="2"/>
      </tp>
      <tp t="s">
        <v>#N/A N/A</v>
        <stp/>
        <stp>BDP|565846804271611005</stp>
        <tr r="C382" s="2"/>
      </tp>
      <tp t="s">
        <v>#N/A N/A</v>
        <stp/>
        <stp>BDP|790816126916231510</stp>
        <tr r="L213" s="2"/>
      </tp>
      <tp>
        <v>0.69550001621246338</v>
        <stp/>
        <stp>BDP|17506712652434817903|22</stp>
        <stp>CPAY UN Equity</stp>
        <stp>RT_PX_CHG_PCT_1D</stp>
        <tr r="B15" s="2"/>
      </tp>
      <tp>
        <v>0.28650000691413879</v>
        <stp/>
        <stp>BDP|6307224419034457858|22</stp>
        <stp>T UN Equity</stp>
        <stp>RT_PX_CHG_PCT_1D</stp>
        <tr r="B33" s="2"/>
      </tp>
      <tp>
        <v>-0.14129999279975891</v>
        <stp/>
        <stp>BDP|8992751842206386490|22</stp>
        <stp>A UN Equity</stp>
        <stp>RT_PX_CHG_PCT_1D</stp>
        <tr r="B382" s="2"/>
      </tp>
      <tp>
        <v>-0.27700001001358032</v>
        <stp/>
        <stp>BDP|524622322539417917|22</stp>
        <stp>QCOM UW Equity</stp>
        <stp>RT_PX_CHG_PCT_1D</stp>
        <tr r="B277" s="2"/>
      </tp>
      <tp t="s">
        <v>#N/A N/A</v>
        <stp/>
        <stp>BDP|684180541244114928</stp>
        <tr r="Q473" s="2"/>
      </tp>
      <tp t="s">
        <v>#N/A N/A</v>
        <stp/>
        <stp>BDP|771386376459481521</stp>
        <tr r="H498" s="2"/>
      </tp>
      <tp t="s">
        <v>#N/A N/A</v>
        <stp/>
        <stp>BDP|965941457607224321</stp>
        <tr r="F23" s="2"/>
      </tp>
      <tp t="s">
        <v>#N/A N/A</v>
        <stp/>
        <stp>BDP|418795595660154623</stp>
        <tr r="O333" s="2"/>
      </tp>
      <tp>
        <v>0.17990000545978546</v>
        <stp/>
        <stp>BDP|13240868497756684406|22</stp>
        <stp>COST UW Equity</stp>
        <stp>RT_PX_CHG_PCT_1D</stp>
        <tr r="B253" s="2"/>
      </tp>
      <tp t="s">
        <v>#N/A N/A</v>
        <stp/>
        <stp>BDP|589922404239177867</stp>
        <tr r="P331" s="2"/>
      </tp>
      <tp t="s">
        <v>#N/A N/A</v>
        <stp/>
        <stp>BDP|159666370200160926</stp>
        <tr r="E273" s="2"/>
      </tp>
      <tp t="s">
        <v>#N/A N/A</v>
        <stp/>
        <stp>BDP|308464758631043892</stp>
        <tr r="Q359" s="2"/>
      </tp>
      <tp t="s">
        <v>#N/A N/A</v>
        <stp/>
        <stp>BDP|421931840375379015</stp>
        <tr r="F308" s="2"/>
      </tp>
      <tp>
        <v>1.0942000150680542</v>
        <stp/>
        <stp>BDP|13602945284207781163|22</stp>
        <stp>GEHC UW Equity</stp>
        <stp>RT_PX_CHG_PCT_1D</stp>
        <tr r="B460" s="2"/>
      </tp>
      <tp t="s">
        <v>#N/A N/A</v>
        <stp/>
        <stp>BDP|389312987775551663</stp>
        <tr r="F68" s="2"/>
      </tp>
      <tp t="s">
        <v>#N/A N/A</v>
        <stp/>
        <stp>BDP|305767210456104821</stp>
        <tr r="O139" s="2"/>
      </tp>
      <tp t="s">
        <v>#N/A N/A</v>
        <stp/>
        <stp>BDP|913326392712949071</stp>
        <tr r="P44" s="2"/>
      </tp>
      <tp t="s">
        <v>#N/A N/A</v>
        <stp/>
        <stp>BDP|923471587881963500</stp>
        <tr r="L68" s="2"/>
      </tp>
      <tp t="s">
        <v>#N/A N/A</v>
        <stp/>
        <stp>BDP|538822081410520833</stp>
        <tr r="K270" s="2"/>
      </tp>
      <tp t="s">
        <v>#N/A N/A</v>
        <stp/>
        <stp>BDP|388171563968735719</stp>
        <tr r="O105" s="2"/>
      </tp>
      <tp t="s">
        <v>#N/A N/A</v>
        <stp/>
        <stp>BDP|906149528703096878</stp>
        <tr r="P140" s="2"/>
      </tp>
      <tp t="s">
        <v>#N/A N/A</v>
        <stp/>
        <stp>BDP|405462088041928509</stp>
        <tr r="H158" s="2"/>
      </tp>
      <tp t="s">
        <v>#N/A N/A</v>
        <stp/>
        <stp>BDP|681469024916799808</stp>
        <tr r="F4" s="2"/>
      </tp>
      <tp>
        <v>0.94300001859664917</v>
        <stp/>
        <stp>BDP|18027500662789150260|22</stp>
        <stp>ORCL UN Equity</stp>
        <stp>RT_PX_CHG_PCT_1D</stp>
        <tr r="B155" s="2"/>
      </tp>
      <tp>
        <v>1.5059000253677368</v>
        <stp/>
        <stp>BDP|14544651057747363321|22</stp>
        <stp>EQIX UW Equity</stp>
        <stp>RT_PX_CHG_PCT_1D</stp>
        <tr r="B501" s="2"/>
      </tp>
      <tp>
        <v>-2.4100000038743019E-2</v>
        <stp/>
        <stp>BDP|220574684955836747|22</stp>
        <stp>TRGP UN Equity</stp>
        <stp>RT_PX_CHG_PCT_1D</stp>
        <tr r="B494" s="2"/>
      </tp>
      <tp>
        <v>-1.291700005531311</v>
        <stp/>
        <stp>BDP|16158467895377673994|22</stp>
        <stp>AMAT UW Equity</stp>
        <stp>RT_PX_CHG_PCT_1D</stp>
        <tr r="B257" s="2"/>
      </tp>
      <tp t="s">
        <v>#N/A N/A</v>
        <stp/>
        <stp>BDP|785981312151161212</stp>
        <tr r="R347" s="2"/>
      </tp>
      <tp t="s">
        <v>#N/A N/A</v>
        <stp/>
        <stp>BDP|293879729208133936</stp>
        <tr r="G287" s="2"/>
      </tp>
      <tp t="s">
        <v>#N/A N/A</v>
        <stp/>
        <stp>BDP|220591880652134458</stp>
        <tr r="C463" s="2"/>
      </tp>
      <tp t="s">
        <v>#N/A N/A</v>
        <stp/>
        <stp>BDP|217811414861029388</stp>
        <tr r="E168" s="2"/>
      </tp>
      <tp t="s">
        <v>#N/A N/A</v>
        <stp/>
        <stp>BDP|791846478016190256</stp>
        <tr r="J219" s="2"/>
      </tp>
      <tp t="s">
        <v>#N/A N/A</v>
        <stp/>
        <stp>BDP|992389492799950853</stp>
        <tr r="H303" s="2"/>
      </tp>
      <tp>
        <v>1.0508999824523926</v>
        <stp/>
        <stp>BDP|12254501845394791020|22</stp>
        <stp>ALLE UN Equity</stp>
        <stp>RT_PX_CHG_PCT_1D</stp>
        <tr r="B379" s="2"/>
      </tp>
      <tp>
        <v>-0.28049999475479126</v>
        <stp/>
        <stp>BDP|18026418663381857233|22</stp>
        <stp>JBHT UW Equity</stp>
        <stp>RT_PX_CHG_PCT_1D</stp>
        <tr r="B457" s="2"/>
      </tp>
      <tp t="s">
        <v>#N/A N/A</v>
        <stp/>
        <stp>BDP|865964333851716023</stp>
        <tr r="I147" s="2"/>
      </tp>
      <tp t="s">
        <v>#N/A N/A</v>
        <stp/>
        <stp>BDP|122796426078167672</stp>
        <tr r="M367" s="2"/>
      </tp>
      <tp>
        <v>-0.28819999098777771</v>
        <stp/>
        <stp>BDP|11097918387697379916|22</stp>
        <stp>ABBV UN Equity</stp>
        <stp>RT_PX_CHG_PCT_1D</stp>
        <tr r="B13" s="2"/>
      </tp>
      <tp t="s">
        <v>#N/A N/A</v>
        <stp/>
        <stp>BDP|961537362498000024</stp>
        <tr r="E82" s="2"/>
      </tp>
      <tp t="s">
        <v>#N/A N/A</v>
        <stp/>
        <stp>BDP|947433251778662271</stp>
        <tr r="H136" s="2"/>
      </tp>
      <tp t="s">
        <v>#N/A N/A</v>
        <stp/>
        <stp>BDP|140567052903531843</stp>
        <tr r="P27" s="2"/>
      </tp>
      <tp t="s">
        <v>#N/A N/A</v>
        <stp/>
        <stp>BDP|303218320213698802</stp>
        <tr r="H108" s="2"/>
      </tp>
      <tp t="s">
        <v>#N/A N/A</v>
        <stp/>
        <stp>BDP|972333126963092982</stp>
        <tr r="O58" s="2"/>
      </tp>
      <tp t="s">
        <v>#N/A N/A</v>
        <stp/>
        <stp>BDP|673997819977646457</stp>
        <tr r="F10" s="2"/>
      </tp>
      <tp t="s">
        <v>#N/A N/A</v>
        <stp/>
        <stp>BDP|287730999566460395</stp>
        <tr r="G159" s="2"/>
      </tp>
      <tp t="s">
        <v>#N/A N/A</v>
        <stp/>
        <stp>BDP|705801985328693315</stp>
        <tr r="F441" s="2"/>
      </tp>
      <tp t="s">
        <v>#N/A N/A</v>
        <stp/>
        <stp>BDP|211411922238346576</stp>
        <tr r="C225" s="2"/>
      </tp>
      <tp t="s">
        <v>#N/A N/A</v>
        <stp/>
        <stp>BDP|927303176237815815</stp>
        <tr r="G136" s="2"/>
      </tp>
      <tp t="s">
        <v>#N/A N/A</v>
        <stp/>
        <stp>BDP|301336093861084045</stp>
        <tr r="C481" s="2"/>
      </tp>
      <tp t="s">
        <v>#N/A N/A</v>
        <stp/>
        <stp>BDP|844490266889728007</stp>
        <tr r="K238" s="2"/>
      </tp>
      <tp t="s">
        <v>#N/A N/A</v>
        <stp/>
        <stp>BDP|836561818688657705</stp>
        <tr r="E406" s="2"/>
      </tp>
      <tp t="s">
        <v>#N/A N/A</v>
        <stp/>
        <stp>BDP|590811653103587531</stp>
        <tr r="L394" s="2"/>
      </tp>
      <tp t="s">
        <v>#N/A N/A</v>
        <stp/>
        <stp>BDP|696916026228372804</stp>
        <tr r="J487" s="2"/>
      </tp>
      <tp t="s">
        <v>#N/A N/A</v>
        <stp/>
        <stp>BDP|470521485586122010</stp>
        <tr r="F28" s="2"/>
      </tp>
      <tp t="s">
        <v>#N/A N/A</v>
        <stp/>
        <stp>BDP|825895934244549430</stp>
        <tr r="M451" s="2"/>
      </tp>
      <tp t="s">
        <v>#N/A N/A</v>
        <stp/>
        <stp>BDP|222099349619624678</stp>
        <tr r="J365" s="2"/>
      </tp>
      <tp>
        <v>0.72399997711181641</v>
        <stp/>
        <stp>BDP|15200952790764215226|22</stp>
        <stp>ADSK UW Equity</stp>
        <stp>RT_PX_CHG_PCT_1D</stp>
        <tr r="B244" s="2"/>
      </tp>
      <tp t="s">
        <v>#N/A N/A</v>
        <stp/>
        <stp>BDP|626327116739769183</stp>
        <tr r="P34" s="2"/>
      </tp>
      <tp t="s">
        <v>#N/A N/A</v>
        <stp/>
        <stp>BDP|530476485587173189</stp>
        <tr r="O238" s="2"/>
      </tp>
      <tp t="s">
        <v>#N/A N/A</v>
        <stp/>
        <stp>BDP|496346337318144287</stp>
        <tr r="E167" s="2"/>
      </tp>
      <tp t="s">
        <v>#N/A N/A</v>
        <stp/>
        <stp>BDP|137684785573594765</stp>
        <tr r="H170" s="2"/>
      </tp>
      <tp t="s">
        <v>#N/A N/A</v>
        <stp/>
        <stp>BDP|786319772606961820</stp>
        <tr r="Q99" s="2"/>
      </tp>
      <tp t="s">
        <v>#N/A N/A</v>
        <stp/>
        <stp>BDP|703520448208726328</stp>
        <tr r="D283" s="2"/>
      </tp>
      <tp t="s">
        <v>#N/A N/A</v>
        <stp/>
        <stp>BDP|919833613252714166</stp>
        <tr r="M41" s="2"/>
      </tp>
      <tp t="s">
        <v>#N/A N/A</v>
        <stp/>
        <stp>BDP|207095355846758907</stp>
        <tr r="N80" s="2"/>
      </tp>
      <tp t="s">
        <v>#N/A N/A</v>
        <stp/>
        <stp>BDP|660313488686787716</stp>
        <tr r="R183" s="2"/>
      </tp>
      <tp t="s">
        <v>#N/A N/A</v>
        <stp/>
        <stp>BDP|625660155188623196</stp>
        <tr r="H317" s="2"/>
      </tp>
      <tp t="s">
        <v>#N/A N/A</v>
        <stp/>
        <stp>BDP|379229767357554986</stp>
        <tr r="D386" s="2"/>
      </tp>
      <tp t="s">
        <v>#N/A N/A</v>
        <stp/>
        <stp>BDP|543989703963158044</stp>
        <tr r="F196" s="2"/>
      </tp>
      <tp t="s">
        <v>#N/A N/A</v>
        <stp/>
        <stp>BDP|285768050401706970</stp>
        <tr r="D39" s="2"/>
      </tp>
      <tp t="s">
        <v>#N/A N/A</v>
        <stp/>
        <stp>BDP|191461696610643728</stp>
        <tr r="I501" s="2"/>
      </tp>
      <tp t="s">
        <v>#N/A N/A</v>
        <stp/>
        <stp>BDP|110075957278605725</stp>
        <tr r="F130" s="2"/>
      </tp>
      <tp t="s">
        <v>#N/A N/A</v>
        <stp/>
        <stp>BDP|465330191147537731</stp>
        <tr r="D259" s="2"/>
      </tp>
      <tp t="s">
        <v>#N/A N/A</v>
        <stp/>
        <stp>BDP|613338408891880847</stp>
        <tr r="E170" s="2"/>
      </tp>
      <tp t="s">
        <v>#N/A N/A</v>
        <stp/>
        <stp>BDP|507406507666054831</stp>
        <tr r="R63" s="2"/>
      </tp>
      <tp t="s">
        <v>#N/A N/A</v>
        <stp/>
        <stp>BDP|563001390945141660</stp>
        <tr r="N472" s="2"/>
      </tp>
      <tp t="s">
        <v>#N/A N/A</v>
        <stp/>
        <stp>BDP|990129084666829552</stp>
        <tr r="J313" s="2"/>
      </tp>
      <tp t="s">
        <v>#N/A N/A</v>
        <stp/>
        <stp>BDP|466278783906362609</stp>
        <tr r="F504" s="2"/>
      </tp>
      <tp t="s">
        <v>#N/A N/A</v>
        <stp/>
        <stp>BDP|884073887307327584</stp>
        <tr r="G78" s="2"/>
      </tp>
      <tp t="s">
        <v>#N/A N/A</v>
        <stp/>
        <stp>BDP|507382297745960504</stp>
        <tr r="C36" s="2"/>
      </tp>
      <tp>
        <v>3.524399995803833</v>
        <stp/>
        <stp>BDP|11314355163196733633|22</stp>
        <stp>TSLA UW Equity</stp>
        <stp>RT_PX_CHG_PCT_1D</stp>
        <tr r="B479" s="2"/>
      </tp>
      <tp>
        <v>0.80860000848770142</v>
        <stp/>
        <stp>BDP|4106314153805937621|22</stp>
        <stp>PPG UN Equity</stp>
        <stp>RT_PX_CHG_PCT_1D</stp>
        <tr r="B196" s="2"/>
      </tp>
      <tp>
        <v>0.90060001611709595</v>
        <stp/>
        <stp>BDP|7270468217015417260|22</stp>
        <stp>WMT UN Equity</stp>
        <stp>RT_PX_CHG_PCT_1D</stp>
        <tr r="B37" s="2"/>
      </tp>
      <tp>
        <v>-1.0810999870300293</v>
        <stp/>
        <stp>BDP|5434264061034216318|22</stp>
        <stp>DVN UN Equity</stp>
        <stp>RT_PX_CHG_PCT_1D</stp>
        <tr r="B376" s="2"/>
      </tp>
      <tp>
        <v>0.73040002584457397</v>
        <stp/>
        <stp>BDP|4039398791856092744|22</stp>
        <stp>HST UW Equity</stp>
        <stp>RT_PX_CHG_PCT_1D</stp>
        <tr r="B305" s="2"/>
      </tp>
      <tp>
        <v>1.1052999496459961</v>
        <stp/>
        <stp>BDP|6985931596424675614|22</stp>
        <stp>IEX UN Equity</stp>
        <stp>RT_PX_CHG_PCT_1D</stp>
        <tr r="B163" s="2"/>
      </tp>
      <tp>
        <v>1.3116999864578247</v>
        <stp/>
        <stp>BDP|9448407195007599424|22</stp>
        <stp>KKR UN Equity</stp>
        <stp>RT_PX_CHG_PCT_1D</stp>
        <tr r="B481" s="2"/>
      </tp>
      <tp>
        <v>1.5010000467300415</v>
        <stp/>
        <stp>BDP|1094945401306203750|22</stp>
        <stp>WAT UN Equity</stp>
        <stp>RT_PX_CHG_PCT_1D</stp>
        <tr r="B319" s="2"/>
      </tp>
      <tp>
        <v>0.64810001850128174</v>
        <stp/>
        <stp>BDP|8361767236144774238|22</stp>
        <stp>WSM UN Equity</stp>
        <stp>RT_PX_CHG_PCT_1D</stp>
        <tr r="B97" s="2"/>
      </tp>
      <tp>
        <v>0.8628000020980835</v>
        <stp/>
        <stp>BDP|7022124039378591113|22</stp>
        <stp>PRU UN Equity</stp>
        <stp>RT_PX_CHG_PCT_1D</stp>
        <tr r="B310" s="2"/>
      </tp>
      <tp>
        <v>1.215999960899353</v>
        <stp/>
        <stp>BDP|4054734219806409706|22</stp>
        <stp>XYZ UN Equity</stp>
        <stp>RT_PX_CHG_PCT_1D</stp>
        <tr r="B474" s="2"/>
      </tp>
      <tp>
        <v>0.89630001783370972</v>
        <stp/>
        <stp>BDP|9038590383870201214|22</stp>
        <stp>PFG UW Equity</stp>
        <stp>RT_PX_CHG_PCT_1D</stp>
        <tr r="B178" s="2"/>
      </tp>
      <tp>
        <v>0.64050000905990601</v>
        <stp/>
        <stp>BDP|1684428541922965710|22</stp>
        <stp>ADI UW Equity</stp>
        <stp>RT_PX_CHG_PCT_1D</stp>
        <tr r="B36" s="2"/>
      </tp>
      <tp>
        <v>0.90140002965927124</v>
        <stp/>
        <stp>BDP|7566554541600736408|22</stp>
        <stp>LLY UN Equity</stp>
        <stp>RT_PX_CHG_PCT_1D</stp>
        <tr r="B158" s="2"/>
      </tp>
      <tp>
        <v>-0.75269997119903564</v>
        <stp/>
        <stp>BDP|1404799744553810012|22</stp>
        <stp>OMC UN Equity</stp>
        <stp>RT_PX_CHG_PCT_1D</stp>
        <tr r="B184" s="2"/>
      </tp>
      <tp>
        <v>-1.4421000480651855</v>
        <stp/>
        <stp>BDP|6030228734085349480|22</stp>
        <stp>LHX UN Equity</stp>
        <stp>RT_PX_CHG_PCT_1D</stp>
        <tr r="B133" s="2"/>
      </tp>
      <tp>
        <v>0.14259999990463257</v>
        <stp/>
        <stp>BDP|5963820815976359326|22</stp>
        <stp>TJX UN Equity</stp>
        <stp>RT_PX_CHG_PCT_1D</stp>
        <tr r="B223" s="2"/>
      </tp>
      <tp>
        <v>-0.48930001258850098</v>
        <stp/>
        <stp>BDP|6698270175711710483|22</stp>
        <stp>REG UW Equity</stp>
        <stp>RT_PX_CHG_PCT_1D</stp>
        <tr r="B105" s="2"/>
      </tp>
      <tp>
        <v>-0.12179999798536301</v>
        <stp/>
        <stp>BDP|1791063032543633970|22</stp>
        <stp>ESS UN Equity</stp>
        <stp>RT_PX_CHG_PCT_1D</stp>
        <tr r="B439" s="2"/>
      </tp>
      <tp>
        <v>1.7732000350952148</v>
        <stp/>
        <stp>BDP|9296525838517565903|22</stp>
        <stp>IVZ UN Equity</stp>
        <stp>RT_PX_CHG_PCT_1D</stp>
        <tr r="B292" s="2"/>
      </tp>
      <tp>
        <v>-0.33629998564720154</v>
        <stp/>
        <stp>BDP|4525258564836370829|22</stp>
        <stp>APO UN Equity</stp>
        <stp>RT_PX_CHG_PCT_1D</stp>
        <tr r="B475" s="2"/>
      </tp>
      <tp>
        <v>-0.28960001468658447</v>
        <stp/>
        <stp>BDP|3702792104467991183|22</stp>
        <stp>KMB UW Equity</stp>
        <stp>RT_PX_CHG_PCT_1D</stp>
        <tr r="B418" s="2"/>
      </tp>
      <tp>
        <v>1.1092000007629395</v>
        <stp/>
        <stp>BDP|10243746142688751599|22</stp>
        <stp>SOLV UN Equity</stp>
        <stp>RT_PX_CHG_PCT_1D</stp>
        <tr r="B8" s="2"/>
      </tp>
      <tp>
        <v>0.17260000109672546</v>
        <stp/>
        <stp>BDP|6600527782946351376|22</stp>
        <stp>WBA UW Equity</stp>
        <stp>RT_PX_CHG_PCT_1D</stp>
        <tr r="B312" s="2"/>
      </tp>
      <tp>
        <v>0.65270000696182251</v>
        <stp/>
        <stp>BDP|2332982047875765442|22</stp>
        <stp>SLB UN Equity</stp>
        <stp>RT_PX_CHG_PCT_1D</stp>
        <tr r="B203" s="2"/>
      </tp>
      <tp>
        <v>1.6646000146865845</v>
        <stp/>
        <stp>BDP|1124797755237081642|22</stp>
        <stp>SWK UN Equity</stp>
        <stp>RT_PX_CHG_PCT_1D</stp>
        <tr r="B215" s="2"/>
      </tp>
      <tp>
        <v>-0.28979998826980591</v>
        <stp/>
        <stp>BDP|9472018966151675454|22</stp>
        <stp>WDC UW Equity</stp>
        <stp>RT_PX_CHG_PCT_1D</stp>
        <tr r="B445" s="2"/>
      </tp>
      <tp>
        <v>0.60689997673034668</v>
        <stp/>
        <stp>BDP|4108774461319681052|22</stp>
        <stp>RMD UN Equity</stp>
        <stp>RT_PX_CHG_PCT_1D</stp>
        <tr r="B431" s="2"/>
      </tp>
      <tp>
        <v>-3.4054999351501465</v>
        <stp/>
        <stp>BDP|2906411444825920756|22</stp>
        <stp>EQT UN Equity</stp>
        <stp>RT_PX_CHG_PCT_1D</stp>
        <tr r="B115" s="2"/>
      </tp>
      <tp>
        <v>-0.13519999384880066</v>
        <stp/>
        <stp>BDP|9597697402263573916|22</stp>
        <stp>AWK UN Equity</stp>
        <stp>RT_PX_CHG_PCT_1D</stp>
        <tr r="B29" s="2"/>
      </tp>
      <tp>
        <v>0.71160000562667847</v>
        <stp/>
        <stp>BDP|6893211738185418335|22</stp>
        <stp>ECL UN Equity</stp>
        <stp>RT_PX_CHG_PCT_1D</stp>
        <tr r="B107" s="2"/>
      </tp>
      <tp>
        <v>-5.2799999713897705E-2</v>
        <stp/>
        <stp>BDP|3197963299646073316|22</stp>
        <stp>CPT UN Equity</stp>
        <stp>RT_PX_CHG_PCT_1D</stp>
        <tr r="B400" s="2"/>
      </tp>
      <tp>
        <v>1.9673000574111938</v>
        <stp/>
        <stp>BDP|5321898403438324931|22</stp>
        <stp>AJG UN Equity</stp>
        <stp>RT_PX_CHG_PCT_1D</stp>
        <tr r="B140" s="2"/>
      </tp>
      <tp>
        <v>0.89800000190734863</v>
        <stp/>
        <stp>BDP|7305528105397871491|22</stp>
        <stp>AFL UN Equity</stp>
        <stp>RT_PX_CHG_PCT_1D</stp>
        <tr r="B52" s="2"/>
      </tp>
      <tp>
        <v>-0.46630001068115234</v>
        <stp/>
        <stp>BDP|8122863537949519884|22</stp>
        <stp>CAG UN Equity</stp>
        <stp>RT_PX_CHG_PCT_1D</stp>
        <tr r="B88" s="2"/>
      </tp>
      <tp>
        <v>0.12399999797344208</v>
        <stp/>
        <stp>BDP|3072145966273856078|22</stp>
        <stp>BAC UN Equity</stp>
        <stp>RT_PX_CHG_PCT_1D</stp>
        <tr r="B30" s="2"/>
      </tp>
      <tp>
        <v>-0.36989998817443848</v>
        <stp/>
        <stp>BDP|2947656016880726705|22</stp>
        <stp>AVY UN Equity</stp>
        <stp>RT_PX_CHG_PCT_1D</stp>
        <tr r="B62" s="2"/>
      </tp>
      <tp>
        <v>0.580299973487854</v>
        <stp/>
        <stp>BDP|16206623524697356593|22</stp>
        <stp>SCHW UN Equity</stp>
        <stp>RT_PX_CHG_PCT_1D</stp>
        <tr r="B204" s="2"/>
      </tp>
      <tp>
        <v>-0.9099000096321106</v>
        <stp/>
        <stp>BDP|9916887950822777693|22</stp>
        <stp>KIM UN Equity</stp>
        <stp>RT_PX_CHG_PCT_1D</stp>
        <tr r="B154" s="2"/>
      </tp>
      <tp>
        <v>-1.9487999677658081</v>
        <stp/>
        <stp>BDP|8461414512175497540|22</stp>
        <stp>DGX UN Equity</stp>
        <stp>RT_PX_CHG_PCT_1D</stp>
        <tr r="B336" s="2"/>
      </tp>
      <tp>
        <v>0.98979997634887695</v>
        <stp/>
        <stp>BDP|2934680659187197741|22</stp>
        <stp>MET UN Equity</stp>
        <stp>RT_PX_CHG_PCT_1D</stp>
        <tr r="B393" s="2"/>
      </tp>
      <tp>
        <v>0.90090000629425049</v>
        <stp/>
        <stp>BDP|8166021983551581650|22</stp>
        <stp>FTV UN Equity</stp>
        <stp>RT_PX_CHG_PCT_1D</stp>
        <tr r="B136" s="2"/>
      </tp>
      <tp>
        <v>0.76840001344680786</v>
        <stp/>
        <stp>BDP|10594656878267267810|22</stp>
        <stp>SBUX UW Equity</stp>
        <stp>RT_PX_CHG_PCT_1D</stp>
        <tr r="B280" s="2"/>
      </tp>
      <tp>
        <v>-1.0341999530792236</v>
        <stp/>
        <stp>BDP|6896797768258423945|22</stp>
        <stp>PNW UN Equity</stp>
        <stp>RT_PX_CHG_PCT_1D</stp>
        <tr r="B194" s="2"/>
      </tp>
      <tp>
        <v>-0.45809999108314514</v>
        <stp/>
        <stp>BDP|8651530533891150773|22</stp>
        <stp>ZTS UN Equity</stp>
        <stp>RT_PX_CHG_PCT_1D</stp>
        <tr r="B499" s="2"/>
      </tp>
      <tp>
        <v>1.757099986076355</v>
        <stp/>
        <stp>BDP|5579429738394744252|22</stp>
        <stp>STT UN Equity</stp>
        <stp>RT_PX_CHG_PCT_1D</stp>
        <tr r="B284" s="2"/>
      </tp>
      <tp>
        <v>-2.2091000080108643</v>
        <stp/>
        <stp>BDP|7761084314807820383|22</stp>
        <stp>PFE UN Equity</stp>
        <stp>RT_PX_CHG_PCT_1D</stp>
        <tr r="B31" s="2"/>
      </tp>
      <tp>
        <v>0.98470002412796021</v>
        <stp/>
        <stp>BDP|8084990933948524228|22</stp>
        <stp>RCL UN Equity</stp>
        <stp>RT_PX_CHG_PCT_1D</stp>
        <tr r="B55" s="2"/>
      </tp>
      <tp>
        <v>-0.11110000312328339</v>
        <stp/>
        <stp>BDP|5368317265237017389|22</stp>
        <stp>TSN UN Equity</stp>
        <stp>RT_PX_CHG_PCT_1D</stp>
        <tr r="B255" s="2"/>
      </tp>
      <tp>
        <v>0.71630001068115234</v>
        <stp/>
        <stp>BDP|5132410744358424209|22</stp>
        <stp>ABT UN Equity</stp>
        <stp>RT_PX_CHG_PCT_1D</stp>
        <tr r="B51" s="2"/>
      </tp>
      <tp>
        <v>-0.46419999003410339</v>
        <stp/>
        <stp>BDP|6987661491096749666|22</stp>
        <stp>CLX UN Equity</stp>
        <stp>RT_PX_CHG_PCT_1D</stp>
        <tr r="B83" s="2"/>
      </tp>
      <tp>
        <v>-0.20479999482631683</v>
        <stp/>
        <stp>BDP|8983480840510442052|22</stp>
        <stp>HRL UN Equity</stp>
        <stp>RT_PX_CHG_PCT_1D</stp>
        <tr r="B139" s="2"/>
      </tp>
      <tp>
        <v>0.17139999568462372</v>
        <stp/>
        <stp>BDP|3624570192979132643|22</stp>
        <stp>CDW UW Equity</stp>
        <stp>RT_PX_CHG_PCT_1D</stp>
        <tr r="B146" s="2"/>
      </tp>
      <tp>
        <v>1.8888000249862671</v>
        <stp/>
        <stp>BDP|7364675269165806509|22</stp>
        <stp>ETN UN Equity</stp>
        <stp>RT_PX_CHG_PCT_1D</stp>
        <tr r="B106" s="2"/>
      </tp>
      <tp>
        <v>1.5542999505996704</v>
        <stp/>
        <stp>BDP|7391172095357352686|22</stp>
        <stp>JCI UN Equity</stp>
        <stp>RT_PX_CHG_PCT_1D</stp>
        <tr r="B225" s="2"/>
      </tp>
      <tp>
        <v>0.52670001983642578</v>
        <stp/>
        <stp>BDP|3492815309489873544|22</stp>
        <stp>CRM UN Equity</stp>
        <stp>RT_PX_CHG_PCT_1D</stp>
        <tr r="B390" s="2"/>
      </tp>
      <tp>
        <v>-5.1399998366832733E-2</v>
        <stp/>
        <stp>BDP|4191446198211476662|22</stp>
        <stp>CHD UN Equity</stp>
        <stp>RT_PX_CHG_PCT_1D</stp>
        <tr r="B451" s="2"/>
      </tp>
      <tp>
        <v>0.98479998111724854</v>
        <stp/>
        <stp>BDP|1031362317259185953|22</stp>
        <stp>CAT UN Equity</stp>
        <stp>RT_PX_CHG_PCT_1D</stp>
        <tr r="B9" s="2"/>
      </tp>
      <tp>
        <v>0.22290000319480896</v>
        <stp/>
        <stp>BDP|9015700550429952108|22</stp>
        <stp>BBY UN Equity</stp>
        <stp>RT_PX_CHG_PCT_1D</stp>
        <tr r="B74" s="2"/>
      </tp>
      <tp>
        <v>0.830299973487854</v>
        <stp/>
        <stp>BDP|3555544245065493720|22</stp>
        <stp>KMX UN Equity</stp>
        <stp>RT_PX_CHG_PCT_1D</stp>
        <tr r="B403" s="2"/>
      </tp>
      <tp>
        <v>1.1964999437332153</v>
        <stp/>
        <stp>BDP|9707076284508190723|22</stp>
        <stp>TEL UN Equity</stp>
        <stp>RT_PX_CHG_PCT_1D</stp>
        <tr r="B447" s="2"/>
      </tp>
      <tp>
        <v>1.2201999425888062</v>
        <stp/>
        <stp>BDP|1540114107966193349|22</stp>
        <stp>TKO UN Equity</stp>
        <stp>RT_PX_CHG_PCT_1D</stp>
        <tr r="B423" s="2"/>
      </tp>
      <tp>
        <v>1.4186999797821045</v>
        <stp/>
        <stp>BDP|4865382256167356909|22</stp>
        <stp>WTW UW Equity</stp>
        <stp>RT_PX_CHG_PCT_1D</stp>
        <tr r="B144" s="2"/>
      </tp>
      <tp>
        <v>1.5378999710083008</v>
        <stp/>
        <stp>BDP|7806180996015205019|22</stp>
        <stp>UAL UW Equity</stp>
        <stp>RT_PX_CHG_PCT_1D</stp>
        <tr r="B470" s="2"/>
      </tp>
      <tp>
        <v>1.0128999948501587</v>
        <stp/>
        <stp>BDP|5630401194784943158|22</stp>
        <stp>RJF UN Equity</stp>
        <stp>RT_PX_CHG_PCT_1D</stp>
        <tr r="B186" s="2"/>
      </tp>
      <tp>
        <v>1.9139000177383423</v>
        <stp/>
        <stp>BDP|1996884265515407821|22</stp>
        <stp>EMR UN Equity</stp>
        <stp>RT_PX_CHG_PCT_1D</stp>
        <tr r="B110" s="2"/>
      </tp>
      <tp>
        <v>-6.589999794960022E-2</v>
        <stp/>
        <stp>BDP|5274449152828867219|22</stp>
        <stp>BSX UN Equity</stp>
        <stp>RT_PX_CHG_PCT_1D</stp>
        <tr r="B75" s="2"/>
      </tp>
      <tp>
        <v>-2.7300000190734863E-2</v>
        <stp/>
        <stp>BDP|3326893161872444484|22</stp>
        <stp>MCO UN Equity</stp>
        <stp>RT_PX_CHG_PCT_1D</stp>
        <tr r="B369" s="2"/>
      </tp>
      <tp>
        <v>1.0726000070571899</v>
        <stp/>
        <stp>BDP|6191906527728607011|22</stp>
        <stp>HPE UN Equity</stp>
        <stp>RT_PX_CHG_PCT_1D</stp>
        <tr r="B50" s="2"/>
      </tp>
      <tp>
        <v>0.1379999965429306</v>
        <stp/>
        <stp>BDP|11800042542911907778|22</stp>
        <stp>PCAR UW Equity</stp>
        <stp>RT_PX_CHG_PCT_1D</stp>
        <tr r="B252" s="2"/>
      </tp>
      <tp>
        <v>0.35719999670982361</v>
        <stp/>
        <stp>BDP|15012298313042086720|22</stp>
        <stp>PAYC UN Equity</stp>
        <stp>RT_PX_CHG_PCT_1D</stp>
        <tr r="B84" s="2"/>
      </tp>
      <tp>
        <v>1.2563999891281128</v>
        <stp/>
        <stp>BDP|2064420611609056073|22</stp>
        <stp>VMC UN Equity</stp>
        <stp>RT_PX_CHG_PCT_1D</stp>
        <tr r="B233" s="2"/>
      </tp>
      <tp>
        <v>0.47560000419616699</v>
        <stp/>
        <stp>BDP|1164547131286407855|22</stp>
        <stp>ROP UW Equity</stp>
        <stp>RT_PX_CHG_PCT_1D</stp>
        <tr r="B391" s="2"/>
      </tp>
      <tp>
        <v>-0.61790001392364502</v>
        <stp/>
        <stp>BDP|7796402707171989554|22</stp>
        <stp>TYL UN Equity</stp>
        <stp>RT_PX_CHG_PCT_1D</stp>
        <tr r="B333" s="2"/>
      </tp>
      <tp>
        <v>1.3164999485015869</v>
        <stp/>
        <stp>BDP|7940725372547272885|22</stp>
        <stp>DHR UN Equity</stp>
        <stp>RT_PX_CHG_PCT_1D</stp>
        <tr r="B95" s="2"/>
      </tp>
      <tp>
        <v>2.8907999992370605</v>
        <stp/>
        <stp>BDP|7173183160696557471|22</stp>
        <stp>MGM UN Equity</stp>
        <stp>RT_PX_CHG_PCT_1D</stp>
        <tr r="B453" s="2"/>
      </tp>
      <tp>
        <v>0.5658000111579895</v>
        <stp/>
        <stp>BDP|3959206304588479287|22</stp>
        <stp>HII UN Equity</stp>
        <stp>RT_PX_CHG_PCT_1D</stp>
        <tr r="B392" s="2"/>
      </tp>
      <tp>
        <v>0.41729998588562012</v>
        <stp/>
        <stp>BDP|2904051443624710580|22</stp>
        <stp>NWS UW Equity</stp>
        <stp>RT_PX_CHG_PCT_1D</stp>
        <tr r="B472" s="2"/>
      </tp>
      <tp>
        <v>1.4560999870300293</v>
        <stp/>
        <stp>BDP|4546268887718988575|22</stp>
        <stp>HWM UN Equity</stp>
        <stp>RT_PX_CHG_PCT_1D</stp>
        <tr r="B346" s="2"/>
      </tp>
      <tp>
        <v>-8.9800000190734863E-2</v>
        <stp/>
        <stp>BDP|14748039729293722092|22</stp>
        <stp>VICI UN Equity</stp>
        <stp>RT_PX_CHG_PCT_1D</stp>
        <tr r="B433" s="2"/>
      </tp>
      <tp>
        <v>1.0860999822616577</v>
        <stp/>
        <stp>BDP|10747069275347653549|22</stp>
        <stp>PAYX UW Equity</stp>
        <stp>RT_PX_CHG_PCT_1D</stp>
        <tr r="B276" s="2"/>
      </tp>
      <tp>
        <v>1.667199969291687</v>
        <stp/>
        <stp>BDP|13033542759425006261|22</stp>
        <stp>RVTY UN Equity</stp>
        <stp>RT_PX_CHG_PCT_1D</stp>
        <tr r="B108" s="2"/>
      </tp>
      <tp>
        <v>0.53649997711181641</v>
        <stp/>
        <stp>BDP|6394668963588202803|22</stp>
        <stp>WFC UN Equity</stp>
        <stp>RT_PX_CHG_PCT_1D</stp>
        <tr r="B181" s="2"/>
      </tp>
      <tp>
        <v>0.3497999906539917</v>
        <stp/>
        <stp>BDP|5886103376655630609|22</stp>
        <stp>SJM UN Equity</stp>
        <stp>RT_PX_CHG_PCT_1D</stp>
        <tr r="B207" s="2"/>
      </tp>
      <tp>
        <v>1.2124999761581421</v>
        <stp/>
        <stp>BDP|7757384355669871657|22</stp>
        <stp>PTC UW Equity</stp>
        <stp>RT_PX_CHG_PCT_1D</stp>
        <tr r="B456" s="2"/>
      </tp>
      <tp>
        <v>0.51120001077651978</v>
        <stp/>
        <stp>BDP|5666649683173783221|22</stp>
        <stp>ACN UN Equity</stp>
        <stp>RT_PX_CHG_PCT_1D</stp>
        <tr r="B350" s="2"/>
      </tp>
      <tp>
        <v>0.98839998245239258</v>
        <stp/>
        <stp>BDP|3961967841129102627|22</stp>
        <stp>IFF UN Equity</stp>
        <stp>RT_PX_CHG_PCT_1D</stp>
        <tr r="B149" s="2"/>
      </tp>
      <tp>
        <v>0.58380001783370972</v>
        <stp/>
        <stp>BDP|7828204491278935180|22</stp>
        <stp>BRO UN Equity</stp>
        <stp>RT_PX_CHG_PCT_1D</stp>
        <tr r="B119" s="2"/>
      </tp>
      <tp>
        <v>1.3549000024795532</v>
        <stp/>
        <stp>BDP|7140947677042857131|22</stp>
        <stp>MCD UN Equity</stp>
        <stp>RT_PX_CHG_PCT_1D</stp>
        <tr r="B26" s="2"/>
      </tp>
      <tp>
        <v>1.5755000114440918</v>
        <stp/>
        <stp>BDP|6484901091203551479|22</stp>
        <stp>NSC UN Equity</stp>
        <stp>RT_PX_CHG_PCT_1D</stp>
        <tr r="B177" s="2"/>
      </tp>
      <tp>
        <v>-0.30329999327659607</v>
        <stp/>
        <stp>BDP|3037082679823580656|22</stp>
        <stp>IBM UN Equity</stp>
        <stp>RT_PX_CHG_PCT_1D</stp>
        <tr r="B23" s="2"/>
      </tp>
      <tp>
        <v>0.53020000457763672</v>
        <stp/>
        <stp>BDP|17397391455317907189|22</stp>
        <stp>TECH UW Equity</stp>
        <stp>RT_PX_CHG_PCT_1D</stp>
        <tr r="B377" s="2"/>
      </tp>
      <tp>
        <v>-0.44299998879432678</v>
        <stp/>
        <stp>BDP|17210570786543156658|22</stp>
        <stp>TTWO UW Equity</stp>
        <stp>RT_PX_CHG_PCT_1D</stp>
        <tr r="B363" s="2"/>
      </tp>
      <tp>
        <v>-7.4100002646446228E-2</v>
        <stp/>
        <stp>BDP|7814425555025943584|22</stp>
        <stp>WBD UW Equity</stp>
        <stp>RT_PX_CHG_PCT_1D</stp>
        <tr r="B381" s="2"/>
      </tp>
      <tp>
        <v>0.5195000171661377</v>
        <stp/>
        <stp>BDP|5891098851727256377|22</stp>
        <stp>PLD UN Equity</stp>
        <stp>RT_PX_CHG_PCT_1D</stp>
        <tr r="B353" s="2"/>
      </tp>
      <tp>
        <v>0.71340000629425049</v>
        <stp/>
        <stp>BDP|8370570420049708613|22</stp>
        <stp>MRK UN Equity</stp>
        <stp>RT_PX_CHG_PCT_1D</stp>
        <tr r="B27" s="2"/>
      </tp>
      <tp>
        <v>1.0705000162124634</v>
        <stp/>
        <stp>BDP|4215824394476447741|22</stp>
        <stp>COO UW Equity</stp>
        <stp>RT_PX_CHG_PCT_1D</stp>
        <tr r="B201" s="2"/>
      </tp>
      <tp>
        <v>2.6831998825073242</v>
        <stp/>
        <stp>BDP|3214924574108567056|22</stp>
        <stp>AMD UW Equity</stp>
        <stp>RT_PX_CHG_PCT_1D</stp>
        <tr r="B430" s="2"/>
      </tp>
      <tp>
        <v>2.8285999298095703</v>
        <stp/>
        <stp>BDP|3278635070262314525|22</stp>
        <stp>FDX UN Equity</stp>
        <stp>RT_PX_CHG_PCT_1D</stp>
        <tr r="B118" s="2"/>
      </tp>
      <tp>
        <v>2.2723000049591064</v>
        <stp/>
        <stp>BDP|1583090831695490263|22</stp>
        <stp>HLT UN Equity</stp>
        <stp>RT_PX_CHG_PCT_1D</stp>
        <tr r="B79" s="2"/>
      </tp>
      <tp>
        <v>-1.6899999231100082E-2</v>
        <stp/>
        <stp>BDP|12778567619383212179|22</stp>
        <stp>TSCO UW Equity</stp>
        <stp>RT_PX_CHG_PCT_1D</stp>
        <tr r="B429" s="2"/>
      </tp>
      <tp>
        <v>-0.96859997510910034</v>
        <stp/>
        <stp>BDP|1541526146322630107|22</stp>
        <stp>VTR UN Equity</stp>
        <stp>RT_PX_CHG_PCT_1D</stp>
        <tr r="B231" s="2"/>
      </tp>
      <tp>
        <v>0.62910002470016479</v>
        <stp/>
        <stp>BDP|9771315118444101563|22</stp>
        <stp>TAP UN Equity</stp>
        <stp>RT_PX_CHG_PCT_1D</stp>
        <tr r="B247" s="2"/>
      </tp>
      <tp>
        <v>-6.8300001323223114E-2</v>
        <stp/>
        <stp>BDP|6777927520685405333|22</stp>
        <stp>STZ UN Equity</stp>
        <stp>RT_PX_CHG_PCT_1D</stp>
        <tr r="B291" s="2"/>
      </tp>
      <tp>
        <v>0.43900001049041748</v>
        <stp/>
        <stp>BDP|8148882843113025390|22</stp>
        <stp>BLK UN Equity</stp>
        <stp>RT_PX_CHG_PCT_1D</stp>
        <tr r="B480" s="2"/>
      </tp>
      <tp>
        <v>1.5641000270843506</v>
        <stp/>
        <stp>BDP|5242746008017147203|22</stp>
        <stp>BAX UN Equity</stp>
        <stp>RT_PX_CHG_PCT_1D</stp>
        <tr r="B71" s="2"/>
      </tp>
      <tp>
        <v>-0.87360000610351563</v>
        <stp/>
        <stp>BDP|3392334279511299674|22</stp>
        <stp>NRG UN Equity</stp>
        <stp>RT_PX_CHG_PCT_1D</stp>
        <tr r="B412" s="2"/>
      </tp>
      <tp>
        <v>0.36779999732971191</v>
        <stp/>
        <stp>BDP|9854244986678244776|22</stp>
        <stp>GPC UN Equity</stp>
        <stp>RT_PX_CHG_PCT_1D</stp>
        <tr r="B129" s="2"/>
      </tp>
      <tp>
        <v>4.2241001129150391</v>
        <stp/>
        <stp>BDP|2919400924130375992|22</stp>
        <stp>MHK UN Equity</stp>
        <stp>RT_PX_CHG_PCT_1D</stp>
        <tr r="B459" s="2"/>
      </tp>
      <tp>
        <v>-0.5471000075340271</v>
        <stp/>
        <stp>BDP|270658533921447089|22</stp>
        <stp>CTRA UN Equity</stp>
        <stp>RT_PX_CHG_PCT_1D</stp>
        <tr r="B78" s="2"/>
      </tp>
      <tp>
        <v>-0.11980000138282776</v>
        <stp/>
        <stp>BDP|465219696372662590|22</stp>
        <stp>EXPD UN Equity</stp>
        <stp>RT_PX_CHG_PCT_1D</stp>
        <tr r="B241" s="2"/>
      </tp>
      <tp>
        <v>0.21739999949932098</v>
        <stp/>
        <stp>BDP|1625772478065126150|22</stp>
        <stp>TGT UN Equity</stp>
        <stp>RT_PX_CHG_PCT_1D</stp>
        <tr r="B96" s="2"/>
      </tp>
      <tp>
        <v>1.0133999586105347</v>
        <stp/>
        <stp>BDP|8515970953584919587|22</stp>
        <stp>XYL UN Equity</stp>
        <stp>RT_PX_CHG_PCT_1D</stp>
        <tr r="B427" s="2"/>
      </tp>
      <tp>
        <v>0.37380000948905945</v>
        <stp/>
        <stp>BDP|9133358483973314261|22</stp>
        <stp>TFC UN Equity</stp>
        <stp>RT_PX_CHG_PCT_1D</stp>
        <tr r="B212" s="2"/>
      </tp>
      <tp>
        <v>1.0161000490188599</v>
        <stp/>
        <stp>BDP|2953291490639570267|22</stp>
        <stp>TPL UN Equity</stp>
        <stp>RT_PX_CHG_PCT_1D</stp>
        <tr r="B5" s="2"/>
      </tp>
      <tp>
        <v>0.15659999847412109</v>
        <stp/>
        <stp>BDP|6164017965852595962|22</stp>
        <stp>PSA UN Equity</stp>
        <stp>RT_PX_CHG_PCT_1D</stp>
        <tr r="B216" s="2"/>
      </tp>
      <tp>
        <v>0.44740000367164612</v>
        <stp/>
        <stp>BDP|6810845433040648312|22</stp>
        <stp>SRE UN Equity</stp>
        <stp>RT_PX_CHG_PCT_1D</stp>
        <tr r="B368" s="2"/>
      </tp>
      <tp>
        <v>-3.8899999111890793E-2</v>
        <stp/>
        <stp>BDP|7541991865334612765|22</stp>
        <stp>HPQ UN Equity</stp>
        <stp>RT_PX_CHG_PCT_1D</stp>
        <tr r="B20" s="2"/>
      </tp>
      <tp>
        <v>-0.10939999669790268</v>
        <stp/>
        <stp>BDP|7809870275316643325|22</stp>
        <stp>KMI UN Equity</stp>
        <stp>RT_PX_CHG_PCT_1D</stp>
        <tr r="B44" s="2"/>
      </tp>
      <tp>
        <v>-0.2703000009059906</v>
        <stp/>
        <stp>BDP|5403950867253550475|22</stp>
        <stp>ADM UN Equity</stp>
        <stp>RT_PX_CHG_PCT_1D</stp>
        <tr r="B57" s="2"/>
      </tp>
      <tp>
        <v>0.14740000665187836</v>
        <stp/>
        <stp>BDP|6800757322569457625|22</stp>
        <stp>LMT UN Equity</stp>
        <stp>RT_PX_CHG_PCT_1D</stp>
        <tr r="B315" s="2"/>
      </tp>
      <tp>
        <v>0.29690000414848328</v>
        <stp/>
        <stp>BDP|6484077200431600359|22</stp>
        <stp>LIN UW Equity</stp>
        <stp>RT_PX_CHG_PCT_1D</stp>
        <tr r="B61" s="2"/>
      </tp>
      <tp>
        <v>0.52560001611709595</v>
        <stp/>
        <stp>BDP|12097216832535909680|22</stp>
        <stp>GOOGL UW Equity</stp>
        <stp>RT_PX_CHG_PCT_1D</stp>
        <tr r="B378" s="2"/>
      </tp>
      <tp>
        <v>3.1538000106811523</v>
        <stp/>
        <stp>BDP|17300387961855009413|22</stp>
        <stp>STLD UW Equity</stp>
        <stp>RT_PX_CHG_PCT_1D</stp>
        <tr r="B103" s="2"/>
      </tp>
      <tp>
        <v>0.56449997425079346</v>
        <stp/>
        <stp>BDP|5276581729305934965|22</stp>
        <stp>USB UN Equity</stp>
        <stp>RT_PX_CHG_PCT_1D</stp>
        <tr r="B286" s="2"/>
      </tp>
      <tp>
        <v>-0.73350000381469727</v>
        <stp/>
        <stp>BDP|3706272139072608931|22</stp>
        <stp>PEP UW Equity</stp>
        <stp>RT_PX_CHG_PCT_1D</stp>
        <tr r="B446" s="2"/>
      </tp>
      <tp>
        <v>0.47459998726844788</v>
        <stp/>
        <stp>BDP|4922093648559669271|22</stp>
        <stp>MAS UN Equity</stp>
        <stp>RT_PX_CHG_PCT_1D</stp>
        <tr r="B165" s="2"/>
      </tp>
      <tp>
        <v>-0.55440002679824829</v>
        <stp/>
        <stp>BDP|7247315148112714032|22</stp>
        <stp>EOG UN Equity</stp>
        <stp>RT_PX_CHG_PCT_1D</stp>
        <tr r="B111" s="2"/>
      </tp>
      <tp>
        <v>0.1518000066280365</v>
        <stp/>
        <stp>BDP|1074833861517403382|22</stp>
        <stp>MPC UN Equity</stp>
        <stp>RT_PX_CHG_PCT_1D</stp>
        <tr r="B428" s="2"/>
      </tp>
      <tp>
        <v>0.90750002861022949</v>
        <stp/>
        <stp>BDP|4766281163448060596|22</stp>
        <stp>ALL UN Equity</stp>
        <stp>RT_PX_CHG_PCT_1D</stp>
        <tr r="B302" s="2"/>
      </tp>
      <tp>
        <v>0.69800001382827759</v>
        <stp/>
        <stp>BDP|6999135405632908389|22</stp>
        <stp>JPM UN Equity</stp>
        <stp>RT_PX_CHG_PCT_1D</stp>
        <tr r="B10" s="2"/>
      </tp>
      <tp>
        <v>1.3194999694824219</v>
        <stp/>
        <stp>BDP|7094115004921112027|22</stp>
        <stp>MMM UN Equity</stp>
        <stp>RT_PX_CHG_PCT_1D</stp>
        <tr r="B28" s="2"/>
      </tp>
      <tp>
        <v>-9.6000000834465027E-2</v>
        <stp/>
        <stp>BDP|4613627785493057504|22</stp>
        <stp>CRL UN Equity</stp>
        <stp>RT_PX_CHG_PCT_1D</stp>
        <tr r="B374" s="2"/>
      </tp>
      <tp>
        <v>2.1714000701904297</v>
        <stp/>
        <stp>BDP|2665614919128835383|22</stp>
        <stp>CSX UW Equity</stp>
        <stp>RT_PX_CHG_PCT_1D</stp>
        <tr r="B395" s="2"/>
      </tp>
      <tp>
        <v>-0.57309997081756592</v>
        <stp/>
        <stp>BDP|1065985581418665172|22</stp>
        <stp>OKE UN Equity</stp>
        <stp>RT_PX_CHG_PCT_1D</stp>
        <tr r="B185" s="2"/>
      </tp>
      <tp>
        <v>-0.72020000219345093</v>
        <stp/>
        <stp>BDP|2914606537419938913|22</stp>
        <stp>CAH UN Equity</stp>
        <stp>RT_PX_CHG_PCT_1D</stp>
        <tr r="B258" s="2"/>
      </tp>
      <tp>
        <v>5.4530000686645508</v>
        <stp/>
        <stp>BDP|6062677287704006025|22</stp>
        <stp>LYB UN Equity</stp>
        <stp>RT_PX_CHG_PCT_1D</stp>
        <tr r="B2" s="2"/>
      </tp>
      <tp>
        <v>1.2702000141143799</v>
        <stp/>
        <stp>BDP|10985954343161705916|22</stp>
        <stp>PODD UW Equity</stp>
        <stp>RT_PX_CHG_PCT_1D</stp>
        <tr r="B135" s="2"/>
      </tp>
      <tp>
        <v>9.9100001156330109E-2</v>
        <stp/>
        <stp>BDP|15922675942807119562|22</stp>
        <stp>WELL UN Equity</stp>
        <stp>RT_PX_CHG_PCT_1D</stp>
        <tr r="B272" s="2"/>
      </tp>
      <tp>
        <v>1.385200023651123</v>
        <stp/>
        <stp>BDP|16446007755149092112|22</stp>
        <stp>ROST UW Equity</stp>
        <stp>RT_PX_CHG_PCT_1D</stp>
        <tr r="B278" s="2"/>
      </tp>
      <tp>
        <v>-0.58569997549057007</v>
        <stp/>
        <stp>BDP|13603934810394903629|22</stp>
        <stp>TROW UW Equity</stp>
        <stp>RT_PX_CHG_PCT_1D</stp>
        <tr r="B289" s="2"/>
      </tp>
      <tp>
        <v>-1.8300000578165054E-2</v>
        <stp/>
        <stp>BDP|2497503952544396816|22</stp>
        <stp>WEC UN Equity</stp>
        <stp>RT_PX_CHG_PCT_1D</stp>
        <tr r="B237" s="2"/>
      </tp>
      <tp>
        <v>1.0900000333786011</v>
        <stp/>
        <stp>BDP|7511970406675347503|22</stp>
        <stp>AXP UN Equity</stp>
        <stp>RT_PX_CHG_PCT_1D</stp>
        <tr r="B3" s="2"/>
      </tp>
      <tp>
        <v>1.1634999513626099</v>
        <stp/>
        <stp>BDP|5900003163753630197|22</stp>
        <stp>CMI UN Equity</stp>
        <stp>RT_PX_CHG_PCT_1D</stp>
        <tr r="B93" s="2"/>
      </tp>
      <tp>
        <v>0.25200000405311584</v>
        <stp/>
        <stp>BDP|9835835276070469830|22</stp>
        <stp>HIG UN Equity</stp>
        <stp>RT_PX_CHG_PCT_1D</stp>
        <tr r="B329" s="2"/>
      </tp>
      <tp>
        <v>0.23549999296665192</v>
        <stp/>
        <stp>BDP|8918121577796611336|22</stp>
        <stp>GIS UN Equity</stp>
        <stp>RT_PX_CHG_PCT_1D</stp>
        <tr r="B128" s="2"/>
      </tp>
      <tp>
        <v>0.16789999604225159</v>
        <stp/>
        <stp>BDP|9695571266011386830|22</stp>
        <stp>MKC UN Equity</stp>
        <stp>RT_PX_CHG_PCT_1D</stp>
        <tr r="B251" s="2"/>
      </tp>
      <tp>
        <v>-0.52270001173019409</v>
        <stp/>
        <stp>BDP|5169936427504311264|22</stp>
        <stp>ALB UN Equity</stp>
        <stp>RT_PX_CHG_PCT_1D</stp>
        <tr r="B436" s="2"/>
      </tp>
      <tp>
        <v>1.1269999742507935</v>
        <stp/>
        <stp>BDP|3945445212535974663|22</stp>
        <stp>NKE UN Equity</stp>
        <stp>RT_PX_CHG_PCT_1D</stp>
        <tr r="B175" s="2"/>
      </tp>
      <tp>
        <v>-2.1333000659942627</v>
        <stp/>
        <stp>BDP|2481018999702622505|22</stp>
        <stp>CCI UN Equity</stp>
        <stp>RT_PX_CHG_PCT_1D</stp>
        <tr r="B491" s="2"/>
      </tp>
      <tp>
        <v>0.76579999923706055</v>
        <stp/>
        <stp>BDP|2155123009381174472|22</stp>
        <stp>AMP UN Equity</stp>
        <stp>RT_PX_CHG_PCT_1D</stp>
        <tr r="B397" s="2"/>
      </tp>
      <tp>
        <v>0.27419999241828918</v>
        <stp/>
        <stp>BDP|6754422725381674643|22</stp>
        <stp>DAL UN Equity</stp>
        <stp>RT_PX_CHG_PCT_1D</stp>
        <tr r="B469" s="2"/>
      </tp>
      <tp>
        <v>-1.7388999462127686</v>
        <stp/>
        <stp>BDP|9842464745510140530|22</stp>
        <stp>WAB UN Equity</stp>
        <stp>RT_PX_CHG_PCT_1D</stp>
        <tr r="B442" s="2"/>
      </tp>
      <tp>
        <v>0.69260001182556152</v>
        <stp/>
        <stp>BDP|2538919127886856576|22</stp>
        <stp>TMO UN Equity</stp>
        <stp>RT_PX_CHG_PCT_1D</stp>
        <tr r="B222" s="2"/>
      </tp>
      <tp>
        <v>3.5508999824523926</v>
        <stp/>
        <stp>BDP|3208621135422818555|22</stp>
        <stp>PWR UN Equity</stp>
        <stp>RT_PX_CHG_PCT_1D</stp>
        <tr r="B356" s="2"/>
      </tp>
      <tp>
        <v>0.29139998555183411</v>
        <stp/>
        <stp>BDP|4738315377647054234|22</stp>
        <stp>PKG UN Equity</stp>
        <stp>RT_PX_CHG_PCT_1D</stp>
        <tr r="B275" s="2"/>
      </tp>
      <tp>
        <v>-0.16490000486373901</v>
        <stp/>
        <stp>BDP|8152026578075932191|22</stp>
        <stp>XEL UW Equity</stp>
        <stp>RT_PX_CHG_PCT_1D</stp>
        <tr r="B267" s="2"/>
      </tp>
      <tp>
        <v>0.75249999761581421</v>
        <stp/>
        <stp>BDP|6942004961557918235|22</stp>
        <stp>AEP UW Equity</stp>
        <stp>RT_PX_CHG_PCT_1D</stp>
        <tr r="B454" s="2"/>
      </tp>
      <tp>
        <v>3.3190999031066895</v>
        <stp/>
        <stp>BDP|6745529920474989360|22</stp>
        <stp>CVS UN Equity</stp>
        <stp>RT_PX_CHG_PCT_1D</stp>
        <tr r="B169" s="2"/>
      </tp>
      <tp>
        <v>4.2978000640869141</v>
        <stp/>
        <stp>BDP|1278491021274019764|22</stp>
        <stp>MOH UN Equity</stp>
        <stp>RT_PX_CHG_PCT_1D</stp>
        <tr r="B503" s="2"/>
      </tp>
    </main>
  </volType>
</volTypes>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volatileDependencies" Target="volatileDependenci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04"/>
  <sheetViews>
    <sheetView workbookViewId="0">
      <selection activeCell="N25" sqref="A1:R504"/>
    </sheetView>
  </sheetViews>
  <sheetFormatPr defaultRowHeight="16.5" x14ac:dyDescent="0.25"/>
  <cols>
    <col min="1" max="1" width="26.85546875" customWidth="1"/>
    <col min="2" max="2" width="21.140625" customWidth="1"/>
    <col min="3" max="5" width="19" customWidth="1"/>
    <col min="6" max="6" width="48.5703125" customWidth="1"/>
    <col min="7" max="18" width="19" customWidth="1"/>
  </cols>
  <sheetData>
    <row r="1" spans="1:18" ht="15.7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ht="15.75" x14ac:dyDescent="0.25">
      <c r="A2" t="s">
        <v>18</v>
      </c>
      <c r="B2">
        <f>_xll.BDP("LYB UN Equity","RT_PX_CHG_PCT_1D")</f>
        <v>5.4530000686645508</v>
      </c>
      <c r="C2" t="str">
        <f>_xll.BDP("LYB UN Equity","GICS_SECTOR_NAME")</f>
        <v>原材料</v>
      </c>
      <c r="D2" t="str">
        <f>_xll.BDP("LYB UN Equity","NAME_CHINESE_TRADITIONAL")</f>
        <v>利安德巴塞爾工業公司</v>
      </c>
      <c r="E2" t="str">
        <f>_xll.BDP("LYB UN Equity","CLASSIFICATION_LEVEL_4_NAME")</f>
        <v>基本及多元化學品</v>
      </c>
      <c r="F2" t="str">
        <f>_xll.BDP("LYB UN Equity","CLASSIFICATION_DESCRIPTION")</f>
        <v>烯烴</v>
      </c>
      <c r="G2">
        <f>_xll.BDP("LYB UN Equity","CUR_MKT_CAP")</f>
        <v>20572814896.139999</v>
      </c>
      <c r="H2">
        <f>_xll.BDP("LYB UN Equity","CHG_PCT_YTD")</f>
        <v>-13.81446</v>
      </c>
      <c r="I2" t="str">
        <f>_xll.BDP("LYB UN Equity","CIE_DES")</f>
        <v>利安德巴塞爾工業公司(LyondellBasell Industries N.V.)製造塑膠、化學及燃油產品。該公司提供的產品用於製造個人護理產品、新鮮食品包裝、輕質塑膠、建材、汽車零件、耐用紡織品、醫療用品，以及生質燃料。利安德巴塞爾工業於全球各地行銷其產品。</v>
      </c>
      <c r="J2">
        <f>_xll.BDP("LYB UN Equity","ESG_SCORE")</f>
        <v>6.3499999046325684</v>
      </c>
      <c r="K2" t="str">
        <f>_xll.BDP("LYB UN Equity","MSCI_ESG_RATING")</f>
        <v>A</v>
      </c>
      <c r="L2">
        <f>_xll.BDP("LYB UN Equity","EQY_BETA")</f>
        <v>0.82552939653396606</v>
      </c>
      <c r="M2">
        <f>_xll.BDP("LYB UN Equity","VOLATILITY_60D")</f>
        <v>43.311178684638229</v>
      </c>
      <c r="N2">
        <f>_xll.BDP("LYB UN Equity","PCT_INSIDER_SHARES_OUT")</f>
        <v>0.32997684421281892</v>
      </c>
      <c r="O2">
        <f>_xll.BDP("LYB UN Equity","PCT_CHG_INSIDER_HOLDINGS")</f>
        <v>29.257496263997616</v>
      </c>
      <c r="P2">
        <f>_xll.BDP("LYB UN Equity","RISK_PREMIUM")</f>
        <v>4.2525743462473153</v>
      </c>
      <c r="Q2">
        <f>_xll.BDP("LYB UN Equity","HIGH_52WEEK")</f>
        <v>100.43</v>
      </c>
      <c r="R2">
        <f>_xll.BDP("LYB UN Equity","LOW_52WEEK")</f>
        <v>51.2</v>
      </c>
    </row>
    <row r="3" spans="1:18" ht="15.75" x14ac:dyDescent="0.25">
      <c r="A3" t="s">
        <v>19</v>
      </c>
      <c r="B3">
        <f>_xll.BDP("AXP UN Equity","RT_PX_CHG_PCT_1D")</f>
        <v>1.0900000333786011</v>
      </c>
      <c r="C3" t="str">
        <f>_xll.BDP("AXP UN Equity","GICS_SECTOR_NAME")</f>
        <v>金融</v>
      </c>
      <c r="D3" t="str">
        <f>_xll.BDP("AXP UN Equity","NAME_CHINESE_TRADITIONAL")</f>
        <v>美國運通</v>
      </c>
      <c r="E3" t="str">
        <f>_xll.BDP("AXP UN Equity","CLASSIFICATION_LEVEL_4_NAME")</f>
        <v>消費金融</v>
      </c>
      <c r="F3" t="str">
        <f>_xll.BDP("AXP UN Equity","CLASSIFICATION_DESCRIPTION")</f>
        <v>信用卡借貸</v>
      </c>
      <c r="G3">
        <f>_xll.BDP("AXP UN Equity","CUR_MKT_CAP")</f>
        <v>216843860755.47</v>
      </c>
      <c r="H3">
        <f>_xll.BDP("AXP UN Equity","CHG_PCT_YTD")</f>
        <v>4.9934269999999996</v>
      </c>
      <c r="I3" t="str">
        <f>_xll.BDP("AXP UN Equity","CIE_DES")</f>
        <v>美國運通(American Express)為從事全球性支付及旅行相關業務的公司。 該公司主要的產品和服務為簽帳卡和信用卡產品、及旅行相關服務予全球客戶和企業。</v>
      </c>
      <c r="J3">
        <f>_xll.BDP("AXP UN Equity","ESG_SCORE")</f>
        <v>4.5</v>
      </c>
      <c r="K3" t="str">
        <f>_xll.BDP("AXP UN Equity","MSCI_ESG_RATING")</f>
        <v>AA</v>
      </c>
      <c r="L3">
        <f>_xll.BDP("AXP UN Equity","EQY_BETA")</f>
        <v>1.1535063982009888</v>
      </c>
      <c r="M3">
        <f>_xll.BDP("AXP UN Equity","VOLATILITY_60D")</f>
        <v>25.42356218876553</v>
      </c>
      <c r="N3">
        <f>_xll.BDP("AXP UN Equity","PCT_INSIDER_SHARES_OUT")</f>
        <v>0.1417297824258186</v>
      </c>
      <c r="O3">
        <f>_xll.BDP("AXP UN Equity","PCT_CHG_INSIDER_HOLDINGS")</f>
        <v>7.8261716117269744</v>
      </c>
      <c r="P3">
        <f>_xll.BDP("AXP UN Equity","RISK_PREMIUM")</f>
        <v>5.9420921142446987</v>
      </c>
      <c r="Q3">
        <f>_xll.BDP("AXP UN Equity","HIGH_52WEEK")</f>
        <v>329.14</v>
      </c>
      <c r="R3">
        <f>_xll.BDP("AXP UN Equity","LOW_52WEEK")</f>
        <v>220.64</v>
      </c>
    </row>
    <row r="4" spans="1:18" ht="15.75" x14ac:dyDescent="0.25">
      <c r="A4" t="s">
        <v>20</v>
      </c>
      <c r="B4">
        <f>_xll.BDP("VZ UN Equity","RT_PX_CHG_PCT_1D")</f>
        <v>0</v>
      </c>
      <c r="C4" t="str">
        <f>_xll.BDP("VZ UN Equity","GICS_SECTOR_NAME")</f>
        <v>通訊服務</v>
      </c>
      <c r="D4" t="str">
        <f>_xll.BDP("VZ UN Equity","NAME_CHINESE_TRADITIONAL")</f>
        <v>威瑞森電信公司</v>
      </c>
      <c r="E4" t="str">
        <f>_xll.BDP("VZ UN Equity","CLASSIFICATION_LEVEL_4_NAME")</f>
        <v>無線通訊服務</v>
      </c>
      <c r="F4" t="str">
        <f>_xll.BDP("VZ UN Equity","CLASSIFICATION_DESCRIPTION")</f>
        <v>無線通訊服務</v>
      </c>
      <c r="G4">
        <f>_xll.BDP("VZ UN Equity","CUR_MKT_CAP")</f>
        <v>181639272728.63998</v>
      </c>
      <c r="H4">
        <f>_xll.BDP("VZ UN Equity","CHG_PCT_YTD")</f>
        <v>7.7269269999999999</v>
      </c>
      <c r="I4" t="str">
        <f>_xll.BDP("VZ UN Equity","CIE_DES")</f>
        <v>威瑞森電信公司(Verizon Communications Inc.)為一家電信公司。該公司提供有線語音、資料服務、無線服務，以及網路服務。威瑞森電信服務美國的客戶。</v>
      </c>
      <c r="J4">
        <f>_xll.BDP("VZ UN Equity","ESG_SCORE")</f>
        <v>5.380000114440918</v>
      </c>
      <c r="K4" t="str">
        <f>_xll.BDP("VZ UN Equity","MSCI_ESG_RATING")</f>
        <v>A</v>
      </c>
      <c r="L4">
        <f>_xll.BDP("VZ UN Equity","EQY_BETA")</f>
        <v>0.53871691226959229</v>
      </c>
      <c r="M4">
        <f>_xll.BDP("VZ UN Equity","VOLATILITY_60D")</f>
        <v>18.147483532357068</v>
      </c>
      <c r="N4">
        <f>_xll.BDP("VZ UN Equity","PCT_INSIDER_SHARES_OUT")</f>
        <v>2.8251119161829315E-2</v>
      </c>
      <c r="O4">
        <f>_xll.BDP("VZ UN Equity","PCT_CHG_INSIDER_HOLDINGS")</f>
        <v>13.906391198535001</v>
      </c>
      <c r="P4">
        <f>_xll.BDP("VZ UN Equity","RISK_PREMIUM")</f>
        <v>2.7751085916817186</v>
      </c>
      <c r="Q4">
        <f>_xll.BDP("VZ UN Equity","HIGH_52WEEK")</f>
        <v>47.354999999999997</v>
      </c>
      <c r="R4">
        <f>_xll.BDP("VZ UN Equity","LOW_52WEEK")</f>
        <v>37.590000000000003</v>
      </c>
    </row>
    <row r="5" spans="1:18" ht="15.75" x14ac:dyDescent="0.25">
      <c r="A5" t="s">
        <v>21</v>
      </c>
      <c r="B5">
        <f>_xll.BDP("TPL UN Equity","RT_PX_CHG_PCT_1D")</f>
        <v>1.0161000490188599</v>
      </c>
      <c r="C5" t="str">
        <f>_xll.BDP("TPL UN Equity","GICS_SECTOR_NAME")</f>
        <v>能源</v>
      </c>
      <c r="D5" t="str">
        <f>_xll.BDP("TPL UN Equity","NAME_CHINESE_TRADITIONAL")</f>
        <v>德州太平洋土地公司</v>
      </c>
      <c r="E5" t="str">
        <f>_xll.BDP("TPL UN Equity","CLASSIFICATION_LEVEL_4_NAME")</f>
        <v>探勘及生產</v>
      </c>
      <c r="F5" t="str">
        <f>_xll.BDP("TPL UN Equity","CLASSIFICATION_DESCRIPTION")</f>
        <v>權利金收入-油氣</v>
      </c>
      <c r="G5">
        <f>_xll.BDP("TPL UN Equity","CUR_MKT_CAP")</f>
        <v>22511258478.540001</v>
      </c>
      <c r="H5">
        <f>_xll.BDP("TPL UN Equity","CHG_PCT_YTD")</f>
        <v>-11.453390000000001</v>
      </c>
      <c r="I5" t="str">
        <f>_xll.BDP("TPL UN Equity","CIE_DES")</f>
        <v>德州太平洋土地公司(Texas Pacific Land Corporation)擁有德州大片地產，其先前為德州和太平洋鐵路公司(Texas and Pacific Railway Company)的房地產。該信託發行的可轉讓憑證，乃按照持有德州和太平洋鐵路公司特定債務證券的持有人，比例分配專有權益。德州的收入來自土地銷售、石油與天然氣採礦權、牧場租賃，以及利息。</v>
      </c>
      <c r="J5">
        <f>_xll.BDP("TPL UN Equity","ESG_SCORE")</f>
        <v>3.0299999713897705</v>
      </c>
      <c r="K5" t="str">
        <f>_xll.BDP("TPL UN Equity","MSCI_ESG_RATING")</f>
        <v>A</v>
      </c>
      <c r="L5">
        <f>_xll.BDP("TPL UN Equity","EQY_BETA")</f>
        <v>1.0477292537689209</v>
      </c>
      <c r="M5">
        <f>_xll.BDP("TPL UN Equity","VOLATILITY_60D")</f>
        <v>36.755146373216583</v>
      </c>
      <c r="N5">
        <f>_xll.BDP("TPL UN Equity","PCT_INSIDER_SHARES_OUT")</f>
        <v>0.17185118932907822</v>
      </c>
      <c r="O5">
        <f>_xll.BDP("TPL UN Equity","PCT_CHG_INSIDER_HOLDINGS")</f>
        <v>28.089231866670989</v>
      </c>
      <c r="P5">
        <f>_xll.BDP("TPL UN Equity","RISK_PREMIUM")</f>
        <v>5.3971991368174548</v>
      </c>
      <c r="Q5">
        <f>_xll.BDP("TPL UN Equity","HIGH_52WEEK")</f>
        <v>1761.85</v>
      </c>
      <c r="R5">
        <f>_xll.BDP("TPL UN Equity","LOW_52WEEK")</f>
        <v>750</v>
      </c>
    </row>
    <row r="6" spans="1:18" ht="15.75" x14ac:dyDescent="0.25">
      <c r="A6" t="s">
        <v>22</v>
      </c>
      <c r="B6">
        <f>_xll.BDP("AVGO UW Equity","RT_PX_CHG_PCT_1D")</f>
        <v>0.50919997692108154</v>
      </c>
      <c r="C6" t="str">
        <f>_xll.BDP("AVGO UW Equity","GICS_SECTOR_NAME")</f>
        <v>資訊技術</v>
      </c>
      <c r="D6" t="str">
        <f>_xll.BDP("AVGO UW Equity","NAME_CHINESE_TRADITIONAL")</f>
        <v>博通公司</v>
      </c>
      <c r="E6" t="str">
        <f>_xll.BDP("AVGO UW Equity","CLASSIFICATION_LEVEL_4_NAME")</f>
        <v>半導體元件</v>
      </c>
      <c r="F6" t="str">
        <f>_xll.BDP("AVGO UW Equity","CLASSIFICATION_DESCRIPTION")</f>
        <v>特殊用途通訊</v>
      </c>
      <c r="G6">
        <f>_xll.BDP("AVGO UW Equity","CUR_MKT_CAP")</f>
        <v>1364853208686.22</v>
      </c>
      <c r="H6">
        <f>_xll.BDP("AVGO UW Equity","CHG_PCT_YTD")</f>
        <v>25.163910000000001</v>
      </c>
      <c r="I6" t="str">
        <f>_xll.BDP("AVGO UW Equity","CIE_DES")</f>
        <v>博通公司（Broadcom Inc.）設計、開發及供應半導體及基礎設施軟體解決方案。該公司提供存儲配接器、控制器、網路處理器、運動控制編碼器與光學感應器，以及基礎設施和安全軟體，以實現複雜混合環境的現代化、最佳化和安全。博通服務全球客戶。</v>
      </c>
      <c r="J6">
        <f>_xll.BDP("AVGO UW Equity","ESG_SCORE")</f>
        <v>4.9499998092651367</v>
      </c>
      <c r="K6" t="str">
        <f>_xll.BDP("AVGO UW Equity","MSCI_ESG_RATING")</f>
        <v>AA</v>
      </c>
      <c r="L6">
        <f>_xll.BDP("AVGO UW Equity","EQY_BETA")</f>
        <v>1.9005293846130371</v>
      </c>
      <c r="M6">
        <f>_xll.BDP("AVGO UW Equity","VOLATILITY_60D")</f>
        <v>32.643935168270232</v>
      </c>
      <c r="N6">
        <f>_xll.BDP("AVGO UW Equity","PCT_INSIDER_SHARES_OUT")</f>
        <v>0.10075901392822449</v>
      </c>
      <c r="O6">
        <f>_xll.BDP("AVGO UW Equity","PCT_CHG_INSIDER_HOLDINGS")</f>
        <v>-18.907617737561392</v>
      </c>
      <c r="P6">
        <f>_xll.BDP("AVGO UW Equity","RISK_PREMIUM")</f>
        <v>9.7902540348386768</v>
      </c>
      <c r="Q6">
        <f>_xll.BDP("AVGO UW Equity","HIGH_52WEEK")</f>
        <v>292.57</v>
      </c>
      <c r="R6">
        <f>_xll.BDP("AVGO UW Equity","LOW_52WEEK")</f>
        <v>128.5</v>
      </c>
    </row>
    <row r="7" spans="1:18" ht="15.75" x14ac:dyDescent="0.25">
      <c r="A7" t="s">
        <v>23</v>
      </c>
      <c r="B7">
        <f>_xll.BDP("BA UN Equity","RT_PX_CHG_PCT_1D")</f>
        <v>0.77399998903274536</v>
      </c>
      <c r="C7" t="str">
        <f>_xll.BDP("BA UN Equity","GICS_SECTOR_NAME")</f>
        <v>工業</v>
      </c>
      <c r="D7" t="str">
        <f>_xll.BDP("BA UN Equity","NAME_CHINESE_TRADITIONAL")</f>
        <v>波音公司</v>
      </c>
      <c r="E7" t="str">
        <f>_xll.BDP("BA UN Equity","CLASSIFICATION_LEVEL_4_NAME")</f>
        <v>飛機及零件</v>
      </c>
      <c r="F7" t="str">
        <f>_xll.BDP("BA UN Equity","CLASSIFICATION_DESCRIPTION")</f>
        <v>飛機</v>
      </c>
      <c r="G7">
        <f>_xll.BDP("BA UN Equity","CUR_MKT_CAP")</f>
        <v>175728515770.44</v>
      </c>
      <c r="H7">
        <f>_xll.BDP("BA UN Equity","CHG_PCT_YTD")</f>
        <v>31.672319999999999</v>
      </c>
      <c r="I7" t="str">
        <f>_xll.BDP("BA UN Equity","CIE_DES")</f>
        <v>波音公司（The Boeing Company）為一家航太公司。該公司開發、製造，並服務商用飛機、國防產品，以及太空系統。波音服務全球客戶。</v>
      </c>
      <c r="J7">
        <f>_xll.BDP("BA UN Equity","ESG_SCORE")</f>
        <v>4.7800002098083496</v>
      </c>
      <c r="K7" t="str">
        <f>_xll.BDP("BA UN Equity","MSCI_ESG_RATING")</f>
        <v>BB</v>
      </c>
      <c r="L7">
        <f>_xll.BDP("BA UN Equity","EQY_BETA")</f>
        <v>1.2639251947402954</v>
      </c>
      <c r="M7">
        <f>_xll.BDP("BA UN Equity","VOLATILITY_60D")</f>
        <v>26.598025981739998</v>
      </c>
      <c r="N7">
        <f>_xll.BDP("BA UN Equity","PCT_INSIDER_SHARES_OUT")</f>
        <v>0.14759508637536459</v>
      </c>
      <c r="O7">
        <f>_xll.BDP("BA UN Equity","PCT_CHG_INSIDER_HOLDINGS")</f>
        <v>10.381127175649331</v>
      </c>
      <c r="P7">
        <f>_xll.BDP("BA UN Equity","RISK_PREMIUM")</f>
        <v>6.5108957734215256</v>
      </c>
      <c r="Q7">
        <f>_xll.BDP("BA UN Equity","HIGH_52WEEK")</f>
        <v>235.21</v>
      </c>
      <c r="R7">
        <f>_xll.BDP("BA UN Equity","LOW_52WEEK")</f>
        <v>128.91999999999999</v>
      </c>
    </row>
    <row r="8" spans="1:18" ht="15.75" x14ac:dyDescent="0.25">
      <c r="A8" t="s">
        <v>24</v>
      </c>
      <c r="B8">
        <f>_xll.BDP("SOLV UN Equity","RT_PX_CHG_PCT_1D")</f>
        <v>1.1092000007629395</v>
      </c>
      <c r="C8" t="str">
        <f>_xll.BDP("SOLV UN Equity","GICS_SECTOR_NAME")</f>
        <v>醫療保健</v>
      </c>
      <c r="D8" t="str">
        <f>_xll.BDP("SOLV UN Equity","NAME_CHINESE_TRADITIONAL")</f>
        <v>Solventum公司</v>
      </c>
      <c r="E8" t="str">
        <f>_xll.BDP("SOLV UN Equity","CLASSIFICATION_LEVEL_4_NAME")</f>
        <v>醫療保健用品</v>
      </c>
      <c r="F8" t="str">
        <f>_xll.BDP("SOLV UN Equity","CLASSIFICATION_DESCRIPTION")</f>
        <v>醫療保健用品</v>
      </c>
      <c r="G8">
        <f>_xll.BDP("SOLV UN Equity","CUR_MKT_CAP")</f>
        <v>12932715919.5</v>
      </c>
      <c r="H8">
        <f>_xll.BDP("SOLV UN Equity","CHG_PCT_YTD")</f>
        <v>13.15471</v>
      </c>
      <c r="I8" t="str">
        <f>_xll.BDP("SOLV UN Equity","CIE_DES")</f>
        <v>Solventum公司(Solventum Corporation)為一家醫療保健解決方案公司。該公司利用材料與數據科學、臨床研究，以及數位能力，從事開發、製造，並商業化各種解決方案。Solventum經營分離與純化、健康資訊、醫療解決方案、醫療裝置元件，以及口腔護理市場。</v>
      </c>
      <c r="J8" t="str">
        <f>_xll.BDP("SOLV UN Equity","ESG_SCORE")</f>
        <v>#N/A Field Not Applicable</v>
      </c>
      <c r="K8" t="str">
        <f>_xll.BDP("SOLV UN Equity","MSCI_ESG_RATING")</f>
        <v>N.S.</v>
      </c>
      <c r="L8" t="str">
        <f>_xll.BDP("SOLV UN Equity","EQY_BETA")</f>
        <v>#N/A N/A</v>
      </c>
      <c r="M8">
        <f>_xll.BDP("SOLV UN Equity","VOLATILITY_60D")</f>
        <v>29.870089258245574</v>
      </c>
      <c r="N8">
        <f>_xll.BDP("SOLV UN Equity","PCT_INSIDER_SHARES_OUT")</f>
        <v>9.9176419792974965E-2</v>
      </c>
      <c r="O8">
        <f>_xll.BDP("SOLV UN Equity","PCT_CHG_INSIDER_HOLDINGS")</f>
        <v>131.40348747825382</v>
      </c>
      <c r="P8">
        <f>_xll.BDP("SOLV UN Equity","RISK_PREMIUM")</f>
        <v>5.1513299999999997</v>
      </c>
      <c r="Q8">
        <f>_xll.BDP("SOLV UN Equity","HIGH_52WEEK")</f>
        <v>85.92</v>
      </c>
      <c r="R8">
        <f>_xll.BDP("SOLV UN Equity","LOW_52WEEK")</f>
        <v>54.5</v>
      </c>
    </row>
    <row r="9" spans="1:18" ht="15.75" x14ac:dyDescent="0.25">
      <c r="A9" t="s">
        <v>25</v>
      </c>
      <c r="B9">
        <f>_xll.BDP("CAT UN Equity","RT_PX_CHG_PCT_1D")</f>
        <v>0.98479998111724854</v>
      </c>
      <c r="C9" t="str">
        <f>_xll.BDP("CAT UN Equity","GICS_SECTOR_NAME")</f>
        <v>工業</v>
      </c>
      <c r="D9" t="str">
        <f>_xll.BDP("CAT UN Equity","NAME_CHINESE_TRADITIONAL")</f>
        <v>卡特彼勒公司</v>
      </c>
      <c r="E9" t="str">
        <f>_xll.BDP("CAT UN Equity","CLASSIFICATION_LEVEL_4_NAME")</f>
        <v>營建及礦業機械</v>
      </c>
      <c r="F9" t="str">
        <f>_xll.BDP("CAT UN Equity","CLASSIFICATION_DESCRIPTION")</f>
        <v>營建業機械</v>
      </c>
      <c r="G9">
        <f>_xll.BDP("CAT UN Equity","CUR_MKT_CAP")</f>
        <v>203999121707.5</v>
      </c>
      <c r="H9">
        <f>_xll.BDP("CAT UN Equity","CHG_PCT_YTD")</f>
        <v>19.569410000000001</v>
      </c>
      <c r="I9" t="str">
        <f>_xll.BDP("CAT UN Equity","CIE_DES")</f>
        <v>卡特彼勒公司（Caterpillar Inc.）製造施工與採礦設備，提供反剷與滑向裝載機、推土機、引擎、挖掘機、發電機以及平地機，亦提供天然氣引擎、渦輪和柴油機車，服務全球客戶。</v>
      </c>
      <c r="J9">
        <f>_xll.BDP("CAT UN Equity","ESG_SCORE")</f>
        <v>5.0199999809265137</v>
      </c>
      <c r="K9" t="str">
        <f>_xll.BDP("CAT UN Equity","MSCI_ESG_RATING")</f>
        <v>AA</v>
      </c>
      <c r="L9">
        <f>_xll.BDP("CAT UN Equity","EQY_BETA")</f>
        <v>1.0756486654281616</v>
      </c>
      <c r="M9">
        <f>_xll.BDP("CAT UN Equity","VOLATILITY_60D")</f>
        <v>21.534517608437913</v>
      </c>
      <c r="N9">
        <f>_xll.BDP("CAT UN Equity","PCT_INSIDER_SHARES_OUT")</f>
        <v>0.21789035008451782</v>
      </c>
      <c r="O9">
        <f>_xll.BDP("CAT UN Equity","PCT_CHG_INSIDER_HOLDINGS")</f>
        <v>10.615634226663333</v>
      </c>
      <c r="P9">
        <f>_xll.BDP("CAT UN Equity","RISK_PREMIUM")</f>
        <v>5.5410212396800516</v>
      </c>
      <c r="Q9">
        <f>_xll.BDP("CAT UN Equity","HIGH_52WEEK")</f>
        <v>434.72</v>
      </c>
      <c r="R9">
        <f>_xll.BDP("CAT UN Equity","LOW_52WEEK")</f>
        <v>267.31</v>
      </c>
    </row>
    <row r="10" spans="1:18" ht="15.75" x14ac:dyDescent="0.25">
      <c r="A10" t="s">
        <v>26</v>
      </c>
      <c r="B10">
        <f>_xll.BDP("JPM UN Equity","RT_PX_CHG_PCT_1D")</f>
        <v>0.69800001382827759</v>
      </c>
      <c r="C10" t="str">
        <f>_xll.BDP("JPM UN Equity","GICS_SECTOR_NAME")</f>
        <v>金融</v>
      </c>
      <c r="D10" t="str">
        <f>_xll.BDP("JPM UN Equity","NAME_CHINESE_TRADITIONAL")</f>
        <v>摩根大通銀行</v>
      </c>
      <c r="E10" t="str">
        <f>_xll.BDP("JPM UN Equity","CLASSIFICATION_LEVEL_4_NAME")</f>
        <v>多元化銀行</v>
      </c>
      <c r="F10" t="str">
        <f>_xll.BDP("JPM UN Equity","CLASSIFICATION_DESCRIPTION")</f>
        <v>多元化銀行</v>
      </c>
      <c r="G10">
        <f>_xll.BDP("JPM UN Equity","CUR_MKT_CAP")</f>
        <v>829893196006.55994</v>
      </c>
      <c r="H10">
        <f>_xll.BDP("JPM UN Equity","CHG_PCT_YTD")</f>
        <v>24.575530000000001</v>
      </c>
      <c r="I10" t="str">
        <f>_xll.BDP("JPM UN Equity","CIE_DES")</f>
        <v>摩根大通銀行 (JPMorgan Chase &amp; Co.) 提供全球金融服務及消費銀行服務。該公司的業務範圍包括：投資銀行、公債及其他證券服務、資產管理、私人銀行、信用卡會員服務、商業銀行及房屋貸款。主要客戶則為企業、機構及個人。</v>
      </c>
      <c r="J10">
        <f>_xll.BDP("JPM UN Equity","ESG_SCORE")</f>
        <v>4.7600002288818359</v>
      </c>
      <c r="K10" t="str">
        <f>_xll.BDP("JPM UN Equity","MSCI_ESG_RATING")</f>
        <v>A</v>
      </c>
      <c r="L10">
        <f>_xll.BDP("JPM UN Equity","EQY_BETA")</f>
        <v>1.0964080095291138</v>
      </c>
      <c r="M10">
        <f>_xll.BDP("JPM UN Equity","VOLATILITY_60D")</f>
        <v>17.295224689661858</v>
      </c>
      <c r="N10">
        <f>_xll.BDP("JPM UN Equity","PCT_INSIDER_SHARES_OUT")</f>
        <v>0.35660029931697163</v>
      </c>
      <c r="O10">
        <f>_xll.BDP("JPM UN Equity","PCT_CHG_INSIDER_HOLDINGS")</f>
        <v>-9.7661398676292972</v>
      </c>
      <c r="P10">
        <f>_xll.BDP("JPM UN Equity","RISK_PREMIUM")</f>
        <v>5.6479594717276091</v>
      </c>
      <c r="Q10">
        <f>_xll.BDP("JPM UN Equity","HIGH_52WEEK")</f>
        <v>299.55</v>
      </c>
      <c r="R10">
        <f>_xll.BDP("JPM UN Equity","LOW_52WEEK")</f>
        <v>190.95</v>
      </c>
    </row>
    <row r="11" spans="1:18" ht="15.75" x14ac:dyDescent="0.25">
      <c r="A11" t="s">
        <v>27</v>
      </c>
      <c r="B11">
        <f>_xll.BDP("CVX UN Equity","RT_PX_CHG_PCT_1D")</f>
        <v>-0.63529998064041138</v>
      </c>
      <c r="C11" t="str">
        <f>_xll.BDP("CVX UN Equity","GICS_SECTOR_NAME")</f>
        <v>能源</v>
      </c>
      <c r="D11" t="str">
        <f>_xll.BDP("CVX UN Equity","NAME_CHINESE_TRADITIONAL")</f>
        <v>雪佛龍公司</v>
      </c>
      <c r="E11" t="str">
        <f>_xll.BDP("CVX UN Equity","CLASSIFICATION_LEVEL_4_NAME")</f>
        <v>綜合性石油業</v>
      </c>
      <c r="F11" t="str">
        <f>_xll.BDP("CVX UN Equity","CLASSIFICATION_DESCRIPTION")</f>
        <v>綜合性石油業</v>
      </c>
      <c r="G11">
        <f>_xll.BDP("CVX UN Equity","CUR_MKT_CAP")</f>
        <v>317018472250.20001</v>
      </c>
      <c r="H11">
        <f>_xll.BDP("CVX UN Equity","CHG_PCT_YTD")</f>
        <v>6.9041730000000001</v>
      </c>
      <c r="I11" t="str">
        <f>_xll.BDP("CVX UN Equity","CIE_DES")</f>
        <v>雪佛龍公司（Chevron Corporation）為一家能源公司。該公司製造原油及天然氣，包括運輸燃料、潤滑油、石化產品及添加劑。雪佛龍服務全球的客戶。</v>
      </c>
      <c r="J11">
        <f>_xll.BDP("CVX UN Equity","ESG_SCORE")</f>
        <v>5.3299999237060547</v>
      </c>
      <c r="K11" t="str">
        <f>_xll.BDP("CVX UN Equity","MSCI_ESG_RATING")</f>
        <v>A</v>
      </c>
      <c r="L11">
        <f>_xll.BDP("CVX UN Equity","EQY_BETA")</f>
        <v>0.66785907745361328</v>
      </c>
      <c r="M11">
        <f>_xll.BDP("CVX UN Equity","VOLATILITY_60D")</f>
        <v>20.652150814950339</v>
      </c>
      <c r="N11">
        <f>_xll.BDP("CVX UN Equity","PCT_INSIDER_SHARES_OUT")</f>
        <v>2.5559906886510362E-2</v>
      </c>
      <c r="O11">
        <f>_xll.BDP("CVX UN Equity","PCT_CHG_INSIDER_HOLDINGS")</f>
        <v>8.7144032374668647</v>
      </c>
      <c r="P11">
        <f>_xll.BDP("CVX UN Equity","RISK_PREMIUM")</f>
        <v>3.4403625014591217</v>
      </c>
      <c r="Q11">
        <f>_xll.BDP("CVX UN Equity","HIGH_52WEEK")</f>
        <v>168.95</v>
      </c>
      <c r="R11">
        <f>_xll.BDP("CVX UN Equity","LOW_52WEEK")</f>
        <v>132.06</v>
      </c>
    </row>
    <row r="12" spans="1:18" ht="15.75" x14ac:dyDescent="0.25">
      <c r="A12" t="s">
        <v>28</v>
      </c>
      <c r="B12">
        <f>_xll.BDP("KO UN Equity","RT_PX_CHG_PCT_1D")</f>
        <v>0.10130000114440918</v>
      </c>
      <c r="C12" t="str">
        <f>_xll.BDP("KO UN Equity","GICS_SECTOR_NAME")</f>
        <v>核心消費</v>
      </c>
      <c r="D12" t="str">
        <f>_xll.BDP("KO UN Equity","NAME_CHINESE_TRADITIONAL")</f>
        <v>可口可樂公司</v>
      </c>
      <c r="E12" t="str">
        <f>_xll.BDP("KO UN Equity","CLASSIFICATION_LEVEL_4_NAME")</f>
        <v>非酒精飲料</v>
      </c>
      <c r="F12" t="str">
        <f>_xll.BDP("KO UN Equity","CLASSIFICATION_DESCRIPTION")</f>
        <v>非酒類飲料</v>
      </c>
      <c r="G12">
        <f>_xll.BDP("KO UN Equity","CUR_MKT_CAP")</f>
        <v>297684663820.84003</v>
      </c>
      <c r="H12">
        <f>_xll.BDP("KO UN Equity","CHG_PCT_YTD")</f>
        <v>11.09862</v>
      </c>
      <c r="I12" t="str">
        <f>_xll.BDP("KO UN Equity","CIE_DES")</f>
        <v>可口可樂公司(Coca-Cola Company)製造、銷售，並經銷軟性飲料濃縮液及糖漿。該公司亦經銷並銷售果汁及果汁飲料產品。可口可樂為全球各地的零售商和批發商，經銷其產品。</v>
      </c>
      <c r="J12">
        <f>_xll.BDP("KO UN Equity","ESG_SCORE")</f>
        <v>5.130000114440918</v>
      </c>
      <c r="K12" t="str">
        <f>_xll.BDP("KO UN Equity","MSCI_ESG_RATING")</f>
        <v>AA</v>
      </c>
      <c r="L12">
        <f>_xll.BDP("KO UN Equity","EQY_BETA")</f>
        <v>0.43618521094322205</v>
      </c>
      <c r="M12">
        <f>_xll.BDP("KO UN Equity","VOLATILITY_60D")</f>
        <v>15.322044456775933</v>
      </c>
      <c r="N12">
        <f>_xll.BDP("KO UN Equity","PCT_INSIDER_SHARES_OUT")</f>
        <v>0.61471772792829926</v>
      </c>
      <c r="O12">
        <f>_xll.BDP("KO UN Equity","PCT_CHG_INSIDER_HOLDINGS")</f>
        <v>0.53932414663825079</v>
      </c>
      <c r="P12">
        <f>_xll.BDP("KO UN Equity","RISK_PREMIUM")</f>
        <v>2.2469339626881477</v>
      </c>
      <c r="Q12">
        <f>_xll.BDP("KO UN Equity","HIGH_52WEEK")</f>
        <v>74.38</v>
      </c>
      <c r="R12">
        <f>_xll.BDP("KO UN Equity","LOW_52WEEK")</f>
        <v>60.615000000000002</v>
      </c>
    </row>
    <row r="13" spans="1:18" ht="15.75" x14ac:dyDescent="0.25">
      <c r="A13" t="s">
        <v>29</v>
      </c>
      <c r="B13">
        <f>_xll.BDP("ABBV UN Equity","RT_PX_CHG_PCT_1D")</f>
        <v>-0.28819999098777771</v>
      </c>
      <c r="C13" t="str">
        <f>_xll.BDP("ABBV UN Equity","GICS_SECTOR_NAME")</f>
        <v>醫療保健</v>
      </c>
      <c r="D13" t="str">
        <f>_xll.BDP("ABBV UN Equity","NAME_CHINESE_TRADITIONAL")</f>
        <v>艾伯維公司</v>
      </c>
      <c r="E13" t="str">
        <f>_xll.BDP("ABBV UN Equity","CLASSIFICATION_LEVEL_4_NAME")</f>
        <v>大型製藥業</v>
      </c>
      <c r="F13" t="str">
        <f>_xll.BDP("ABBV UN Equity","CLASSIFICATION_DESCRIPTION")</f>
        <v>大型製藥業</v>
      </c>
      <c r="G13">
        <f>_xll.BDP("ABBV UN Equity","CUR_MKT_CAP")</f>
        <v>336111167977.55994</v>
      </c>
      <c r="H13">
        <f>_xll.BDP("ABBV UN Equity","CHG_PCT_YTD")</f>
        <v>7.0793489999999997</v>
      </c>
      <c r="I13" t="str">
        <f>_xll.BDP("ABBV UN Equity","CIE_DES")</f>
        <v>艾伯維公司（AbbVie Inc.）為一家研究型生物製藥公司。該公司探索並開發解決免疫學、腫瘤、醫美、神經科學，以及眼部護理健康問題的藥物和療法。艾伯維服務全球病患。</v>
      </c>
      <c r="J13">
        <f>_xll.BDP("ABBV UN Equity","ESG_SCORE")</f>
        <v>4.75</v>
      </c>
      <c r="K13" t="str">
        <f>_xll.BDP("ABBV UN Equity","MSCI_ESG_RATING")</f>
        <v>A</v>
      </c>
      <c r="L13">
        <f>_xll.BDP("ABBV UN Equity","EQY_BETA")</f>
        <v>0.54606157541275024</v>
      </c>
      <c r="M13">
        <f>_xll.BDP("ABBV UN Equity","VOLATILITY_60D")</f>
        <v>26.481718115685421</v>
      </c>
      <c r="N13">
        <f>_xll.BDP("ABBV UN Equity","PCT_INSIDER_SHARES_OUT")</f>
        <v>7.5036727179471505E-2</v>
      </c>
      <c r="O13">
        <f>_xll.BDP("ABBV UN Equity","PCT_CHG_INSIDER_HOLDINGS")</f>
        <v>5.2167362316171504</v>
      </c>
      <c r="P13">
        <f>_xll.BDP("ABBV UN Equity","RISK_PREMIUM")</f>
        <v>2.8129433752709625</v>
      </c>
      <c r="Q13">
        <f>_xll.BDP("ABBV UN Equity","HIGH_52WEEK")</f>
        <v>218.6</v>
      </c>
      <c r="R13">
        <f>_xll.BDP("ABBV UN Equity","LOW_52WEEK")</f>
        <v>163.9</v>
      </c>
    </row>
    <row r="14" spans="1:18" ht="15.75" x14ac:dyDescent="0.25">
      <c r="A14" t="s">
        <v>30</v>
      </c>
      <c r="B14">
        <f>_xll.BDP("DIS UN Equity","RT_PX_CHG_PCT_1D")</f>
        <v>-0.3935999870300293</v>
      </c>
      <c r="C14" t="str">
        <f>_xll.BDP("DIS UN Equity","GICS_SECTOR_NAME")</f>
        <v>通訊服務</v>
      </c>
      <c r="D14" t="str">
        <f>_xll.BDP("DIS UN Equity","NAME_CHINESE_TRADITIONAL")</f>
        <v>華特迪士尼公司</v>
      </c>
      <c r="E14" t="str">
        <f>_xll.BDP("DIS UN Equity","CLASSIFICATION_LEVEL_4_NAME")</f>
        <v>影片及電視</v>
      </c>
      <c r="F14" t="str">
        <f>_xll.BDP("DIS UN Equity","CLASSIFICATION_DESCRIPTION")</f>
        <v>電視媒體網路</v>
      </c>
      <c r="G14">
        <f>_xll.BDP("DIS UN Equity","CUR_MKT_CAP")</f>
        <v>218372244397.16998</v>
      </c>
      <c r="H14">
        <f>_xll.BDP("DIS UN Equity","CHG_PCT_YTD")</f>
        <v>9.0884610000000006</v>
      </c>
      <c r="I14" t="str">
        <f>_xll.BDP("DIS UN Equity","CIE_DES")</f>
        <v>華特迪士尼公司(The Walt Disney Company)為娛樂及媒體企業公司。該公司的商業部門包括：媒體網路、公園與度假村、影業娛樂、消費產品，以及互動媒體。華特迪士尼服務全球客戶。</v>
      </c>
      <c r="J14">
        <f>_xll.BDP("DIS UN Equity","ESG_SCORE")</f>
        <v>4.2899999618530273</v>
      </c>
      <c r="K14" t="str">
        <f>_xll.BDP("DIS UN Equity","MSCI_ESG_RATING")</f>
        <v>BBB</v>
      </c>
      <c r="L14">
        <f>_xll.BDP("DIS UN Equity","EQY_BETA")</f>
        <v>0.92391639947891235</v>
      </c>
      <c r="M14">
        <f>_xll.BDP("DIS UN Equity","VOLATILITY_60D")</f>
        <v>28.015934905804901</v>
      </c>
      <c r="N14">
        <f>_xll.BDP("DIS UN Equity","PCT_INSIDER_SHARES_OUT")</f>
        <v>3.3712793787331462E-2</v>
      </c>
      <c r="O14">
        <f>_xll.BDP("DIS UN Equity","PCT_CHG_INSIDER_HOLDINGS")</f>
        <v>4.2548228464613418</v>
      </c>
      <c r="P14">
        <f>_xll.BDP("DIS UN Equity","RISK_PREMIUM")</f>
        <v>4.7593982661277057</v>
      </c>
      <c r="Q14">
        <f>_xll.BDP("DIS UN Equity","HIGH_52WEEK")</f>
        <v>124.67</v>
      </c>
      <c r="R14">
        <f>_xll.BDP("DIS UN Equity","LOW_52WEEK")</f>
        <v>80.099999999999994</v>
      </c>
    </row>
    <row r="15" spans="1:18" ht="15.75" x14ac:dyDescent="0.25">
      <c r="A15" t="s">
        <v>31</v>
      </c>
      <c r="B15">
        <f>_xll.BDP("CPAY UN Equity","RT_PX_CHG_PCT_1D")</f>
        <v>0.69550001621246338</v>
      </c>
      <c r="C15" t="str">
        <f>_xll.BDP("CPAY UN Equity","GICS_SECTOR_NAME")</f>
        <v>金融</v>
      </c>
      <c r="D15" t="str">
        <f>_xll.BDP("CPAY UN Equity","NAME_CHINESE_TRADITIONAL")</f>
        <v>Corpay公司</v>
      </c>
      <c r="E15" t="str">
        <f>_xll.BDP("CPAY UN Equity","CLASSIFICATION_LEVEL_4_NAME")</f>
        <v>其它金融服務</v>
      </c>
      <c r="F15" t="str">
        <f>_xll.BDP("CPAY UN Equity","CLASSIFICATION_DESCRIPTION")</f>
        <v>金融交易處理服務</v>
      </c>
      <c r="G15">
        <f>_xll.BDP("CPAY UN Equity","CUR_MKT_CAP")</f>
        <v>23676635387.369999</v>
      </c>
      <c r="H15">
        <f>_xll.BDP("CPAY UN Equity","CHG_PCT_YTD")</f>
        <v>-0.75350550000000005</v>
      </c>
      <c r="I15" t="str">
        <f>_xll.BDP("CPAY UN Equity","CIE_DES")</f>
        <v>Corpay公司(Corpay, Inc.)為一家商業支付公司。該公司提供全球支付、貨幣風險管理，以及發票自動化解決方案，幫助企業控制、簡化，並確保支付車輛相關費用、一般應付款、通行費、保險，以及住宿費用。Corpay服務全球客戶。</v>
      </c>
      <c r="J15">
        <f>_xll.BDP("CPAY UN Equity","ESG_SCORE")</f>
        <v>2.940000057220459</v>
      </c>
      <c r="K15" t="str">
        <f>_xll.BDP("CPAY UN Equity","MSCI_ESG_RATING")</f>
        <v>BB</v>
      </c>
      <c r="L15">
        <f>_xll.BDP("CPAY UN Equity","EQY_BETA")</f>
        <v>1.1440132856369019</v>
      </c>
      <c r="M15">
        <f>_xll.BDP("CPAY UN Equity","VOLATILITY_60D")</f>
        <v>34.456468607785929</v>
      </c>
      <c r="N15">
        <f>_xll.BDP("CPAY UN Equity","PCT_INSIDER_SHARES_OUT")</f>
        <v>3.5706069145431245</v>
      </c>
      <c r="O15">
        <f>_xll.BDP("CPAY UN Equity","PCT_CHG_INSIDER_HOLDINGS")</f>
        <v>5.7370926966646145</v>
      </c>
      <c r="P15">
        <f>_xll.BDP("CPAY UN Equity","RISK_PREMIUM")</f>
        <v>5.8931899586999412</v>
      </c>
      <c r="Q15">
        <f>_xll.BDP("CPAY UN Equity","HIGH_52WEEK")</f>
        <v>400.5</v>
      </c>
      <c r="R15">
        <f>_xll.BDP("CPAY UN Equity","LOW_52WEEK")</f>
        <v>265.2</v>
      </c>
    </row>
    <row r="16" spans="1:18" ht="15.75" x14ac:dyDescent="0.25">
      <c r="A16" t="s">
        <v>32</v>
      </c>
      <c r="B16">
        <f>_xll.BDP("EXR UN Equity","RT_PX_CHG_PCT_1D")</f>
        <v>0.23250000178813934</v>
      </c>
      <c r="C16" t="str">
        <f>_xll.BDP("EXR UN Equity","GICS_SECTOR_NAME")</f>
        <v>房地產</v>
      </c>
      <c r="D16" t="str">
        <f>_xll.BDP("EXR UN Equity","NAME_CHINESE_TRADITIONAL")</f>
        <v>額外空間倉儲公司</v>
      </c>
      <c r="E16" t="str">
        <f>_xll.BDP("EXR UN Equity","CLASSIFICATION_LEVEL_4_NAME")</f>
        <v>自助倉儲 REIT</v>
      </c>
      <c r="F16" t="str">
        <f>_xll.BDP("EXR UN Equity","CLASSIFICATION_DESCRIPTION")</f>
        <v>自助倉儲 REIT</v>
      </c>
      <c r="G16">
        <f>_xll.BDP("EXR UN Equity","CUR_MKT_CAP")</f>
        <v>32014133507.660004</v>
      </c>
      <c r="H16">
        <f>_xll.BDP("EXR UN Equity","CHG_PCT_YTD")</f>
        <v>0.84224189999999999</v>
      </c>
      <c r="I16" t="str">
        <f>_xll.BDP("EXR UN Equity","CIE_DES")</f>
        <v>額外空間倉儲公司(Extra Space Storage Inc.)為一家完全整合、自行經營，以及自行管理的不動產投資信託。該公司擁有、經營、收購、開發，並重新開發專業管理的自助倉儲物業。額外空間倉儲服務美國的客戶。</v>
      </c>
      <c r="J16">
        <f>_xll.BDP("EXR UN Equity","ESG_SCORE")</f>
        <v>4.9600000381469727</v>
      </c>
      <c r="K16" t="str">
        <f>_xll.BDP("EXR UN Equity","MSCI_ESG_RATING")</f>
        <v>BB</v>
      </c>
      <c r="L16">
        <f>_xll.BDP("EXR UN Equity","EQY_BETA")</f>
        <v>0.84666335582733154</v>
      </c>
      <c r="M16">
        <f>_xll.BDP("EXR UN Equity","VOLATILITY_60D")</f>
        <v>19.455152289320445</v>
      </c>
      <c r="N16">
        <f>_xll.BDP("EXR UN Equity","PCT_INSIDER_SHARES_OUT")</f>
        <v>0.78664243919610155</v>
      </c>
      <c r="O16">
        <f>_xll.BDP("EXR UN Equity","PCT_CHG_INSIDER_HOLDINGS")</f>
        <v>3.9480353537932347</v>
      </c>
      <c r="P16">
        <f>_xll.BDP("EXR UN Equity","RISK_PREMIUM")</f>
        <v>4.3614423447740078</v>
      </c>
      <c r="Q16">
        <f>_xll.BDP("EXR UN Equity","HIGH_52WEEK")</f>
        <v>184.5</v>
      </c>
      <c r="R16">
        <f>_xll.BDP("EXR UN Equity","LOW_52WEEK")</f>
        <v>121.18</v>
      </c>
    </row>
    <row r="17" spans="1:18" ht="15.75" x14ac:dyDescent="0.25">
      <c r="A17" t="s">
        <v>33</v>
      </c>
      <c r="B17">
        <f>_xll.BDP("XOM UN Equity","RT_PX_CHG_PCT_1D")</f>
        <v>-0.35199999809265137</v>
      </c>
      <c r="C17" t="str">
        <f>_xll.BDP("XOM UN Equity","GICS_SECTOR_NAME")</f>
        <v>能源</v>
      </c>
      <c r="D17" t="str">
        <f>_xll.BDP("XOM UN Equity","NAME_CHINESE_TRADITIONAL")</f>
        <v>埃克森美孚公司</v>
      </c>
      <c r="E17" t="str">
        <f>_xll.BDP("XOM UN Equity","CLASSIFICATION_LEVEL_4_NAME")</f>
        <v>綜合性石油業</v>
      </c>
      <c r="F17" t="str">
        <f>_xll.BDP("XOM UN Equity","CLASSIFICATION_DESCRIPTION")</f>
        <v>綜合性石油業</v>
      </c>
      <c r="G17">
        <f>_xll.BDP("XOM UN Equity","CUR_MKT_CAP")</f>
        <v>475784125838.39996</v>
      </c>
      <c r="H17">
        <f>_xll.BDP("XOM UN Equity","CHG_PCT_YTD")</f>
        <v>2.6308449999999999</v>
      </c>
      <c r="I17" t="str">
        <f>_xll.BDP("XOM UN Equity","CIE_DES")</f>
        <v>埃克森美孚公司(Exxon Mobil Corporation)為一家石油與天然氣生產公司。該公司針對汽車、卡車、航空，以及航運產業，提供探勘與生產整合燃料、潤滑劑、化學品，以及精煉產品，以減少溫室氣體排放量。埃克森美孚服務全球客戶。</v>
      </c>
      <c r="J17">
        <f>_xll.BDP("XOM UN Equity","ESG_SCORE")</f>
        <v>5.3899998664855957</v>
      </c>
      <c r="K17" t="str">
        <f>_xll.BDP("XOM UN Equity","MSCI_ESG_RATING")</f>
        <v>BB</v>
      </c>
      <c r="L17">
        <f>_xll.BDP("XOM UN Equity","EQY_BETA")</f>
        <v>0.54432201385498047</v>
      </c>
      <c r="M17">
        <f>_xll.BDP("XOM UN Equity","VOLATILITY_60D")</f>
        <v>21.93028567971713</v>
      </c>
      <c r="N17">
        <f>_xll.BDP("XOM UN Equity","PCT_INSIDER_SHARES_OUT")</f>
        <v>0.17802506328952372</v>
      </c>
      <c r="O17">
        <f>_xll.BDP("XOM UN Equity","PCT_CHG_INSIDER_HOLDINGS")</f>
        <v>-0.19741360194663668</v>
      </c>
      <c r="P17">
        <f>_xll.BDP("XOM UN Equity","RISK_PREMIUM")</f>
        <v>2.8039823196315763</v>
      </c>
      <c r="Q17">
        <f>_xll.BDP("XOM UN Equity","HIGH_52WEEK")</f>
        <v>126.34</v>
      </c>
      <c r="R17">
        <f>_xll.BDP("XOM UN Equity","LOW_52WEEK")</f>
        <v>97.81</v>
      </c>
    </row>
    <row r="18" spans="1:18" ht="15.75" x14ac:dyDescent="0.25">
      <c r="A18" t="s">
        <v>34</v>
      </c>
      <c r="B18">
        <f>_xll.BDP("PSX UN Equity","RT_PX_CHG_PCT_1D")</f>
        <v>0.5228000283241272</v>
      </c>
      <c r="C18" t="str">
        <f>_xll.BDP("PSX UN Equity","GICS_SECTOR_NAME")</f>
        <v>能源</v>
      </c>
      <c r="D18" t="str">
        <f>_xll.BDP("PSX UN Equity","NAME_CHINESE_TRADITIONAL")</f>
        <v>菲利普66</v>
      </c>
      <c r="E18" t="str">
        <f>_xll.BDP("PSX UN Equity","CLASSIFICATION_LEVEL_4_NAME")</f>
        <v>提煉及行銷</v>
      </c>
      <c r="F18" t="str">
        <f>_xll.BDP("PSX UN Equity","CLASSIFICATION_DESCRIPTION")</f>
        <v>加油站</v>
      </c>
      <c r="G18">
        <f>_xll.BDP("PSX UN Equity","CUR_MKT_CAP")</f>
        <v>50917432132.739998</v>
      </c>
      <c r="H18">
        <f>_xll.BDP("PSX UN Equity","CHG_PCT_YTD")</f>
        <v>9.6901600000000006</v>
      </c>
      <c r="I18" t="str">
        <f>_xll.BDP("PSX UN Equity","CIE_DES")</f>
        <v>菲利普66（Phillips 66）為一家下游能源供應商。該公司製造、運輸並銷售燃料、化 學物品、中游能源及新興能源產品與服務。菲利普66服務全球客戶。</v>
      </c>
      <c r="J18">
        <f>_xll.BDP("PSX UN Equity","ESG_SCORE")</f>
        <v>4.8899998664855957</v>
      </c>
      <c r="K18" t="str">
        <f>_xll.BDP("PSX UN Equity","MSCI_ESG_RATING")</f>
        <v>AA</v>
      </c>
      <c r="L18">
        <f>_xll.BDP("PSX UN Equity","EQY_BETA")</f>
        <v>1.0064213275909424</v>
      </c>
      <c r="M18">
        <f>_xll.BDP("PSX UN Equity","VOLATILITY_60D")</f>
        <v>36.027093836904065</v>
      </c>
      <c r="N18">
        <f>_xll.BDP("PSX UN Equity","PCT_INSIDER_SHARES_OUT")</f>
        <v>0.38710082748948788</v>
      </c>
      <c r="O18">
        <f>_xll.BDP("PSX UN Equity","PCT_CHG_INSIDER_HOLDINGS")</f>
        <v>4.015277171521439</v>
      </c>
      <c r="P18">
        <f>_xll.BDP("PSX UN Equity","RISK_PREMIUM")</f>
        <v>5.1844083774590493</v>
      </c>
      <c r="Q18">
        <f>_xll.BDP("PSX UN Equity","HIGH_52WEEK")</f>
        <v>150.1</v>
      </c>
      <c r="R18">
        <f>_xll.BDP("PSX UN Equity","LOW_52WEEK")</f>
        <v>91.02</v>
      </c>
    </row>
    <row r="19" spans="1:18" ht="15.75" x14ac:dyDescent="0.25">
      <c r="A19" t="s">
        <v>35</v>
      </c>
      <c r="B19">
        <f>_xll.BDP("GE UN Equity","RT_PX_CHG_PCT_1D")</f>
        <v>1.3358000516891479</v>
      </c>
      <c r="C19" t="str">
        <f>_xll.BDP("GE UN Equity","GICS_SECTOR_NAME")</f>
        <v>工業</v>
      </c>
      <c r="D19" t="str">
        <f>_xll.BDP("GE UN Equity","NAME_CHINESE_TRADITIONAL")</f>
        <v>奇異公司</v>
      </c>
      <c r="E19" t="str">
        <f>_xll.BDP("GE UN Equity","CLASSIFICATION_LEVEL_4_NAME")</f>
        <v>飛機及零件</v>
      </c>
      <c r="F19" t="str">
        <f>_xll.BDP("GE UN Equity","CLASSIFICATION_DESCRIPTION")</f>
        <v>飛機引擎及引擎零件</v>
      </c>
      <c r="G19">
        <f>_xll.BDP("GE UN Equity","CUR_MKT_CAP")</f>
        <v>288004733115.32996</v>
      </c>
      <c r="H19">
        <f>_xll.BDP("GE UN Equity","CHG_PCT_YTD")</f>
        <v>62.833509999999997</v>
      </c>
      <c r="I19" t="str">
        <f>_xll.BDP("GE UN Equity","CIE_DES")</f>
        <v>奇異公司（GE Electric Co）（以「奇異航太」(GE Aerospace)執行業務）為一家飛機引擎供應商公司。該公司提供噴射與渦輪螺旋槳引擎，以及商業、軍事、企業，與通用航空飛機的整合系統。奇異航太服務全球客戶。</v>
      </c>
      <c r="J19">
        <f>_xll.BDP("GE UN Equity","ESG_SCORE")</f>
        <v>4.8499999046325684</v>
      </c>
      <c r="K19" t="str">
        <f>_xll.BDP("GE UN Equity","MSCI_ESG_RATING")</f>
        <v>BBB</v>
      </c>
      <c r="L19">
        <f>_xll.BDP("GE UN Equity","EQY_BETA")</f>
        <v>1.2045161724090576</v>
      </c>
      <c r="M19">
        <f>_xll.BDP("GE UN Equity","VOLATILITY_60D")</f>
        <v>23.462489423709417</v>
      </c>
      <c r="N19">
        <f>_xll.BDP("GE UN Equity","PCT_INSIDER_SHARES_OUT")</f>
        <v>0.18881736714700231</v>
      </c>
      <c r="O19">
        <f>_xll.BDP("GE UN Equity","PCT_CHG_INSIDER_HOLDINGS")</f>
        <v>2.2208597037662519</v>
      </c>
      <c r="P19">
        <f>_xll.BDP("GE UN Equity","RISK_PREMIUM")</f>
        <v>6.2048602944159503</v>
      </c>
      <c r="Q19">
        <f>_xll.BDP("GE UN Equity","HIGH_52WEEK")</f>
        <v>272.77499999999998</v>
      </c>
      <c r="R19">
        <f>_xll.BDP("GE UN Equity","LOW_52WEEK")</f>
        <v>150.24</v>
      </c>
    </row>
    <row r="20" spans="1:18" ht="15.75" x14ac:dyDescent="0.25">
      <c r="A20" t="s">
        <v>36</v>
      </c>
      <c r="B20">
        <f>_xll.BDP("HPQ UN Equity","RT_PX_CHG_PCT_1D")</f>
        <v>-3.8899999111890793E-2</v>
      </c>
      <c r="C20" t="str">
        <f>_xll.BDP("HPQ UN Equity","GICS_SECTOR_NAME")</f>
        <v>資訊技術</v>
      </c>
      <c r="D20" t="str">
        <f>_xll.BDP("HPQ UN Equity","NAME_CHINESE_TRADITIONAL")</f>
        <v>惠普公司</v>
      </c>
      <c r="E20" t="str">
        <f>_xll.BDP("HPQ UN Equity","CLASSIFICATION_LEVEL_4_NAME")</f>
        <v>電腦硬體及儲存體</v>
      </c>
      <c r="F20" t="str">
        <f>_xll.BDP("HPQ UN Equity","CLASSIFICATION_DESCRIPTION")</f>
        <v>個人電腦</v>
      </c>
      <c r="G20">
        <f>_xll.BDP("HPQ UN Equity","CUR_MKT_CAP")</f>
        <v>24120527507.039997</v>
      </c>
      <c r="H20">
        <f>_xll.BDP("HPQ UN Equity","CHG_PCT_YTD")</f>
        <v>-21.299420000000001</v>
      </c>
      <c r="I20" t="str">
        <f>_xll.BDP("HPQ UN Equity","CIE_DES")</f>
        <v>惠普公司(HP Inc.)針對商業和家庭，提供計算、影像與列印系統、行動裝置、解決方案，以及服務。該公司提供的產品包括：雷射與噴墨式印表機、掃描器、影印機與傳真機、個人電腦、工作站、儲存解決方案、計算，以及列印系統。惠普於全球各地銷售其產品。</v>
      </c>
      <c r="J20">
        <f>_xll.BDP("HPQ UN Equity","ESG_SCORE")</f>
        <v>5.0100002288818359</v>
      </c>
      <c r="K20" t="str">
        <f>_xll.BDP("HPQ UN Equity","MSCI_ESG_RATING")</f>
        <v>AA</v>
      </c>
      <c r="L20">
        <f>_xll.BDP("HPQ UN Equity","EQY_BETA")</f>
        <v>1.0827046632766724</v>
      </c>
      <c r="M20">
        <f>_xll.BDP("HPQ UN Equity","VOLATILITY_60D")</f>
        <v>34.59173520568352</v>
      </c>
      <c r="N20">
        <f>_xll.BDP("HPQ UN Equity","PCT_INSIDER_SHARES_OUT")</f>
        <v>0.25834280963498468</v>
      </c>
      <c r="O20">
        <f>_xll.BDP("HPQ UN Equity","PCT_CHG_INSIDER_HOLDINGS")</f>
        <v>-1.2313598687070477</v>
      </c>
      <c r="P20">
        <f>_xll.BDP("HPQ UN Equity","RISK_PREMIUM")</f>
        <v>5.5773690130770204</v>
      </c>
      <c r="Q20">
        <f>_xll.BDP("HPQ UN Equity","HIGH_52WEEK")</f>
        <v>39.79</v>
      </c>
      <c r="R20">
        <f>_xll.BDP("HPQ UN Equity","LOW_52WEEK")</f>
        <v>21.21</v>
      </c>
    </row>
    <row r="21" spans="1:18" ht="15.75" x14ac:dyDescent="0.25">
      <c r="A21" t="s">
        <v>37</v>
      </c>
      <c r="B21">
        <f>_xll.BDP("HD UN Equity","RT_PX_CHG_PCT_1D")</f>
        <v>0.6031000018119812</v>
      </c>
      <c r="C21" t="str">
        <f>_xll.BDP("HD UN Equity","GICS_SECTOR_NAME")</f>
        <v>非核心消費</v>
      </c>
      <c r="D21" t="str">
        <f>_xll.BDP("HD UN Equity","NAME_CHINESE_TRADITIONAL")</f>
        <v>家得寶公司</v>
      </c>
      <c r="E21" t="str">
        <f>_xll.BDP("HD UN Equity","CLASSIFICATION_LEVEL_4_NAME")</f>
        <v>家居產品店</v>
      </c>
      <c r="F21" t="str">
        <f>_xll.BDP("HD UN Equity","CLASSIFICATION_DESCRIPTION")</f>
        <v>家居用品中心</v>
      </c>
      <c r="G21">
        <f>_xll.BDP("HD UN Equity","CUR_MKT_CAP")</f>
        <v>373436269889.90002</v>
      </c>
      <c r="H21">
        <f>_xll.BDP("HD UN Equity","CHG_PCT_YTD")</f>
        <v>-3.5090849999999998</v>
      </c>
      <c r="I21" t="str">
        <f>_xll.BDP("HD UN Equity","CIE_DES")</f>
        <v>家得寶公司(The Home Depot, Inc.)為家居修繕零售商。該公司提供各種建築材料、家居修繕、草坪和園藝產品，並提供DIY想法、安裝、維修，以及其它服務。家得寶服務全球客戶。</v>
      </c>
      <c r="J21">
        <f>_xll.BDP("HD UN Equity","ESG_SCORE")</f>
        <v>6.1100001335144043</v>
      </c>
      <c r="K21" t="str">
        <f>_xll.BDP("HD UN Equity","MSCI_ESG_RATING")</f>
        <v>AA</v>
      </c>
      <c r="L21">
        <f>_xll.BDP("HD UN Equity","EQY_BETA")</f>
        <v>0.90213066339492798</v>
      </c>
      <c r="M21">
        <f>_xll.BDP("HD UN Equity","VOLATILITY_60D")</f>
        <v>19.37809879277118</v>
      </c>
      <c r="N21">
        <f>_xll.BDP("HD UN Equity","PCT_INSIDER_SHARES_OUT")</f>
        <v>5.9715049591528221E-2</v>
      </c>
      <c r="O21">
        <f>_xll.BDP("HD UN Equity","PCT_CHG_INSIDER_HOLDINGS")</f>
        <v>4.5299338268315186</v>
      </c>
      <c r="P21">
        <f>_xll.BDP("HD UN Equity","RISK_PREMIUM")</f>
        <v>4.6471727502661944</v>
      </c>
      <c r="Q21">
        <f>_xll.BDP("HD UN Equity","HIGH_52WEEK")</f>
        <v>439.37</v>
      </c>
      <c r="R21">
        <f>_xll.BDP("HD UN Equity","LOW_52WEEK")</f>
        <v>326.31</v>
      </c>
    </row>
    <row r="22" spans="1:18" ht="15.75" x14ac:dyDescent="0.25">
      <c r="A22" t="s">
        <v>38</v>
      </c>
      <c r="B22">
        <f>_xll.BDP("MPWR UW Equity","RT_PX_CHG_PCT_1D")</f>
        <v>0.23559999465942383</v>
      </c>
      <c r="C22" t="str">
        <f>_xll.BDP("MPWR UW Equity","GICS_SECTOR_NAME")</f>
        <v>資訊技術</v>
      </c>
      <c r="D22" t="str">
        <f>_xll.BDP("MPWR UW Equity","NAME_CHINESE_TRADITIONAL")</f>
        <v>芯源系統有限公司</v>
      </c>
      <c r="E22" t="str">
        <f>_xll.BDP("MPWR UW Equity","CLASSIFICATION_LEVEL_4_NAME")</f>
        <v>半導體元件</v>
      </c>
      <c r="F22" t="str">
        <f>_xll.BDP("MPWR UW Equity","CLASSIFICATION_DESCRIPTION")</f>
        <v>電源管理</v>
      </c>
      <c r="G22">
        <f>_xll.BDP("MPWR UW Equity","CUR_MKT_CAP")</f>
        <v>34218878400</v>
      </c>
      <c r="H22">
        <f>_xll.BDP("MPWR UW Equity","CHG_PCT_YTD")</f>
        <v>20.784179999999999</v>
      </c>
      <c r="I22" t="str">
        <f>_xll.BDP("MPWR UW Equity","CIE_DES")</f>
        <v>芯源系統有限公司(Monolithic Power Systems, Inc.)提供半導體電力電子解決方案。該公司提供電源管理IC、隔離式閘極驅動器、電源模組、電池和充電器、負載開關、電感器、類比輸入裝置、感測器、馬達驅動器和控制器以及電子元件。芯源系統服務全球的客戶。</v>
      </c>
      <c r="J22">
        <f>_xll.BDP("MPWR UW Equity","ESG_SCORE")</f>
        <v>4.2100000381469727</v>
      </c>
      <c r="K22" t="str">
        <f>_xll.BDP("MPWR UW Equity","MSCI_ESG_RATING")</f>
        <v>A</v>
      </c>
      <c r="L22">
        <f>_xll.BDP("MPWR UW Equity","EQY_BETA")</f>
        <v>1.9004740715026855</v>
      </c>
      <c r="M22">
        <f>_xll.BDP("MPWR UW Equity","VOLATILITY_60D")</f>
        <v>41.070071052571606</v>
      </c>
      <c r="N22">
        <f>_xll.BDP("MPWR UW Equity","PCT_INSIDER_SHARES_OUT")</f>
        <v>3.4664619883040935</v>
      </c>
      <c r="O22">
        <f>_xll.BDP("MPWR UW Equity","PCT_CHG_INSIDER_HOLDINGS")</f>
        <v>-2.6692132983904497</v>
      </c>
      <c r="P22">
        <f>_xll.BDP("MPWR UW Equity","RISK_PREMIUM")</f>
        <v>9.7899690987539287</v>
      </c>
      <c r="Q22">
        <f>_xll.BDP("MPWR UW Equity","HIGH_52WEEK")</f>
        <v>958</v>
      </c>
      <c r="R22">
        <f>_xll.BDP("MPWR UW Equity","LOW_52WEEK")</f>
        <v>439.55</v>
      </c>
    </row>
    <row r="23" spans="1:18" ht="15.75" x14ac:dyDescent="0.25">
      <c r="A23" t="s">
        <v>39</v>
      </c>
      <c r="B23">
        <f>_xll.BDP("IBM UN Equity","RT_PX_CHG_PCT_1D")</f>
        <v>-0.30329999327659607</v>
      </c>
      <c r="C23" t="str">
        <f>_xll.BDP("IBM UN Equity","GICS_SECTOR_NAME")</f>
        <v>資訊技術</v>
      </c>
      <c r="D23" t="str">
        <f>_xll.BDP("IBM UN Equity","NAME_CHINESE_TRADITIONAL")</f>
        <v>國際商業機器公司</v>
      </c>
      <c r="E23" t="str">
        <f>_xll.BDP("IBM UN Equity","CLASSIFICATION_LEVEL_4_NAME")</f>
        <v>資訊科技服務</v>
      </c>
      <c r="F23" t="str">
        <f>_xll.BDP("IBM UN Equity","CLASSIFICATION_DESCRIPTION")</f>
        <v>資訊科技服務 - 商業</v>
      </c>
      <c r="G23">
        <f>_xll.BDP("IBM UN Equity","CUR_MKT_CAP")</f>
        <v>241934177532.24002</v>
      </c>
      <c r="H23">
        <f>_xll.BDP("IBM UN Equity","CHG_PCT_YTD")</f>
        <v>18.14584</v>
      </c>
      <c r="I23" t="str">
        <f>_xll.BDP("IBM UN Equity","CIE_DES")</f>
        <v>國際商業機器公司（International Business Machines Corp）為一家資訊科技服務及諮詢公司。該公司透過其平台，提供分析、資訊科技基礎設施、雲端、商業營運及自動化、網路安全、資料儲存、應用程式開發、資產管理、區塊鏈、軟體及諮詢解決方案。國際商業機器服務全球客戶。</v>
      </c>
      <c r="J23">
        <f>_xll.BDP("IBM UN Equity","ESG_SCORE")</f>
        <v>5.440000057220459</v>
      </c>
      <c r="K23" t="str">
        <f>_xll.BDP("IBM UN Equity","MSCI_ESG_RATING")</f>
        <v>AA</v>
      </c>
      <c r="L23">
        <f>_xll.BDP("IBM UN Equity","EQY_BETA")</f>
        <v>0.71784371137619019</v>
      </c>
      <c r="M23">
        <f>_xll.BDP("IBM UN Equity","VOLATILITY_60D")</f>
        <v>26.109934891017684</v>
      </c>
      <c r="N23">
        <f>_xll.BDP("IBM UN Equity","PCT_INSIDER_SHARES_OUT")</f>
        <v>9.8205027883483217E-2</v>
      </c>
      <c r="O23">
        <f>_xll.BDP("IBM UN Equity","PCT_CHG_INSIDER_HOLDINGS")</f>
        <v>14.193578038297378</v>
      </c>
      <c r="P23">
        <f>_xll.BDP("IBM UN Equity","RISK_PREMIUM")</f>
        <v>3.6978498457235096</v>
      </c>
      <c r="Q23">
        <f>_xll.BDP("IBM UN Equity","HIGH_52WEEK")</f>
        <v>296.10000000000002</v>
      </c>
      <c r="R23">
        <f>_xll.BDP("IBM UN Equity","LOW_52WEEK")</f>
        <v>182</v>
      </c>
    </row>
    <row r="24" spans="1:18" ht="15.75" x14ac:dyDescent="0.25">
      <c r="A24" t="s">
        <v>40</v>
      </c>
      <c r="B24">
        <f>_xll.BDP("JNJ UN Equity","RT_PX_CHG_PCT_1D")</f>
        <v>-0.74309998750686646</v>
      </c>
      <c r="C24" t="str">
        <f>_xll.BDP("JNJ UN Equity","GICS_SECTOR_NAME")</f>
        <v>醫療保健</v>
      </c>
      <c r="D24" t="str">
        <f>_xll.BDP("JNJ UN Equity","NAME_CHINESE_TRADITIONAL")</f>
        <v>嬌生公司</v>
      </c>
      <c r="E24" t="str">
        <f>_xll.BDP("JNJ UN Equity","CLASSIFICATION_LEVEL_4_NAME")</f>
        <v>大型製藥業</v>
      </c>
      <c r="F24" t="str">
        <f>_xll.BDP("JNJ UN Equity","CLASSIFICATION_DESCRIPTION")</f>
        <v>大型製藥業</v>
      </c>
      <c r="G24">
        <f>_xll.BDP("JNJ UN Equity","CUR_MKT_CAP")</f>
        <v>405323432157.60004</v>
      </c>
      <c r="H24">
        <f>_xll.BDP("JNJ UN Equity","CHG_PCT_YTD")</f>
        <v>16.373950000000001</v>
      </c>
      <c r="I24" t="str">
        <f>_xll.BDP("JNJ UN Equity","CIE_DES")</f>
        <v>嬌生公司(Johnson &amp; Johnson)製造醫療保健產品，並提供相關服務予消費者、製藥和醫療器材及診斷市場。該公司於全球各國銷售產品，例如：護膚與護髮產品、乙醯胺酚產品、藥品、診斷設備及手術器材。</v>
      </c>
      <c r="J24">
        <f>_xll.BDP("JNJ UN Equity","ESG_SCORE")</f>
        <v>6.619999885559082</v>
      </c>
      <c r="K24" t="str">
        <f>_xll.BDP("JNJ UN Equity","MSCI_ESG_RATING")</f>
        <v>A</v>
      </c>
      <c r="L24">
        <f>_xll.BDP("JNJ UN Equity","EQY_BETA")</f>
        <v>0.47261416912078857</v>
      </c>
      <c r="M24">
        <f>_xll.BDP("JNJ UN Equity","VOLATILITY_60D")</f>
        <v>20.704203703252936</v>
      </c>
      <c r="N24">
        <f>_xll.BDP("JNJ UN Equity","PCT_INSIDER_SHARES_OUT")</f>
        <v>7.8453286269084196E-2</v>
      </c>
      <c r="O24">
        <f>_xll.BDP("JNJ UN Equity","PCT_CHG_INSIDER_HOLDINGS")</f>
        <v>6.0436458179743937</v>
      </c>
      <c r="P24">
        <f>_xll.BDP("JNJ UN Equity","RISK_PREMIUM")</f>
        <v>2.4345915478169915</v>
      </c>
      <c r="Q24">
        <f>_xll.BDP("JNJ UN Equity","HIGH_52WEEK")</f>
        <v>169.99</v>
      </c>
      <c r="R24">
        <f>_xll.BDP("JNJ UN Equity","LOW_52WEEK")</f>
        <v>140.68</v>
      </c>
    </row>
    <row r="25" spans="1:18" ht="15.75" x14ac:dyDescent="0.25">
      <c r="A25" t="s">
        <v>41</v>
      </c>
      <c r="B25">
        <f>_xll.BDP("LULU UW Equity","RT_PX_CHG_PCT_1D")</f>
        <v>0.33840000629425049</v>
      </c>
      <c r="C25" t="str">
        <f>_xll.BDP("LULU UW Equity","GICS_SECTOR_NAME")</f>
        <v>非核心消費</v>
      </c>
      <c r="D25" t="str">
        <f>_xll.BDP("LULU UW Equity","NAME_CHINESE_TRADITIONAL")</f>
        <v>露露檸檬公司</v>
      </c>
      <c r="E25" t="str">
        <f>_xll.BDP("LULU UW Equity","CLASSIFICATION_LEVEL_4_NAME")</f>
        <v>特殊服飾商店</v>
      </c>
      <c r="F25" t="str">
        <f>_xll.BDP("LULU UW Equity","CLASSIFICATION_DESCRIPTION")</f>
        <v>家庭服裝店</v>
      </c>
      <c r="G25">
        <f>_xll.BDP("LULU UW Equity","CUR_MKT_CAP")</f>
        <v>26297674147.130005</v>
      </c>
      <c r="H25">
        <f>_xll.BDP("LULU UW Equity","CHG_PCT_YTD")</f>
        <v>-42.61918</v>
      </c>
      <c r="I25" t="str">
        <f>_xll.BDP("LULU UW Equity","CIE_DES")</f>
        <v>露露檸檬公司(Lululemon Athletica Inc.)設計並零售運動服裝產品。該公司針對瑜珈、舞蹈、跑步，和一般健身，生產健身褲、短褲，上衣，以及夾克。露露檸檬服務全球客戶。</v>
      </c>
      <c r="J25">
        <f>_xll.BDP("LULU UW Equity","ESG_SCORE")</f>
        <v>4.4699997901916504</v>
      </c>
      <c r="K25" t="str">
        <f>_xll.BDP("LULU UW Equity","MSCI_ESG_RATING")</f>
        <v>AA</v>
      </c>
      <c r="L25">
        <f>_xll.BDP("LULU UW Equity","EQY_BETA")</f>
        <v>0.88668692111968994</v>
      </c>
      <c r="M25">
        <f>_xll.BDP("LULU UW Equity","VOLATILITY_60D")</f>
        <v>59.069714195925791</v>
      </c>
      <c r="N25">
        <f>_xll.BDP("LULU UW Equity","PCT_INSIDER_SHARES_OUT")</f>
        <v>0.66525145254834417</v>
      </c>
      <c r="O25">
        <f>_xll.BDP("LULU UW Equity","PCT_CHG_INSIDER_HOLDINGS")</f>
        <v>6.1512271717678866</v>
      </c>
      <c r="P25">
        <f>_xll.BDP("LULU UW Equity","RISK_PREMIUM")</f>
        <v>4.5676169373714925</v>
      </c>
      <c r="Q25">
        <f>_xll.BDP("LULU UW Equity","HIGH_52WEEK")</f>
        <v>423.32</v>
      </c>
      <c r="R25">
        <f>_xll.BDP("LULU UW Equity","LOW_52WEEK")</f>
        <v>216.49</v>
      </c>
    </row>
    <row r="26" spans="1:18" ht="15.75" x14ac:dyDescent="0.25">
      <c r="A26" t="s">
        <v>42</v>
      </c>
      <c r="B26">
        <f>_xll.BDP("MCD UN Equity","RT_PX_CHG_PCT_1D")</f>
        <v>1.3549000024795532</v>
      </c>
      <c r="C26" t="str">
        <f>_xll.BDP("MCD UN Equity","GICS_SECTOR_NAME")</f>
        <v>非核心消費</v>
      </c>
      <c r="D26" t="str">
        <f>_xll.BDP("MCD UN Equity","NAME_CHINESE_TRADITIONAL")</f>
        <v>麥當勞公司</v>
      </c>
      <c r="E26" t="str">
        <f>_xll.BDP("MCD UN Equity","CLASSIFICATION_LEVEL_4_NAME")</f>
        <v>餐廳</v>
      </c>
      <c r="F26" t="str">
        <f>_xll.BDP("MCD UN Equity","CLASSIFICATION_DESCRIPTION")</f>
        <v>速食餐廳</v>
      </c>
      <c r="G26">
        <f>_xll.BDP("MCD UN Equity","CUR_MKT_CAP")</f>
        <v>213415818027.69003</v>
      </c>
      <c r="H26">
        <f>_xll.BDP("MCD UN Equity","CHG_PCT_YTD")</f>
        <v>2.9597380000000002</v>
      </c>
      <c r="I26" t="str">
        <f>_xll.BDP("MCD UN Equity","CIE_DES")</f>
        <v>麥當勞公司(McDonald's Corporation)加盟並經營速食連鎖。該公司提供各種食物產品與軟性飲料，以及非酒精飲料。麥當勞服務全球客戶。</v>
      </c>
      <c r="J26">
        <f>_xll.BDP("MCD UN Equity","ESG_SCORE")</f>
        <v>4.75</v>
      </c>
      <c r="K26" t="str">
        <f>_xll.BDP("MCD UN Equity","MSCI_ESG_RATING")</f>
        <v>A</v>
      </c>
      <c r="L26">
        <f>_xll.BDP("MCD UN Equity","EQY_BETA")</f>
        <v>0.56160223484039307</v>
      </c>
      <c r="M26">
        <f>_xll.BDP("MCD UN Equity","VOLATILITY_60D")</f>
        <v>15.753290040125769</v>
      </c>
      <c r="N26">
        <f>_xll.BDP("MCD UN Equity","PCT_INSIDER_SHARES_OUT")</f>
        <v>3.2425121256692169E-2</v>
      </c>
      <c r="O26">
        <f>_xll.BDP("MCD UN Equity","PCT_CHG_INSIDER_HOLDINGS")</f>
        <v>-0.10197904319458098</v>
      </c>
      <c r="P26">
        <f>_xll.BDP("MCD UN Equity","RISK_PREMIUM")</f>
        <v>2.8929984404003619</v>
      </c>
      <c r="Q26">
        <f>_xll.BDP("MCD UN Equity","HIGH_52WEEK")</f>
        <v>326.32</v>
      </c>
      <c r="R26">
        <f>_xll.BDP("MCD UN Equity","LOW_52WEEK")</f>
        <v>250.35</v>
      </c>
    </row>
    <row r="27" spans="1:18" ht="15.75" x14ac:dyDescent="0.25">
      <c r="A27" t="s">
        <v>43</v>
      </c>
      <c r="B27">
        <f>_xll.BDP("MRK UN Equity","RT_PX_CHG_PCT_1D")</f>
        <v>0.71340000629425049</v>
      </c>
      <c r="C27" t="str">
        <f>_xll.BDP("MRK UN Equity","GICS_SECTOR_NAME")</f>
        <v>醫療保健</v>
      </c>
      <c r="D27" t="str">
        <f>_xll.BDP("MRK UN Equity","NAME_CHINESE_TRADITIONAL")</f>
        <v>默克藥廠</v>
      </c>
      <c r="E27" t="str">
        <f>_xll.BDP("MRK UN Equity","CLASSIFICATION_LEVEL_4_NAME")</f>
        <v>大型製藥業</v>
      </c>
      <c r="F27" t="str">
        <f>_xll.BDP("MRK UN Equity","CLASSIFICATION_DESCRIPTION")</f>
        <v>大型製藥業</v>
      </c>
      <c r="G27">
        <f>_xll.BDP("MRK UN Equity","CUR_MKT_CAP")</f>
        <v>212709457441.62997</v>
      </c>
      <c r="H27">
        <f>_xll.BDP("MRK UN Equity","CHG_PCT_YTD")</f>
        <v>-14.84721</v>
      </c>
      <c r="I27" t="str">
        <f>_xll.BDP("MRK UN Equity","CIE_DES")</f>
        <v>默克公司(Merck &amp; Co., Inc)是一家全球醫療保健公司，透過其處方藥、疫苗、生物療法、動物保健、及消費者保健產品，提供健康解決方案，將產品直接及透過其合資企業銷售。該公司業務涵蓋製藥、動物保健，以及消費者醫療保健。</v>
      </c>
      <c r="J27">
        <f>_xll.BDP("MRK UN Equity","ESG_SCORE")</f>
        <v>5.820000171661377</v>
      </c>
      <c r="K27" t="str">
        <f>_xll.BDP("MRK UN Equity","MSCI_ESG_RATING")</f>
        <v>A</v>
      </c>
      <c r="L27">
        <f>_xll.BDP("MRK UN Equity","EQY_BETA")</f>
        <v>0.595417320728302</v>
      </c>
      <c r="M27">
        <f>_xll.BDP("MRK UN Equity","VOLATILITY_60D")</f>
        <v>31.191545782112229</v>
      </c>
      <c r="N27">
        <f>_xll.BDP("MRK UN Equity","PCT_INSIDER_SHARES_OUT")</f>
        <v>5.3097201814712759E-2</v>
      </c>
      <c r="O27">
        <f>_xll.BDP("MRK UN Equity","PCT_CHG_INSIDER_HOLDINGS")</f>
        <v>30.025634789803394</v>
      </c>
      <c r="P27">
        <f>_xll.BDP("MRK UN Equity","RISK_PREMIUM")</f>
        <v>3.0671911067873237</v>
      </c>
      <c r="Q27">
        <f>_xll.BDP("MRK UN Equity","HIGH_52WEEK")</f>
        <v>127.99</v>
      </c>
      <c r="R27">
        <f>_xll.BDP("MRK UN Equity","LOW_52WEEK")</f>
        <v>73.319999999999993</v>
      </c>
    </row>
    <row r="28" spans="1:18" ht="15.75" x14ac:dyDescent="0.25">
      <c r="A28" t="s">
        <v>44</v>
      </c>
      <c r="B28">
        <f>_xll.BDP("MMM UN Equity","RT_PX_CHG_PCT_1D")</f>
        <v>1.3194999694824219</v>
      </c>
      <c r="C28" t="str">
        <f>_xll.BDP("MMM UN Equity","GICS_SECTOR_NAME")</f>
        <v>工業</v>
      </c>
      <c r="D28" t="str">
        <f>_xll.BDP("MMM UN Equity","NAME_CHINESE_TRADITIONAL")</f>
        <v>3M</v>
      </c>
      <c r="E28" t="str">
        <f>_xll.BDP("MMM UN Equity","CLASSIFICATION_LEVEL_4_NAME")</f>
        <v>多元化工業</v>
      </c>
      <c r="F28" t="str">
        <f>_xll.BDP("MMM UN Equity","CLASSIFICATION_DESCRIPTION")</f>
        <v>多元化工業</v>
      </c>
      <c r="G28">
        <f>_xll.BDP("MMM UN Equity","CUR_MKT_CAP")</f>
        <v>80570895021.539993</v>
      </c>
      <c r="H28">
        <f>_xll.BDP("MMM UN Equity","CHG_PCT_YTD")</f>
        <v>17.181809999999999</v>
      </c>
      <c r="I28" t="str">
        <f>_xll.BDP("MMM UN Equity","CIE_DES")</f>
        <v>3M公司(3M Company)跨足經營電子、電信、工業、消費性及辦公室用品、醫療保健、安全，及其他市場範疇。該公司各事業體分享技術、製造營運、行銷通路，及其他資源。3M服務全球客戶。</v>
      </c>
      <c r="J28">
        <f>_xll.BDP("MMM UN Equity","ESG_SCORE")</f>
        <v>6.0100002288818359</v>
      </c>
      <c r="K28" t="str">
        <f>_xll.BDP("MMM UN Equity","MSCI_ESG_RATING")</f>
        <v>AAA</v>
      </c>
      <c r="L28">
        <f>_xll.BDP("MMM UN Equity","EQY_BETA")</f>
        <v>0.99000829458236694</v>
      </c>
      <c r="M28">
        <f>_xll.BDP("MMM UN Equity","VOLATILITY_60D")</f>
        <v>24.983476885775001</v>
      </c>
      <c r="N28">
        <f>_xll.BDP("MMM UN Equity","PCT_INSIDER_SHARES_OUT")</f>
        <v>0.10287273698781725</v>
      </c>
      <c r="O28">
        <f>_xll.BDP("MMM UN Equity","PCT_CHG_INSIDER_HOLDINGS")</f>
        <v>14.286367719259562</v>
      </c>
      <c r="P28">
        <f>_xll.BDP("MMM UN Equity","RISK_PREMIUM")</f>
        <v>5.0998594281309844</v>
      </c>
      <c r="Q28">
        <f>_xll.BDP("MMM UN Equity","HIGH_52WEEK")</f>
        <v>164</v>
      </c>
      <c r="R28">
        <f>_xll.BDP("MMM UN Equity","LOW_52WEEK")</f>
        <v>119.8</v>
      </c>
    </row>
    <row r="29" spans="1:18" ht="15.75" x14ac:dyDescent="0.25">
      <c r="A29" t="s">
        <v>45</v>
      </c>
      <c r="B29">
        <f>_xll.BDP("AWK UN Equity","RT_PX_CHG_PCT_1D")</f>
        <v>-0.13519999384880066</v>
      </c>
      <c r="C29" t="str">
        <f>_xll.BDP("AWK UN Equity","GICS_SECTOR_NAME")</f>
        <v>公用事業</v>
      </c>
      <c r="D29" t="str">
        <f>_xll.BDP("AWK UN Equity","NAME_CHINESE_TRADITIONAL")</f>
        <v>美國水處理公司</v>
      </c>
      <c r="E29" t="str">
        <f>_xll.BDP("AWK UN Equity","CLASSIFICATION_LEVEL_4_NAME")</f>
        <v>配水網</v>
      </c>
      <c r="F29" t="str">
        <f>_xll.BDP("AWK UN Equity","CLASSIFICATION_DESCRIPTION")</f>
        <v>供水網</v>
      </c>
      <c r="G29">
        <f>_xll.BDP("AWK UN Equity","CUR_MKT_CAP")</f>
        <v>27364029816.799995</v>
      </c>
      <c r="H29">
        <f>_xll.BDP("AWK UN Equity","CHG_PCT_YTD")</f>
        <v>12.71588</v>
      </c>
      <c r="I29" t="str">
        <f>_xll.BDP("AWK UN Equity","CIE_DES")</f>
        <v>美國水處理公司(American Water Works Co., Inc.)於美國數州和加拿大安大略省，提供飲用水、廢水及其他水相關服務。該公司主要業務為管制水及廢水公用事業的所有權，提供水及廢水服務予住宅、商業及工業客戶。</v>
      </c>
      <c r="J29">
        <f>_xll.BDP("AWK UN Equity","ESG_SCORE")</f>
        <v>4.5300002098083496</v>
      </c>
      <c r="K29" t="str">
        <f>_xll.BDP("AWK UN Equity","MSCI_ESG_RATING")</f>
        <v>A</v>
      </c>
      <c r="L29">
        <f>_xll.BDP("AWK UN Equity","EQY_BETA")</f>
        <v>0.39829862117767334</v>
      </c>
      <c r="M29">
        <f>_xll.BDP("AWK UN Equity","VOLATILITY_60D")</f>
        <v>23.615103058536366</v>
      </c>
      <c r="N29">
        <f>_xll.BDP("AWK UN Equity","PCT_INSIDER_SHARES_OUT")</f>
        <v>0.16368564741789718</v>
      </c>
      <c r="O29">
        <f>_xll.BDP("AWK UN Equity","PCT_CHG_INSIDER_HOLDINGS")</f>
        <v>19.546988348881889</v>
      </c>
      <c r="P29">
        <f>_xll.BDP("AWK UN Equity","RISK_PREMIUM")</f>
        <v>2.0517676362311841</v>
      </c>
      <c r="Q29">
        <f>_xll.BDP("AWK UN Equity","HIGH_52WEEK")</f>
        <v>155.29499999999999</v>
      </c>
      <c r="R29">
        <f>_xll.BDP("AWK UN Equity","LOW_52WEEK")</f>
        <v>118.84</v>
      </c>
    </row>
    <row r="30" spans="1:18" ht="15.75" x14ac:dyDescent="0.25">
      <c r="A30" t="s">
        <v>46</v>
      </c>
      <c r="B30">
        <f>_xll.BDP("BAC UN Equity","RT_PX_CHG_PCT_1D")</f>
        <v>0.12399999797344208</v>
      </c>
      <c r="C30" t="str">
        <f>_xll.BDP("BAC UN Equity","GICS_SECTOR_NAME")</f>
        <v>金融</v>
      </c>
      <c r="D30" t="str">
        <f>_xll.BDP("BAC UN Equity","NAME_CHINESE_TRADITIONAL")</f>
        <v>美國銀行</v>
      </c>
      <c r="E30" t="str">
        <f>_xll.BDP("BAC UN Equity","CLASSIFICATION_LEVEL_4_NAME")</f>
        <v>多元化銀行</v>
      </c>
      <c r="F30" t="str">
        <f>_xll.BDP("BAC UN Equity","CLASSIFICATION_DESCRIPTION")</f>
        <v>多元化銀行</v>
      </c>
      <c r="G30">
        <f>_xll.BDP("BAC UN Equity","CUR_MKT_CAP")</f>
        <v>360307121048.25</v>
      </c>
      <c r="H30">
        <f>_xll.BDP("BAC UN Equity","CHG_PCT_YTD")</f>
        <v>10.238910000000001</v>
      </c>
      <c r="I30" t="str">
        <f>_xll.BDP("BAC UN Equity","CIE_DES")</f>
        <v>美國銀行(Bank of America Corporation)為一家金融控股公司。該公司提供儲蓄帳戶、存款、抵押與建築貸款、現金與財富管理、定存單、投資基金、信用卡與轉帳卡、保險、行動及網路銀行服務。美國銀行服務全球客戶。</v>
      </c>
      <c r="J30">
        <f>_xll.BDP("BAC UN Equity","ESG_SCORE")</f>
        <v>5.4600000381469727</v>
      </c>
      <c r="K30" t="str">
        <f>_xll.BDP("BAC UN Equity","MSCI_ESG_RATING")</f>
        <v>A</v>
      </c>
      <c r="L30">
        <f>_xll.BDP("BAC UN Equity","EQY_BETA")</f>
        <v>1.1591707468032837</v>
      </c>
      <c r="M30">
        <f>_xll.BDP("BAC UN Equity","VOLATILITY_60D")</f>
        <v>19.308278008085338</v>
      </c>
      <c r="N30">
        <f>_xll.BDP("BAC UN Equity","PCT_INSIDER_SHARES_OUT")</f>
        <v>0.17149816956735661</v>
      </c>
      <c r="O30">
        <f>_xll.BDP("BAC UN Equity","PCT_CHG_INSIDER_HOLDINGS")</f>
        <v>15.125950707292446</v>
      </c>
      <c r="P30">
        <f>_xll.BDP("BAC UN Equity","RISK_PREMIUM")</f>
        <v>5.9712710431301588</v>
      </c>
      <c r="Q30">
        <f>_xll.BDP("BAC UN Equity","HIGH_52WEEK")</f>
        <v>49.305</v>
      </c>
      <c r="R30">
        <f>_xll.BDP("BAC UN Equity","LOW_52WEEK")</f>
        <v>33.07</v>
      </c>
    </row>
    <row r="31" spans="1:18" ht="15.75" x14ac:dyDescent="0.25">
      <c r="A31" t="s">
        <v>47</v>
      </c>
      <c r="B31">
        <f>_xll.BDP("PFE UN Equity","RT_PX_CHG_PCT_1D")</f>
        <v>-2.2091000080108643</v>
      </c>
      <c r="C31" t="str">
        <f>_xll.BDP("PFE UN Equity","GICS_SECTOR_NAME")</f>
        <v>醫療保健</v>
      </c>
      <c r="D31" t="str">
        <f>_xll.BDP("PFE UN Equity","NAME_CHINESE_TRADITIONAL")</f>
        <v>輝瑞大藥廠股份有限公司</v>
      </c>
      <c r="E31" t="str">
        <f>_xll.BDP("PFE UN Equity","CLASSIFICATION_LEVEL_4_NAME")</f>
        <v>大型製藥業</v>
      </c>
      <c r="F31" t="str">
        <f>_xll.BDP("PFE UN Equity","CLASSIFICATION_DESCRIPTION")</f>
        <v>大型製藥業</v>
      </c>
      <c r="G31">
        <f>_xll.BDP("PFE UN Equity","CUR_MKT_CAP")</f>
        <v>140940212901.72998</v>
      </c>
      <c r="H31">
        <f>_xll.BDP("PFE UN Equity","CHG_PCT_YTD")</f>
        <v>-6.5586149999999996</v>
      </c>
      <c r="I31" t="str">
        <f>_xll.BDP("PFE UN Equity","CIE_DES")</f>
        <v>輝瑞大藥廠股份有限公司(Pfizer Inc.)為製藥公司。 該公司提供腫瘤、炎症、心血管及其他治療領域所需的藥品、疫苗、醫療裝置，以及消費者醫療保健產品。 輝瑞大藥廠服務全球客戶。</v>
      </c>
      <c r="J31">
        <f>_xll.BDP("PFE UN Equity","ESG_SCORE")</f>
        <v>4.9699997901916504</v>
      </c>
      <c r="K31" t="str">
        <f>_xll.BDP("PFE UN Equity","MSCI_ESG_RATING")</f>
        <v>BBB</v>
      </c>
      <c r="L31">
        <f>_xll.BDP("PFE UN Equity","EQY_BETA")</f>
        <v>0.52954429388046265</v>
      </c>
      <c r="M31">
        <f>_xll.BDP("PFE UN Equity","VOLATILITY_60D")</f>
        <v>26.26271777663387</v>
      </c>
      <c r="N31">
        <f>_xll.BDP("PFE UN Equity","PCT_INSIDER_SHARES_OUT")</f>
        <v>5.0008741741516732E-2</v>
      </c>
      <c r="O31">
        <f>_xll.BDP("PFE UN Equity","PCT_CHG_INSIDER_HOLDINGS")</f>
        <v>2.9829851584218487</v>
      </c>
      <c r="P31">
        <f>_xll.BDP("PFE UN Equity","RISK_PREMIUM")</f>
        <v>2.7278574073952435</v>
      </c>
      <c r="Q31">
        <f>_xll.BDP("PFE UN Equity","HIGH_52WEEK")</f>
        <v>31.535</v>
      </c>
      <c r="R31">
        <f>_xll.BDP("PFE UN Equity","LOW_52WEEK")</f>
        <v>20.914999999999999</v>
      </c>
    </row>
    <row r="32" spans="1:18" ht="15.75" x14ac:dyDescent="0.25">
      <c r="A32" t="s">
        <v>48</v>
      </c>
      <c r="B32">
        <f>_xll.BDP("PG UN Equity","RT_PX_CHG_PCT_1D")</f>
        <v>-0.32109999656677246</v>
      </c>
      <c r="C32" t="str">
        <f>_xll.BDP("PG UN Equity","GICS_SECTOR_NAME")</f>
        <v>核心消費</v>
      </c>
      <c r="D32" t="str">
        <f>_xll.BDP("PG UN Equity","NAME_CHINESE_TRADITIONAL")</f>
        <v>寶僑公司</v>
      </c>
      <c r="E32" t="str">
        <f>_xll.BDP("PG UN Equity","CLASSIFICATION_LEVEL_4_NAME")</f>
        <v>個人保健用品</v>
      </c>
      <c r="F32" t="str">
        <f>_xll.BDP("PG UN Equity","CLASSIFICATION_DESCRIPTION")</f>
        <v>個人保健用品</v>
      </c>
      <c r="G32">
        <f>_xll.BDP("PG UN Equity","CUR_MKT_CAP")</f>
        <v>371141003982.20007</v>
      </c>
      <c r="H32">
        <f>_xll.BDP("PG UN Equity","CHG_PCT_YTD")</f>
        <v>-5.5770920000000004</v>
      </c>
      <c r="I32" t="str">
        <f>_xll.BDP("PG UN Equity","CIE_DES")</f>
        <v>寶僑公司(Procter &amp; Gamble Company)製造並銷售消費性產品。該公司提供的產品包括：洗衣與清潔產品、紙類、美容護理、食物與飲料，以及醫療保健類。寶僑的產品服務全球客戶。</v>
      </c>
      <c r="J32">
        <f>_xll.BDP("PG UN Equity","ESG_SCORE")</f>
        <v>5.1100001335144043</v>
      </c>
      <c r="K32" t="str">
        <f>_xll.BDP("PG UN Equity","MSCI_ESG_RATING")</f>
        <v>AA</v>
      </c>
      <c r="L32">
        <f>_xll.BDP("PG UN Equity","EQY_BETA")</f>
        <v>0.43971958756446838</v>
      </c>
      <c r="M32">
        <f>_xll.BDP("PG UN Equity","VOLATILITY_60D")</f>
        <v>15.908583657767128</v>
      </c>
      <c r="N32">
        <f>_xll.BDP("PG UN Equity","PCT_INSIDER_SHARES_OUT")</f>
        <v>6.2263968583203017E-2</v>
      </c>
      <c r="O32">
        <f>_xll.BDP("PG UN Equity","PCT_CHG_INSIDER_HOLDINGS")</f>
        <v>-1.3853360527424035</v>
      </c>
      <c r="P32">
        <f>_xll.BDP("PG UN Equity","RISK_PREMIUM")</f>
        <v>2.2651407030084729</v>
      </c>
      <c r="Q32">
        <f>_xll.BDP("PG UN Equity","HIGH_52WEEK")</f>
        <v>180.4</v>
      </c>
      <c r="R32">
        <f>_xll.BDP("PG UN Equity","LOW_52WEEK")</f>
        <v>151.9</v>
      </c>
    </row>
    <row r="33" spans="1:18" ht="15.75" x14ac:dyDescent="0.25">
      <c r="A33" t="s">
        <v>49</v>
      </c>
      <c r="B33">
        <f>_xll.BDP("T UN Equity","RT_PX_CHG_PCT_1D")</f>
        <v>0.28650000691413879</v>
      </c>
      <c r="C33" t="str">
        <f>_xll.BDP("T UN Equity","GICS_SECTOR_NAME")</f>
        <v>通訊服務</v>
      </c>
      <c r="D33" t="str">
        <f>_xll.BDP("T UN Equity","NAME_CHINESE_TRADITIONAL")</f>
        <v>AT&amp;T公司</v>
      </c>
      <c r="E33" t="str">
        <f>_xll.BDP("T UN Equity","CLASSIFICATION_LEVEL_4_NAME")</f>
        <v>無線通訊服務</v>
      </c>
      <c r="F33" t="str">
        <f>_xll.BDP("T UN Equity","CLASSIFICATION_DESCRIPTION")</f>
        <v>無線通訊服務</v>
      </c>
      <c r="G33">
        <f>_xll.BDP("T UN Equity","CUR_MKT_CAP")</f>
        <v>200210793440.00003</v>
      </c>
      <c r="H33">
        <f>_xll.BDP("T UN Equity","CHG_PCT_YTD")</f>
        <v>22.968820000000001</v>
      </c>
      <c r="I33" t="str">
        <f>_xll.BDP("T UN Equity","CIE_DES")</f>
        <v>AT&amp;T公司(AT&amp;T Inc.)為一家通訊控股公司。該公司透過旗下子公司及關係企業，提供市內與長途電話、無線與資料通訊、網際網路存取與簡訊、IP與衛星電視、電信設備，以及目錄廣告與出版服務。</v>
      </c>
      <c r="J33">
        <f>_xll.BDP("T UN Equity","ESG_SCORE")</f>
        <v>5.3299999237060547</v>
      </c>
      <c r="K33" t="str">
        <f>_xll.BDP("T UN Equity","MSCI_ESG_RATING")</f>
        <v>BBB</v>
      </c>
      <c r="L33">
        <f>_xll.BDP("T UN Equity","EQY_BETA")</f>
        <v>0.49012818932533264</v>
      </c>
      <c r="M33">
        <f>_xll.BDP("T UN Equity","VOLATILITY_60D")</f>
        <v>20.481706648935987</v>
      </c>
      <c r="N33">
        <f>_xll.BDP("T UN Equity","PCT_INSIDER_SHARES_OUT")</f>
        <v>0.10605615222397113</v>
      </c>
      <c r="O33">
        <f>_xll.BDP("T UN Equity","PCT_CHG_INSIDER_HOLDINGS")</f>
        <v>-0.252726427879577</v>
      </c>
      <c r="P33">
        <f>_xll.BDP("T UN Equity","RISK_PREMIUM")</f>
        <v>2.5248120455172658</v>
      </c>
      <c r="Q33">
        <f>_xll.BDP("T UN Equity","HIGH_52WEEK")</f>
        <v>29.19</v>
      </c>
      <c r="R33">
        <f>_xll.BDP("T UN Equity","LOW_52WEEK")</f>
        <v>18.77</v>
      </c>
    </row>
    <row r="34" spans="1:18" ht="15.75" x14ac:dyDescent="0.25">
      <c r="A34" t="s">
        <v>50</v>
      </c>
      <c r="B34">
        <f>_xll.BDP("TRV UN Equity","RT_PX_CHG_PCT_1D")</f>
        <v>-0.35879999399185181</v>
      </c>
      <c r="C34" t="str">
        <f>_xll.BDP("TRV UN Equity","GICS_SECTOR_NAME")</f>
        <v>金融</v>
      </c>
      <c r="D34" t="str">
        <f>_xll.BDP("TRV UN Equity","NAME_CHINESE_TRADITIONAL")</f>
        <v>旅行者保險公司</v>
      </c>
      <c r="E34" t="str">
        <f>_xll.BDP("TRV UN Equity","CLASSIFICATION_LEVEL_4_NAME")</f>
        <v>產物及意外保險</v>
      </c>
      <c r="F34" t="str">
        <f>_xll.BDP("TRV UN Equity","CLASSIFICATION_DESCRIPTION")</f>
        <v>產物意外險保費</v>
      </c>
      <c r="G34">
        <f>_xll.BDP("TRV UN Equity","CUR_MKT_CAP")</f>
        <v>58771189193.049995</v>
      </c>
      <c r="H34">
        <f>_xll.BDP("TRV UN Equity","CHG_PCT_YTD")</f>
        <v>8.3689649999999993</v>
      </c>
      <c r="I34" t="str">
        <f>_xll.BDP("TRV UN Equity","CIE_DES")</f>
        <v>旅行者保險公司(The Travelers Companies, Inc.)為一家保險公司。該公司為企業、政府單位、機關團體，及個人，提供商業及個人產物及意外保險等產品及服務。</v>
      </c>
      <c r="J34">
        <f>_xll.BDP("TRV UN Equity","ESG_SCORE")</f>
        <v>2.6800000667572021</v>
      </c>
      <c r="K34" t="str">
        <f>_xll.BDP("TRV UN Equity","MSCI_ESG_RATING")</f>
        <v>A</v>
      </c>
      <c r="L34">
        <f>_xll.BDP("TRV UN Equity","EQY_BETA")</f>
        <v>0.64314442873001099</v>
      </c>
      <c r="M34">
        <f>_xll.BDP("TRV UN Equity","VOLATILITY_60D")</f>
        <v>21.350348491360368</v>
      </c>
      <c r="N34">
        <f>_xll.BDP("TRV UN Equity","PCT_INSIDER_SHARES_OUT")</f>
        <v>0.5228389086845241</v>
      </c>
      <c r="O34">
        <f>_xll.BDP("TRV UN Equity","PCT_CHG_INSIDER_HOLDINGS")</f>
        <v>8.7814442466292189</v>
      </c>
      <c r="P34">
        <f>_xll.BDP("TRV UN Equity","RISK_PREMIUM")</f>
        <v>3.3130491900497674</v>
      </c>
      <c r="Q34">
        <f>_xll.BDP("TRV UN Equity","HIGH_52WEEK")</f>
        <v>277.68</v>
      </c>
      <c r="R34">
        <f>_xll.BDP("TRV UN Equity","LOW_52WEEK")</f>
        <v>206.74</v>
      </c>
    </row>
    <row r="35" spans="1:18" ht="15.75" x14ac:dyDescent="0.25">
      <c r="A35" t="s">
        <v>51</v>
      </c>
      <c r="B35">
        <f>_xll.BDP("RTX UN Equity","RT_PX_CHG_PCT_1D")</f>
        <v>1.0693999528884888</v>
      </c>
      <c r="C35" t="str">
        <f>_xll.BDP("RTX UN Equity","GICS_SECTOR_NAME")</f>
        <v>工業</v>
      </c>
      <c r="D35" t="str">
        <f>_xll.BDP("RTX UN Equity","NAME_CHINESE_TRADITIONAL")</f>
        <v>雷神科技公司</v>
      </c>
      <c r="E35" t="str">
        <f>_xll.BDP("RTX UN Equity","CLASSIFICATION_LEVEL_4_NAME")</f>
        <v>國防</v>
      </c>
      <c r="F35" t="str">
        <f>_xll.BDP("RTX UN Equity","CLASSIFICATION_DESCRIPTION")</f>
        <v>國防</v>
      </c>
      <c r="G35">
        <f>_xll.BDP("RTX UN Equity","CUR_MKT_CAP")</f>
        <v>209990441819.75998</v>
      </c>
      <c r="H35">
        <f>_xll.BDP("RTX UN Equity","CHG_PCT_YTD")</f>
        <v>35.56861</v>
      </c>
      <c r="I35" t="str">
        <f>_xll.BDP("RTX UN Equity","CIE_DES")</f>
        <v>雷神科技公司（RTX Corporation）為一家航太和國防公司。該公司提供航空電子系統、航空系統、通訊與導航設備、飛機內外照明、飛機座位、環境控制系統、飛行控制系統，以及引擎元件。雷神科技服務全球各地的商業、軍事，以及政府客戶。</v>
      </c>
      <c r="J35">
        <f>_xll.BDP("RTX UN Equity","ESG_SCORE")</f>
        <v>5.190000057220459</v>
      </c>
      <c r="K35" t="str">
        <f>_xll.BDP("RTX UN Equity","MSCI_ESG_RATING")</f>
        <v>BBB</v>
      </c>
      <c r="L35">
        <f>_xll.BDP("RTX UN Equity","EQY_BETA")</f>
        <v>0.71458131074905396</v>
      </c>
      <c r="M35">
        <f>_xll.BDP("RTX UN Equity","VOLATILITY_60D")</f>
        <v>21.567501843971961</v>
      </c>
      <c r="N35">
        <f>_xll.BDP("RTX UN Equity","PCT_INSIDER_SHARES_OUT")</f>
        <v>8.6215074685740162E-2</v>
      </c>
      <c r="O35">
        <f>_xll.BDP("RTX UN Equity","PCT_CHG_INSIDER_HOLDINGS")</f>
        <v>-3.9214757897955059</v>
      </c>
      <c r="P35">
        <f>_xll.BDP("RTX UN Equity","RISK_PREMIUM")</f>
        <v>3.681044143500924</v>
      </c>
      <c r="Q35">
        <f>_xll.BDP("RTX UN Equity","HIGH_52WEEK")</f>
        <v>157.31</v>
      </c>
      <c r="R35">
        <f>_xll.BDP("RTX UN Equity","LOW_52WEEK")</f>
        <v>112.31</v>
      </c>
    </row>
    <row r="36" spans="1:18" ht="15.75" x14ac:dyDescent="0.25">
      <c r="A36" t="s">
        <v>52</v>
      </c>
      <c r="B36">
        <f>_xll.BDP("ADI UW Equity","RT_PX_CHG_PCT_1D")</f>
        <v>0.64050000905990601</v>
      </c>
      <c r="C36" t="str">
        <f>_xll.BDP("ADI UW Equity","GICS_SECTOR_NAME")</f>
        <v>資訊技術</v>
      </c>
      <c r="D36" t="str">
        <f>_xll.BDP("ADI UW Equity","NAME_CHINESE_TRADITIONAL")</f>
        <v>亞德諾公司</v>
      </c>
      <c r="E36" t="str">
        <f>_xll.BDP("ADI UW Equity","CLASSIFICATION_LEVEL_4_NAME")</f>
        <v>半導體元件</v>
      </c>
      <c r="F36" t="str">
        <f>_xll.BDP("ADI UW Equity","CLASSIFICATION_DESCRIPTION")</f>
        <v>類比IC</v>
      </c>
      <c r="G36">
        <f>_xll.BDP("ADI UW Equity","CUR_MKT_CAP")</f>
        <v>113055264012.71999</v>
      </c>
      <c r="H36">
        <f>_xll.BDP("ADI UW Equity","CHG_PCT_YTD")</f>
        <v>7.2295930000000004</v>
      </c>
      <c r="I36" t="str">
        <f>_xll.BDP("ADI UW Equity","CIE_DES")</f>
        <v>亞德諾公司(Analog Devices, Inc.)設計、製造、及行銷用於類比與數位信號處理的積體電路。該公司的產品主要用於通信、電腦、工業、儀器、軍事、航太、汽車，以及高性能消費電子產品。亞德諾在全球各地銷售其產品。</v>
      </c>
      <c r="J36">
        <f>_xll.BDP("ADI UW Equity","ESG_SCORE")</f>
        <v>5.2399997711181641</v>
      </c>
      <c r="K36" t="str">
        <f>_xll.BDP("ADI UW Equity","MSCI_ESG_RATING")</f>
        <v>AAA</v>
      </c>
      <c r="L36">
        <f>_xll.BDP("ADI UW Equity","EQY_BETA")</f>
        <v>1.3343981504440308</v>
      </c>
      <c r="M36">
        <f>_xll.BDP("ADI UW Equity","VOLATILITY_60D")</f>
        <v>28.600714219721741</v>
      </c>
      <c r="N36">
        <f>_xll.BDP("ADI UW Equity","PCT_INSIDER_SHARES_OUT")</f>
        <v>0.43430236160050539</v>
      </c>
      <c r="O36">
        <f>_xll.BDP("ADI UW Equity","PCT_CHG_INSIDER_HOLDINGS")</f>
        <v>4.1697561460163604</v>
      </c>
      <c r="P36">
        <f>_xll.BDP("ADI UW Equity","RISK_PREMIUM")</f>
        <v>6.8739252243268485</v>
      </c>
      <c r="Q36">
        <f>_xll.BDP("ADI UW Equity","HIGH_52WEEK")</f>
        <v>247.68</v>
      </c>
      <c r="R36">
        <f>_xll.BDP("ADI UW Equity","LOW_52WEEK")</f>
        <v>158.65</v>
      </c>
    </row>
    <row r="37" spans="1:18" ht="15.75" x14ac:dyDescent="0.25">
      <c r="A37" t="s">
        <v>53</v>
      </c>
      <c r="B37">
        <f>_xll.BDP("WMT UN Equity","RT_PX_CHG_PCT_1D")</f>
        <v>0.90060001611709595</v>
      </c>
      <c r="C37" t="str">
        <f>_xll.BDP("WMT UN Equity","GICS_SECTOR_NAME")</f>
        <v>核心消費</v>
      </c>
      <c r="D37" t="str">
        <f>_xll.BDP("WMT UN Equity","NAME_CHINESE_TRADITIONAL")</f>
        <v>沃爾瑪公司</v>
      </c>
      <c r="E37" t="str">
        <f>_xll.BDP("WMT UN Equity","CLASSIFICATION_LEVEL_4_NAME")</f>
        <v>量販店</v>
      </c>
      <c r="F37" t="str">
        <f>_xll.BDP("WMT UN Equity","CLASSIFICATION_DESCRIPTION")</f>
        <v>超級購物中心</v>
      </c>
      <c r="G37">
        <f>_xll.BDP("WMT UN Equity","CUR_MKT_CAP")</f>
        <v>777851358445.07996</v>
      </c>
      <c r="H37">
        <f>_xll.BDP("WMT UN Equity","CHG_PCT_YTD")</f>
        <v>7.8804670000000003</v>
      </c>
      <c r="I37" t="str">
        <f>_xll.BDP("WMT UN Equity","CIE_DES")</f>
        <v>沃爾瑪公司(Walmart Inc.)經營折扣商店、超級購物中心，以及鄰里市場。該公司提供的商品例如：服飾、家居用品、小型家電、電子產品、樂器、書籍、家居裝飾、鞋子、珠寶、童裝、遊戲、家庭必需品、寵物、藥品、派對用品，以及汽車工具。沃爾瑪服務全球客戶。</v>
      </c>
      <c r="J37">
        <f>_xll.BDP("WMT UN Equity","ESG_SCORE")</f>
        <v>3.8299999237060547</v>
      </c>
      <c r="K37" t="str">
        <f>_xll.BDP("WMT UN Equity","MSCI_ESG_RATING")</f>
        <v>BBB</v>
      </c>
      <c r="L37">
        <f>_xll.BDP("WMT UN Equity","EQY_BETA")</f>
        <v>0.77721047401428223</v>
      </c>
      <c r="M37">
        <f>_xll.BDP("WMT UN Equity","VOLATILITY_60D")</f>
        <v>15.244790225015784</v>
      </c>
      <c r="N37">
        <f>_xll.BDP("WMT UN Equity","PCT_INSIDER_SHARES_OUT")</f>
        <v>0.20159586433317148</v>
      </c>
      <c r="O37">
        <f>_xll.BDP("WMT UN Equity","PCT_CHG_INSIDER_HOLDINGS")</f>
        <v>4.4895413490162959</v>
      </c>
      <c r="P37">
        <f>_xll.BDP("WMT UN Equity","RISK_PREMIUM")</f>
        <v>4.0036676311039923</v>
      </c>
      <c r="Q37">
        <f>_xll.BDP("WMT UN Equity","HIGH_52WEEK")</f>
        <v>105.23</v>
      </c>
      <c r="R37">
        <f>_xll.BDP("WMT UN Equity","LOW_52WEEK")</f>
        <v>66.7</v>
      </c>
    </row>
    <row r="38" spans="1:18" ht="15.75" x14ac:dyDescent="0.25">
      <c r="A38" t="s">
        <v>54</v>
      </c>
      <c r="B38">
        <f>_xll.BDP("CSCO UW Equity","RT_PX_CHG_PCT_1D")</f>
        <v>0.58569997549057007</v>
      </c>
      <c r="C38" t="str">
        <f>_xll.BDP("CSCO UW Equity","GICS_SECTOR_NAME")</f>
        <v>資訊技術</v>
      </c>
      <c r="D38" t="str">
        <f>_xll.BDP("CSCO UW Equity","NAME_CHINESE_TRADITIONAL")</f>
        <v>思科</v>
      </c>
      <c r="E38" t="str">
        <f>_xll.BDP("CSCO UW Equity","CLASSIFICATION_LEVEL_4_NAME")</f>
        <v>通訊設備</v>
      </c>
      <c r="F38" t="str">
        <f>_xll.BDP("CSCO UW Equity","CLASSIFICATION_DESCRIPTION")</f>
        <v>數據網路設備</v>
      </c>
      <c r="G38">
        <f>_xll.BDP("CSCO UW Equity","CUR_MKT_CAP")</f>
        <v>272012274984.20007</v>
      </c>
      <c r="H38">
        <f>_xll.BDP("CSCO UW Equity","CHG_PCT_YTD")</f>
        <v>16.0304</v>
      </c>
      <c r="I38" t="str">
        <f>_xll.BDP("CSCO UW Equity","CIE_DES")</f>
        <v>思科系統公司(Cisco Systems, Inc.)提供資訊科技及網路服務。該公司提供企業網路安全、軟體開發、資料合作、雲端計算，以及其他相關服務。思科系統服務美國的客戶。</v>
      </c>
      <c r="J38">
        <f>_xll.BDP("CSCO UW Equity","ESG_SCORE")</f>
        <v>5.4000000953674316</v>
      </c>
      <c r="K38" t="str">
        <f>_xll.BDP("CSCO UW Equity","MSCI_ESG_RATING")</f>
        <v>AA</v>
      </c>
      <c r="L38">
        <f>_xll.BDP("CSCO UW Equity","EQY_BETA")</f>
        <v>0.87754338979721069</v>
      </c>
      <c r="M38">
        <f>_xll.BDP("CSCO UW Equity","VOLATILITY_60D")</f>
        <v>18.168958551102513</v>
      </c>
      <c r="N38">
        <f>_xll.BDP("CSCO UW Equity","PCT_INSIDER_SHARES_OUT")</f>
        <v>8.2699878560544712E-2</v>
      </c>
      <c r="O38">
        <f>_xll.BDP("CSCO UW Equity","PCT_CHG_INSIDER_HOLDINGS")</f>
        <v>-7.3874263662278494</v>
      </c>
      <c r="P38">
        <f>_xll.BDP("CSCO UW Equity","RISK_PREMIUM")</f>
        <v>4.5205155901640648</v>
      </c>
      <c r="Q38">
        <f>_xll.BDP("CSCO UW Equity","HIGH_52WEEK")</f>
        <v>69.55</v>
      </c>
      <c r="R38">
        <f>_xll.BDP("CSCO UW Equity","LOW_52WEEK")</f>
        <v>44.65</v>
      </c>
    </row>
    <row r="39" spans="1:18" ht="15.75" x14ac:dyDescent="0.25">
      <c r="A39" t="s">
        <v>55</v>
      </c>
      <c r="B39">
        <f>_xll.BDP("INTC UW Equity","RT_PX_CHG_PCT_1D")</f>
        <v>-8.5284996032714844</v>
      </c>
      <c r="C39" t="str">
        <f>_xll.BDP("INTC UW Equity","GICS_SECTOR_NAME")</f>
        <v>資訊技術</v>
      </c>
      <c r="D39" t="str">
        <f>_xll.BDP("INTC UW Equity","NAME_CHINESE_TRADITIONAL")</f>
        <v>英特爾</v>
      </c>
      <c r="E39" t="str">
        <f>_xll.BDP("INTC UW Equity","CLASSIFICATION_LEVEL_4_NAME")</f>
        <v>半導體元件</v>
      </c>
      <c r="F39" t="str">
        <f>_xll.BDP("INTC UW Equity","CLASSIFICATION_DESCRIPTION")</f>
        <v>邏輯/處理器/特殊應用IC</v>
      </c>
      <c r="G39">
        <f>_xll.BDP("INTC UW Equity","CUR_MKT_CAP")</f>
        <v>90603900000</v>
      </c>
      <c r="H39">
        <f>_xll.BDP("INTC UW Equity","CHG_PCT_YTD")</f>
        <v>3.2418990000000001</v>
      </c>
      <c r="I39" t="str">
        <f>_xll.BDP("INTC UW Equity","CIE_DES")</f>
        <v>英特爾公司(Intel Corporation)設計、製造，並銷售電腦組件與相關產品。 該公司主要產品包括：微處理器、晶片組、內嵌處理及微控器、快閃記憶體、圖像產品、網路及通訊產品、系統管理軟體、視訊會議產品，以及數位影像產品。</v>
      </c>
      <c r="J39">
        <f>_xll.BDP("INTC UW Equity","ESG_SCORE")</f>
        <v>6.0199999809265137</v>
      </c>
      <c r="K39" t="str">
        <f>_xll.BDP("INTC UW Equity","MSCI_ESG_RATING")</f>
        <v>AAA</v>
      </c>
      <c r="L39">
        <f>_xll.BDP("INTC UW Equity","EQY_BETA")</f>
        <v>1.3914724588394165</v>
      </c>
      <c r="M39">
        <f>_xll.BDP("INTC UW Equity","VOLATILITY_60D")</f>
        <v>46.892828089146839</v>
      </c>
      <c r="N39">
        <f>_xll.BDP("INTC UW Equity","PCT_INSIDER_SHARES_OUT")</f>
        <v>8.6913445053689739E-2</v>
      </c>
      <c r="O39">
        <f>_xll.BDP("INTC UW Equity","PCT_CHG_INSIDER_HOLDINGS")</f>
        <v>54.716708558958551</v>
      </c>
      <c r="P39">
        <f>_xll.BDP("INTC UW Equity","RISK_PREMIUM")</f>
        <v>7.1679338213932509</v>
      </c>
      <c r="Q39">
        <f>_xll.BDP("INTC UW Equity","HIGH_52WEEK")</f>
        <v>31.465</v>
      </c>
      <c r="R39">
        <f>_xll.BDP("INTC UW Equity","LOW_52WEEK")</f>
        <v>17.664999999999999</v>
      </c>
    </row>
    <row r="40" spans="1:18" ht="15.75" x14ac:dyDescent="0.25">
      <c r="A40" t="s">
        <v>56</v>
      </c>
      <c r="B40">
        <f>_xll.BDP("GM UN Equity","RT_PX_CHG_PCT_1D")</f>
        <v>2.0251998901367188</v>
      </c>
      <c r="C40" t="str">
        <f>_xll.BDP("GM UN Equity","GICS_SECTOR_NAME")</f>
        <v>非核心消費</v>
      </c>
      <c r="D40" t="str">
        <f>_xll.BDP("GM UN Equity","NAME_CHINESE_TRADITIONAL")</f>
        <v>通用汽車公司</v>
      </c>
      <c r="E40" t="str">
        <f>_xll.BDP("GM UN Equity","CLASSIFICATION_LEVEL_4_NAME")</f>
        <v>汽車</v>
      </c>
      <c r="F40" t="str">
        <f>_xll.BDP("GM UN Equity","CLASSIFICATION_DESCRIPTION")</f>
        <v>車輛-化石燃料</v>
      </c>
      <c r="G40">
        <f>_xll.BDP("GM UN Equity","CUR_MKT_CAP")</f>
        <v>50840954573.399994</v>
      </c>
      <c r="H40">
        <f>_xll.BDP("GM UN Equity","CHG_PCT_YTD")</f>
        <v>0.2440389</v>
      </c>
      <c r="I40" t="str">
        <f>_xll.BDP("GM UN Equity","CIE_DES")</f>
        <v>通用汽車公司(General Motors Company)設計、製造和銷售汽車、卡車、跨界休旅車及汽車零件。該公司提供車輛保護、零件、配件、維護、衛星廣播及汽車融資服務。通用汽車公司於全球各地提供產品及服務。</v>
      </c>
      <c r="J40">
        <f>_xll.BDP("GM UN Equity","ESG_SCORE")</f>
        <v>5.630000114440918</v>
      </c>
      <c r="K40" t="str">
        <f>_xll.BDP("GM UN Equity","MSCI_ESG_RATING")</f>
        <v>BBB</v>
      </c>
      <c r="L40">
        <f>_xll.BDP("GM UN Equity","EQY_BETA")</f>
        <v>0.98751497268676758</v>
      </c>
      <c r="M40">
        <f>_xll.BDP("GM UN Equity","VOLATILITY_60D")</f>
        <v>36.660801565028514</v>
      </c>
      <c r="N40">
        <f>_xll.BDP("GM UN Equity","PCT_INSIDER_SHARES_OUT")</f>
        <v>0.21068782404127057</v>
      </c>
      <c r="O40">
        <f>_xll.BDP("GM UN Equity","PCT_CHG_INSIDER_HOLDINGS")</f>
        <v>20.89706423013639</v>
      </c>
      <c r="P40">
        <f>_xll.BDP("GM UN Equity","RISK_PREMIUM")</f>
        <v>5.0870155042505258</v>
      </c>
      <c r="Q40">
        <f>_xll.BDP("GM UN Equity","HIGH_52WEEK")</f>
        <v>61.14</v>
      </c>
      <c r="R40">
        <f>_xll.BDP("GM UN Equity","LOW_52WEEK")</f>
        <v>38.97</v>
      </c>
    </row>
    <row r="41" spans="1:18" ht="15.75" x14ac:dyDescent="0.25">
      <c r="A41" t="s">
        <v>57</v>
      </c>
      <c r="B41">
        <f>_xll.BDP("MSFT UW Equity","RT_PX_CHG_PCT_1D")</f>
        <v>0.55390000343322754</v>
      </c>
      <c r="C41" t="str">
        <f>_xll.BDP("MSFT UW Equity","GICS_SECTOR_NAME")</f>
        <v>資訊技術</v>
      </c>
      <c r="D41" t="str">
        <f>_xll.BDP("MSFT UW Equity","NAME_CHINESE_TRADITIONAL")</f>
        <v>微軟</v>
      </c>
      <c r="E41" t="str">
        <f>_xll.BDP("MSFT UW Equity","CLASSIFICATION_LEVEL_4_NAME")</f>
        <v>基礎建設軟體</v>
      </c>
      <c r="F41" t="str">
        <f>_xll.BDP("MSFT UW Equity","CLASSIFICATION_DESCRIPTION")</f>
        <v>基礎建設軟體</v>
      </c>
      <c r="G41">
        <f>_xll.BDP("MSFT UW Equity","CUR_MKT_CAP")</f>
        <v>3818172108889.1499</v>
      </c>
      <c r="H41">
        <f>_xll.BDP("MSFT UW Equity","CHG_PCT_YTD")</f>
        <v>21.876629999999999</v>
      </c>
      <c r="I41" t="str">
        <f>_xll.BDP("MSFT UW Equity","CIE_DES")</f>
        <v>微軟公司(Microsoft Corporation)為一家軟體公司。該公司提供應用程式、額外收費的雲端儲存，以及先進安全解決方案。微軟服務全球客戶。</v>
      </c>
      <c r="J41">
        <f>_xll.BDP("MSFT UW Equity","ESG_SCORE")</f>
        <v>5.2300000190734863</v>
      </c>
      <c r="K41" t="str">
        <f>_xll.BDP("MSFT UW Equity","MSCI_ESG_RATING")</f>
        <v>A</v>
      </c>
      <c r="L41">
        <f>_xll.BDP("MSFT UW Equity","EQY_BETA")</f>
        <v>1.0052993297576904</v>
      </c>
      <c r="M41">
        <f>_xll.BDP("MSFT UW Equity","VOLATILITY_60D")</f>
        <v>19.698507213083264</v>
      </c>
      <c r="N41">
        <f>_xll.BDP("MSFT UW Equity","PCT_INSIDER_SHARES_OUT")</f>
        <v>3.5832199030372373E-2</v>
      </c>
      <c r="O41">
        <f>_xll.BDP("MSFT UW Equity","PCT_CHG_INSIDER_HOLDINGS")</f>
        <v>-5.0070905566726802</v>
      </c>
      <c r="P41">
        <f>_xll.BDP("MSFT UW Equity","RISK_PREMIUM")</f>
        <v>5.1786285963606833</v>
      </c>
      <c r="Q41">
        <f>_xll.BDP("MSFT UW Equity","HIGH_52WEEK")</f>
        <v>518.29</v>
      </c>
      <c r="R41">
        <f>_xll.BDP("MSFT UW Equity","LOW_52WEEK")</f>
        <v>344.83</v>
      </c>
    </row>
    <row r="42" spans="1:18" ht="15.75" x14ac:dyDescent="0.25">
      <c r="A42" t="s">
        <v>58</v>
      </c>
      <c r="B42">
        <f>_xll.BDP("DG UN Equity","RT_PX_CHG_PCT_1D")</f>
        <v>-0.17630000412464142</v>
      </c>
      <c r="C42" t="str">
        <f>_xll.BDP("DG UN Equity","GICS_SECTOR_NAME")</f>
        <v>核心消費</v>
      </c>
      <c r="D42" t="str">
        <f>_xll.BDP("DG UN Equity","NAME_CHINESE_TRADITIONAL")</f>
        <v>達樂公司</v>
      </c>
      <c r="E42" t="str">
        <f>_xll.BDP("DG UN Equity","CLASSIFICATION_LEVEL_4_NAME")</f>
        <v>量販店</v>
      </c>
      <c r="F42" t="str">
        <f>_xll.BDP("DG UN Equity","CLASSIFICATION_DESCRIPTION")</f>
        <v>一元商店</v>
      </c>
      <c r="G42">
        <f>_xll.BDP("DG UN Equity","CUR_MKT_CAP")</f>
        <v>23670794919.16</v>
      </c>
      <c r="H42">
        <f>_xll.BDP("DG UN Equity","CHG_PCT_YTD")</f>
        <v>41.862310000000001</v>
      </c>
      <c r="I42" t="str">
        <f>_xll.BDP("DG UN Equity","CIE_DES")</f>
        <v>達樂公司(Dollar General Corporation)經營連鎖折扣零售商店。該公司提供種類眾多的商品，包括：消費性產品(例如：食物、紙張、清潔產品、健康、美容，和寵物用品)，以及非消費性產品(例如：季節性商品)。達樂服務美國的客戶。</v>
      </c>
      <c r="J42">
        <f>_xll.BDP("DG UN Equity","ESG_SCORE")</f>
        <v>2.9700000286102295</v>
      </c>
      <c r="K42" t="str">
        <f>_xll.BDP("DG UN Equity","MSCI_ESG_RATING")</f>
        <v>A</v>
      </c>
      <c r="L42">
        <f>_xll.BDP("DG UN Equity","EQY_BETA")</f>
        <v>0.20659288763999939</v>
      </c>
      <c r="M42">
        <f>_xll.BDP("DG UN Equity","VOLATILITY_60D")</f>
        <v>42.516726382608041</v>
      </c>
      <c r="N42">
        <f>_xll.BDP("DG UN Equity","PCT_INSIDER_SHARES_OUT")</f>
        <v>0.42285263938027162</v>
      </c>
      <c r="O42">
        <f>_xll.BDP("DG UN Equity","PCT_CHG_INSIDER_HOLDINGS")</f>
        <v>40.184743181653232</v>
      </c>
      <c r="P42">
        <f>_xll.BDP("DG UN Equity","RISK_PREMIUM")</f>
        <v>1.0642281398865581</v>
      </c>
      <c r="Q42">
        <f>_xll.BDP("DG UN Equity","HIGH_52WEEK")</f>
        <v>126.96</v>
      </c>
      <c r="R42">
        <f>_xll.BDP("DG UN Equity","LOW_52WEEK")</f>
        <v>66.45</v>
      </c>
    </row>
    <row r="43" spans="1:18" ht="15.75" x14ac:dyDescent="0.25">
      <c r="A43" t="s">
        <v>59</v>
      </c>
      <c r="B43">
        <f>_xll.BDP("CI UN Equity","RT_PX_CHG_PCT_1D")</f>
        <v>0.83009999990463257</v>
      </c>
      <c r="C43" t="str">
        <f>_xll.BDP("CI UN Equity","GICS_SECTOR_NAME")</f>
        <v>醫療保健</v>
      </c>
      <c r="D43" t="str">
        <f>_xll.BDP("CI UN Equity","NAME_CHINESE_TRADITIONAL")</f>
        <v>信諾集團</v>
      </c>
      <c r="E43" t="str">
        <f>_xll.BDP("CI UN Equity","CLASSIFICATION_LEVEL_4_NAME")</f>
        <v>管理式醫療</v>
      </c>
      <c r="F43" t="str">
        <f>_xll.BDP("CI UN Equity","CLASSIFICATION_DESCRIPTION")</f>
        <v>管理式醫療</v>
      </c>
      <c r="G43">
        <f>_xll.BDP("CI UN Equity","CUR_MKT_CAP")</f>
        <v>79173051472.889984</v>
      </c>
      <c r="H43">
        <f>_xll.BDP("CI UN Equity","CHG_PCT_YTD")</f>
        <v>7.3259879999999997</v>
      </c>
      <c r="I43" t="str">
        <f>_xll.BDP("CI UN Equity","CIE_DES")</f>
        <v>信諾集團（Cigna Group）為一家全球健康公司。該公司提供整合行為、醫療，以及藥房管理解決方案，並提供人壽、意外、殘疾、補充、醫療，以及牙科等保險產品與服務。信諾集團服務全球各地的個人、家庭，以及企業。</v>
      </c>
      <c r="J43">
        <f>_xll.BDP("CI UN Equity","ESG_SCORE")</f>
        <v>5.7800002098083496</v>
      </c>
      <c r="K43" t="str">
        <f>_xll.BDP("CI UN Equity","MSCI_ESG_RATING")</f>
        <v>AA</v>
      </c>
      <c r="L43">
        <f>_xll.BDP("CI UN Equity","EQY_BETA")</f>
        <v>0.47055897116661072</v>
      </c>
      <c r="M43">
        <f>_xll.BDP("CI UN Equity","VOLATILITY_60D")</f>
        <v>27.336286558981747</v>
      </c>
      <c r="N43">
        <f>_xll.BDP("CI UN Equity","PCT_INSIDER_SHARES_OUT")</f>
        <v>0.40456054908502043</v>
      </c>
      <c r="O43">
        <f>_xll.BDP("CI UN Equity","PCT_CHG_INSIDER_HOLDINGS")</f>
        <v>4.2090380815115456</v>
      </c>
      <c r="P43">
        <f>_xll.BDP("CI UN Equity","RISK_PREMIUM")</f>
        <v>2.4240045449396965</v>
      </c>
      <c r="Q43">
        <f>_xll.BDP("CI UN Equity","HIGH_52WEEK")</f>
        <v>370.3</v>
      </c>
      <c r="R43">
        <f>_xll.BDP("CI UN Equity","LOW_52WEEK")</f>
        <v>262.11</v>
      </c>
    </row>
    <row r="44" spans="1:18" ht="15.75" x14ac:dyDescent="0.25">
      <c r="A44" t="s">
        <v>60</v>
      </c>
      <c r="B44">
        <f>_xll.BDP("KMI UN Equity","RT_PX_CHG_PCT_1D")</f>
        <v>-0.10939999669790268</v>
      </c>
      <c r="C44" t="str">
        <f>_xll.BDP("KMI UN Equity","GICS_SECTOR_NAME")</f>
        <v>能源</v>
      </c>
      <c r="D44" t="str">
        <f>_xll.BDP("KMI UN Equity","NAME_CHINESE_TRADITIONAL")</f>
        <v>金德摩根公司(德拉瓦州)</v>
      </c>
      <c r="E44" t="str">
        <f>_xll.BDP("KMI UN Equity","CLASSIFICATION_LEVEL_4_NAME")</f>
        <v>中游石油及天然氣業</v>
      </c>
      <c r="F44" t="str">
        <f>_xll.BDP("KMI UN Equity","CLASSIFICATION_DESCRIPTION")</f>
        <v>天然氣運輸</v>
      </c>
      <c r="G44">
        <f>_xll.BDP("KMI UN Equity","CUR_MKT_CAP")</f>
        <v>60862705902.239998</v>
      </c>
      <c r="H44">
        <f>_xll.BDP("KMI UN Equity","CHG_PCT_YTD")</f>
        <v>-3.649496E-2</v>
      </c>
      <c r="I44" t="str">
        <f>_xll.BDP("KMI UN Equity","CIE_DES")</f>
        <v>金德摩根公司(德拉瓦州)(Kinder Morgan, Inc. of Delaware)為管線運輸及能源儲存公司。 該公司擁有並經營輸送天然氣、汽油、原油、二氧化碳及其他產品的管線；其輸油站用來儲存石油產品及化學品，並處理如煤及石油焦等散裝材料。</v>
      </c>
      <c r="J44">
        <f>_xll.BDP("KMI UN Equity","ESG_SCORE")</f>
        <v>5.7600002288818359</v>
      </c>
      <c r="K44" t="str">
        <f>_xll.BDP("KMI UN Equity","MSCI_ESG_RATING")</f>
        <v>AAA</v>
      </c>
      <c r="L44">
        <f>_xll.BDP("KMI UN Equity","EQY_BETA")</f>
        <v>0.71271795034408569</v>
      </c>
      <c r="M44">
        <f>_xll.BDP("KMI UN Equity","VOLATILITY_60D")</f>
        <v>20.419084700393096</v>
      </c>
      <c r="N44">
        <f>_xll.BDP("KMI UN Equity","PCT_INSIDER_SHARES_OUT")</f>
        <v>12.74629828475868</v>
      </c>
      <c r="O44">
        <f>_xll.BDP("KMI UN Equity","PCT_CHG_INSIDER_HOLDINGS")</f>
        <v>4.3777169969732445E-2</v>
      </c>
      <c r="P44">
        <f>_xll.BDP("KMI UN Equity","RISK_PREMIUM")</f>
        <v>3.6714453591459986</v>
      </c>
      <c r="Q44">
        <f>_xll.BDP("KMI UN Equity","HIGH_52WEEK")</f>
        <v>31.475000000000001</v>
      </c>
      <c r="R44">
        <f>_xll.BDP("KMI UN Equity","LOW_52WEEK")</f>
        <v>19.68</v>
      </c>
    </row>
    <row r="45" spans="1:18" ht="15.75" x14ac:dyDescent="0.25">
      <c r="A45" t="s">
        <v>61</v>
      </c>
      <c r="B45">
        <f>_xll.BDP("C UN Equity","RT_PX_CHG_PCT_1D")</f>
        <v>0.71289998292922974</v>
      </c>
      <c r="C45" t="str">
        <f>_xll.BDP("C UN Equity","GICS_SECTOR_NAME")</f>
        <v>金融</v>
      </c>
      <c r="D45" t="str">
        <f>_xll.BDP("C UN Equity","NAME_CHINESE_TRADITIONAL")</f>
        <v>花旗集團</v>
      </c>
      <c r="E45" t="str">
        <f>_xll.BDP("C UN Equity","CLASSIFICATION_LEVEL_4_NAME")</f>
        <v>多元化銀行</v>
      </c>
      <c r="F45" t="str">
        <f>_xll.BDP("C UN Equity","CLASSIFICATION_DESCRIPTION")</f>
        <v>多元化銀行</v>
      </c>
      <c r="G45">
        <f>_xll.BDP("C UN Equity","CUR_MKT_CAP")</f>
        <v>179433174637.60001</v>
      </c>
      <c r="H45">
        <f>_xll.BDP("C UN Equity","CHG_PCT_YTD")</f>
        <v>36.482460000000003</v>
      </c>
      <c r="I45" t="str">
        <f>_xll.BDP("C UN Equity","CIE_DES")</f>
        <v>花旗集團(Citigroup Inc.)為多元化的金融服務控股公司，其提供多樣化的消費金融及企業金融服務。該公司的服務內容包括：投資銀行、證券零售經紀、企業金融，及現金管理等產品服務。花旗集團提供服務予全球客戶。</v>
      </c>
      <c r="J45">
        <f>_xll.BDP("C UN Equity","ESG_SCORE")</f>
        <v>3.9000000953674316</v>
      </c>
      <c r="K45" t="str">
        <f>_xll.BDP("C UN Equity","MSCI_ESG_RATING")</f>
        <v>A</v>
      </c>
      <c r="L45">
        <f>_xll.BDP("C UN Equity","EQY_BETA")</f>
        <v>1.2967103719711304</v>
      </c>
      <c r="M45">
        <f>_xll.BDP("C UN Equity","VOLATILITY_60D")</f>
        <v>24.235919250383951</v>
      </c>
      <c r="N45">
        <f>_xll.BDP("C UN Equity","PCT_INSIDER_SHARES_OUT")</f>
        <v>0.25615705439318442</v>
      </c>
      <c r="O45">
        <f>_xll.BDP("C UN Equity","PCT_CHG_INSIDER_HOLDINGS")</f>
        <v>11.354668051260287</v>
      </c>
      <c r="P45">
        <f>_xll.BDP("C UN Equity","RISK_PREMIUM")</f>
        <v>6.6797830404460425</v>
      </c>
      <c r="Q45">
        <f>_xll.BDP("C UN Equity","HIGH_52WEEK")</f>
        <v>96.9</v>
      </c>
      <c r="R45">
        <f>_xll.BDP("C UN Equity","LOW_52WEEK")</f>
        <v>53.52</v>
      </c>
    </row>
    <row r="46" spans="1:18" ht="15.75" x14ac:dyDescent="0.25">
      <c r="A46" t="s">
        <v>62</v>
      </c>
      <c r="B46">
        <f>_xll.BDP("AIG UN Equity","RT_PX_CHG_PCT_1D")</f>
        <v>1.098099946975708</v>
      </c>
      <c r="C46" t="str">
        <f>_xll.BDP("AIG UN Equity","GICS_SECTOR_NAME")</f>
        <v>金融</v>
      </c>
      <c r="D46" t="str">
        <f>_xll.BDP("AIG UN Equity","NAME_CHINESE_TRADITIONAL")</f>
        <v>美國國際集團</v>
      </c>
      <c r="E46" t="str">
        <f>_xll.BDP("AIG UN Equity","CLASSIFICATION_LEVEL_4_NAME")</f>
        <v>產物及意外保險</v>
      </c>
      <c r="F46" t="str">
        <f>_xll.BDP("AIG UN Equity","CLASSIFICATION_DESCRIPTION")</f>
        <v>產物及意外保險</v>
      </c>
      <c r="G46">
        <f>_xll.BDP("AIG UN Equity","CUR_MKT_CAP")</f>
        <v>46164053826</v>
      </c>
      <c r="H46">
        <f>_xll.BDP("AIG UN Equity","CHG_PCT_YTD")</f>
        <v>10.027469999999999</v>
      </c>
      <c r="I46" t="str">
        <f>_xll.BDP("AIG UN Equity","CIE_DES")</f>
        <v>美國國際集團(American International Group, Inc.)為一家國際性保險機構，服務企業、機構及個人客戶。美國國際集團提供產物意外保險、人壽保險及退休服務。</v>
      </c>
      <c r="J46">
        <f>_xll.BDP("AIG UN Equity","ESG_SCORE")</f>
        <v>3.1700000762939453</v>
      </c>
      <c r="K46" t="str">
        <f>_xll.BDP("AIG UN Equity","MSCI_ESG_RATING")</f>
        <v>BBB</v>
      </c>
      <c r="L46">
        <f>_xll.BDP("AIG UN Equity","EQY_BETA")</f>
        <v>0.69156032800674438</v>
      </c>
      <c r="M46">
        <f>_xll.BDP("AIG UN Equity","VOLATILITY_60D")</f>
        <v>20.619704569241012</v>
      </c>
      <c r="N46">
        <f>_xll.BDP("AIG UN Equity","PCT_INSIDER_SHARES_OUT")</f>
        <v>0.4199946928523452</v>
      </c>
      <c r="O46">
        <f>_xll.BDP("AIG UN Equity","PCT_CHG_INSIDER_HOLDINGS")</f>
        <v>8.8728362384406729</v>
      </c>
      <c r="P46">
        <f>_xll.BDP("AIG UN Equity","RISK_PREMIUM")</f>
        <v>3.5624554644709825</v>
      </c>
      <c r="Q46">
        <f>_xll.BDP("AIG UN Equity","HIGH_52WEEK")</f>
        <v>88.06</v>
      </c>
      <c r="R46">
        <f>_xll.BDP("AIG UN Equity","LOW_52WEEK")</f>
        <v>69</v>
      </c>
    </row>
    <row r="47" spans="1:18" ht="15.75" x14ac:dyDescent="0.25">
      <c r="A47" t="s">
        <v>63</v>
      </c>
      <c r="B47">
        <f>_xll.BDP("MO UN Equity","RT_PX_CHG_PCT_1D")</f>
        <v>0.38580000400543213</v>
      </c>
      <c r="C47" t="str">
        <f>_xll.BDP("MO UN Equity","GICS_SECTOR_NAME")</f>
        <v>核心消費</v>
      </c>
      <c r="D47" t="str">
        <f>_xll.BDP("MO UN Equity","NAME_CHINESE_TRADITIONAL")</f>
        <v>高特利集團</v>
      </c>
      <c r="E47" t="str">
        <f>_xll.BDP("MO UN Equity","CLASSIFICATION_LEVEL_4_NAME")</f>
        <v>菸草</v>
      </c>
      <c r="F47" t="str">
        <f>_xll.BDP("MO UN Equity","CLASSIFICATION_DESCRIPTION")</f>
        <v>菸草品</v>
      </c>
      <c r="G47">
        <f>_xll.BDP("MO UN Equity","CUR_MKT_CAP")</f>
        <v>100797596789.12001</v>
      </c>
      <c r="H47">
        <f>_xll.BDP("MO UN Equity","CHG_PCT_YTD")</f>
        <v>14.43871</v>
      </c>
      <c r="I47" t="str">
        <f>_xll.BDP("MO UN Equity","CIE_DES")</f>
        <v>高特利集團(Altria Group, Inc.)為控股公司。該公司透過子公司製造及銷售香菸及其他菸草產品，包括雪茄及煙絲。此外，高特利擁有一家啤酒釀造公司的股份。</v>
      </c>
      <c r="J47">
        <f>_xll.BDP("MO UN Equity","ESG_SCORE")</f>
        <v>4.2899999618530273</v>
      </c>
      <c r="K47" t="str">
        <f>_xll.BDP("MO UN Equity","MSCI_ESG_RATING")</f>
        <v>A</v>
      </c>
      <c r="L47">
        <f>_xll.BDP("MO UN Equity","EQY_BETA")</f>
        <v>0.43120729923248291</v>
      </c>
      <c r="M47">
        <f>_xll.BDP("MO UN Equity","VOLATILITY_60D")</f>
        <v>19.762308692891288</v>
      </c>
      <c r="N47">
        <f>_xll.BDP("MO UN Equity","PCT_INSIDER_SHARES_OUT")</f>
        <v>0.15718471051712959</v>
      </c>
      <c r="O47">
        <f>_xll.BDP("MO UN Equity","PCT_CHG_INSIDER_HOLDINGS")</f>
        <v>8.4810810655782376</v>
      </c>
      <c r="P47">
        <f>_xll.BDP("MO UN Equity","RISK_PREMIUM")</f>
        <v>2.2212910967552659</v>
      </c>
      <c r="Q47">
        <f>_xll.BDP("MO UN Equity","HIGH_52WEEK")</f>
        <v>61.26</v>
      </c>
      <c r="R47">
        <f>_xll.BDP("MO UN Equity","LOW_52WEEK")</f>
        <v>47.57</v>
      </c>
    </row>
    <row r="48" spans="1:18" ht="15.75" x14ac:dyDescent="0.25">
      <c r="A48" t="s">
        <v>64</v>
      </c>
      <c r="B48">
        <f>_xll.BDP("HCA UN Equity","RT_PX_CHG_PCT_1D")</f>
        <v>-2.0968000888824463</v>
      </c>
      <c r="C48" t="str">
        <f>_xll.BDP("HCA UN Equity","GICS_SECTOR_NAME")</f>
        <v>醫療保健</v>
      </c>
      <c r="D48" t="str">
        <f>_xll.BDP("HCA UN Equity","NAME_CHINESE_TRADITIONAL")</f>
        <v>HCA醫療保健公司</v>
      </c>
      <c r="E48" t="str">
        <f>_xll.BDP("HCA UN Equity","CLASSIFICATION_LEVEL_4_NAME")</f>
        <v>醫療保健設施</v>
      </c>
      <c r="F48" t="str">
        <f>_xll.BDP("HCA UN Equity","CLASSIFICATION_DESCRIPTION")</f>
        <v>醫院</v>
      </c>
      <c r="G48">
        <f>_xll.BDP("HCA UN Equity","CUR_MKT_CAP")</f>
        <v>80428666248</v>
      </c>
      <c r="H48">
        <f>_xll.BDP("HCA UN Equity","CHG_PCT_YTD")</f>
        <v>11.384309999999999</v>
      </c>
      <c r="I48" t="str">
        <f>_xll.BDP("HCA UN Equity","CIE_DES")</f>
        <v>HCA醫療保健公司(HCA Healthcare, Inc.)提供醫療保健服務。該醫院提供診斷、治療、諮詢、護理、手術等服務，以及醫療教育、醫師資源中心與培訓課程。HCA醫療保健服務美國的病患。</v>
      </c>
      <c r="J48">
        <f>_xll.BDP("HCA UN Equity","ESG_SCORE")</f>
        <v>4.0900001525878906</v>
      </c>
      <c r="K48" t="str">
        <f>_xll.BDP("HCA UN Equity","MSCI_ESG_RATING")</f>
        <v>A</v>
      </c>
      <c r="L48">
        <f>_xll.BDP("HCA UN Equity","EQY_BETA")</f>
        <v>0.6579582691192627</v>
      </c>
      <c r="M48">
        <f>_xll.BDP("HCA UN Equity","VOLATILITY_60D")</f>
        <v>24.033153351852203</v>
      </c>
      <c r="N48">
        <f>_xll.BDP("HCA UN Equity","PCT_INSIDER_SHARES_OUT")</f>
        <v>1.2632334628569435</v>
      </c>
      <c r="O48">
        <f>_xll.BDP("HCA UN Equity","PCT_CHG_INSIDER_HOLDINGS")</f>
        <v>0.47541543499750882</v>
      </c>
      <c r="P48">
        <f>_xll.BDP("HCA UN Equity","RISK_PREMIUM")</f>
        <v>3.3893601704621314</v>
      </c>
      <c r="Q48">
        <f>_xll.BDP("HCA UN Equity","HIGH_52WEEK")</f>
        <v>417.11</v>
      </c>
      <c r="R48">
        <f>_xll.BDP("HCA UN Equity","LOW_52WEEK")</f>
        <v>290</v>
      </c>
    </row>
    <row r="49" spans="1:18" ht="15.75" x14ac:dyDescent="0.25">
      <c r="A49" t="s">
        <v>65</v>
      </c>
      <c r="B49">
        <f>_xll.BDP("IP UN Equity","RT_PX_CHG_PCT_1D")</f>
        <v>1.6058000326156616</v>
      </c>
      <c r="C49" t="str">
        <f>_xll.BDP("IP UN Equity","GICS_SECTOR_NAME")</f>
        <v>原材料</v>
      </c>
      <c r="D49" t="str">
        <f>_xll.BDP("IP UN Equity","NAME_CHINESE_TRADITIONAL")</f>
        <v>國際紙業</v>
      </c>
      <c r="E49" t="str">
        <f>_xll.BDP("IP UN Equity","CLASSIFICATION_LEVEL_4_NAME")</f>
        <v>容器與包裝</v>
      </c>
      <c r="F49" t="str">
        <f>_xll.BDP("IP UN Equity","CLASSIFICATION_DESCRIPTION")</f>
        <v>瓦楞紙包裝材料</v>
      </c>
      <c r="G49">
        <f>_xll.BDP("IP UN Equity","CUR_MKT_CAP")</f>
        <v>29393556522.240002</v>
      </c>
      <c r="H49">
        <f>_xll.BDP("IP UN Equity","CHG_PCT_YTD")</f>
        <v>3.455965</v>
      </c>
      <c r="I49" t="str">
        <f>_xll.BDP("IP UN Equity","CIE_DES")</f>
        <v>國際紙業公司(International Paper Company)生產並經銷紙類產品。該公司提供非塗佈印刷及書寫用紙、紙漿以及纖維包裝產品。國際紙業服務全球客戶。</v>
      </c>
      <c r="J49">
        <f>_xll.BDP("IP UN Equity","ESG_SCORE")</f>
        <v>6.0900001525878906</v>
      </c>
      <c r="K49" t="str">
        <f>_xll.BDP("IP UN Equity","MSCI_ESG_RATING")</f>
        <v>AA</v>
      </c>
      <c r="L49">
        <f>_xll.BDP("IP UN Equity","EQY_BETA")</f>
        <v>0.83818626403808594</v>
      </c>
      <c r="M49">
        <f>_xll.BDP("IP UN Equity","VOLATILITY_60D")</f>
        <v>33.648961323721728</v>
      </c>
      <c r="N49">
        <f>_xll.BDP("IP UN Equity","PCT_INSIDER_SHARES_OUT")</f>
        <v>0.36946949383549771</v>
      </c>
      <c r="O49">
        <f>_xll.BDP("IP UN Equity","PCT_CHG_INSIDER_HOLDINGS")</f>
        <v>11.933848649833658</v>
      </c>
      <c r="P49">
        <f>_xll.BDP("IP UN Equity","RISK_PREMIUM")</f>
        <v>4.3177740475273128</v>
      </c>
      <c r="Q49">
        <f>_xll.BDP("IP UN Equity","HIGH_52WEEK")</f>
        <v>60.35</v>
      </c>
      <c r="R49">
        <f>_xll.BDP("IP UN Equity","LOW_52WEEK")</f>
        <v>43.29</v>
      </c>
    </row>
    <row r="50" spans="1:18" ht="15.75" x14ac:dyDescent="0.25">
      <c r="A50" t="s">
        <v>66</v>
      </c>
      <c r="B50">
        <f>_xll.BDP("HPE UN Equity","RT_PX_CHG_PCT_1D")</f>
        <v>1.0726000070571899</v>
      </c>
      <c r="C50" t="str">
        <f>_xll.BDP("HPE UN Equity","GICS_SECTOR_NAME")</f>
        <v>資訊技術</v>
      </c>
      <c r="D50" t="str">
        <f>_xll.BDP("HPE UN Equity","NAME_CHINESE_TRADITIONAL")</f>
        <v>慧與企業公司</v>
      </c>
      <c r="E50" t="str">
        <f>_xll.BDP("HPE UN Equity","CLASSIFICATION_LEVEL_4_NAME")</f>
        <v>電腦硬體及儲存體</v>
      </c>
      <c r="F50" t="str">
        <f>_xll.BDP("HPE UN Equity","CLASSIFICATION_DESCRIPTION")</f>
        <v>伺服器</v>
      </c>
      <c r="G50">
        <f>_xll.BDP("HPE UN Equity","CUR_MKT_CAP")</f>
        <v>27202229802.600002</v>
      </c>
      <c r="H50">
        <f>_xll.BDP("HPE UN Equity","CHG_PCT_YTD")</f>
        <v>-2.9039830000000002</v>
      </c>
      <c r="I50" t="str">
        <f>_xll.BDP("HPE UN Equity","CIE_DES")</f>
        <v>慧與企業公司（Hewlett Packard Enterprise Company）提供資訊科技解決方案。該公司提供企業安全、分析及資料管理、應用程式開發與測試、資料中心維護、雲端諮詢及業務處理服務。慧與企業服務全球的客戶。</v>
      </c>
      <c r="J50">
        <f>_xll.BDP("HPE UN Equity","ESG_SCORE")</f>
        <v>4.7800002098083496</v>
      </c>
      <c r="K50" t="str">
        <f>_xll.BDP("HPE UN Equity","MSCI_ESG_RATING")</f>
        <v>AAA</v>
      </c>
      <c r="L50">
        <f>_xll.BDP("HPE UN Equity","EQY_BETA")</f>
        <v>1.3997808694839478</v>
      </c>
      <c r="M50">
        <f>_xll.BDP("HPE UN Equity","VOLATILITY_60D")</f>
        <v>34.121347337429604</v>
      </c>
      <c r="N50">
        <f>_xll.BDP("HPE UN Equity","PCT_INSIDER_SHARES_OUT")</f>
        <v>0.45208518499240974</v>
      </c>
      <c r="O50">
        <f>_xll.BDP("HPE UN Equity","PCT_CHG_INSIDER_HOLDINGS")</f>
        <v>4.4319825692882437</v>
      </c>
      <c r="P50">
        <f>_xll.BDP("HPE UN Equity","RISK_PREMIUM")</f>
        <v>7.2107331863987438</v>
      </c>
      <c r="Q50">
        <f>_xll.BDP("HPE UN Equity","HIGH_52WEEK")</f>
        <v>24.66</v>
      </c>
      <c r="R50">
        <f>_xll.BDP("HPE UN Equity","LOW_52WEEK")</f>
        <v>11.97</v>
      </c>
    </row>
    <row r="51" spans="1:18" ht="15.75" x14ac:dyDescent="0.25">
      <c r="A51" t="s">
        <v>67</v>
      </c>
      <c r="B51">
        <f>_xll.BDP("ABT UN Equity","RT_PX_CHG_PCT_1D")</f>
        <v>0.71630001068115234</v>
      </c>
      <c r="C51" t="str">
        <f>_xll.BDP("ABT UN Equity","GICS_SECTOR_NAME")</f>
        <v>醫療保健</v>
      </c>
      <c r="D51" t="str">
        <f>_xll.BDP("ABT UN Equity","NAME_CHINESE_TRADITIONAL")</f>
        <v>亞培</v>
      </c>
      <c r="E51" t="str">
        <f>_xll.BDP("ABT UN Equity","CLASSIFICATION_LEVEL_4_NAME")</f>
        <v>醫療裝置</v>
      </c>
      <c r="F51" t="str">
        <f>_xll.BDP("ABT UN Equity","CLASSIFICATION_DESCRIPTION")</f>
        <v>心血管器材</v>
      </c>
      <c r="G51">
        <f>_xll.BDP("ABT UN Equity","CUR_MKT_CAP")</f>
        <v>220158906281.10001</v>
      </c>
      <c r="H51">
        <f>_xll.BDP("ABT UN Equity","CHG_PCT_YTD")</f>
        <v>11.8734</v>
      </c>
      <c r="I51" t="str">
        <f>_xll.BDP("ABT UN Equity","CIE_DES")</f>
        <v>亞培公司(Abbott Laboratories)研發、製造、及銷售多種保健產品及服務。 產品內容包括藥品、檢驗試劑、醫療設備、及營養品。公司並透過旗下附屬機構及經銷商，行銷產品遍及全球。</v>
      </c>
      <c r="J51">
        <f>_xll.BDP("ABT UN Equity","ESG_SCORE")</f>
        <v>5.9099998474121094</v>
      </c>
      <c r="K51" t="str">
        <f>_xll.BDP("ABT UN Equity","MSCI_ESG_RATING")</f>
        <v>BB</v>
      </c>
      <c r="L51">
        <f>_xll.BDP("ABT UN Equity","EQY_BETA")</f>
        <v>0.56624382734298706</v>
      </c>
      <c r="M51">
        <f>_xll.BDP("ABT UN Equity","VOLATILITY_60D")</f>
        <v>26.107298628862136</v>
      </c>
      <c r="N51">
        <f>_xll.BDP("ABT UN Equity","PCT_INSIDER_SHARES_OUT")</f>
        <v>0.54267229784876281</v>
      </c>
      <c r="O51">
        <f>_xll.BDP("ABT UN Equity","PCT_CHG_INSIDER_HOLDINGS")</f>
        <v>1.1529688804037717</v>
      </c>
      <c r="P51">
        <f>_xll.BDP("ABT UN Equity","RISK_PREMIUM")</f>
        <v>2.9169088151067495</v>
      </c>
      <c r="Q51">
        <f>_xll.BDP("ABT UN Equity","HIGH_52WEEK")</f>
        <v>141.01</v>
      </c>
      <c r="R51">
        <f>_xll.BDP("ABT UN Equity","LOW_52WEEK")</f>
        <v>99.93</v>
      </c>
    </row>
    <row r="52" spans="1:18" ht="15.75" x14ac:dyDescent="0.25">
      <c r="A52" t="s">
        <v>68</v>
      </c>
      <c r="B52">
        <f>_xll.BDP("AFL UN Equity","RT_PX_CHG_PCT_1D")</f>
        <v>0.89800000190734863</v>
      </c>
      <c r="C52" t="str">
        <f>_xll.BDP("AFL UN Equity","GICS_SECTOR_NAME")</f>
        <v>金融</v>
      </c>
      <c r="D52" t="str">
        <f>_xll.BDP("AFL UN Equity","NAME_CHINESE_TRADITIONAL")</f>
        <v>美國家庭人壽保險公司</v>
      </c>
      <c r="E52" t="str">
        <f>_xll.BDP("AFL UN Equity","CLASSIFICATION_LEVEL_4_NAME")</f>
        <v>人壽保險</v>
      </c>
      <c r="F52" t="str">
        <f>_xll.BDP("AFL UN Equity","CLASSIFICATION_DESCRIPTION")</f>
        <v>人壽保險</v>
      </c>
      <c r="G52">
        <f>_xll.BDP("AFL UN Equity","CUR_MKT_CAP")</f>
        <v>55886476544.360008</v>
      </c>
      <c r="H52">
        <f>_xll.BDP("AFL UN Equity","CHG_PCT_YTD")</f>
        <v>-6.7674440000000002E-2</v>
      </c>
      <c r="I52" t="str">
        <f>_xll.BDP("AFL UN Equity","CIE_DES")</f>
        <v>美國家庭人壽保險公司(Aflac, Inc.)為綜合商業控股公司。該公司透過旗下子公司，提供美國及日本市場個人的附加保險。該公司的產品包括：意外及失能險、防癌險、短期失能險、疾病住院補償保險，加護病房保險，以及定給付牙科保險。</v>
      </c>
      <c r="J52">
        <f>_xll.BDP("AFL UN Equity","ESG_SCORE")</f>
        <v>3.4900000095367432</v>
      </c>
      <c r="K52" t="str">
        <f>_xll.BDP("AFL UN Equity","MSCI_ESG_RATING")</f>
        <v>AA</v>
      </c>
      <c r="L52">
        <f>_xll.BDP("AFL UN Equity","EQY_BETA")</f>
        <v>0.60121273994445801</v>
      </c>
      <c r="M52">
        <f>_xll.BDP("AFL UN Equity","VOLATILITY_60D")</f>
        <v>19.221190345722949</v>
      </c>
      <c r="N52">
        <f>_xll.BDP("AFL UN Equity","PCT_INSIDER_SHARES_OUT")</f>
        <v>0.73219580316103916</v>
      </c>
      <c r="O52">
        <f>_xll.BDP("AFL UN Equity","PCT_CHG_INSIDER_HOLDINGS")</f>
        <v>1.8572981974568741</v>
      </c>
      <c r="P52">
        <f>_xll.BDP("AFL UN Equity","RISK_PREMIUM")</f>
        <v>3.0970452236580845</v>
      </c>
      <c r="Q52">
        <f>_xll.BDP("AFL UN Equity","HIGH_52WEEK")</f>
        <v>115.5</v>
      </c>
      <c r="R52">
        <f>_xll.BDP("AFL UN Equity","LOW_52WEEK")</f>
        <v>94.08</v>
      </c>
    </row>
    <row r="53" spans="1:18" ht="15.75" x14ac:dyDescent="0.25">
      <c r="A53" t="s">
        <v>69</v>
      </c>
      <c r="B53">
        <f>_xll.BDP("APD UN Equity","RT_PX_CHG_PCT_1D")</f>
        <v>0.67960000038146973</v>
      </c>
      <c r="C53" t="str">
        <f>_xll.BDP("APD UN Equity","GICS_SECTOR_NAME")</f>
        <v>原材料</v>
      </c>
      <c r="D53" t="str">
        <f>_xll.BDP("APD UN Equity","NAME_CHINESE_TRADITIONAL")</f>
        <v>氣體產品與化學</v>
      </c>
      <c r="E53" t="str">
        <f>_xll.BDP("APD UN Equity","CLASSIFICATION_LEVEL_4_NAME")</f>
        <v>基本及多元化學品</v>
      </c>
      <c r="F53" t="str">
        <f>_xll.BDP("APD UN Equity","CLASSIFICATION_DESCRIPTION")</f>
        <v>工業用氣體</v>
      </c>
      <c r="G53">
        <f>_xll.BDP("APD UN Equity","CUR_MKT_CAP")</f>
        <v>66594130597.359993</v>
      </c>
      <c r="H53">
        <f>_xll.BDP("APD UN Equity","CHG_PCT_YTD")</f>
        <v>3.1719729999999999</v>
      </c>
      <c r="I53" t="str">
        <f>_xll.BDP("APD UN Equity","CIE_DES")</f>
        <v>氣體產品與化學公司(Air Products and Chemicals, Inc.)生產工業常壓及特殊用途氣體、機能材料與設備。該公司的產品包括：氧氣、氮氣、氬氣、氦氣、特殊界面活性劑及胺、聚氨酯、環氧硫化劑及樹脂。氣體產品與化學公司的產品主要用於飲料、健康及半導體領域。</v>
      </c>
      <c r="J53">
        <f>_xll.BDP("APD UN Equity","ESG_SCORE")</f>
        <v>5.1999998092651367</v>
      </c>
      <c r="K53" t="str">
        <f>_xll.BDP("APD UN Equity","MSCI_ESG_RATING")</f>
        <v>A</v>
      </c>
      <c r="L53">
        <f>_xll.BDP("APD UN Equity","EQY_BETA")</f>
        <v>0.85013139247894287</v>
      </c>
      <c r="M53">
        <f>_xll.BDP("APD UN Equity","VOLATILITY_60D")</f>
        <v>18.628610071089259</v>
      </c>
      <c r="N53">
        <f>_xll.BDP("APD UN Equity","PCT_INSIDER_SHARES_OUT")</f>
        <v>0.40865821351443898</v>
      </c>
      <c r="O53">
        <f>_xll.BDP("APD UN Equity","PCT_CHG_INSIDER_HOLDINGS")</f>
        <v>-1.4712491821674649</v>
      </c>
      <c r="P53">
        <f>_xll.BDP("APD UN Equity","RISK_PREMIUM")</f>
        <v>4.3793073460185523</v>
      </c>
      <c r="Q53">
        <f>_xll.BDP("APD UN Equity","HIGH_52WEEK")</f>
        <v>341.06</v>
      </c>
      <c r="R53">
        <f>_xll.BDP("APD UN Equity","LOW_52WEEK")</f>
        <v>244.2</v>
      </c>
    </row>
    <row r="54" spans="1:18" ht="15.75" x14ac:dyDescent="0.25">
      <c r="A54" t="s">
        <v>70</v>
      </c>
      <c r="B54">
        <f>_xll.BDP("SMCI UW Equity","RT_PX_CHG_PCT_1D")</f>
        <v>3.712899923324585</v>
      </c>
      <c r="C54" t="str">
        <f>_xll.BDP("SMCI UW Equity","GICS_SECTOR_NAME")</f>
        <v>資訊技術</v>
      </c>
      <c r="D54" t="str">
        <f>_xll.BDP("SMCI UW Equity","NAME_CHINESE_TRADITIONAL")</f>
        <v>超微電腦公司</v>
      </c>
      <c r="E54" t="str">
        <f>_xll.BDP("SMCI UW Equity","CLASSIFICATION_LEVEL_4_NAME")</f>
        <v>電腦硬體及儲存體</v>
      </c>
      <c r="F54" t="str">
        <f>_xll.BDP("SMCI UW Equity","CLASSIFICATION_DESCRIPTION")</f>
        <v>伺服器</v>
      </c>
      <c r="G54">
        <f>_xll.BDP("SMCI UW Equity","CUR_MKT_CAP")</f>
        <v>32508657177.619995</v>
      </c>
      <c r="H54">
        <f>_xll.BDP("SMCI UW Equity","CHG_PCT_YTD")</f>
        <v>78.707350000000005</v>
      </c>
      <c r="I54" t="str">
        <f>_xll.BDP("SMCI UW Equity","CIE_DES")</f>
        <v>超微電腦公司(Super Micro Computer, Inc.)基於模組和開放標準架構，設計、開發、製造並銷售伺服器解決方案。該公司提供伺服器、主機板、機殼及零件。超微電腦於全球行銷其產品。</v>
      </c>
      <c r="J54">
        <f>_xll.BDP("SMCI UW Equity","ESG_SCORE")</f>
        <v>2.4900000095367432</v>
      </c>
      <c r="K54" t="str">
        <f>_xll.BDP("SMCI UW Equity","MSCI_ESG_RATING")</f>
        <v>B</v>
      </c>
      <c r="L54">
        <f>_xll.BDP("SMCI UW Equity","EQY_BETA")</f>
        <v>2.5500552654266357</v>
      </c>
      <c r="M54">
        <f>_xll.BDP("SMCI UW Equity","VOLATILITY_60D")</f>
        <v>71.161730735738843</v>
      </c>
      <c r="N54">
        <f>_xll.BDP("SMCI UW Equity","PCT_INSIDER_SHARES_OUT")</f>
        <v>14.008947457313592</v>
      </c>
      <c r="O54">
        <f>_xll.BDP("SMCI UW Equity","PCT_CHG_INSIDER_HOLDINGS")</f>
        <v>-24.83452249337406</v>
      </c>
      <c r="P54">
        <f>_xll.BDP("SMCI UW Equity","RISK_PREMIUM")</f>
        <v>13.136176190450191</v>
      </c>
      <c r="Q54">
        <f>_xll.BDP("SMCI UW Equity","HIGH_52WEEK")</f>
        <v>73</v>
      </c>
      <c r="R54">
        <f>_xll.BDP("SMCI UW Equity","LOW_52WEEK")</f>
        <v>17.25</v>
      </c>
    </row>
    <row r="55" spans="1:18" ht="15.75" x14ac:dyDescent="0.25">
      <c r="A55" t="s">
        <v>71</v>
      </c>
      <c r="B55">
        <f>_xll.BDP("RCL UN Equity","RT_PX_CHG_PCT_1D")</f>
        <v>0.98470002412796021</v>
      </c>
      <c r="C55" t="str">
        <f>_xll.BDP("RCL UN Equity","GICS_SECTOR_NAME")</f>
        <v>非核心消費</v>
      </c>
      <c r="D55" t="str">
        <f>_xll.BDP("RCL UN Equity","NAME_CHINESE_TRADITIONAL")</f>
        <v>皇家加勒比國際遊輪有限公司</v>
      </c>
      <c r="E55" t="str">
        <f>_xll.BDP("RCL UN Equity","CLASSIFICATION_LEVEL_4_NAME")</f>
        <v>郵輪</v>
      </c>
      <c r="F55" t="str">
        <f>_xll.BDP("RCL UN Equity","CLASSIFICATION_DESCRIPTION")</f>
        <v>郵輪</v>
      </c>
      <c r="G55">
        <f>_xll.BDP("RCL UN Equity","CUR_MKT_CAP")</f>
        <v>95806499241.599991</v>
      </c>
      <c r="H55">
        <f>_xll.BDP("RCL UN Equity","CHG_PCT_YTD")</f>
        <v>52.932510000000001</v>
      </c>
      <c r="I55" t="str">
        <f>_xll.BDP("RCL UN Equity","CIE_DES")</f>
        <v>皇家加勒比國際遊輪有限公司(Royal Caribbean Cruises Ltd.)為一家經營渡假郵輪船隊的全球性郵輪公司。該公司旗下品牌主要服務對象為渡假性郵輪產業的現代、高級及豪華層級，亦包括經濟型及豪華精緻類型。</v>
      </c>
      <c r="J55">
        <f>_xll.BDP("RCL UN Equity","ESG_SCORE")</f>
        <v>5.0500001907348633</v>
      </c>
      <c r="K55" t="str">
        <f>_xll.BDP("RCL UN Equity","MSCI_ESG_RATING")</f>
        <v>BBB</v>
      </c>
      <c r="L55">
        <f>_xll.BDP("RCL UN Equity","EQY_BETA")</f>
        <v>1.4315276145935059</v>
      </c>
      <c r="M55">
        <f>_xll.BDP("RCL UN Equity","VOLATILITY_60D")</f>
        <v>31.286198799923508</v>
      </c>
      <c r="N55">
        <f>_xll.BDP("RCL UN Equity","PCT_INSIDER_SHARES_OUT")</f>
        <v>7.1179755958527089</v>
      </c>
      <c r="O55">
        <f>_xll.BDP("RCL UN Equity","PCT_CHG_INSIDER_HOLDINGS")</f>
        <v>-0.34657214811474063</v>
      </c>
      <c r="P55">
        <f>_xll.BDP("RCL UN Equity","RISK_PREMIUM")</f>
        <v>7.3742711468839639</v>
      </c>
      <c r="Q55">
        <f>_xll.BDP("RCL UN Equity","HIGH_52WEEK")</f>
        <v>355.86</v>
      </c>
      <c r="R55">
        <f>_xll.BDP("RCL UN Equity","LOW_52WEEK")</f>
        <v>130.1</v>
      </c>
    </row>
    <row r="56" spans="1:18" ht="15.75" x14ac:dyDescent="0.25">
      <c r="A56" t="s">
        <v>72</v>
      </c>
      <c r="B56">
        <f>_xll.BDP("LII UN Equity","RT_PX_CHG_PCT_1D")</f>
        <v>-0.55980002880096436</v>
      </c>
      <c r="C56" t="str">
        <f>_xll.BDP("LII UN Equity","GICS_SECTOR_NAME")</f>
        <v>工業</v>
      </c>
      <c r="D56" t="str">
        <f>_xll.BDP("LII UN Equity","NAME_CHINESE_TRADITIONAL")</f>
        <v>Lennox International Inc</v>
      </c>
      <c r="E56" t="str">
        <f>_xll.BDP("LII UN Equity","CLASSIFICATION_LEVEL_4_NAME")</f>
        <v>商業住宅建築設備及系統</v>
      </c>
      <c r="F56" t="str">
        <f>_xll.BDP("LII UN Equity","CLASSIFICATION_DESCRIPTION")</f>
        <v>冷暖氣及冷凍設備</v>
      </c>
      <c r="G56">
        <f>_xll.BDP("LII UN Equity","CUR_MKT_CAP")</f>
        <v>23210827370.420002</v>
      </c>
      <c r="H56">
        <f>_xll.BDP("LII UN Equity","CHG_PCT_YTD")</f>
        <v>8.4556070000000005</v>
      </c>
      <c r="I56" t="str">
        <f>_xll.BDP("LII UN Equity","CIE_DES")</f>
        <v>Lennox國際公司(Lennox International Inc.)提供溫度控制解決方案。該公司設計、製造及行銷暖氣、通風、冷氣及冷凍設備。Lennox的產品行銷全球。</v>
      </c>
      <c r="J56">
        <f>_xll.BDP("LII UN Equity","ESG_SCORE")</f>
        <v>8.3400001525878906</v>
      </c>
      <c r="K56" t="str">
        <f>_xll.BDP("LII UN Equity","MSCI_ESG_RATING")</f>
        <v>AAA</v>
      </c>
      <c r="L56">
        <f>_xll.BDP("LII UN Equity","EQY_BETA")</f>
        <v>1.0057629346847534</v>
      </c>
      <c r="M56">
        <f>_xll.BDP("LII UN Equity","VOLATILITY_60D")</f>
        <v>28.901709313058305</v>
      </c>
      <c r="N56">
        <f>_xll.BDP("LII UN Equity","PCT_INSIDER_SHARES_OUT")</f>
        <v>2.3625224488587384</v>
      </c>
      <c r="O56">
        <f>_xll.BDP("LII UN Equity","PCT_CHG_INSIDER_HOLDINGS")</f>
        <v>-1.1369349577417134</v>
      </c>
      <c r="P56">
        <f>_xll.BDP("LII UN Equity","RISK_PREMIUM")</f>
        <v>5.1810167783296102</v>
      </c>
      <c r="Q56">
        <f>_xll.BDP("LII UN Equity","HIGH_52WEEK")</f>
        <v>688.71</v>
      </c>
      <c r="R56">
        <f>_xll.BDP("LII UN Equity","LOW_52WEEK")</f>
        <v>501.37</v>
      </c>
    </row>
    <row r="57" spans="1:18" ht="15.75" x14ac:dyDescent="0.25">
      <c r="A57" t="s">
        <v>73</v>
      </c>
      <c r="B57">
        <f>_xll.BDP("ADM UN Equity","RT_PX_CHG_PCT_1D")</f>
        <v>-0.2703000009059906</v>
      </c>
      <c r="C57" t="str">
        <f>_xll.BDP("ADM UN Equity","GICS_SECTOR_NAME")</f>
        <v>核心消費</v>
      </c>
      <c r="D57" t="str">
        <f>_xll.BDP("ADM UN Equity","NAME_CHINESE_TRADITIONAL")</f>
        <v>Archer-Daniels-Midland Co</v>
      </c>
      <c r="E57" t="str">
        <f>_xll.BDP("ADM UN Equity","CLASSIFICATION_LEVEL_4_NAME")</f>
        <v>農產品批發</v>
      </c>
      <c r="F57" t="str">
        <f>_xll.BDP("ADM UN Equity","CLASSIFICATION_DESCRIPTION")</f>
        <v>農產品批發</v>
      </c>
      <c r="G57">
        <f>_xll.BDP("ADM UN Equity","CUR_MKT_CAP")</f>
        <v>26592908330.249996</v>
      </c>
      <c r="H57">
        <f>_xll.BDP("ADM UN Equity","CHG_PCT_YTD")</f>
        <v>9.5605689999999992</v>
      </c>
      <c r="I57" t="str">
        <f>_xll.BDP("ADM UN Equity","CIE_DES")</f>
        <v>Archer-Daniels-Midland公司(Archer-Daniels-Midland Company)採購、運送、儲存並銷售農業商品及產品。該公司加工處理油籽、玉米、高粱、燕麥、大麥、花生及小麥。Archer-Daniels-Midland亦加工處理生產產品，其主要供最終使用，包括食品或飼料原料。</v>
      </c>
      <c r="J57">
        <f>_xll.BDP("ADM UN Equity","ESG_SCORE")</f>
        <v>4.809999942779541</v>
      </c>
      <c r="K57" t="str">
        <f>_xll.BDP("ADM UN Equity","MSCI_ESG_RATING")</f>
        <v>AA</v>
      </c>
      <c r="L57">
        <f>_xll.BDP("ADM UN Equity","EQY_BETA")</f>
        <v>0.5906364917755127</v>
      </c>
      <c r="M57">
        <f>_xll.BDP("ADM UN Equity","VOLATILITY_60D")</f>
        <v>25.884254623520025</v>
      </c>
      <c r="N57">
        <f>_xll.BDP("ADM UN Equity","PCT_INSIDER_SHARES_OUT")</f>
        <v>0.94420641725465693</v>
      </c>
      <c r="O57">
        <f>_xll.BDP("ADM UN Equity","PCT_CHG_INSIDER_HOLDINGS")</f>
        <v>7.8791210212061262</v>
      </c>
      <c r="P57">
        <f>_xll.BDP("ADM UN Equity","RISK_PREMIUM")</f>
        <v>3.0425634791779514</v>
      </c>
      <c r="Q57">
        <f>_xll.BDP("ADM UN Equity","HIGH_52WEEK")</f>
        <v>64.239999999999995</v>
      </c>
      <c r="R57">
        <f>_xll.BDP("ADM UN Equity","LOW_52WEEK")</f>
        <v>40.99</v>
      </c>
    </row>
    <row r="58" spans="1:18" ht="15.75" x14ac:dyDescent="0.25">
      <c r="A58" t="s">
        <v>74</v>
      </c>
      <c r="B58">
        <f>_xll.BDP("ADP UW Equity","RT_PX_CHG_PCT_1D")</f>
        <v>0.78039997816085815</v>
      </c>
      <c r="C58" t="str">
        <f>_xll.BDP("ADP UW Equity","GICS_SECTOR_NAME")</f>
        <v>工業</v>
      </c>
      <c r="D58" t="str">
        <f>_xll.BDP("ADP UW Equity","NAME_CHINESE_TRADITIONAL")</f>
        <v>自動資料處理公司</v>
      </c>
      <c r="E58" t="str">
        <f>_xll.BDP("ADP UW Equity","CLASSIFICATION_LEVEL_4_NAME")</f>
        <v>專業服務</v>
      </c>
      <c r="F58" t="str">
        <f>_xll.BDP("ADP UW Equity","CLASSIFICATION_DESCRIPTION")</f>
        <v>其它專業服務</v>
      </c>
      <c r="G58">
        <f>_xll.BDP("ADP UW Equity","CUR_MKT_CAP")</f>
        <v>125279938023.86998</v>
      </c>
      <c r="H58">
        <f>_xll.BDP("ADP UW Equity","CHG_PCT_YTD")</f>
        <v>5.431622</v>
      </c>
      <c r="I58" t="str">
        <f>_xll.BDP("ADP UW Equity","CIE_DES")</f>
        <v>自動資料處理公司（Automatic Data Processing, Inc.）為一家全球業務外包解決方案的供應商，服務包括各項人力資源、薪資支付、稅務及福利管理解決方案，服務全球客戶。</v>
      </c>
      <c r="J58">
        <f>_xll.BDP("ADP UW Equity","ESG_SCORE")</f>
        <v>3.9000000953674316</v>
      </c>
      <c r="K58" t="str">
        <f>_xll.BDP("ADP UW Equity","MSCI_ESG_RATING")</f>
        <v>AAA</v>
      </c>
      <c r="L58">
        <f>_xll.BDP("ADP UW Equity","EQY_BETA")</f>
        <v>0.72345572710037231</v>
      </c>
      <c r="M58">
        <f>_xll.BDP("ADP UW Equity","VOLATILITY_60D")</f>
        <v>16.793808979517642</v>
      </c>
      <c r="N58">
        <f>_xll.BDP("ADP UW Equity","PCT_INSIDER_SHARES_OUT")</f>
        <v>0.16536566750270426</v>
      </c>
      <c r="O58">
        <f>_xll.BDP("ADP UW Equity","PCT_CHG_INSIDER_HOLDINGS")</f>
        <v>-0.82777572829994106</v>
      </c>
      <c r="P58">
        <f>_xll.BDP("ADP UW Equity","RISK_PREMIUM")</f>
        <v>3.7267591906839606</v>
      </c>
      <c r="Q58">
        <f>_xll.BDP("ADP UW Equity","HIGH_52WEEK")</f>
        <v>329.84</v>
      </c>
      <c r="R58">
        <f>_xll.BDP("ADP UW Equity","LOW_52WEEK")</f>
        <v>252.72</v>
      </c>
    </row>
    <row r="59" spans="1:18" ht="15.75" x14ac:dyDescent="0.25">
      <c r="A59" t="s">
        <v>75</v>
      </c>
      <c r="B59">
        <f>_xll.BDP("VRSK UW Equity","RT_PX_CHG_PCT_1D")</f>
        <v>0.631600022315979</v>
      </c>
      <c r="C59" t="str">
        <f>_xll.BDP("VRSK UW Equity","GICS_SECTOR_NAME")</f>
        <v>工業</v>
      </c>
      <c r="D59" t="str">
        <f>_xll.BDP("VRSK UW Equity","NAME_CHINESE_TRADITIONAL")</f>
        <v>Verisk Analytics Inc</v>
      </c>
      <c r="E59" t="str">
        <f>_xll.BDP("VRSK UW Equity","CLASSIFICATION_LEVEL_4_NAME")</f>
        <v>其它金融服務</v>
      </c>
      <c r="F59" t="str">
        <f>_xll.BDP("VRSK UW Equity","CLASSIFICATION_DESCRIPTION")</f>
        <v>資料及分析</v>
      </c>
      <c r="G59">
        <f>_xll.BDP("VRSK UW Equity","CUR_MKT_CAP")</f>
        <v>41679859582.919991</v>
      </c>
      <c r="H59">
        <f>_xll.BDP("VRSK UW Equity","CHG_PCT_YTD")</f>
        <v>8.1799400000000002</v>
      </c>
      <c r="I59" t="str">
        <f>_xll.BDP("VRSK UW Equity","CIE_DES")</f>
        <v>Verisk Analytics, Inc.從事風險評估服務與決策分析。該公司提供資料、統計及精算服務、標準化保險計劃、承保資訊及完善性評估工具。VeriskAnalytics提供資料及軟體資訊服務，予美國的產險、意外險及抵押貸款相關領域使用。</v>
      </c>
      <c r="J59">
        <f>_xll.BDP("VRSK UW Equity","ESG_SCORE")</f>
        <v>3.940000057220459</v>
      </c>
      <c r="K59" t="str">
        <f>_xll.BDP("VRSK UW Equity","MSCI_ESG_RATING")</f>
        <v>AA</v>
      </c>
      <c r="L59">
        <f>_xll.BDP("VRSK UW Equity","EQY_BETA")</f>
        <v>0.5955578088760376</v>
      </c>
      <c r="M59">
        <f>_xll.BDP("VRSK UW Equity","VOLATILITY_60D")</f>
        <v>18.942514392606874</v>
      </c>
      <c r="N59">
        <f>_xll.BDP("VRSK UW Equity","PCT_INSIDER_SHARES_OUT")</f>
        <v>0.24877094680524808</v>
      </c>
      <c r="O59">
        <f>_xll.BDP("VRSK UW Equity","PCT_CHG_INSIDER_HOLDINGS")</f>
        <v>6.9500917397357531</v>
      </c>
      <c r="P59">
        <f>_xll.BDP("VRSK UW Equity","RISK_PREMIUM")</f>
        <v>3.0679148075973988</v>
      </c>
      <c r="Q59">
        <f>_xll.BDP("VRSK UW Equity","HIGH_52WEEK")</f>
        <v>322.87</v>
      </c>
      <c r="R59">
        <f>_xll.BDP("VRSK UW Equity","LOW_52WEEK")</f>
        <v>257.84500000000003</v>
      </c>
    </row>
    <row r="60" spans="1:18" ht="15.75" x14ac:dyDescent="0.25">
      <c r="A60" t="s">
        <v>76</v>
      </c>
      <c r="B60">
        <f>_xll.BDP("AZO UN Equity","RT_PX_CHG_PCT_1D")</f>
        <v>-0.53600001335144043</v>
      </c>
      <c r="C60" t="str">
        <f>_xll.BDP("AZO UN Equity","GICS_SECTOR_NAME")</f>
        <v>非核心消費</v>
      </c>
      <c r="D60" t="str">
        <f>_xll.BDP("AZO UN Equity","NAME_CHINESE_TRADITIONAL")</f>
        <v>汽車地帶公司</v>
      </c>
      <c r="E60" t="str">
        <f>_xll.BDP("AZO UN Equity","CLASSIFICATION_LEVEL_4_NAME")</f>
        <v>汽車零售商</v>
      </c>
      <c r="F60" t="str">
        <f>_xll.BDP("AZO UN Equity","CLASSIFICATION_DESCRIPTION")</f>
        <v>汽車零件及配件店</v>
      </c>
      <c r="G60">
        <f>_xll.BDP("AZO UN Equity","CUR_MKT_CAP")</f>
        <v>63918910609.739998</v>
      </c>
      <c r="H60">
        <f>_xll.BDP("AZO UN Equity","CHG_PCT_YTD")</f>
        <v>19.328859999999999</v>
      </c>
      <c r="I60" t="str">
        <f>_xll.BDP("AZO UN Equity","CIE_DES")</f>
        <v>汽車地帶公司(AutoZone, Inc.)為一家汽車替換零件及配件的零售商。該公司提供汽車、運動休旅車、箱型車，和輕型卡車的大規模產品線，包括全新與改製的汽車五金零件、維修物件、 配件，以及非汽車產品。汽車地帶服務美國、波多黎各、巴西，以及墨西哥的客戶。</v>
      </c>
      <c r="J60">
        <f>_xll.BDP("AZO UN Equity","ESG_SCORE")</f>
        <v>5.0999999046325684</v>
      </c>
      <c r="K60" t="str">
        <f>_xll.BDP("AZO UN Equity","MSCI_ESG_RATING")</f>
        <v>BBB</v>
      </c>
      <c r="L60">
        <f>_xll.BDP("AZO UN Equity","EQY_BETA")</f>
        <v>0.569488525390625</v>
      </c>
      <c r="M60">
        <f>_xll.BDP("AZO UN Equity","VOLATILITY_60D")</f>
        <v>22.177915370860926</v>
      </c>
      <c r="N60">
        <f>_xll.BDP("AZO UN Equity","PCT_INSIDER_SHARES_OUT")</f>
        <v>0.28639921846932603</v>
      </c>
      <c r="O60">
        <f>_xll.BDP("AZO UN Equity","PCT_CHG_INSIDER_HOLDINGS")</f>
        <v>-9.6358180798120188</v>
      </c>
      <c r="P60">
        <f>_xll.BDP("AZO UN Equity","RISK_PREMIUM")</f>
        <v>2.9336233255004882</v>
      </c>
      <c r="Q60">
        <f>_xll.BDP("AZO UN Equity","HIGH_52WEEK")</f>
        <v>3910</v>
      </c>
      <c r="R60">
        <f>_xll.BDP("AZO UN Equity","LOW_52WEEK")</f>
        <v>2900</v>
      </c>
    </row>
    <row r="61" spans="1:18" ht="15.75" x14ac:dyDescent="0.25">
      <c r="A61" t="s">
        <v>77</v>
      </c>
      <c r="B61">
        <f>_xll.BDP("LIN UW Equity","RT_PX_CHG_PCT_1D")</f>
        <v>0.29690000414848328</v>
      </c>
      <c r="C61" t="str">
        <f>_xll.BDP("LIN UW Equity","GICS_SECTOR_NAME")</f>
        <v>原材料</v>
      </c>
      <c r="D61" t="str">
        <f>_xll.BDP("LIN UW Equity","NAME_CHINESE_TRADITIONAL")</f>
        <v>林德公開有限公司</v>
      </c>
      <c r="E61" t="str">
        <f>_xll.BDP("LIN UW Equity","CLASSIFICATION_LEVEL_4_NAME")</f>
        <v>基本及多元化學品</v>
      </c>
      <c r="F61" t="str">
        <f>_xll.BDP("LIN UW Equity","CLASSIFICATION_DESCRIPTION")</f>
        <v>工業用氣體</v>
      </c>
      <c r="G61">
        <f>_xll.BDP("LIN UW Equity","CUR_MKT_CAP")</f>
        <v>222600893199.63</v>
      </c>
      <c r="H61">
        <f>_xll.BDP("LIN UW Equity","CHG_PCT_YTD")</f>
        <v>12.950530000000001</v>
      </c>
      <c r="I61" t="str">
        <f>_xll.BDP("LIN UW Equity","CIE_DES")</f>
        <v>林德公開有限公司(Linde PLC)為一家工業氣體與工程公司。該公司提供工業氣體、技術，以及氣體處理解決方案，用於生產用於能源轉型的清潔氫氣和碳捕獲系統、醫用氧氣和電子特殊氣體。林德服務全球各地的客戶。</v>
      </c>
      <c r="J61">
        <f>_xll.BDP("LIN UW Equity","ESG_SCORE")</f>
        <v>6.320000171661377</v>
      </c>
      <c r="K61" t="str">
        <f>_xll.BDP("LIN UW Equity","MSCI_ESG_RATING")</f>
        <v>A</v>
      </c>
      <c r="L61" t="str">
        <f>_xll.BDP("LIN UW Equity","EQY_BETA")</f>
        <v>#N/A N/A</v>
      </c>
      <c r="M61">
        <f>_xll.BDP("LIN UW Equity","VOLATILITY_60D")</f>
        <v>13.987268712927857</v>
      </c>
      <c r="N61">
        <f>_xll.BDP("LIN UW Equity","PCT_INSIDER_SHARES_OUT")</f>
        <v>0.23871065132577549</v>
      </c>
      <c r="O61">
        <f>_xll.BDP("LIN UW Equity","PCT_CHG_INSIDER_HOLDINGS")</f>
        <v>12.345043594283236</v>
      </c>
      <c r="P61">
        <f>_xll.BDP("LIN UW Equity","RISK_PREMIUM")</f>
        <v>3.4279383056259154</v>
      </c>
      <c r="Q61">
        <f>_xll.BDP("LIN UW Equity","HIGH_52WEEK")</f>
        <v>487.31</v>
      </c>
      <c r="R61">
        <f>_xll.BDP("LIN UW Equity","LOW_52WEEK")</f>
        <v>408.65</v>
      </c>
    </row>
    <row r="62" spans="1:18" ht="15.75" x14ac:dyDescent="0.25">
      <c r="A62" t="s">
        <v>78</v>
      </c>
      <c r="B62">
        <f>_xll.BDP("AVY UN Equity","RT_PX_CHG_PCT_1D")</f>
        <v>-0.36989998817443848</v>
      </c>
      <c r="C62" t="str">
        <f>_xll.BDP("AVY UN Equity","GICS_SECTOR_NAME")</f>
        <v>原材料</v>
      </c>
      <c r="D62" t="str">
        <f>_xll.BDP("AVY UN Equity","NAME_CHINESE_TRADITIONAL")</f>
        <v>艾利丹尼森</v>
      </c>
      <c r="E62" t="str">
        <f>_xll.BDP("AVY UN Equity","CLASSIFICATION_LEVEL_4_NAME")</f>
        <v>特用化學品</v>
      </c>
      <c r="F62" t="str">
        <f>_xll.BDP("AVY UN Equity","CLASSIFICATION_DESCRIPTION")</f>
        <v>黏著劑及密封劑</v>
      </c>
      <c r="G62">
        <f>_xll.BDP("AVY UN Equity","CUR_MKT_CAP")</f>
        <v>13898833345.769999</v>
      </c>
      <c r="H62">
        <f>_xll.BDP("AVY UN Equity","CHG_PCT_YTD")</f>
        <v>-4.9911849999999998</v>
      </c>
      <c r="I62" t="str">
        <f>_xll.BDP("AVY UN Equity","CIE_DES")</f>
        <v>艾利丹尼森公司(Avery Dennison Corporation)生產感壓材料及各式票卡、標籤與其他加工品。該公司的感壓產品用於標籤、裝飾及特殊用途。艾利丹尼森的非感壓產品包含零售商、服飾製造商及品牌商使用的票卡、標籤、無線射頻(RFID)嵌片與服務。</v>
      </c>
      <c r="J62">
        <f>_xll.BDP("AVY UN Equity","ESG_SCORE")</f>
        <v>5.0799999237060547</v>
      </c>
      <c r="K62" t="str">
        <f>_xll.BDP("AVY UN Equity","MSCI_ESG_RATING")</f>
        <v>AA</v>
      </c>
      <c r="L62">
        <f>_xll.BDP("AVY UN Equity","EQY_BETA")</f>
        <v>0.73931467533111572</v>
      </c>
      <c r="M62">
        <f>_xll.BDP("AVY UN Equity","VOLATILITY_60D")</f>
        <v>23.357280845445498</v>
      </c>
      <c r="N62">
        <f>_xll.BDP("AVY UN Equity","PCT_INSIDER_SHARES_OUT")</f>
        <v>0.80730279936593996</v>
      </c>
      <c r="O62">
        <f>_xll.BDP("AVY UN Equity","PCT_CHG_INSIDER_HOLDINGS")</f>
        <v>5.8656822740274173</v>
      </c>
      <c r="P62">
        <f>_xll.BDP("AVY UN Equity","RISK_PREMIUM")</f>
        <v>3.8084538664734362</v>
      </c>
      <c r="Q62">
        <f>_xll.BDP("AVY UN Equity","HIGH_52WEEK")</f>
        <v>224.32</v>
      </c>
      <c r="R62">
        <f>_xll.BDP("AVY UN Equity","LOW_52WEEK")</f>
        <v>157</v>
      </c>
    </row>
    <row r="63" spans="1:18" ht="15.75" x14ac:dyDescent="0.25">
      <c r="A63" t="s">
        <v>79</v>
      </c>
      <c r="B63">
        <f>_xll.BDP("ENPH UQ Equity","RT_PX_CHG_PCT_1D")</f>
        <v>-0.29559999704360962</v>
      </c>
      <c r="C63" t="str">
        <f>_xll.BDP("ENPH UQ Equity","GICS_SECTOR_NAME")</f>
        <v>資訊技術</v>
      </c>
      <c r="D63" t="str">
        <f>_xll.BDP("ENPH UQ Equity","NAME_CHINESE_TRADITIONAL")</f>
        <v>Enphase能源公司</v>
      </c>
      <c r="E63" t="str">
        <f>_xll.BDP("ENPH UQ Equity","CLASSIFICATION_LEVEL_4_NAME")</f>
        <v>可再生能源設備</v>
      </c>
      <c r="F63" t="str">
        <f>_xll.BDP("ENPH UQ Equity","CLASSIFICATION_DESCRIPTION")</f>
        <v>太陽能變頻器</v>
      </c>
      <c r="G63">
        <f>_xll.BDP("ENPH UQ Equity","CUR_MKT_CAP")</f>
        <v>4629884801.1099987</v>
      </c>
      <c r="H63">
        <f>_xll.BDP("ENPH UQ Equity","CHG_PCT_YTD")</f>
        <v>-48.442050000000002</v>
      </c>
      <c r="I63" t="str">
        <f>_xll.BDP("ENPH UQ Equity","CIE_DES")</f>
        <v>Enphase能源公司(Enphase Energy, Inc.)製造太陽能設備。該公司提供家用及商用太陽能及儲存解決方案。Enphase能源公司服務美國的客戶。</v>
      </c>
      <c r="J63">
        <f>_xll.BDP("ENPH UQ Equity","ESG_SCORE")</f>
        <v>5.5799999237060547</v>
      </c>
      <c r="K63" t="str">
        <f>_xll.BDP("ENPH UQ Equity","MSCI_ESG_RATING")</f>
        <v>N.S.</v>
      </c>
      <c r="L63">
        <f>_xll.BDP("ENPH UQ Equity","EQY_BETA")</f>
        <v>1.0013396739959717</v>
      </c>
      <c r="M63">
        <f>_xll.BDP("ENPH UQ Equity","VOLATILITY_60D")</f>
        <v>103.09749405016073</v>
      </c>
      <c r="N63">
        <f>_xll.BDP("ENPH UQ Equity","PCT_INSIDER_SHARES_OUT")</f>
        <v>3.400562749902869</v>
      </c>
      <c r="O63">
        <f>_xll.BDP("ENPH UQ Equity","PCT_CHG_INSIDER_HOLDINGS")</f>
        <v>-2.1718931347257135</v>
      </c>
      <c r="P63">
        <f>_xll.BDP("ENPH UQ Equity","RISK_PREMIUM")</f>
        <v>5.1582311028456687</v>
      </c>
      <c r="Q63">
        <f>_xll.BDP("ENPH UQ Equity","HIGH_52WEEK")</f>
        <v>130.08000000000001</v>
      </c>
      <c r="R63">
        <f>_xll.BDP("ENPH UQ Equity","LOW_52WEEK")</f>
        <v>33.01</v>
      </c>
    </row>
    <row r="64" spans="1:18" ht="15.75" x14ac:dyDescent="0.25">
      <c r="A64" t="s">
        <v>80</v>
      </c>
      <c r="B64">
        <f>_xll.BDP("MSCI UN Equity","RT_PX_CHG_PCT_1D")</f>
        <v>0.54850000143051147</v>
      </c>
      <c r="C64" t="str">
        <f>_xll.BDP("MSCI UN Equity","GICS_SECTOR_NAME")</f>
        <v>金融</v>
      </c>
      <c r="D64" t="str">
        <f>_xll.BDP("MSCI UN Equity","NAME_CHINESE_TRADITIONAL")</f>
        <v>MSCI 明晟</v>
      </c>
      <c r="E64" t="str">
        <f>_xll.BDP("MSCI UN Equity","CLASSIFICATION_LEVEL_4_NAME")</f>
        <v>其它金融服務</v>
      </c>
      <c r="F64" t="str">
        <f>_xll.BDP("MSCI UN Equity","CLASSIFICATION_DESCRIPTION")</f>
        <v>金融資訊服務</v>
      </c>
      <c r="G64">
        <f>_xll.BDP("MSCI UN Equity","CUR_MKT_CAP")</f>
        <v>42263854228.149994</v>
      </c>
      <c r="H64">
        <f>_xll.BDP("MSCI UN Equity","CHG_PCT_YTD")</f>
        <v>-8.9531860000000005</v>
      </c>
      <c r="I64" t="str">
        <f>_xll.BDP("MSCI UN Equity","CIE_DES")</f>
        <v>MSCI 明晟(MSCI Inc.)提供投資決策支援工具予全球各地的投資機構。該公司製作指數及風險與報酬投資組合分析工具，以運用於管理投資組合。</v>
      </c>
      <c r="J64">
        <f>_xll.BDP("MSCI UN Equity","ESG_SCORE")</f>
        <v>4.6700000762939453</v>
      </c>
      <c r="K64" t="str">
        <f>_xll.BDP("MSCI UN Equity","MSCI_ESG_RATING")</f>
        <v>N.S.</v>
      </c>
      <c r="L64">
        <f>_xll.BDP("MSCI UN Equity","EQY_BETA")</f>
        <v>0.91735917329788208</v>
      </c>
      <c r="M64">
        <f>_xll.BDP("MSCI UN Equity","VOLATILITY_60D")</f>
        <v>27.50419877529583</v>
      </c>
      <c r="N64">
        <f>_xll.BDP("MSCI UN Equity","PCT_INSIDER_SHARES_OUT")</f>
        <v>3.3553931972549944</v>
      </c>
      <c r="O64">
        <f>_xll.BDP("MSCI UN Equity","PCT_CHG_INSIDER_HOLDINGS")</f>
        <v>1.4392298473238594</v>
      </c>
      <c r="P64">
        <f>_xll.BDP("MSCI UN Equity","RISK_PREMIUM")</f>
        <v>4.7256198301845789</v>
      </c>
      <c r="Q64">
        <f>_xll.BDP("MSCI UN Equity","HIGH_52WEEK")</f>
        <v>640.05999999999995</v>
      </c>
      <c r="R64">
        <f>_xll.BDP("MSCI UN Equity","LOW_52WEEK")</f>
        <v>487</v>
      </c>
    </row>
    <row r="65" spans="1:18" ht="15.75" x14ac:dyDescent="0.25">
      <c r="A65" t="s">
        <v>81</v>
      </c>
      <c r="B65">
        <f>_xll.BDP("BALL UN Equity","RT_PX_CHG_PCT_1D")</f>
        <v>0.10180000215768814</v>
      </c>
      <c r="C65" t="str">
        <f>_xll.BDP("BALL UN Equity","GICS_SECTOR_NAME")</f>
        <v>原材料</v>
      </c>
      <c r="D65" t="str">
        <f>_xll.BDP("BALL UN Equity","NAME_CHINESE_TRADITIONAL")</f>
        <v>包爾公司</v>
      </c>
      <c r="E65" t="str">
        <f>_xll.BDP("BALL UN Equity","CLASSIFICATION_LEVEL_4_NAME")</f>
        <v>容器與包裝</v>
      </c>
      <c r="F65" t="str">
        <f>_xll.BDP("BALL UN Equity","CLASSIFICATION_DESCRIPTION")</f>
        <v>金屬容器</v>
      </c>
      <c r="G65">
        <f>_xll.BDP("BALL UN Equity","CUR_MKT_CAP")</f>
        <v>16370488108.800001</v>
      </c>
      <c r="H65">
        <f>_xll.BDP("BALL UN Equity","CHG_PCT_YTD")</f>
        <v>7.0379079999999998</v>
      </c>
      <c r="I65" t="str">
        <f>_xll.BDP("BALL UN Equity","CIE_DES")</f>
        <v>包爾公司(Ball Corporation)提供金屬包裝，予飲料、食品，及家用產品之用。該公司亦提供航太及其他技術服務，予商業及政府部門客戶。包爾公司服務全球各地的客戶。</v>
      </c>
      <c r="J65">
        <f>_xll.BDP("BALL UN Equity","ESG_SCORE")</f>
        <v>4.5999999046325684</v>
      </c>
      <c r="K65" t="str">
        <f>_xll.BDP("BALL UN Equity","MSCI_ESG_RATING")</f>
        <v>AAA</v>
      </c>
      <c r="L65">
        <f>_xll.BDP("BALL UN Equity","EQY_BETA")</f>
        <v>0.73826295137405396</v>
      </c>
      <c r="M65">
        <f>_xll.BDP("BALL UN Equity","VOLATILITY_60D")</f>
        <v>21.241206646473586</v>
      </c>
      <c r="N65">
        <f>_xll.BDP("BALL UN Equity","PCT_INSIDER_SHARES_OUT")</f>
        <v>0.61206807122838325</v>
      </c>
      <c r="O65">
        <f>_xll.BDP("BALL UN Equity","PCT_CHG_INSIDER_HOLDINGS")</f>
        <v>3.9195419108114677</v>
      </c>
      <c r="P65">
        <f>_xll.BDP("BALL UN Equity","RISK_PREMIUM")</f>
        <v>3.8030360893017052</v>
      </c>
      <c r="Q65">
        <f>_xll.BDP("BALL UN Equity","HIGH_52WEEK")</f>
        <v>68.12</v>
      </c>
      <c r="R65">
        <f>_xll.BDP("BALL UN Equity","LOW_52WEEK")</f>
        <v>43.55</v>
      </c>
    </row>
    <row r="66" spans="1:18" ht="15.75" x14ac:dyDescent="0.25">
      <c r="A66" t="s">
        <v>82</v>
      </c>
      <c r="B66">
        <f>_xll.BDP("AXON UW Equity","RT_PX_CHG_PCT_1D")</f>
        <v>3.6305000782012939</v>
      </c>
      <c r="C66" t="str">
        <f>_xll.BDP("AXON UW Equity","GICS_SECTOR_NAME")</f>
        <v>工業</v>
      </c>
      <c r="D66" t="str">
        <f>_xll.BDP("AXON UW Equity","NAME_CHINESE_TRADITIONAL")</f>
        <v>泰瑟國際公司</v>
      </c>
      <c r="E66" t="str">
        <f>_xll.BDP("AXON UW Equity","CLASSIFICATION_LEVEL_4_NAME")</f>
        <v>國防</v>
      </c>
      <c r="F66" t="str">
        <f>_xll.BDP("AXON UW Equity","CLASSIFICATION_DESCRIPTION")</f>
        <v>軍火彈藥及小型武器製造</v>
      </c>
      <c r="G66">
        <f>_xll.BDP("AXON UW Equity","CUR_MKT_CAP")</f>
        <v>57221125328.119987</v>
      </c>
      <c r="H66">
        <f>_xll.BDP("AXON UW Equity","CHG_PCT_YTD")</f>
        <v>23.672429999999999</v>
      </c>
      <c r="I66" t="str">
        <f>_xll.BDP("AXON UW Equity","CIE_DES")</f>
        <v>泰瑟國際公司(Axon Enterprise, Inc.)為一家公共安全技術公司。該公司提供執法、軍事，以及自衛解決方案。泰瑟國際服務全球客戶。</v>
      </c>
      <c r="J66">
        <f>_xll.BDP("AXON UW Equity","ESG_SCORE")</f>
        <v>3.8900001049041748</v>
      </c>
      <c r="K66" t="str">
        <f>_xll.BDP("AXON UW Equity","MSCI_ESG_RATING")</f>
        <v>AA</v>
      </c>
      <c r="L66">
        <f>_xll.BDP("AXON UW Equity","EQY_BETA")</f>
        <v>1.3749808073043823</v>
      </c>
      <c r="M66">
        <f>_xll.BDP("AXON UW Equity","VOLATILITY_60D")</f>
        <v>45.578455564924397</v>
      </c>
      <c r="N66">
        <f>_xll.BDP("AXON UW Equity","PCT_INSIDER_SHARES_OUT")</f>
        <v>5.3979669575692268</v>
      </c>
      <c r="O66">
        <f>_xll.BDP("AXON UW Equity","PCT_CHG_INSIDER_HOLDINGS")</f>
        <v>8.5208117651038719</v>
      </c>
      <c r="P66">
        <f>_xll.BDP("AXON UW Equity","RISK_PREMIUM")</f>
        <v>7.0829798820912835</v>
      </c>
      <c r="Q66">
        <f>_xll.BDP("AXON UW Equity","HIGH_52WEEK")</f>
        <v>830.09</v>
      </c>
      <c r="R66">
        <f>_xll.BDP("AXON UW Equity","LOW_52WEEK")</f>
        <v>279.42</v>
      </c>
    </row>
    <row r="67" spans="1:18" ht="15.75" x14ac:dyDescent="0.25">
      <c r="A67" t="s">
        <v>83</v>
      </c>
      <c r="B67">
        <f>_xll.BDP("DAY UN Equity","RT_PX_CHG_PCT_1D")</f>
        <v>0.99309998750686646</v>
      </c>
      <c r="C67" t="str">
        <f>_xll.BDP("DAY UN Equity","GICS_SECTOR_NAME")</f>
        <v>工業</v>
      </c>
      <c r="D67" t="str">
        <f>_xll.BDP("DAY UN Equity","NAME_CHINESE_TRADITIONAL")</f>
        <v>Dayforce公司</v>
      </c>
      <c r="E67" t="str">
        <f>_xll.BDP("DAY UN Equity","CLASSIFICATION_LEVEL_4_NAME")</f>
        <v>應用軟體</v>
      </c>
      <c r="F67" t="str">
        <f>_xll.BDP("DAY UN Equity","CLASSIFICATION_DESCRIPTION")</f>
        <v>應用軟體</v>
      </c>
      <c r="G67">
        <f>_xll.BDP("DAY UN Equity","CUR_MKT_CAP")</f>
        <v>9592864140</v>
      </c>
      <c r="H67">
        <f>_xll.BDP("DAY UN Equity","CHG_PCT_YTD")</f>
        <v>-17.400880000000001</v>
      </c>
      <c r="I67" t="str">
        <f>_xll.BDP("DAY UN Equity","CIE_DES")</f>
        <v>Dayforce公司(Dayforce, Inc.)提供技術解決方案。該公司提供人才與人力管理、人力資源、福利，以及薪資服務的平台，可幫助管理從招募到入職，到支付薪資的整個員工生命週期。Dayforce服務全球客戶。</v>
      </c>
      <c r="J67">
        <f>_xll.BDP("DAY UN Equity","ESG_SCORE")</f>
        <v>6.2199997901916504</v>
      </c>
      <c r="K67" t="str">
        <f>_xll.BDP("DAY UN Equity","MSCI_ESG_RATING")</f>
        <v>N.S.</v>
      </c>
      <c r="L67">
        <f>_xll.BDP("DAY UN Equity","EQY_BETA")</f>
        <v>1.2111825942993164</v>
      </c>
      <c r="M67">
        <f>_xll.BDP("DAY UN Equity","VOLATILITY_60D")</f>
        <v>38.094458312033446</v>
      </c>
      <c r="N67">
        <f>_xll.BDP("DAY UN Equity","PCT_INSIDER_SHARES_OUT")</f>
        <v>1.8488751953795666</v>
      </c>
      <c r="O67">
        <f>_xll.BDP("DAY UN Equity","PCT_CHG_INSIDER_HOLDINGS")</f>
        <v>19.728787746844262</v>
      </c>
      <c r="P67">
        <f>_xll.BDP("DAY UN Equity","RISK_PREMIUM")</f>
        <v>6.2392012334918974</v>
      </c>
      <c r="Q67">
        <f>_xll.BDP("DAY UN Equity","HIGH_52WEEK")</f>
        <v>82.6</v>
      </c>
      <c r="R67">
        <f>_xll.BDP("DAY UN Equity","LOW_52WEEK")</f>
        <v>48.07</v>
      </c>
    </row>
    <row r="68" spans="1:18" ht="15.75" x14ac:dyDescent="0.25">
      <c r="A68" t="s">
        <v>84</v>
      </c>
      <c r="B68">
        <f>_xll.BDP("CARR UN Equity","RT_PX_CHG_PCT_1D")</f>
        <v>1.6239000558853149</v>
      </c>
      <c r="C68" t="str">
        <f>_xll.BDP("CARR UN Equity","GICS_SECTOR_NAME")</f>
        <v>工業</v>
      </c>
      <c r="D68" t="str">
        <f>_xll.BDP("CARR UN Equity","NAME_CHINESE_TRADITIONAL")</f>
        <v>開利全球公司</v>
      </c>
      <c r="E68" t="str">
        <f>_xll.BDP("CARR UN Equity","CLASSIFICATION_LEVEL_4_NAME")</f>
        <v>商業住宅建築設備及系統</v>
      </c>
      <c r="F68" t="str">
        <f>_xll.BDP("CARR UN Equity","CLASSIFICATION_DESCRIPTION")</f>
        <v>冷暖氣及冷凍設備</v>
      </c>
      <c r="G68">
        <f>_xll.BDP("CARR UN Equity","CUR_MKT_CAP")</f>
        <v>69210623948.310013</v>
      </c>
      <c r="H68">
        <f>_xll.BDP("CARR UN Equity","CHG_PCT_YTD")</f>
        <v>18.268380000000001</v>
      </c>
      <c r="I68" t="str">
        <f>_xll.BDP("CARR UN Equity","CIE_DES")</f>
        <v>開利全球公司製造空調(HVAC)設備。該公司提供暖氣、空調及製冷解決方案。開利全球服務全球客戶。</v>
      </c>
      <c r="J68">
        <f>_xll.BDP("CARR UN Equity","ESG_SCORE")</f>
        <v>5.9899997711181641</v>
      </c>
      <c r="K68" t="str">
        <f>_xll.BDP("CARR UN Equity","MSCI_ESG_RATING")</f>
        <v>AA</v>
      </c>
      <c r="L68">
        <f>_xll.BDP("CARR UN Equity","EQY_BETA")</f>
        <v>1.2125871181488037</v>
      </c>
      <c r="M68">
        <f>_xll.BDP("CARR UN Equity","VOLATILITY_60D")</f>
        <v>31.502150717297667</v>
      </c>
      <c r="N68">
        <f>_xll.BDP("CARR UN Equity","PCT_INSIDER_SHARES_OUT")</f>
        <v>6.0420730055809457</v>
      </c>
      <c r="O68">
        <f>_xll.BDP("CARR UN Equity","PCT_CHG_INSIDER_HOLDINGS")</f>
        <v>0.31503423026735822</v>
      </c>
      <c r="P68">
        <f>_xll.BDP("CARR UN Equity","RISK_PREMIUM")</f>
        <v>6.2464363993334766</v>
      </c>
      <c r="Q68">
        <f>_xll.BDP("CARR UN Equity","HIGH_52WEEK")</f>
        <v>83.3</v>
      </c>
      <c r="R68">
        <f>_xll.BDP("CARR UN Equity","LOW_52WEEK")</f>
        <v>54.325000000000003</v>
      </c>
    </row>
    <row r="69" spans="1:18" ht="15.75" x14ac:dyDescent="0.25">
      <c r="A69" t="s">
        <v>85</v>
      </c>
      <c r="B69">
        <f>_xll.BDP("BK UN Equity","RT_PX_CHG_PCT_1D")</f>
        <v>0.95029997825622559</v>
      </c>
      <c r="C69" t="str">
        <f>_xll.BDP("BK UN Equity","GICS_SECTOR_NAME")</f>
        <v>金融</v>
      </c>
      <c r="D69" t="str">
        <f>_xll.BDP("BK UN Equity","NAME_CHINESE_TRADITIONAL")</f>
        <v>紐約梅隆銀行</v>
      </c>
      <c r="E69" t="str">
        <f>_xll.BDP("BK UN Equity","CLASSIFICATION_LEVEL_4_NAME")</f>
        <v>機構信託活動</v>
      </c>
      <c r="F69" t="str">
        <f>_xll.BDP("BK UN Equity","CLASSIFICATION_DESCRIPTION")</f>
        <v>機構信託活動</v>
      </c>
      <c r="G69">
        <f>_xll.BDP("BK UN Equity","CUR_MKT_CAP")</f>
        <v>72201628042.199997</v>
      </c>
      <c r="H69">
        <f>_xll.BDP("BK UN Equity","CHG_PCT_YTD")</f>
        <v>31.354939999999999</v>
      </c>
      <c r="I69" t="str">
        <f>_xll.BDP("BK UN Equity","CIE_DES")</f>
        <v>紐約梅隆銀行公司（The Bank of New York Mellon Corporation）為一家銀行和金融控股公司。該公司透過旗下子公司，提供投資與財富管理、證券及市場服務，並為金融機構、公司及個人投資者管理與服務資產。紐約梅隆銀行服務全球客戶。</v>
      </c>
      <c r="J69">
        <f>_xll.BDP("BK UN Equity","ESG_SCORE")</f>
        <v>4.4099998474121094</v>
      </c>
      <c r="K69" t="str">
        <f>_xll.BDP("BK UN Equity","MSCI_ESG_RATING")</f>
        <v>AA</v>
      </c>
      <c r="L69">
        <f>_xll.BDP("BK UN Equity","EQY_BETA")</f>
        <v>0.96301966905593872</v>
      </c>
      <c r="M69">
        <f>_xll.BDP("BK UN Equity","VOLATILITY_60D")</f>
        <v>15.901410928856638</v>
      </c>
      <c r="N69">
        <f>_xll.BDP("BK UN Equity","PCT_INSIDER_SHARES_OUT")</f>
        <v>0.33828263970570038</v>
      </c>
      <c r="O69">
        <f>_xll.BDP("BK UN Equity","PCT_CHG_INSIDER_HOLDINGS")</f>
        <v>5.4383142477935307</v>
      </c>
      <c r="P69">
        <f>_xll.BDP("BK UN Equity","RISK_PREMIUM")</f>
        <v>4.9608321117979282</v>
      </c>
      <c r="Q69">
        <f>_xll.BDP("BK UN Equity","HIGH_52WEEK")</f>
        <v>101.15</v>
      </c>
      <c r="R69">
        <f>_xll.BDP("BK UN Equity","LOW_52WEEK")</f>
        <v>60.98</v>
      </c>
    </row>
    <row r="70" spans="1:18" ht="15.75" x14ac:dyDescent="0.25">
      <c r="A70" t="s">
        <v>86</v>
      </c>
      <c r="B70">
        <f>_xll.BDP("OTIS UN Equity","RT_PX_CHG_PCT_1D")</f>
        <v>0.66140002012252808</v>
      </c>
      <c r="C70" t="str">
        <f>_xll.BDP("OTIS UN Equity","GICS_SECTOR_NAME")</f>
        <v>工業</v>
      </c>
      <c r="D70" t="str">
        <f>_xll.BDP("OTIS UN Equity","NAME_CHINESE_TRADITIONAL")</f>
        <v>奧的斯電梯公司</v>
      </c>
      <c r="E70" t="str">
        <f>_xll.BDP("OTIS UN Equity","CLASSIFICATION_LEVEL_4_NAME")</f>
        <v>商業住宅建築設備及系統</v>
      </c>
      <c r="F70" t="str">
        <f>_xll.BDP("OTIS UN Equity","CLASSIFICATION_DESCRIPTION")</f>
        <v>電梯及手扶梯</v>
      </c>
      <c r="G70">
        <f>_xll.BDP("OTIS UN Equity","CUR_MKT_CAP")</f>
        <v>35240350811.910004</v>
      </c>
      <c r="H70">
        <f>_xll.BDP("OTIS UN Equity","CHG_PCT_YTD")</f>
        <v>-3.0450279999999998</v>
      </c>
      <c r="I70" t="str">
        <f>_xll.BDP("OTIS UN Equity","CIE_DES")</f>
        <v>奧的斯電梯公司(Otis Worlding Corporation)製造、安裝及服務建築系統。該公司提供電梯、電扶梯，以及其他移動產品。奧的斯電梯公司服務全球各地的客戶。</v>
      </c>
      <c r="J70">
        <f>_xll.BDP("OTIS UN Equity","ESG_SCORE")</f>
        <v>4.820000171661377</v>
      </c>
      <c r="K70" t="str">
        <f>_xll.BDP("OTIS UN Equity","MSCI_ESG_RATING")</f>
        <v>A</v>
      </c>
      <c r="L70">
        <f>_xll.BDP("OTIS UN Equity","EQY_BETA")</f>
        <v>0.70118224620819092</v>
      </c>
      <c r="M70">
        <f>_xll.BDP("OTIS UN Equity","VOLATILITY_60D")</f>
        <v>32.017772911290272</v>
      </c>
      <c r="N70">
        <f>_xll.BDP("OTIS UN Equity","PCT_INSIDER_SHARES_OUT")</f>
        <v>0.14143364982042175</v>
      </c>
      <c r="O70">
        <f>_xll.BDP("OTIS UN Equity","PCT_CHG_INSIDER_HOLDINGS")</f>
        <v>7.0304455970537765</v>
      </c>
      <c r="P70">
        <f>_xll.BDP("OTIS UN Equity","RISK_PREMIUM")</f>
        <v>3.6120211403596398</v>
      </c>
      <c r="Q70">
        <f>_xll.BDP("OTIS UN Equity","HIGH_52WEEK")</f>
        <v>106.79</v>
      </c>
      <c r="R70">
        <f>_xll.BDP("OTIS UN Equity","LOW_52WEEK")</f>
        <v>86.33</v>
      </c>
    </row>
    <row r="71" spans="1:18" ht="15.75" x14ac:dyDescent="0.25">
      <c r="A71" t="s">
        <v>87</v>
      </c>
      <c r="B71">
        <f>_xll.BDP("BAX UN Equity","RT_PX_CHG_PCT_1D")</f>
        <v>1.5641000270843506</v>
      </c>
      <c r="C71" t="str">
        <f>_xll.BDP("BAX UN Equity","GICS_SECTOR_NAME")</f>
        <v>醫療保健</v>
      </c>
      <c r="D71" t="str">
        <f>_xll.BDP("BAX UN Equity","NAME_CHINESE_TRADITIONAL")</f>
        <v>百特醫療產品有限公司</v>
      </c>
      <c r="E71" t="str">
        <f>_xll.BDP("BAX UN Equity","CLASSIFICATION_LEVEL_4_NAME")</f>
        <v>醫療保健用品</v>
      </c>
      <c r="F71" t="str">
        <f>_xll.BDP("BAX UN Equity","CLASSIFICATION_DESCRIPTION")</f>
        <v>外科用器具及用品</v>
      </c>
      <c r="G71">
        <f>_xll.BDP("BAX UN Equity","CUR_MKT_CAP")</f>
        <v>14994962484.059999</v>
      </c>
      <c r="H71">
        <f>_xll.BDP("BAX UN Equity","CHG_PCT_YTD")</f>
        <v>0.20576179999999999</v>
      </c>
      <c r="I71" t="str">
        <f>_xll.BDP("BAX UN Equity","CIE_DES")</f>
        <v>百特醫療產品有限公司(Baxter International Inc.)開發、製造及銷售與血友病、免疫力失調、傳染性疾病、腎臟疾病、創傷及其他慢性及急性醫療狀況相關之產品與科技。該公司的產品用於醫院、洗腎中心、護理之家、復健中心、診所及研究實驗室。</v>
      </c>
      <c r="J71">
        <f>_xll.BDP("BAX UN Equity","ESG_SCORE")</f>
        <v>4.9000000953674316</v>
      </c>
      <c r="K71" t="str">
        <f>_xll.BDP("BAX UN Equity","MSCI_ESG_RATING")</f>
        <v>BBB</v>
      </c>
      <c r="L71">
        <f>_xll.BDP("BAX UN Equity","EQY_BETA")</f>
        <v>0.74552899599075317</v>
      </c>
      <c r="M71">
        <f>_xll.BDP("BAX UN Equity","VOLATILITY_60D")</f>
        <v>29.638868312857735</v>
      </c>
      <c r="N71">
        <f>_xll.BDP("BAX UN Equity","PCT_INSIDER_SHARES_OUT")</f>
        <v>0.4707894739918928</v>
      </c>
      <c r="O71">
        <f>_xll.BDP("BAX UN Equity","PCT_CHG_INSIDER_HOLDINGS")</f>
        <v>9.9584556119513845</v>
      </c>
      <c r="P71">
        <f>_xll.BDP("BAX UN Equity","RISK_PREMIUM")</f>
        <v>3.8404658829170462</v>
      </c>
      <c r="Q71">
        <f>_xll.BDP("BAX UN Equity","HIGH_52WEEK")</f>
        <v>40.454999999999998</v>
      </c>
      <c r="R71">
        <f>_xll.BDP("BAX UN Equity","LOW_52WEEK")</f>
        <v>26.25</v>
      </c>
    </row>
    <row r="72" spans="1:18" ht="15.75" x14ac:dyDescent="0.25">
      <c r="A72" t="s">
        <v>88</v>
      </c>
      <c r="B72">
        <f>_xll.BDP("BDX UN Equity","RT_PX_CHG_PCT_1D")</f>
        <v>0.92030000686645508</v>
      </c>
      <c r="C72" t="str">
        <f>_xll.BDP("BDX UN Equity","GICS_SECTOR_NAME")</f>
        <v>醫療保健</v>
      </c>
      <c r="D72" t="str">
        <f>_xll.BDP("BDX UN Equity","NAME_CHINESE_TRADITIONAL")</f>
        <v>碧迪醫療器械有限公司</v>
      </c>
      <c r="E72" t="str">
        <f>_xll.BDP("BDX UN Equity","CLASSIFICATION_LEVEL_4_NAME")</f>
        <v>醫療設備</v>
      </c>
      <c r="F72" t="str">
        <f>_xll.BDP("BDX UN Equity","CLASSIFICATION_DESCRIPTION")</f>
        <v>藥物管制與投藥</v>
      </c>
      <c r="G72">
        <f>_xll.BDP("BDX UN Equity","CUR_MKT_CAP")</f>
        <v>53114085962.480003</v>
      </c>
      <c r="H72">
        <f>_xll.BDP("BDX UN Equity","CHG_PCT_YTD")</f>
        <v>-18.314450000000001</v>
      </c>
      <c r="I72" t="str">
        <f>_xll.BDP("BDX UN Equity","CIE_DES")</f>
        <v>碧迪醫療器械有限公司(Becton, Dickinson and Company)為一家醫療科技公司。該公司提供的解決方案有助於推進醫學研究和基因組學、加強傳染病和癌症的診斷、改善藥物管理，並促進感染預防。碧迪醫療器械有限公司服務全球客戶。</v>
      </c>
      <c r="J72">
        <f>_xll.BDP("BDX UN Equity","ESG_SCORE")</f>
        <v>5.0500001907348633</v>
      </c>
      <c r="K72" t="str">
        <f>_xll.BDP("BDX UN Equity","MSCI_ESG_RATING")</f>
        <v>BBB</v>
      </c>
      <c r="L72">
        <f>_xll.BDP("BDX UN Equity","EQY_BETA")</f>
        <v>0.55691128969192505</v>
      </c>
      <c r="M72">
        <f>_xll.BDP("BDX UN Equity","VOLATILITY_60D")</f>
        <v>47.323439962307091</v>
      </c>
      <c r="N72">
        <f>_xll.BDP("BDX UN Equity","PCT_INSIDER_SHARES_OUT")</f>
        <v>0.16662654209207439</v>
      </c>
      <c r="O72">
        <f>_xll.BDP("BDX UN Equity","PCT_CHG_INSIDER_HOLDINGS")</f>
        <v>3.6931528264810933</v>
      </c>
      <c r="P72">
        <f>_xll.BDP("BDX UN Equity","RISK_PREMIUM")</f>
        <v>2.8688338339287043</v>
      </c>
      <c r="Q72">
        <f>_xll.BDP("BDX UN Equity","HIGH_52WEEK")</f>
        <v>251.91</v>
      </c>
      <c r="R72">
        <f>_xll.BDP("BDX UN Equity","LOW_52WEEK")</f>
        <v>163.34</v>
      </c>
    </row>
    <row r="73" spans="1:18" ht="15.75" x14ac:dyDescent="0.25">
      <c r="A73" t="s">
        <v>89</v>
      </c>
      <c r="B73">
        <f>_xll.BDP("BRK/B UN Equity","RT_PX_CHG_PCT_1D")</f>
        <v>0.72200000286102295</v>
      </c>
      <c r="C73" t="str">
        <f>_xll.BDP("BRK/B UN Equity","GICS_SECTOR_NAME")</f>
        <v>金融</v>
      </c>
      <c r="D73" t="str">
        <f>_xll.BDP("BRK/B UN Equity","NAME_CHINESE_TRADITIONAL")</f>
        <v>波克夏海瑟威公司</v>
      </c>
      <c r="E73" t="str">
        <f>_xll.BDP("BRK/B UN Equity","CLASSIFICATION_LEVEL_4_NAME")</f>
        <v>產物及意外保險</v>
      </c>
      <c r="F73" t="str">
        <f>_xll.BDP("BRK/B UN Equity","CLASSIFICATION_DESCRIPTION")</f>
        <v>產物及意外保險</v>
      </c>
      <c r="G73">
        <f>_xll.BDP("BRK/B UN Equity","CUR_MKT_CAP")</f>
        <v>1044363890330.7299</v>
      </c>
      <c r="H73">
        <f>_xll.BDP("BRK/B UN Equity","CHG_PCT_YTD")</f>
        <v>6.7927109999999997</v>
      </c>
      <c r="I73" t="str">
        <f>_xll.BDP("BRK/B UN Equity","CIE_DES")</f>
        <v>波克夏海瑟威公司(Berkshire Hathaway Inc.)為一家控股公司，旗下多家子公司經營不同產業。該公司的主要經營項目為保險業務，在全國各地從事基礎保險服務，並在全球各地從事再保險服務。柏克夏的其他經營項目包括：鐵路公司、特殊化學品公司，以及多元化事業的國際聯盟。</v>
      </c>
      <c r="J73">
        <f>_xll.BDP("BRK/B UN Equity","ESG_SCORE")</f>
        <v>1.4700000286102295</v>
      </c>
      <c r="K73" t="str">
        <f>_xll.BDP("BRK/B UN Equity","MSCI_ESG_RATING")</f>
        <v>BB</v>
      </c>
      <c r="L73">
        <f>_xll.BDP("BRK/B UN Equity","EQY_BETA")</f>
        <v>0.679698646068573</v>
      </c>
      <c r="M73">
        <f>_xll.BDP("BRK/B UN Equity","VOLATILITY_60D")</f>
        <v>17.078961662009942</v>
      </c>
      <c r="N73">
        <f>_xll.BDP("BRK/B UN Equity","PCT_INSIDER_SHARES_OUT")</f>
        <v>0.37719108653890643</v>
      </c>
      <c r="O73">
        <f>_xll.BDP("BRK/B UN Equity","PCT_CHG_INSIDER_HOLDINGS")</f>
        <v>-1.6953970859348709E-2</v>
      </c>
      <c r="P73">
        <f>_xll.BDP("BRK/B UN Equity","RISK_PREMIUM")</f>
        <v>3.4622310389202831</v>
      </c>
      <c r="Q73">
        <f>_xll.BDP("BRK/B UN Equity","HIGH_52WEEK")</f>
        <v>542.03</v>
      </c>
      <c r="R73">
        <f>_xll.BDP("BRK/B UN Equity","LOW_52WEEK")</f>
        <v>406.13</v>
      </c>
    </row>
    <row r="74" spans="1:18" ht="15.75" x14ac:dyDescent="0.25">
      <c r="A74" t="s">
        <v>90</v>
      </c>
      <c r="B74">
        <f>_xll.BDP("BBY UN Equity","RT_PX_CHG_PCT_1D")</f>
        <v>0.22290000319480896</v>
      </c>
      <c r="C74" t="str">
        <f>_xll.BDP("BBY UN Equity","GICS_SECTOR_NAME")</f>
        <v>非核心消費</v>
      </c>
      <c r="D74" t="str">
        <f>_xll.BDP("BBY UN Equity","NAME_CHINESE_TRADITIONAL")</f>
        <v>百思買公司</v>
      </c>
      <c r="E74" t="str">
        <f>_xll.BDP("BBY UN Equity","CLASSIFICATION_LEVEL_4_NAME")</f>
        <v>消費電子及家電品店</v>
      </c>
      <c r="F74" t="str">
        <f>_xll.BDP("BBY UN Equity","CLASSIFICATION_DESCRIPTION")</f>
        <v>消費電子及家電品店</v>
      </c>
      <c r="G74">
        <f>_xll.BDP("BBY UN Equity","CUR_MKT_CAP")</f>
        <v>14253221043.359999</v>
      </c>
      <c r="H74">
        <f>_xll.BDP("BBY UN Equity","CHG_PCT_YTD")</f>
        <v>-21.398599999999998</v>
      </c>
      <c r="I74" t="str">
        <f>_xll.BDP("BBY UN Equity","CIE_DES")</f>
        <v>百思買公司(Best Buy Co., Inc.)透過其零售商店和網站，零售消費型電子產品、家用辦公室用品、娛樂軟體、電器，以及相關服務。該公司亦透過零售商店，零售預錄家庭娛樂產品。百思買於美國及加拿大經營業務。</v>
      </c>
      <c r="J74">
        <f>_xll.BDP("BBY UN Equity","ESG_SCORE")</f>
        <v>7.5300002098083496</v>
      </c>
      <c r="K74" t="str">
        <f>_xll.BDP("BBY UN Equity","MSCI_ESG_RATING")</f>
        <v>AAA</v>
      </c>
      <c r="L74">
        <f>_xll.BDP("BBY UN Equity","EQY_BETA")</f>
        <v>1.0010758638381958</v>
      </c>
      <c r="M74">
        <f>_xll.BDP("BBY UN Equity","VOLATILITY_60D")</f>
        <v>38.327220828574859</v>
      </c>
      <c r="N74">
        <f>_xll.BDP("BBY UN Equity","PCT_INSIDER_SHARES_OUT")</f>
        <v>0.56464091376870329</v>
      </c>
      <c r="O74">
        <f>_xll.BDP("BBY UN Equity","PCT_CHG_INSIDER_HOLDINGS")</f>
        <v>9.8132072223912079</v>
      </c>
      <c r="P74">
        <f>_xll.BDP("BBY UN Equity","RISK_PREMIUM")</f>
        <v>5.1568721296656133</v>
      </c>
      <c r="Q74">
        <f>_xll.BDP("BBY UN Equity","HIGH_52WEEK")</f>
        <v>103.47</v>
      </c>
      <c r="R74">
        <f>_xll.BDP("BBY UN Equity","LOW_52WEEK")</f>
        <v>55</v>
      </c>
    </row>
    <row r="75" spans="1:18" ht="15.75" x14ac:dyDescent="0.25">
      <c r="A75" t="s">
        <v>91</v>
      </c>
      <c r="B75">
        <f>_xll.BDP("BSX UN Equity","RT_PX_CHG_PCT_1D")</f>
        <v>-6.589999794960022E-2</v>
      </c>
      <c r="C75" t="str">
        <f>_xll.BDP("BSX UN Equity","GICS_SECTOR_NAME")</f>
        <v>醫療保健</v>
      </c>
      <c r="D75" t="str">
        <f>_xll.BDP("BSX UN Equity","NAME_CHINESE_TRADITIONAL")</f>
        <v>波士頓科學公司</v>
      </c>
      <c r="E75" t="str">
        <f>_xll.BDP("BSX UN Equity","CLASSIFICATION_LEVEL_4_NAME")</f>
        <v>醫療裝置</v>
      </c>
      <c r="F75" t="str">
        <f>_xll.BDP("BSX UN Equity","CLASSIFICATION_DESCRIPTION")</f>
        <v>心血管器材</v>
      </c>
      <c r="G75">
        <f>_xll.BDP("BSX UN Equity","CUR_MKT_CAP")</f>
        <v>157028435058.29999</v>
      </c>
      <c r="H75">
        <f>_xll.BDP("BSX UN Equity","CHG_PCT_YTD")</f>
        <v>18.83117</v>
      </c>
      <c r="I75" t="str">
        <f>_xll.BDP("BSX UN Equity","CIE_DES")</f>
        <v>波士頓科學公司(Boston Scientific Corporation)開發、製造，及行銷微創醫療裝置。該公司的產品主要用於侵入性心臟科、心律調整、周邊侵入治療、電生理學、神經血管侵入治療、內視鏡檢查、泌尿科、婦科，及神經調節等。</v>
      </c>
      <c r="J75">
        <f>_xll.BDP("BSX UN Equity","ESG_SCORE")</f>
        <v>5.7300000190734863</v>
      </c>
      <c r="K75" t="str">
        <f>_xll.BDP("BSX UN Equity","MSCI_ESG_RATING")</f>
        <v>BBB</v>
      </c>
      <c r="L75">
        <f>_xll.BDP("BSX UN Equity","EQY_BETA")</f>
        <v>0.88974785804748535</v>
      </c>
      <c r="M75">
        <f>_xll.BDP("BSX UN Equity","VOLATILITY_60D")</f>
        <v>18.791409787501038</v>
      </c>
      <c r="N75">
        <f>_xll.BDP("BSX UN Equity","PCT_INSIDER_SHARES_OUT")</f>
        <v>0.18391080107013033</v>
      </c>
      <c r="O75">
        <f>_xll.BDP("BSX UN Equity","PCT_CHG_INSIDER_HOLDINGS")</f>
        <v>-2.0283790216538029</v>
      </c>
      <c r="P75">
        <f>_xll.BDP("BSX UN Equity","RISK_PREMIUM")</f>
        <v>4.5833848335957521</v>
      </c>
      <c r="Q75">
        <f>_xll.BDP("BSX UN Equity","HIGH_52WEEK")</f>
        <v>108.87</v>
      </c>
      <c r="R75">
        <f>_xll.BDP("BSX UN Equity","LOW_52WEEK")</f>
        <v>71.88</v>
      </c>
    </row>
    <row r="76" spans="1:18" ht="15.75" x14ac:dyDescent="0.25">
      <c r="A76" t="s">
        <v>92</v>
      </c>
      <c r="B76">
        <f>_xll.BDP("BMY UN Equity","RT_PX_CHG_PCT_1D")</f>
        <v>-1.0420999526977539</v>
      </c>
      <c r="C76" t="str">
        <f>_xll.BDP("BMY UN Equity","GICS_SECTOR_NAME")</f>
        <v>醫療保健</v>
      </c>
      <c r="D76" t="str">
        <f>_xll.BDP("BMY UN Equity","NAME_CHINESE_TRADITIONAL")</f>
        <v>必治妥施貴寶公司</v>
      </c>
      <c r="E76" t="str">
        <f>_xll.BDP("BMY UN Equity","CLASSIFICATION_LEVEL_4_NAME")</f>
        <v>大型製藥業</v>
      </c>
      <c r="F76" t="str">
        <f>_xll.BDP("BMY UN Equity","CLASSIFICATION_DESCRIPTION")</f>
        <v>大型製藥業</v>
      </c>
      <c r="G76">
        <f>_xll.BDP("BMY UN Equity","CUR_MKT_CAP")</f>
        <v>98558963628.300003</v>
      </c>
      <c r="H76">
        <f>_xll.BDP("BMY UN Equity","CHG_PCT_YTD")</f>
        <v>-14.37412</v>
      </c>
      <c r="I76" t="str">
        <f>_xll.BDP("BMY UN Equity","CIE_DES")</f>
        <v>必治妥施貴寶公司(Bristol-Myers Squibb Company)為一家全球性的生物製藥公司。該公司開發、授權、製造、行銷，並銷售醫藥與營養產品。必治妥施貴寶的產品和實驗性治療領域包括： 癌症、心臟病、HIV與愛滋病、糖尿病、類風濕性關節炎、肝炎、器官移植排斥反應、以及精神疾病。</v>
      </c>
      <c r="J76">
        <f>_xll.BDP("BMY UN Equity","ESG_SCORE")</f>
        <v>6.3499999046325684</v>
      </c>
      <c r="K76" t="str">
        <f>_xll.BDP("BMY UN Equity","MSCI_ESG_RATING")</f>
        <v>A</v>
      </c>
      <c r="L76">
        <f>_xll.BDP("BMY UN Equity","EQY_BETA")</f>
        <v>0.4552772045135498</v>
      </c>
      <c r="M76">
        <f>_xll.BDP("BMY UN Equity","VOLATILITY_60D")</f>
        <v>30.318245713995733</v>
      </c>
      <c r="N76">
        <f>_xll.BDP("BMY UN Equity","PCT_INSIDER_SHARES_OUT")</f>
        <v>7.6658439148122356E-2</v>
      </c>
      <c r="O76">
        <f>_xll.BDP("BMY UN Equity","PCT_CHG_INSIDER_HOLDINGS")</f>
        <v>10.170147678724852</v>
      </c>
      <c r="P76">
        <f>_xll.BDP("BMY UN Equity","RISK_PREMIUM")</f>
        <v>2.3452831219267845</v>
      </c>
      <c r="Q76">
        <f>_xll.BDP("BMY UN Equity","HIGH_52WEEK")</f>
        <v>63.33</v>
      </c>
      <c r="R76">
        <f>_xll.BDP("BMY UN Equity","LOW_52WEEK")</f>
        <v>44</v>
      </c>
    </row>
    <row r="77" spans="1:18" ht="15.75" x14ac:dyDescent="0.25">
      <c r="A77" t="s">
        <v>93</v>
      </c>
      <c r="B77">
        <f>_xll.BDP("BF/B UN Equity","RT_PX_CHG_PCT_1D")</f>
        <v>-0.61000001430511475</v>
      </c>
      <c r="C77" t="str">
        <f>_xll.BDP("BF/B UN Equity","GICS_SECTOR_NAME")</f>
        <v>核心消費</v>
      </c>
      <c r="D77" t="str">
        <f>_xll.BDP("BF/B UN Equity","NAME_CHINESE_TRADITIONAL")</f>
        <v>百富門公司</v>
      </c>
      <c r="E77" t="str">
        <f>_xll.BDP("BF/B UN Equity","CLASSIFICATION_LEVEL_4_NAME")</f>
        <v>酒精飲料</v>
      </c>
      <c r="F77" t="str">
        <f>_xll.BDP("BF/B UN Equity","CLASSIFICATION_DESCRIPTION")</f>
        <v>蒸餾酒</v>
      </c>
      <c r="G77">
        <f>_xll.BDP("BF/B UN Equity","CUR_MKT_CAP")</f>
        <v>14599211427.92</v>
      </c>
      <c r="H77">
        <f>_xll.BDP("BF/B UN Equity","CHG_PCT_YTD")</f>
        <v>-18.483409999999999</v>
      </c>
      <c r="I77" t="str">
        <f>_xll.BDP("BF/B UN Equity","CIE_DES")</f>
        <v>百富門公司(Brown-Forman Corporation)製造、裝瓶、進口、出口及行銷各式各樣的酒精飲料品牌。該公司的產品包括知名的威士忌、伏特加、葡萄酒、龍舌蘭酒、波本酒及琴酒。</v>
      </c>
      <c r="J77">
        <f>_xll.BDP("BF/B UN Equity","ESG_SCORE")</f>
        <v>4.9699997901916504</v>
      </c>
      <c r="K77" t="str">
        <f>_xll.BDP("BF/B UN Equity","MSCI_ESG_RATING")</f>
        <v>AA</v>
      </c>
      <c r="L77">
        <f>_xll.BDP("BF/B UN Equity","EQY_BETA")</f>
        <v>0.73391038179397583</v>
      </c>
      <c r="M77">
        <f>_xll.BDP("BF/B UN Equity","VOLATILITY_60D")</f>
        <v>51.755254592494317</v>
      </c>
      <c r="N77">
        <f>_xll.BDP("BF/B UN Equity","PCT_INSIDER_SHARES_OUT")</f>
        <v>3.3112087556721819</v>
      </c>
      <c r="O77">
        <f>_xll.BDP("BF/B UN Equity","PCT_CHG_INSIDER_HOLDINGS")</f>
        <v>-3.8464115445713918</v>
      </c>
      <c r="P77">
        <f>_xll.BDP("BF/B UN Equity","RISK_PREMIUM")</f>
        <v>3.7806145670467615</v>
      </c>
      <c r="Q77">
        <f>_xll.BDP("BF/B UN Equity","HIGH_52WEEK")</f>
        <v>49.88</v>
      </c>
      <c r="R77">
        <f>_xll.BDP("BF/B UN Equity","LOW_52WEEK")</f>
        <v>25.53</v>
      </c>
    </row>
    <row r="78" spans="1:18" ht="15.75" x14ac:dyDescent="0.25">
      <c r="A78" t="s">
        <v>94</v>
      </c>
      <c r="B78">
        <f>_xll.BDP("CTRA UN Equity","RT_PX_CHG_PCT_1D")</f>
        <v>-0.5471000075340271</v>
      </c>
      <c r="C78" t="str">
        <f>_xll.BDP("CTRA UN Equity","GICS_SECTOR_NAME")</f>
        <v>能源</v>
      </c>
      <c r="D78" t="str">
        <f>_xll.BDP("CTRA UN Equity","NAME_CHINESE_TRADITIONAL")</f>
        <v>科特拉能源公司</v>
      </c>
      <c r="E78" t="str">
        <f>_xll.BDP("CTRA UN Equity","CLASSIFICATION_LEVEL_4_NAME")</f>
        <v>探勘及生產</v>
      </c>
      <c r="F78" t="str">
        <f>_xll.BDP("CTRA UN Equity","CLASSIFICATION_DESCRIPTION")</f>
        <v>原油及天然氣探勘與生產</v>
      </c>
      <c r="G78">
        <f>_xll.BDP("CTRA UN Equity","CUR_MKT_CAP")</f>
        <v>18035851286.200001</v>
      </c>
      <c r="H78">
        <f>_xll.BDP("CTRA UN Equity","CHG_PCT_YTD")</f>
        <v>-7.4784680000000003</v>
      </c>
      <c r="I78" t="str">
        <f>_xll.BDP("CTRA UN Equity","CIE_DES")</f>
        <v>科特拉能源公司(Coterra Energy Inc.)為一家多元化能源公司。該公司開發石油與天然氣，並著重於保護空氣品質、水資源，以及其經營的土地。科特拉能源服務美國的客戶。</v>
      </c>
      <c r="J78">
        <f>_xll.BDP("CTRA UN Equity","ESG_SCORE")</f>
        <v>5.320000171661377</v>
      </c>
      <c r="K78" t="str">
        <f>_xll.BDP("CTRA UN Equity","MSCI_ESG_RATING")</f>
        <v>BBB</v>
      </c>
      <c r="L78">
        <f>_xll.BDP("CTRA UN Equity","EQY_BETA")</f>
        <v>0.7071986198425293</v>
      </c>
      <c r="M78">
        <f>_xll.BDP("CTRA UN Equity","VOLATILITY_60D")</f>
        <v>33.882122386004738</v>
      </c>
      <c r="N78">
        <f>_xll.BDP("CTRA UN Equity","PCT_INSIDER_SHARES_OUT")</f>
        <v>1.5149384738399343</v>
      </c>
      <c r="O78">
        <f>_xll.BDP("CTRA UN Equity","PCT_CHG_INSIDER_HOLDINGS")</f>
        <v>4.0188697831135416</v>
      </c>
      <c r="P78">
        <f>_xll.BDP("CTRA UN Equity","RISK_PREMIUM")</f>
        <v>3.6430134663534162</v>
      </c>
      <c r="Q78">
        <f>_xll.BDP("CTRA UN Equity","HIGH_52WEEK")</f>
        <v>29.95</v>
      </c>
      <c r="R78">
        <f>_xll.BDP("CTRA UN Equity","LOW_52WEEK")</f>
        <v>22.305</v>
      </c>
    </row>
    <row r="79" spans="1:18" ht="15.75" x14ac:dyDescent="0.25">
      <c r="A79" t="s">
        <v>95</v>
      </c>
      <c r="B79">
        <f>_xll.BDP("HLT UN Equity","RT_PX_CHG_PCT_1D")</f>
        <v>2.2723000049591064</v>
      </c>
      <c r="C79" t="str">
        <f>_xll.BDP("HLT UN Equity","GICS_SECTOR_NAME")</f>
        <v>非核心消費</v>
      </c>
      <c r="D79" t="str">
        <f>_xll.BDP("HLT UN Equity","NAME_CHINESE_TRADITIONAL")</f>
        <v>希爾頓全球控股公司</v>
      </c>
      <c r="E79" t="str">
        <f>_xll.BDP("HLT UN Equity","CLASSIFICATION_LEVEL_4_NAME")</f>
        <v>住宿</v>
      </c>
      <c r="F79" t="str">
        <f>_xll.BDP("HLT UN Equity","CLASSIFICATION_DESCRIPTION")</f>
        <v>飯店及汽車旅館(賭場飯店除外)</v>
      </c>
      <c r="G79">
        <f>_xll.BDP("HLT UN Equity","CUR_MKT_CAP")</f>
        <v>64360770508.449989</v>
      </c>
      <c r="H79">
        <f>_xll.BDP("HLT UN Equity","CHG_PCT_YTD")</f>
        <v>10.717750000000001</v>
      </c>
      <c r="I79" t="str">
        <f>_xll.BDP("HLT UN Equity","CIE_DES")</f>
        <v>希爾頓全球控股公司(Hilton Worldwide Holdings Inc.)為控股公司。該公司透過旗下子公司，提供餐旅服務。希爾頓全球控股在全球各地擁有並管理飯店、度假村，以及分時度假房地產。</v>
      </c>
      <c r="J79">
        <f>_xll.BDP("HLT UN Equity","ESG_SCORE")</f>
        <v>6.559999942779541</v>
      </c>
      <c r="K79" t="str">
        <f>_xll.BDP("HLT UN Equity","MSCI_ESG_RATING")</f>
        <v>A</v>
      </c>
      <c r="L79">
        <f>_xll.BDP("HLT UN Equity","EQY_BETA")</f>
        <v>0.97246289253234863</v>
      </c>
      <c r="M79">
        <f>_xll.BDP("HLT UN Equity","VOLATILITY_60D")</f>
        <v>23.200374500159285</v>
      </c>
      <c r="N79">
        <f>_xll.BDP("HLT UN Equity","PCT_INSIDER_SHARES_OUT")</f>
        <v>1.9825720427154119</v>
      </c>
      <c r="O79">
        <f>_xll.BDP("HLT UN Equity","PCT_CHG_INSIDER_HOLDINGS")</f>
        <v>2.9421422381535156</v>
      </c>
      <c r="P79">
        <f>_xll.BDP("HLT UN Equity","RISK_PREMIUM")</f>
        <v>5.0094772721886631</v>
      </c>
      <c r="Q79">
        <f>_xll.BDP("HLT UN Equity","HIGH_52WEEK")</f>
        <v>279.2</v>
      </c>
      <c r="R79">
        <f>_xll.BDP("HLT UN Equity","LOW_52WEEK")</f>
        <v>196.07</v>
      </c>
    </row>
    <row r="80" spans="1:18" ht="15.75" x14ac:dyDescent="0.25">
      <c r="A80" t="s">
        <v>96</v>
      </c>
      <c r="B80">
        <f>_xll.BDP("CCL UN Equity","RT_PX_CHG_PCT_1D")</f>
        <v>-0.10069999843835831</v>
      </c>
      <c r="C80" t="str">
        <f>_xll.BDP("CCL UN Equity","GICS_SECTOR_NAME")</f>
        <v>非核心消費</v>
      </c>
      <c r="D80" t="str">
        <f>_xll.BDP("CCL UN Equity","NAME_CHINESE_TRADITIONAL")</f>
        <v>嘉年華公司</v>
      </c>
      <c r="E80" t="str">
        <f>_xll.BDP("CCL UN Equity","CLASSIFICATION_LEVEL_4_NAME")</f>
        <v>郵輪</v>
      </c>
      <c r="F80" t="str">
        <f>_xll.BDP("CCL UN Equity","CLASSIFICATION_DESCRIPTION")</f>
        <v>郵輪</v>
      </c>
      <c r="G80">
        <f>_xll.BDP("CCL UN Equity","CUR_MKT_CAP")</f>
        <v>38726301723.76712</v>
      </c>
      <c r="H80">
        <f>_xll.BDP("CCL UN Equity","CHG_PCT_YTD")</f>
        <v>19.382020000000001</v>
      </c>
      <c r="I80" t="str">
        <f>_xll.BDP("CCL UN Equity","CIE_DES")</f>
        <v>嘉年華公司（Carnival Corporation）擁有及經營郵輪公司。該公司提供假期、飯店，以及住宿服務的旅遊。嘉年華服務全球的客戶。</v>
      </c>
      <c r="J80">
        <f>_xll.BDP("CCL UN Equity","ESG_SCORE")</f>
        <v>5.880000114440918</v>
      </c>
      <c r="K80" t="str">
        <f>_xll.BDP("CCL UN Equity","MSCI_ESG_RATING")</f>
        <v>BB</v>
      </c>
      <c r="L80">
        <f>_xll.BDP("CCL UN Equity","EQY_BETA")</f>
        <v>1.5950900316238403</v>
      </c>
      <c r="M80">
        <f>_xll.BDP("CCL UN Equity","VOLATILITY_60D")</f>
        <v>41.226115842776501</v>
      </c>
      <c r="N80">
        <f>_xll.BDP("CCL UN Equity","PCT_INSIDER_SHARES_OUT")</f>
        <v>7.7111136231929969</v>
      </c>
      <c r="O80">
        <f>_xll.BDP("CCL UN Equity","PCT_CHG_INSIDER_HOLDINGS")</f>
        <v>0.26376252519424309</v>
      </c>
      <c r="P80">
        <f>_xll.BDP("CCL UN Equity","RISK_PREMIUM")</f>
        <v>8.216835132604837</v>
      </c>
      <c r="Q80">
        <f>_xll.BDP("CCL UN Equity","HIGH_52WEEK")</f>
        <v>31</v>
      </c>
      <c r="R80">
        <f>_xll.BDP("CCL UN Equity","LOW_52WEEK")</f>
        <v>13.78</v>
      </c>
    </row>
    <row r="81" spans="1:18" ht="15.75" x14ac:dyDescent="0.25">
      <c r="A81" t="s">
        <v>97</v>
      </c>
      <c r="B81">
        <f>_xll.BDP("BLDR UN Equity","RT_PX_CHG_PCT_1D")</f>
        <v>2.7637999057769775</v>
      </c>
      <c r="C81" t="str">
        <f>_xll.BDP("BLDR UN Equity","GICS_SECTOR_NAME")</f>
        <v>工業</v>
      </c>
      <c r="D81" t="str">
        <f>_xll.BDP("BLDR UN Equity","NAME_CHINESE_TRADITIONAL")</f>
        <v>Builders FirstSource Inc</v>
      </c>
      <c r="E81" t="str">
        <f>_xll.BDP("BLDR UN Equity","CLASSIFICATION_LEVEL_4_NAME")</f>
        <v>家居產品店</v>
      </c>
      <c r="F81" t="str">
        <f>_xll.BDP("BLDR UN Equity","CLASSIFICATION_DESCRIPTION")</f>
        <v>建材經銷商</v>
      </c>
      <c r="G81">
        <f>_xll.BDP("BLDR UN Equity","CUR_MKT_CAP")</f>
        <v>15080852064.279999</v>
      </c>
      <c r="H81">
        <f>_xll.BDP("BLDR UN Equity","CHG_PCT_YTD")</f>
        <v>-4.5266859999999998</v>
      </c>
      <c r="I81" t="str">
        <f>_xll.BDP("BLDR UN Equity","CIE_DES")</f>
        <v>Builders FirstSource, Inc.為專業住宅建商製造並經銷建築產品。</v>
      </c>
      <c r="J81">
        <f>_xll.BDP("BLDR UN Equity","ESG_SCORE")</f>
        <v>3.9000000953674316</v>
      </c>
      <c r="K81" t="str">
        <f>_xll.BDP("BLDR UN Equity","MSCI_ESG_RATING")</f>
        <v>A</v>
      </c>
      <c r="L81">
        <f>_xll.BDP("BLDR UN Equity","EQY_BETA")</f>
        <v>1.2727515697479248</v>
      </c>
      <c r="M81">
        <f>_xll.BDP("BLDR UN Equity","VOLATILITY_60D")</f>
        <v>51.646263115667637</v>
      </c>
      <c r="N81">
        <f>_xll.BDP("BLDR UN Equity","PCT_INSIDER_SHARES_OUT")</f>
        <v>2.9177766235834479</v>
      </c>
      <c r="O81">
        <f>_xll.BDP("BLDR UN Equity","PCT_CHG_INSIDER_HOLDINGS")</f>
        <v>25.029225798421674</v>
      </c>
      <c r="P81">
        <f>_xll.BDP("BLDR UN Equity","RISK_PREMIUM")</f>
        <v>6.5563633437895774</v>
      </c>
      <c r="Q81">
        <f>_xll.BDP("BLDR UN Equity","HIGH_52WEEK")</f>
        <v>203.11</v>
      </c>
      <c r="R81">
        <f>_xll.BDP("BLDR UN Equity","LOW_52WEEK")</f>
        <v>102.63</v>
      </c>
    </row>
    <row r="82" spans="1:18" ht="15.75" x14ac:dyDescent="0.25">
      <c r="A82" t="s">
        <v>98</v>
      </c>
      <c r="B82">
        <f>_xll.BDP("UDR UN Equity","RT_PX_CHG_PCT_1D")</f>
        <v>-0.24690000712871552</v>
      </c>
      <c r="C82" t="str">
        <f>_xll.BDP("UDR UN Equity","GICS_SECTOR_NAME")</f>
        <v>房地產</v>
      </c>
      <c r="D82" t="str">
        <f>_xll.BDP("UDR UN Equity","NAME_CHINESE_TRADITIONAL")</f>
        <v>UDR公司</v>
      </c>
      <c r="E82" t="str">
        <f>_xll.BDP("UDR UN Equity","CLASSIFICATION_LEVEL_4_NAME")</f>
        <v>住宅不動產投資信託</v>
      </c>
      <c r="F82" t="str">
        <f>_xll.BDP("UDR UN Equity","CLASSIFICATION_DESCRIPTION")</f>
        <v>公寓REIT</v>
      </c>
      <c r="G82">
        <f>_xll.BDP("UDR UN Equity","CUR_MKT_CAP")</f>
        <v>13387664813.579998</v>
      </c>
      <c r="H82">
        <f>_xll.BDP("UDR UN Equity","CHG_PCT_YTD")</f>
        <v>-6.9108499999999999</v>
      </c>
      <c r="I82" t="str">
        <f>_xll.BDP("UDR UN Equity","CIE_DES")</f>
        <v>UDR公司(UDR, Inc.)為自行管理的不動產投資信託公司。該公司擁有、經營並開發美國各地的公寓社區。</v>
      </c>
      <c r="J82">
        <f>_xll.BDP("UDR UN Equity","ESG_SCORE")</f>
        <v>5.5399999618530273</v>
      </c>
      <c r="K82" t="str">
        <f>_xll.BDP("UDR UN Equity","MSCI_ESG_RATING")</f>
        <v>B</v>
      </c>
      <c r="L82">
        <f>_xll.BDP("UDR UN Equity","EQY_BETA")</f>
        <v>0.80867660045623779</v>
      </c>
      <c r="M82">
        <f>_xll.BDP("UDR UN Equity","VOLATILITY_60D")</f>
        <v>18.920600708194154</v>
      </c>
      <c r="N82">
        <f>_xll.BDP("UDR UN Equity","PCT_INSIDER_SHARES_OUT")</f>
        <v>0.48193366773741175</v>
      </c>
      <c r="O82">
        <f>_xll.BDP("UDR UN Equity","PCT_CHG_INSIDER_HOLDINGS")</f>
        <v>6.0351089171084372E-2</v>
      </c>
      <c r="P82">
        <f>_xll.BDP("UDR UN Equity","RISK_PREMIUM")</f>
        <v>4.1657600322282313</v>
      </c>
      <c r="Q82">
        <f>_xll.BDP("UDR UN Equity","HIGH_52WEEK")</f>
        <v>47.54</v>
      </c>
      <c r="R82">
        <f>_xll.BDP("UDR UN Equity","LOW_52WEEK")</f>
        <v>36.634999999999998</v>
      </c>
    </row>
    <row r="83" spans="1:18" ht="15.75" x14ac:dyDescent="0.25">
      <c r="A83" t="s">
        <v>99</v>
      </c>
      <c r="B83">
        <f>_xll.BDP("CLX UN Equity","RT_PX_CHG_PCT_1D")</f>
        <v>-0.46419999003410339</v>
      </c>
      <c r="C83" t="str">
        <f>_xll.BDP("CLX UN Equity","GICS_SECTOR_NAME")</f>
        <v>核心消費</v>
      </c>
      <c r="D83" t="str">
        <f>_xll.BDP("CLX UN Equity","NAME_CHINESE_TRADITIONAL")</f>
        <v>高樂氏公司</v>
      </c>
      <c r="E83" t="str">
        <f>_xll.BDP("CLX UN Equity","CLASSIFICATION_LEVEL_4_NAME")</f>
        <v>家居產品</v>
      </c>
      <c r="F83" t="str">
        <f>_xll.BDP("CLX UN Equity","CLASSIFICATION_DESCRIPTION")</f>
        <v>家居產品</v>
      </c>
      <c r="G83">
        <f>_xll.BDP("CLX UN Equity","CUR_MKT_CAP")</f>
        <v>16122699683.669998</v>
      </c>
      <c r="H83">
        <f>_xll.BDP("CLX UN Equity","CHG_PCT_YTD")</f>
        <v>-19.45693</v>
      </c>
      <c r="I83" t="str">
        <f>_xll.BDP("CLX UN Equity","CIE_DES")</f>
        <v>高樂氏公司(Clorox Company)主要透過雜貨店和其他零售商店，製造並銷售消費性產品。該公司主要產品包括：家用清潔與漂白產品、木炭、貓砂、調味料與醬汁、天然個人護理，以及垃圾袋。高樂士於北美，以及拉丁美洲國家，銷售其大部分產品。</v>
      </c>
      <c r="J83">
        <f>_xll.BDP("CLX UN Equity","ESG_SCORE")</f>
        <v>5.8400001525878906</v>
      </c>
      <c r="K83" t="str">
        <f>_xll.BDP("CLX UN Equity","MSCI_ESG_RATING")</f>
        <v>AAA</v>
      </c>
      <c r="L83">
        <f>_xll.BDP("CLX UN Equity","EQY_BETA")</f>
        <v>0.53985035419464111</v>
      </c>
      <c r="M83">
        <f>_xll.BDP("CLX UN Equity","VOLATILITY_60D")</f>
        <v>22.564681498157107</v>
      </c>
      <c r="N83">
        <f>_xll.BDP("CLX UN Equity","PCT_INSIDER_SHARES_OUT")</f>
        <v>0.33845990679319249</v>
      </c>
      <c r="O83">
        <f>_xll.BDP("CLX UN Equity","PCT_CHG_INSIDER_HOLDINGS")</f>
        <v>-0.82636511332594298</v>
      </c>
      <c r="P83">
        <f>_xll.BDP("CLX UN Equity","RISK_PREMIUM")</f>
        <v>2.7809473250734804</v>
      </c>
      <c r="Q83">
        <f>_xll.BDP("CLX UN Equity","HIGH_52WEEK")</f>
        <v>171.31</v>
      </c>
      <c r="R83">
        <f>_xll.BDP("CLX UN Equity","LOW_52WEEK")</f>
        <v>117.37</v>
      </c>
    </row>
    <row r="84" spans="1:18" ht="15.75" x14ac:dyDescent="0.25">
      <c r="A84" t="s">
        <v>100</v>
      </c>
      <c r="B84">
        <f>_xll.BDP("PAYC UN Equity","RT_PX_CHG_PCT_1D")</f>
        <v>0.35719999670982361</v>
      </c>
      <c r="C84" t="str">
        <f>_xll.BDP("PAYC UN Equity","GICS_SECTOR_NAME")</f>
        <v>工業</v>
      </c>
      <c r="D84" t="str">
        <f>_xll.BDP("PAYC UN Equity","NAME_CHINESE_TRADITIONAL")</f>
        <v>Paycom軟體公司</v>
      </c>
      <c r="E84" t="str">
        <f>_xll.BDP("PAYC UN Equity","CLASSIFICATION_LEVEL_4_NAME")</f>
        <v>應用軟體</v>
      </c>
      <c r="F84" t="str">
        <f>_xll.BDP("PAYC UN Equity","CLASSIFICATION_DESCRIPTION")</f>
        <v>企業軟體</v>
      </c>
      <c r="G84">
        <f>_xll.BDP("PAYC UN Equity","CUR_MKT_CAP")</f>
        <v>13807357494.000002</v>
      </c>
      <c r="H84">
        <f>_xll.BDP("PAYC UN Equity","CHG_PCT_YTD")</f>
        <v>16.504850000000001</v>
      </c>
      <c r="I84" t="str">
        <f>_xll.BDP("PAYC UN Equity","CIE_DES")</f>
        <v>Paycom軟體公司(Paycom Software, Inc.)設計並開發軟體解決方案。該公司提供資料分析軟體產品，以管理人員招聘至退休的就業生命週期。Paycom軟體服務美國的客戶。</v>
      </c>
      <c r="J84">
        <f>_xll.BDP("PAYC UN Equity","ESG_SCORE")</f>
        <v>3.5499999523162842</v>
      </c>
      <c r="K84" t="str">
        <f>_xll.BDP("PAYC UN Equity","MSCI_ESG_RATING")</f>
        <v>AA</v>
      </c>
      <c r="L84">
        <f>_xll.BDP("PAYC UN Equity","EQY_BETA")</f>
        <v>0.78583598136901855</v>
      </c>
      <c r="M84">
        <f>_xll.BDP("PAYC UN Equity","VOLATILITY_60D")</f>
        <v>31.370183854907584</v>
      </c>
      <c r="N84">
        <f>_xll.BDP("PAYC UN Equity","PCT_INSIDER_SHARES_OUT")</f>
        <v>5.7609405504277431</v>
      </c>
      <c r="O84">
        <f>_xll.BDP("PAYC UN Equity","PCT_CHG_INSIDER_HOLDINGS")</f>
        <v>2.3980664958680635</v>
      </c>
      <c r="P84">
        <f>_xll.BDP("PAYC UN Equity","RISK_PREMIUM")</f>
        <v>4.0481004659056659</v>
      </c>
      <c r="Q84">
        <f>_xll.BDP("PAYC UN Equity","HIGH_52WEEK")</f>
        <v>267.19</v>
      </c>
      <c r="R84">
        <f>_xll.BDP("PAYC UN Equity","LOW_52WEEK")</f>
        <v>152.56</v>
      </c>
    </row>
    <row r="85" spans="1:18" ht="15.75" x14ac:dyDescent="0.25">
      <c r="A85" t="s">
        <v>101</v>
      </c>
      <c r="B85">
        <f>_xll.BDP("CMS UN Equity","RT_PX_CHG_PCT_1D")</f>
        <v>-0.15090000629425049</v>
      </c>
      <c r="C85" t="str">
        <f>_xll.BDP("CMS UN Equity","GICS_SECTOR_NAME")</f>
        <v>公用事業</v>
      </c>
      <c r="D85" t="str">
        <f>_xll.BDP("CMS UN Equity","NAME_CHINESE_TRADITIONAL")</f>
        <v>CMS能源</v>
      </c>
      <c r="E85" t="str">
        <f>_xll.BDP("CMS UN Equity","CLASSIFICATION_LEVEL_4_NAME")</f>
        <v>整合型公用事業</v>
      </c>
      <c r="F85" t="str">
        <f>_xll.BDP("CMS UN Equity","CLASSIFICATION_DESCRIPTION")</f>
        <v>整合型公用事業</v>
      </c>
      <c r="G85">
        <f>_xll.BDP("CMS UN Equity","CUR_MKT_CAP")</f>
        <v>21770226161.099998</v>
      </c>
      <c r="H85">
        <f>_xll.BDP("CMS UN Equity","CHG_PCT_YTD")</f>
        <v>9.1972970000000007</v>
      </c>
      <c r="I85" t="str">
        <f>_xll.BDP("CMS UN Equity","CIE_DES")</f>
        <v>CMS能源公司(CMS Energy Corporation)為能源公司。該公司透過旗下子公司，提供電力及天然氣予其客戶。CMS能源亦於美國及海外地區，投資並經營非公用事業發電廠。</v>
      </c>
      <c r="J85">
        <f>_xll.BDP("CMS UN Equity","ESG_SCORE")</f>
        <v>5.6100001335144043</v>
      </c>
      <c r="K85" t="str">
        <f>_xll.BDP("CMS UN Equity","MSCI_ESG_RATING")</f>
        <v>AA</v>
      </c>
      <c r="L85">
        <f>_xll.BDP("CMS UN Equity","EQY_BETA")</f>
        <v>0.39073413610458374</v>
      </c>
      <c r="M85">
        <f>_xll.BDP("CMS UN Equity","VOLATILITY_60D")</f>
        <v>17.376620838676075</v>
      </c>
      <c r="N85">
        <f>_xll.BDP("CMS UN Equity","PCT_INSIDER_SHARES_OUT")</f>
        <v>0.58889014812266627</v>
      </c>
      <c r="O85">
        <f>_xll.BDP("CMS UN Equity","PCT_CHG_INSIDER_HOLDINGS")</f>
        <v>10.01111034086076</v>
      </c>
      <c r="P85">
        <f>_xll.BDP("CMS UN Equity","RISK_PREMIUM")</f>
        <v>2.0128004773396251</v>
      </c>
      <c r="Q85">
        <f>_xll.BDP("CMS UN Equity","HIGH_52WEEK")</f>
        <v>76.39</v>
      </c>
      <c r="R85">
        <f>_xll.BDP("CMS UN Equity","LOW_52WEEK")</f>
        <v>62.75</v>
      </c>
    </row>
    <row r="86" spans="1:18" ht="15.75" x14ac:dyDescent="0.25">
      <c r="A86" t="s">
        <v>102</v>
      </c>
      <c r="B86">
        <f>_xll.BDP("CL UN Equity","RT_PX_CHG_PCT_1D")</f>
        <v>-0.58789998292922974</v>
      </c>
      <c r="C86" t="str">
        <f>_xll.BDP("CL UN Equity","GICS_SECTOR_NAME")</f>
        <v>核心消費</v>
      </c>
      <c r="D86" t="str">
        <f>_xll.BDP("CL UN Equity","NAME_CHINESE_TRADITIONAL")</f>
        <v>高露潔-棕欖公司</v>
      </c>
      <c r="E86" t="str">
        <f>_xll.BDP("CL UN Equity","CLASSIFICATION_LEVEL_4_NAME")</f>
        <v>個人保健用品</v>
      </c>
      <c r="F86" t="str">
        <f>_xll.BDP("CL UN Equity","CLASSIFICATION_DESCRIPTION")</f>
        <v>個人保健用品</v>
      </c>
      <c r="G86">
        <f>_xll.BDP("CL UN Equity","CUR_MKT_CAP")</f>
        <v>71260240975.740005</v>
      </c>
      <c r="H86">
        <f>_xll.BDP("CL UN Equity","CHG_PCT_YTD")</f>
        <v>-3.277971</v>
      </c>
      <c r="I86" t="str">
        <f>_xll.BDP("CL UN Equity","CIE_DES")</f>
        <v>高露潔-棕欖公司(Colgate-Palmolive Company)為消費性產品公司，在全球各地行銷其產品。該公司產品包含牙膏、牙刷、洗髮精、體香劑、香皂與沐浴乳、洗碗精與洗衣產品，以及貓狗用的寵物營養產品。</v>
      </c>
      <c r="J86">
        <f>_xll.BDP("CL UN Equity","ESG_SCORE")</f>
        <v>5.5999999046325684</v>
      </c>
      <c r="K86" t="str">
        <f>_xll.BDP("CL UN Equity","MSCI_ESG_RATING")</f>
        <v>AAA</v>
      </c>
      <c r="L86">
        <f>_xll.BDP("CL UN Equity","EQY_BETA")</f>
        <v>0.42921015620231628</v>
      </c>
      <c r="M86">
        <f>_xll.BDP("CL UN Equity","VOLATILITY_60D")</f>
        <v>16.955658393576602</v>
      </c>
      <c r="N86">
        <f>_xll.BDP("CL UN Equity","PCT_INSIDER_SHARES_OUT")</f>
        <v>0.15966311793105822</v>
      </c>
      <c r="O86">
        <f>_xll.BDP("CL UN Equity","PCT_CHG_INSIDER_HOLDINGS")</f>
        <v>18.464108984541298</v>
      </c>
      <c r="P86">
        <f>_xll.BDP("CL UN Equity","RISK_PREMIUM")</f>
        <v>2.2110031539496777</v>
      </c>
      <c r="Q86">
        <f>_xll.BDP("CL UN Equity","HIGH_52WEEK")</f>
        <v>109.3</v>
      </c>
      <c r="R86">
        <f>_xll.BDP("CL UN Equity","LOW_52WEEK")</f>
        <v>85.32</v>
      </c>
    </row>
    <row r="87" spans="1:18" ht="15.75" x14ac:dyDescent="0.25">
      <c r="A87" t="s">
        <v>103</v>
      </c>
      <c r="B87">
        <f>_xll.BDP("EPAM UN Equity","RT_PX_CHG_PCT_1D")</f>
        <v>1.059499979019165</v>
      </c>
      <c r="C87" t="str">
        <f>_xll.BDP("EPAM UN Equity","GICS_SECTOR_NAME")</f>
        <v>資訊技術</v>
      </c>
      <c r="D87" t="str">
        <f>_xll.BDP("EPAM UN Equity","NAME_CHINESE_TRADITIONAL")</f>
        <v>億磐系統公司</v>
      </c>
      <c r="E87" t="str">
        <f>_xll.BDP("EPAM UN Equity","CLASSIFICATION_LEVEL_4_NAME")</f>
        <v>資訊科技服務</v>
      </c>
      <c r="F87" t="str">
        <f>_xll.BDP("EPAM UN Equity","CLASSIFICATION_DESCRIPTION")</f>
        <v>資訊科技外包</v>
      </c>
      <c r="G87">
        <f>_xll.BDP("EPAM UN Equity","CUR_MKT_CAP")</f>
        <v>9672882168.7400017</v>
      </c>
      <c r="H87">
        <f>_xll.BDP("EPAM UN Equity","CHG_PCT_YTD")</f>
        <v>-26.978020000000001</v>
      </c>
      <c r="I87" t="str">
        <f>_xll.BDP("EPAM UN Equity","CIE_DES")</f>
        <v>億磐系統公司(EPAM Systems, Inc.)提供資訊科技服務。 該公司提供軟體開發、外包服務、電子商務、企業關係管理，以及內容管理等解決方案。 億磐系統服務美國的客戶。</v>
      </c>
      <c r="J87">
        <f>_xll.BDP("EPAM UN Equity","ESG_SCORE")</f>
        <v>3.3499999046325684</v>
      </c>
      <c r="K87" t="str">
        <f>_xll.BDP("EPAM UN Equity","MSCI_ESG_RATING")</f>
        <v>N.S.</v>
      </c>
      <c r="L87">
        <f>_xll.BDP("EPAM UN Equity","EQY_BETA")</f>
        <v>1.1191271543502808</v>
      </c>
      <c r="M87">
        <f>_xll.BDP("EPAM UN Equity","VOLATILITY_60D")</f>
        <v>38.200926652065995</v>
      </c>
      <c r="N87">
        <f>_xll.BDP("EPAM UN Equity","PCT_INSIDER_SHARES_OUT")</f>
        <v>3.5626422041667918</v>
      </c>
      <c r="O87">
        <f>_xll.BDP("EPAM UN Equity","PCT_CHG_INSIDER_HOLDINGS")</f>
        <v>5.1975046557070126</v>
      </c>
      <c r="P87">
        <f>_xll.BDP("EPAM UN Equity","RISK_PREMIUM")</f>
        <v>5.7649932840192317</v>
      </c>
      <c r="Q87">
        <f>_xll.BDP("EPAM UN Equity","HIGH_52WEEK")</f>
        <v>268.7</v>
      </c>
      <c r="R87">
        <f>_xll.BDP("EPAM UN Equity","LOW_52WEEK")</f>
        <v>138.16999999999999</v>
      </c>
    </row>
    <row r="88" spans="1:18" ht="15.75" x14ac:dyDescent="0.25">
      <c r="A88" t="s">
        <v>104</v>
      </c>
      <c r="B88">
        <f>_xll.BDP("CAG UN Equity","RT_PX_CHG_PCT_1D")</f>
        <v>-0.46630001068115234</v>
      </c>
      <c r="C88" t="str">
        <f>_xll.BDP("CAG UN Equity","GICS_SECTOR_NAME")</f>
        <v>核心消費</v>
      </c>
      <c r="D88" t="str">
        <f>_xll.BDP("CAG UN Equity","NAME_CHINESE_TRADITIONAL")</f>
        <v>康尼格拉品牌公司</v>
      </c>
      <c r="E88" t="str">
        <f>_xll.BDP("CAG UN Equity","CLASSIFICATION_LEVEL_4_NAME")</f>
        <v>包裝食品製造業</v>
      </c>
      <c r="F88" t="str">
        <f>_xll.BDP("CAG UN Equity","CLASSIFICATION_DESCRIPTION")</f>
        <v>新鮮調理食品</v>
      </c>
      <c r="G88">
        <f>_xll.BDP("CAG UN Equity","CUR_MKT_CAP")</f>
        <v>9171679933.9500008</v>
      </c>
      <c r="H88">
        <f>_xll.BDP("CAG UN Equity","CHG_PCT_YTD")</f>
        <v>-30.77477</v>
      </c>
      <c r="I88" t="str">
        <f>_xll.BDP("CAG UN Equity","CIE_DES")</f>
        <v>康尼格拉品牌公司(Conagra Brands, Inc.)針對零售消費者、餐廳，以及機構，製造並銷售包裝食品。該公司提供餐點、主菜、調味料、配菜、零食、特殊馬鈴薯製品、榖類研磨原料、脫水蔬菜，和佐料，以及混合物與香料。康尼格拉服務美國的客戶。</v>
      </c>
      <c r="J88">
        <f>_xll.BDP("CAG UN Equity","ESG_SCORE")</f>
        <v>4.7600002288818359</v>
      </c>
      <c r="K88" t="str">
        <f>_xll.BDP("CAG UN Equity","MSCI_ESG_RATING")</f>
        <v>AA</v>
      </c>
      <c r="L88">
        <f>_xll.BDP("CAG UN Equity","EQY_BETA")</f>
        <v>0.31519350409507751</v>
      </c>
      <c r="M88">
        <f>_xll.BDP("CAG UN Equity","VOLATILITY_60D")</f>
        <v>23.975850418991378</v>
      </c>
      <c r="N88">
        <f>_xll.BDP("CAG UN Equity","PCT_INSIDER_SHARES_OUT")</f>
        <v>0.77391418661494671</v>
      </c>
      <c r="O88">
        <f>_xll.BDP("CAG UN Equity","PCT_CHG_INSIDER_HOLDINGS")</f>
        <v>17.936149882909</v>
      </c>
      <c r="P88">
        <f>_xll.BDP("CAG UN Equity","RISK_PREMIUM")</f>
        <v>1.6236657534500956</v>
      </c>
      <c r="Q88">
        <f>_xll.BDP("CAG UN Equity","HIGH_52WEEK")</f>
        <v>33.229999999999997</v>
      </c>
      <c r="R88">
        <f>_xll.BDP("CAG UN Equity","LOW_52WEEK")</f>
        <v>18.664999999999999</v>
      </c>
    </row>
    <row r="89" spans="1:18" ht="15.75" x14ac:dyDescent="0.25">
      <c r="A89" t="s">
        <v>105</v>
      </c>
      <c r="B89">
        <f>_xll.BDP("ABNB UW Equity","RT_PX_CHG_PCT_1D")</f>
        <v>-0.21889999508857727</v>
      </c>
      <c r="C89" t="str">
        <f>_xll.BDP("ABNB UW Equity","GICS_SECTOR_NAME")</f>
        <v>非核心消費</v>
      </c>
      <c r="D89" t="str">
        <f>_xll.BDP("ABNB UW Equity","NAME_CHINESE_TRADITIONAL")</f>
        <v>愛彼迎公司</v>
      </c>
      <c r="E89" t="str">
        <f>_xll.BDP("ABNB UW Equity","CLASSIFICATION_LEVEL_4_NAME")</f>
        <v>網路媒體及服務</v>
      </c>
      <c r="F89" t="str">
        <f>_xll.BDP("ABNB UW Equity","CLASSIFICATION_DESCRIPTION")</f>
        <v>旅遊資訊及預約網站</v>
      </c>
      <c r="G89">
        <f>_xll.BDP("ABNB UW Equity","CUR_MKT_CAP")</f>
        <v>88721000926.349991</v>
      </c>
      <c r="H89">
        <f>_xll.BDP("ABNB UW Equity","CHG_PCT_YTD")</f>
        <v>7.5336699999999999</v>
      </c>
      <c r="I89" t="str">
        <f>_xll.BDP("ABNB UW Equity","CIE_DES")</f>
        <v>愛彼迎公司(Airbnb, Inc)為一家旅遊資訊與訂票服務的網路市集。該公司透過網站與行動應用程式，提供住宿、寄宿家庭，以及旅遊服務。愛彼迎服務全球客戶。</v>
      </c>
      <c r="J89">
        <f>_xll.BDP("ABNB UW Equity","ESG_SCORE")</f>
        <v>2.940000057220459</v>
      </c>
      <c r="K89" t="str">
        <f>_xll.BDP("ABNB UW Equity","MSCI_ESG_RATING")</f>
        <v>BB</v>
      </c>
      <c r="L89">
        <f>_xll.BDP("ABNB UW Equity","EQY_BETA")</f>
        <v>1.2046620845794678</v>
      </c>
      <c r="M89">
        <f>_xll.BDP("ABNB UW Equity","VOLATILITY_60D")</f>
        <v>27.141959501198503</v>
      </c>
      <c r="N89">
        <f>_xll.BDP("ABNB UW Equity","PCT_INSIDER_SHARES_OUT")</f>
        <v>3.2567748285415337</v>
      </c>
      <c r="O89">
        <f>_xll.BDP("ABNB UW Equity","PCT_CHG_INSIDER_HOLDINGS")</f>
        <v>-8.2695906284023657</v>
      </c>
      <c r="P89">
        <f>_xll.BDP("ABNB UW Equity","RISK_PREMIUM")</f>
        <v>6.2056119361567497</v>
      </c>
      <c r="Q89">
        <f>_xll.BDP("ABNB UW Equity","HIGH_52WEEK")</f>
        <v>163.92</v>
      </c>
      <c r="R89">
        <f>_xll.BDP("ABNB UW Equity","LOW_52WEEK")</f>
        <v>99.89</v>
      </c>
    </row>
    <row r="90" spans="1:18" ht="15.75" x14ac:dyDescent="0.25">
      <c r="A90" t="s">
        <v>106</v>
      </c>
      <c r="B90">
        <f>_xll.BDP("ED UN Equity","RT_PX_CHG_PCT_1D")</f>
        <v>0.20579999685287476</v>
      </c>
      <c r="C90" t="str">
        <f>_xll.BDP("ED UN Equity","GICS_SECTOR_NAME")</f>
        <v>公用事業</v>
      </c>
      <c r="D90" t="str">
        <f>_xll.BDP("ED UN Equity","NAME_CHINESE_TRADITIONAL")</f>
        <v>聯合愛迪生</v>
      </c>
      <c r="E90" t="str">
        <f>_xll.BDP("ED UN Equity","CLASSIFICATION_LEVEL_4_NAME")</f>
        <v>電力網</v>
      </c>
      <c r="F90" t="str">
        <f>_xll.BDP("ED UN Equity","CLASSIFICATION_DESCRIPTION")</f>
        <v>配電</v>
      </c>
      <c r="G90">
        <f>_xll.BDP("ED UN Equity","CUR_MKT_CAP")</f>
        <v>36843881640.239998</v>
      </c>
      <c r="H90">
        <f>_xll.BDP("ED UN Equity","CHG_PCT_YTD")</f>
        <v>14.60271</v>
      </c>
      <c r="I90" t="str">
        <f>_xll.BDP("ED UN Equity","CIE_DES")</f>
        <v>聯合愛迪生公司(Consolidated Edison, Inc.)透過其子公司提供多元的能源相關產品及服務。 該公司在紐約州、新澤西州部份地區、以及賓州提供電力服務，並提供電力予躉售客戶。</v>
      </c>
      <c r="J90">
        <f>_xll.BDP("ED UN Equity","ESG_SCORE")</f>
        <v>5.429999828338623</v>
      </c>
      <c r="K90" t="str">
        <f>_xll.BDP("ED UN Equity","MSCI_ESG_RATING")</f>
        <v>A</v>
      </c>
      <c r="L90">
        <f>_xll.BDP("ED UN Equity","EQY_BETA")</f>
        <v>0.28024160861968994</v>
      </c>
      <c r="M90">
        <f>_xll.BDP("ED UN Equity","VOLATILITY_60D")</f>
        <v>20.515309774001786</v>
      </c>
      <c r="N90">
        <f>_xll.BDP("ED UN Equity","PCT_INSIDER_SHARES_OUT")</f>
        <v>0.2086278846759651</v>
      </c>
      <c r="O90">
        <f>_xll.BDP("ED UN Equity","PCT_CHG_INSIDER_HOLDINGS")</f>
        <v>5.0972419023515627</v>
      </c>
      <c r="P90">
        <f>_xll.BDP("ED UN Equity","RISK_PREMIUM")</f>
        <v>1.4436170057308673</v>
      </c>
      <c r="Q90">
        <f>_xll.BDP("ED UN Equity","HIGH_52WEEK")</f>
        <v>114.82</v>
      </c>
      <c r="R90">
        <f>_xll.BDP("ED UN Equity","LOW_52WEEK")</f>
        <v>87.31</v>
      </c>
    </row>
    <row r="91" spans="1:18" ht="15.75" x14ac:dyDescent="0.25">
      <c r="A91" t="s">
        <v>107</v>
      </c>
      <c r="B91">
        <f>_xll.BDP("GLW UN Equity","RT_PX_CHG_PCT_1D")</f>
        <v>-0.64609998464584351</v>
      </c>
      <c r="C91" t="str">
        <f>_xll.BDP("GLW UN Equity","GICS_SECTOR_NAME")</f>
        <v>資訊技術</v>
      </c>
      <c r="D91" t="str">
        <f>_xll.BDP("GLW UN Equity","NAME_CHINESE_TRADITIONAL")</f>
        <v>康寧公司</v>
      </c>
      <c r="E91" t="str">
        <f>_xll.BDP("GLW UN Equity","CLASSIFICATION_LEVEL_4_NAME")</f>
        <v>通訊設備</v>
      </c>
      <c r="F91" t="str">
        <f>_xll.BDP("GLW UN Equity","CLASSIFICATION_DESCRIPTION")</f>
        <v>光纖電信設備</v>
      </c>
      <c r="G91">
        <f>_xll.BDP("GLW UN Equity","CUR_MKT_CAP")</f>
        <v>47414259305.919998</v>
      </c>
      <c r="H91">
        <f>_xll.BDP("GLW UN Equity","CHG_PCT_YTD")</f>
        <v>16.49832</v>
      </c>
      <c r="I91" t="str">
        <f>_xll.BDP("GLW UN Equity","CIE_DES")</f>
        <v>康寧公司(Corning Incorporated)為全球科技公司。該公司為電信產業生產光纖、電纜和光電產品，並為資訊顯示產業製造玻璃面板、玻璃罩、液晶顯示玻璃及投影鏡頭組件。</v>
      </c>
      <c r="J91">
        <f>_xll.BDP("GLW UN Equity","ESG_SCORE")</f>
        <v>3.0799999237060547</v>
      </c>
      <c r="K91" t="str">
        <f>_xll.BDP("GLW UN Equity","MSCI_ESG_RATING")</f>
        <v>BBB</v>
      </c>
      <c r="L91">
        <f>_xll.BDP("GLW UN Equity","EQY_BETA")</f>
        <v>1.1148625612258911</v>
      </c>
      <c r="M91">
        <f>_xll.BDP("GLW UN Equity","VOLATILITY_60D")</f>
        <v>20.654256979319403</v>
      </c>
      <c r="N91">
        <f>_xll.BDP("GLW UN Equity","PCT_INSIDER_SHARES_OUT")</f>
        <v>0.2555532157757982</v>
      </c>
      <c r="O91">
        <f>_xll.BDP("GLW UN Equity","PCT_CHG_INSIDER_HOLDINGS")</f>
        <v>3.7358829614627229</v>
      </c>
      <c r="P91">
        <f>_xll.BDP("GLW UN Equity","RISK_PREMIUM")</f>
        <v>5.7430249575197694</v>
      </c>
      <c r="Q91">
        <f>_xll.BDP("GLW UN Equity","HIGH_52WEEK")</f>
        <v>56.25</v>
      </c>
      <c r="R91">
        <f>_xll.BDP("GLW UN Equity","LOW_52WEEK")</f>
        <v>37.200000000000003</v>
      </c>
    </row>
    <row r="92" spans="1:18" ht="15.75" x14ac:dyDescent="0.25">
      <c r="A92" t="s">
        <v>108</v>
      </c>
      <c r="B92">
        <f>_xll.BDP("GDDY UN Equity","RT_PX_CHG_PCT_1D")</f>
        <v>-0.19239999353885651</v>
      </c>
      <c r="C92" t="str">
        <f>_xll.BDP("GDDY UN Equity","GICS_SECTOR_NAME")</f>
        <v>資訊技術</v>
      </c>
      <c r="D92" t="str">
        <f>_xll.BDP("GDDY UN Equity","NAME_CHINESE_TRADITIONAL")</f>
        <v>GoDaddy公司</v>
      </c>
      <c r="E92" t="str">
        <f>_xll.BDP("GDDY UN Equity","CLASSIFICATION_LEVEL_4_NAME")</f>
        <v>網路媒體及服務</v>
      </c>
      <c r="F92" t="str">
        <f>_xll.BDP("GDDY UN Equity","CLASSIFICATION_DESCRIPTION")</f>
        <v>網域註冊商</v>
      </c>
      <c r="G92">
        <f>_xll.BDP("GDDY UN Equity","CUR_MKT_CAP")</f>
        <v>23648769209.52</v>
      </c>
      <c r="H92">
        <f>_xll.BDP("GDDY UN Equity","CHG_PCT_YTD")</f>
        <v>-15.9092</v>
      </c>
      <c r="I92" t="str">
        <f>_xll.BDP("GDDY UN Equity","CIE_DES")</f>
        <v>高達帝公司（GoDaddy Inc.）為一家雲端網域註冊、網域註冊及網路託管公司。該公司提供設置網站的平台，以利公司行號連接客戶、管理業務，並提升網路曝光度。高達帝服務全球的客戶。</v>
      </c>
      <c r="J92">
        <f>_xll.BDP("GDDY UN Equity","ESG_SCORE")</f>
        <v>5.5799999237060547</v>
      </c>
      <c r="K92" t="str">
        <f>_xll.BDP("GDDY UN Equity","MSCI_ESG_RATING")</f>
        <v>AA</v>
      </c>
      <c r="L92">
        <f>_xll.BDP("GDDY UN Equity","EQY_BETA")</f>
        <v>1.0531183481216431</v>
      </c>
      <c r="M92">
        <f>_xll.BDP("GDDY UN Equity","VOLATILITY_60D")</f>
        <v>25.821596986619859</v>
      </c>
      <c r="N92">
        <f>_xll.BDP("GDDY UN Equity","PCT_INSIDER_SHARES_OUT")</f>
        <v>0.67079309023484046</v>
      </c>
      <c r="O92">
        <f>_xll.BDP("GDDY UN Equity","PCT_CHG_INSIDER_HOLDINGS")</f>
        <v>19.841390248948347</v>
      </c>
      <c r="P92">
        <f>_xll.BDP("GDDY UN Equity","RISK_PREMIUM")</f>
        <v>5.4249601402294632</v>
      </c>
      <c r="Q92">
        <f>_xll.BDP("GDDY UN Equity","HIGH_52WEEK")</f>
        <v>215.65</v>
      </c>
      <c r="R92">
        <f>_xll.BDP("GDDY UN Equity","LOW_52WEEK")</f>
        <v>140.52000000000001</v>
      </c>
    </row>
    <row r="93" spans="1:18" ht="15.75" x14ac:dyDescent="0.25">
      <c r="A93" t="s">
        <v>109</v>
      </c>
      <c r="B93">
        <f>_xll.BDP("CMI UN Equity","RT_PX_CHG_PCT_1D")</f>
        <v>1.1634999513626099</v>
      </c>
      <c r="C93" t="str">
        <f>_xll.BDP("CMI UN Equity","GICS_SECTOR_NAME")</f>
        <v>工業</v>
      </c>
      <c r="D93" t="str">
        <f>_xll.BDP("CMI UN Equity","NAME_CHINESE_TRADITIONAL")</f>
        <v>康明斯公司</v>
      </c>
      <c r="E93" t="str">
        <f>_xll.BDP("CMI UN Equity","CLASSIFICATION_LEVEL_4_NAME")</f>
        <v>商用車</v>
      </c>
      <c r="F93" t="str">
        <f>_xll.BDP("CMI UN Equity","CLASSIFICATION_DESCRIPTION")</f>
        <v>商用車輛零件及服務</v>
      </c>
      <c r="G93">
        <f>_xll.BDP("CMI UN Equity","CUR_MKT_CAP")</f>
        <v>50903189539.439995</v>
      </c>
      <c r="H93">
        <f>_xll.BDP("CMI UN Equity","CHG_PCT_YTD")</f>
        <v>6.0011460000000003</v>
      </c>
      <c r="I93" t="str">
        <f>_xll.BDP("CMI UN Equity","CIE_DES")</f>
        <v>康明斯公司(Cummins Inc)設計、製造、經銷並提供柴油及天然氣引擎的服務。該公司亦生產發電系統與引擎相關組件，包括過濾與排氣後處理、燃油系統、遙控裝置與空調主機。</v>
      </c>
      <c r="J93">
        <f>_xll.BDP("CMI UN Equity","ESG_SCORE")</f>
        <v>5.059999942779541</v>
      </c>
      <c r="K93" t="str">
        <f>_xll.BDP("CMI UN Equity","MSCI_ESG_RATING")</f>
        <v>AAA</v>
      </c>
      <c r="L93">
        <f>_xll.BDP("CMI UN Equity","EQY_BETA")</f>
        <v>1.0467145442962646</v>
      </c>
      <c r="M93">
        <f>_xll.BDP("CMI UN Equity","VOLATILITY_60D")</f>
        <v>25.533676294374452</v>
      </c>
      <c r="N93">
        <f>_xll.BDP("CMI UN Equity","PCT_INSIDER_SHARES_OUT")</f>
        <v>0.54194904101414898</v>
      </c>
      <c r="O93">
        <f>_xll.BDP("CMI UN Equity","PCT_CHG_INSIDER_HOLDINGS")</f>
        <v>10.146427713611661</v>
      </c>
      <c r="P93">
        <f>_xll.BDP("CMI UN Equity","RISK_PREMIUM")</f>
        <v>5.3919720334696768</v>
      </c>
      <c r="Q93">
        <f>_xll.BDP("CMI UN Equity","HIGH_52WEEK")</f>
        <v>387.23</v>
      </c>
      <c r="R93">
        <f>_xll.BDP("CMI UN Equity","LOW_52WEEK")</f>
        <v>260.20999999999998</v>
      </c>
    </row>
    <row r="94" spans="1:18" ht="15.75" x14ac:dyDescent="0.25">
      <c r="A94" t="s">
        <v>110</v>
      </c>
      <c r="B94">
        <f>_xll.BDP("CZR UW Equity","RT_PX_CHG_PCT_1D")</f>
        <v>3.1403000354766846</v>
      </c>
      <c r="C94" t="str">
        <f>_xll.BDP("CZR UW Equity","GICS_SECTOR_NAME")</f>
        <v>非核心消費</v>
      </c>
      <c r="D94" t="str">
        <f>_xll.BDP("CZR UW Equity","NAME_CHINESE_TRADITIONAL")</f>
        <v>凱撒娛樂公司</v>
      </c>
      <c r="E94" t="str">
        <f>_xll.BDP("CZR UW Equity","CLASSIFICATION_LEVEL_4_NAME")</f>
        <v>賭場及博弈</v>
      </c>
      <c r="F94" t="str">
        <f>_xll.BDP("CZR UW Equity","CLASSIFICATION_DESCRIPTION")</f>
        <v>賭場(賭場飯店除外)</v>
      </c>
      <c r="G94">
        <f>_xll.BDP("CZR UW Equity","CUR_MKT_CAP")</f>
        <v>6147537597.6400003</v>
      </c>
      <c r="H94">
        <f>_xll.BDP("CZR UW Equity","CHG_PCT_YTD")</f>
        <v>-11.54997</v>
      </c>
      <c r="I94" t="str">
        <f>_xll.BDP("CZR UW Equity","CIE_DES")</f>
        <v>凱撒娛樂公司(Caesars Entertainment, Inc.)擁有並經營連鎖渡假村。該公司提供賭場、撲克牌、輪盤，以及其它博弈設施，並提供食物和飲料服務。凱撒娛樂服務美國的客戶。</v>
      </c>
      <c r="J94">
        <f>_xll.BDP("CZR UW Equity","ESG_SCORE")</f>
        <v>6.619999885559082</v>
      </c>
      <c r="K94" t="str">
        <f>_xll.BDP("CZR UW Equity","MSCI_ESG_RATING")</f>
        <v>N.S.</v>
      </c>
      <c r="L94">
        <f>_xll.BDP("CZR UW Equity","EQY_BETA")</f>
        <v>1.447906494140625</v>
      </c>
      <c r="M94">
        <f>_xll.BDP("CZR UW Equity","VOLATILITY_60D")</f>
        <v>44.59403092813001</v>
      </c>
      <c r="N94">
        <f>_xll.BDP("CZR UW Equity","PCT_INSIDER_SHARES_OUT")</f>
        <v>0.93078921603842124</v>
      </c>
      <c r="O94">
        <f>_xll.BDP("CZR UW Equity","PCT_CHG_INSIDER_HOLDINGS")</f>
        <v>11.149361082054561</v>
      </c>
      <c r="P94">
        <f>_xll.BDP("CZR UW Equity","RISK_PREMIUM")</f>
        <v>7.4586441604614251</v>
      </c>
      <c r="Q94">
        <f>_xll.BDP("CZR UW Equity","HIGH_52WEEK")</f>
        <v>45.89</v>
      </c>
      <c r="R94">
        <f>_xll.BDP("CZR UW Equity","LOW_52WEEK")</f>
        <v>21.42</v>
      </c>
    </row>
    <row r="95" spans="1:18" ht="15.75" x14ac:dyDescent="0.25">
      <c r="A95" t="s">
        <v>111</v>
      </c>
      <c r="B95">
        <f>_xll.BDP("DHR UN Equity","RT_PX_CHG_PCT_1D")</f>
        <v>1.3164999485015869</v>
      </c>
      <c r="C95" t="str">
        <f>_xll.BDP("DHR UN Equity","GICS_SECTOR_NAME")</f>
        <v>醫療保健</v>
      </c>
      <c r="D95" t="str">
        <f>_xll.BDP("DHR UN Equity","NAME_CHINESE_TRADITIONAL")</f>
        <v>丹納赫集團</v>
      </c>
      <c r="E95" t="str">
        <f>_xll.BDP("DHR UN Equity","CLASSIFICATION_LEVEL_4_NAME")</f>
        <v>生命科學設備</v>
      </c>
      <c r="F95" t="str">
        <f>_xll.BDP("DHR UN Equity","CLASSIFICATION_DESCRIPTION")</f>
        <v>生命科學設備</v>
      </c>
      <c r="G95">
        <f>_xll.BDP("DHR UN Equity","CUR_MKT_CAP")</f>
        <v>147134280713.19998</v>
      </c>
      <c r="H95">
        <f>_xll.BDP("DHR UN Equity","CHG_PCT_YTD")</f>
        <v>-10.48573</v>
      </c>
      <c r="I95" t="str">
        <f>_xll.BDP("DHR UN Equity","CIE_DES")</f>
        <v>丹納赫集團(Danaher Corporation)設計、製造並行銷專業、醫療、工商業產品及服務，於測試與衡量、環保、生命科學、牙科、及工業科技等領域。</v>
      </c>
      <c r="J95">
        <f>_xll.BDP("DHR UN Equity","ESG_SCORE")</f>
        <v>4.5100002288818359</v>
      </c>
      <c r="K95" t="str">
        <f>_xll.BDP("DHR UN Equity","MSCI_ESG_RATING")</f>
        <v>AA</v>
      </c>
      <c r="L95">
        <f>_xll.BDP("DHR UN Equity","EQY_BETA")</f>
        <v>0.93112444877624512</v>
      </c>
      <c r="M95">
        <f>_xll.BDP("DHR UN Equity","VOLATILITY_60D")</f>
        <v>32.501165888649489</v>
      </c>
      <c r="N95">
        <f>_xll.BDP("DHR UN Equity","PCT_INSIDER_SHARES_OUT")</f>
        <v>8.8602139091652035</v>
      </c>
      <c r="O95">
        <f>_xll.BDP("DHR UN Equity","PCT_CHG_INSIDER_HOLDINGS")</f>
        <v>-1.9902056651098128</v>
      </c>
      <c r="P95">
        <f>_xll.BDP("DHR UN Equity","RISK_PREMIUM")</f>
        <v>4.7965293067145343</v>
      </c>
      <c r="Q95">
        <f>_xll.BDP("DHR UN Equity","HIGH_52WEEK")</f>
        <v>281.38</v>
      </c>
      <c r="R95">
        <f>_xll.BDP("DHR UN Equity","LOW_52WEEK")</f>
        <v>171</v>
      </c>
    </row>
    <row r="96" spans="1:18" ht="15.75" x14ac:dyDescent="0.25">
      <c r="A96" t="s">
        <v>112</v>
      </c>
      <c r="B96">
        <f>_xll.BDP("TGT UN Equity","RT_PX_CHG_PCT_1D")</f>
        <v>0.21739999949932098</v>
      </c>
      <c r="C96" t="str">
        <f>_xll.BDP("TGT UN Equity","GICS_SECTOR_NAME")</f>
        <v>核心消費</v>
      </c>
      <c r="D96" t="str">
        <f>_xll.BDP("TGT UN Equity","NAME_CHINESE_TRADITIONAL")</f>
        <v>目標百貨公司</v>
      </c>
      <c r="E96" t="str">
        <f>_xll.BDP("TGT UN Equity","CLASSIFICATION_LEVEL_4_NAME")</f>
        <v>量販店</v>
      </c>
      <c r="F96" t="str">
        <f>_xll.BDP("TGT UN Equity","CLASSIFICATION_DESCRIPTION")</f>
        <v>超級購物中心</v>
      </c>
      <c r="G96">
        <f>_xll.BDP("TGT UN Equity","CUR_MKT_CAP")</f>
        <v>48185503801.049995</v>
      </c>
      <c r="H96">
        <f>_xll.BDP("TGT UN Equity","CHG_PCT_YTD")</f>
        <v>-21.549040000000002</v>
      </c>
      <c r="I96" t="str">
        <f>_xll.BDP("TGT UN Equity","CIE_DES")</f>
        <v>目標百貨公司(Target Corporation)經營一般商品折扣店。該公司專注於商品營業活動，包括：一般商品及食品折扣商店，與完全整合的線上業務。目標百貨亦透過其品牌專屬信用卡，提供信貸予合格的申請者。</v>
      </c>
      <c r="J96">
        <f>_xll.BDP("TGT UN Equity","ESG_SCORE")</f>
        <v>5.130000114440918</v>
      </c>
      <c r="K96" t="str">
        <f>_xll.BDP("TGT UN Equity","MSCI_ESG_RATING")</f>
        <v>AA</v>
      </c>
      <c r="L96">
        <f>_xll.BDP("TGT UN Equity","EQY_BETA")</f>
        <v>0.79125505685806274</v>
      </c>
      <c r="M96">
        <f>_xll.BDP("TGT UN Equity","VOLATILITY_60D")</f>
        <v>35.216504128920363</v>
      </c>
      <c r="N96">
        <f>_xll.BDP("TGT UN Equity","PCT_INSIDER_SHARES_OUT")</f>
        <v>0.34727615355817854</v>
      </c>
      <c r="O96">
        <f>_xll.BDP("TGT UN Equity","PCT_CHG_INSIDER_HOLDINGS")</f>
        <v>5.3188577367271721</v>
      </c>
      <c r="P96">
        <f>_xll.BDP("TGT UN Equity","RISK_PREMIUM")</f>
        <v>4.0760159120446442</v>
      </c>
      <c r="Q96">
        <f>_xll.BDP("TGT UN Equity","HIGH_52WEEK")</f>
        <v>167.33</v>
      </c>
      <c r="R96">
        <f>_xll.BDP("TGT UN Equity","LOW_52WEEK")</f>
        <v>87.35</v>
      </c>
    </row>
    <row r="97" spans="1:18" ht="15.75" x14ac:dyDescent="0.25">
      <c r="A97" t="s">
        <v>113</v>
      </c>
      <c r="B97">
        <f>_xll.BDP("WSM UN Equity","RT_PX_CHG_PCT_1D")</f>
        <v>0.64810001850128174</v>
      </c>
      <c r="C97" t="str">
        <f>_xll.BDP("WSM UN Equity","GICS_SECTOR_NAME")</f>
        <v>非核心消費</v>
      </c>
      <c r="D97" t="str">
        <f>_xll.BDP("WSM UN Equity","NAME_CHINESE_TRADITIONAL")</f>
        <v>威廉所諾馬公司</v>
      </c>
      <c r="E97" t="str">
        <f>_xll.BDP("WSM UN Equity","CLASSIFICATION_LEVEL_4_NAME")</f>
        <v>家居產品店</v>
      </c>
      <c r="F97" t="str">
        <f>_xll.BDP("WSM UN Equity","CLASSIFICATION_DESCRIPTION")</f>
        <v>家飾品店</v>
      </c>
      <c r="G97">
        <f>_xll.BDP("WSM UN Equity","CUR_MKT_CAP")</f>
        <v>22349977664.310001</v>
      </c>
      <c r="H97">
        <f>_xll.BDP("WSM UN Equity","CHG_PCT_YTD")</f>
        <v>-1.8738490000000001</v>
      </c>
      <c r="I97" t="str">
        <f>_xll.BDP("WSM UN Equity","CIE_DES")</f>
        <v>威廉所諾馬公司(Williams-Sonoma, Inc.)為一家家居佈置商店。該公司透過零售店、郵購目錄和電子商務零售烹飪和服務設備、家居佈置和家居配件。威廉所諾馬服務美國的客戶。</v>
      </c>
      <c r="J97">
        <f>_xll.BDP("WSM UN Equity","ESG_SCORE")</f>
        <v>6.5100002288818359</v>
      </c>
      <c r="K97" t="str">
        <f>_xll.BDP("WSM UN Equity","MSCI_ESG_RATING")</f>
        <v>AAA</v>
      </c>
      <c r="L97">
        <f>_xll.BDP("WSM UN Equity","EQY_BETA")</f>
        <v>1.3084893226623535</v>
      </c>
      <c r="M97">
        <f>_xll.BDP("WSM UN Equity","VOLATILITY_60D")</f>
        <v>35.936048153805686</v>
      </c>
      <c r="N97">
        <f>_xll.BDP("WSM UN Equity","PCT_INSIDER_SHARES_OUT")</f>
        <v>1.2137309438113273</v>
      </c>
      <c r="O97">
        <f>_xll.BDP("WSM UN Equity","PCT_CHG_INSIDER_HOLDINGS")</f>
        <v>3.3396302559633289</v>
      </c>
      <c r="P97">
        <f>_xll.BDP("WSM UN Equity","RISK_PREMIUM")</f>
        <v>6.740460302510261</v>
      </c>
      <c r="Q97">
        <f>_xll.BDP("WSM UN Equity","HIGH_52WEEK")</f>
        <v>219.93</v>
      </c>
      <c r="R97">
        <f>_xll.BDP("WSM UN Equity","LOW_52WEEK")</f>
        <v>125.85</v>
      </c>
    </row>
    <row r="98" spans="1:18" ht="15.75" x14ac:dyDescent="0.25">
      <c r="A98" t="s">
        <v>114</v>
      </c>
      <c r="B98">
        <f>_xll.BDP("DE UN Equity","RT_PX_CHG_PCT_1D")</f>
        <v>0.5285000205039978</v>
      </c>
      <c r="C98" t="str">
        <f>_xll.BDP("DE UN Equity","GICS_SECTOR_NAME")</f>
        <v>工業</v>
      </c>
      <c r="D98" t="str">
        <f>_xll.BDP("DE UN Equity","NAME_CHINESE_TRADITIONAL")</f>
        <v>迪爾</v>
      </c>
      <c r="E98" t="str">
        <f>_xll.BDP("DE UN Equity","CLASSIFICATION_LEVEL_4_NAME")</f>
        <v>農業機械</v>
      </c>
      <c r="F98" t="str">
        <f>_xll.BDP("DE UN Equity","CLASSIFICATION_DESCRIPTION")</f>
        <v>農業機械設備</v>
      </c>
      <c r="G98">
        <f>_xll.BDP("DE UN Equity","CUR_MKT_CAP")</f>
        <v>140120501715.89999</v>
      </c>
      <c r="H98">
        <f>_xll.BDP("DE UN Equity","CHG_PCT_YTD")</f>
        <v>22.10998</v>
      </c>
      <c r="I98" t="str">
        <f>_xll.BDP("DE UN Equity","CIE_DES")</f>
        <v>迪爾公司(Deere&amp;Company)製造並經銷一系列的農業、建築業、林業、商業及消費設備。該公司為自身和其他廠商的產品，提供替換零件。此外，迪爾公司亦提供產品及零件的融資服務。迪爾公司的服務及產品遍及全球。</v>
      </c>
      <c r="J98">
        <f>_xll.BDP("DE UN Equity","ESG_SCORE")</f>
        <v>5.5399999618530273</v>
      </c>
      <c r="K98" t="str">
        <f>_xll.BDP("DE UN Equity","MSCI_ESG_RATING")</f>
        <v>AA</v>
      </c>
      <c r="L98">
        <f>_xll.BDP("DE UN Equity","EQY_BETA")</f>
        <v>0.95676338672637939</v>
      </c>
      <c r="M98">
        <f>_xll.BDP("DE UN Equity","VOLATILITY_60D")</f>
        <v>22.274193420042725</v>
      </c>
      <c r="N98">
        <f>_xll.BDP("DE UN Equity","PCT_INSIDER_SHARES_OUT")</f>
        <v>0.19681294010089834</v>
      </c>
      <c r="O98">
        <f>_xll.BDP("DE UN Equity","PCT_CHG_INSIDER_HOLDINGS")</f>
        <v>-4.438318733517983</v>
      </c>
      <c r="P98">
        <f>_xll.BDP("DE UN Equity","RISK_PREMIUM")</f>
        <v>4.9286039369451995</v>
      </c>
      <c r="Q98">
        <f>_xll.BDP("DE UN Equity","HIGH_52WEEK")</f>
        <v>533.72</v>
      </c>
      <c r="R98">
        <f>_xll.BDP("DE UN Equity","LOW_52WEEK")</f>
        <v>340.8</v>
      </c>
    </row>
    <row r="99" spans="1:18" ht="15.75" x14ac:dyDescent="0.25">
      <c r="A99" t="s">
        <v>115</v>
      </c>
      <c r="B99">
        <f>_xll.BDP("D UN Equity","RT_PX_CHG_PCT_1D")</f>
        <v>0</v>
      </c>
      <c r="C99" t="str">
        <f>_xll.BDP("D UN Equity","GICS_SECTOR_NAME")</f>
        <v>公用事業</v>
      </c>
      <c r="D99" t="str">
        <f>_xll.BDP("D UN Equity","NAME_CHINESE_TRADITIONAL")</f>
        <v>道明尼能源公司</v>
      </c>
      <c r="E99" t="str">
        <f>_xll.BDP("D UN Equity","CLASSIFICATION_LEVEL_4_NAME")</f>
        <v>整合型公用事業</v>
      </c>
      <c r="F99" t="str">
        <f>_xll.BDP("D UN Equity","CLASSIFICATION_DESCRIPTION")</f>
        <v>整合型公用事業</v>
      </c>
      <c r="G99">
        <f>_xll.BDP("D UN Equity","CUR_MKT_CAP")</f>
        <v>50101446046.25</v>
      </c>
      <c r="H99">
        <f>_xll.BDP("D UN Equity","CHG_PCT_YTD")</f>
        <v>9.0790930000000003</v>
      </c>
      <c r="I99" t="str">
        <f>_xll.BDP("D UN Equity","CIE_DES")</f>
        <v>道明尼能源公司(Dominion Energy, Inc.)生產並傳輸能源產品。該公司提供天然氣與電力能源傳輸、收集，以及儲存的解決方案。道明尼能源服務美國的客戶。</v>
      </c>
      <c r="J99">
        <f>_xll.BDP("D UN Equity","ESG_SCORE")</f>
        <v>5.2899999618530273</v>
      </c>
      <c r="K99" t="str">
        <f>_xll.BDP("D UN Equity","MSCI_ESG_RATING")</f>
        <v>AA</v>
      </c>
      <c r="L99">
        <f>_xll.BDP("D UN Equity","EQY_BETA")</f>
        <v>0.54288792610168457</v>
      </c>
      <c r="M99">
        <f>_xll.BDP("D UN Equity","VOLATILITY_60D")</f>
        <v>18.716412133279757</v>
      </c>
      <c r="N99">
        <f>_xll.BDP("D UN Equity","PCT_INSIDER_SHARES_OUT")</f>
        <v>0.1536135014973195</v>
      </c>
      <c r="O99">
        <f>_xll.BDP("D UN Equity","PCT_CHG_INSIDER_HOLDINGS")</f>
        <v>6.5565556346902101</v>
      </c>
      <c r="P99">
        <f>_xll.BDP("D UN Equity","RISK_PREMIUM")</f>
        <v>2.7965948603653907</v>
      </c>
      <c r="Q99">
        <f>_xll.BDP("D UN Equity","HIGH_52WEEK")</f>
        <v>61.97</v>
      </c>
      <c r="R99">
        <f>_xll.BDP("D UN Equity","LOW_52WEEK")</f>
        <v>48.07</v>
      </c>
    </row>
    <row r="100" spans="1:18" ht="15.75" x14ac:dyDescent="0.25">
      <c r="A100" t="s">
        <v>116</v>
      </c>
      <c r="B100">
        <f>_xll.BDP("TTD UQ Equity","RT_PX_CHG_PCT_1D")</f>
        <v>1.3411999940872192</v>
      </c>
      <c r="C100" t="str">
        <f>_xll.BDP("TTD UQ Equity","GICS_SECTOR_NAME")</f>
        <v>通訊服務</v>
      </c>
      <c r="D100" t="str">
        <f>_xll.BDP("TTD UQ Equity","NAME_CHINESE_TRADITIONAL")</f>
        <v>交易台公司</v>
      </c>
      <c r="E100" t="str">
        <f>_xll.BDP("TTD UQ Equity","CLASSIFICATION_LEVEL_4_NAME")</f>
        <v>廣告及行銷</v>
      </c>
      <c r="F100" t="str">
        <f>_xll.BDP("TTD UQ Equity","CLASSIFICATION_DESCRIPTION")</f>
        <v>廣告及行銷</v>
      </c>
      <c r="G100">
        <f>_xll.BDP("TTD UQ Equity","CUR_MKT_CAP")</f>
        <v>42116014746.779999</v>
      </c>
      <c r="H100">
        <f>_xll.BDP("TTD UQ Equity","CHG_PCT_YTD")</f>
        <v>-26.708069999999999</v>
      </c>
      <c r="I100" t="str">
        <f>_xll.BDP("TTD UQ Equity","CIE_DES")</f>
        <v>交易台公司(The Trade Desk, Inc. )為廣告科技公司 。 該公司提供線上廣告平台，其管理展覽、社交媒體、行動裝置，以及影音的廣告宣傳活動。 交易台服務全球各地的客戶。</v>
      </c>
      <c r="J100">
        <f>_xll.BDP("TTD UQ Equity","ESG_SCORE")</f>
        <v>1.8700000047683716</v>
      </c>
      <c r="K100" t="str">
        <f>_xll.BDP("TTD UQ Equity","MSCI_ESG_RATING")</f>
        <v>BB</v>
      </c>
      <c r="L100">
        <f>_xll.BDP("TTD UQ Equity","EQY_BETA")</f>
        <v>1.4655402898788452</v>
      </c>
      <c r="M100">
        <f>_xll.BDP("TTD UQ Equity","VOLATILITY_60D")</f>
        <v>56.006744789248671</v>
      </c>
      <c r="N100">
        <f>_xll.BDP("TTD UQ Equity","PCT_INSIDER_SHARES_OUT")</f>
        <v>0.63556514855182056</v>
      </c>
      <c r="O100">
        <f>_xll.BDP("TTD UQ Equity","PCT_CHG_INSIDER_HOLDINGS")</f>
        <v>20.861110411779944</v>
      </c>
      <c r="P100">
        <f>_xll.BDP("TTD UQ Equity","RISK_PREMIUM")</f>
        <v>7.5494816614615914</v>
      </c>
      <c r="Q100">
        <f>_xll.BDP("TTD UQ Equity","HIGH_52WEEK")</f>
        <v>141.52000000000001</v>
      </c>
      <c r="R100">
        <f>_xll.BDP("TTD UQ Equity","LOW_52WEEK")</f>
        <v>42.984999999999999</v>
      </c>
    </row>
    <row r="101" spans="1:18" ht="15.75" x14ac:dyDescent="0.25">
      <c r="A101" t="s">
        <v>117</v>
      </c>
      <c r="B101">
        <f>_xll.BDP("DOV UN Equity","RT_PX_CHG_PCT_1D")</f>
        <v>-6.9700002670288086E-2</v>
      </c>
      <c r="C101" t="str">
        <f>_xll.BDP("DOV UN Equity","GICS_SECTOR_NAME")</f>
        <v>工業</v>
      </c>
      <c r="D101" t="str">
        <f>_xll.BDP("DOV UN Equity","NAME_CHINESE_TRADITIONAL")</f>
        <v>多佛公司</v>
      </c>
      <c r="E101" t="str">
        <f>_xll.BDP("DOV UN Equity","CLASSIFICATION_LEVEL_4_NAME")</f>
        <v>多元化工業</v>
      </c>
      <c r="F101" t="str">
        <f>_xll.BDP("DOV UN Equity","CLASSIFICATION_DESCRIPTION")</f>
        <v>多元化工業</v>
      </c>
      <c r="G101">
        <f>_xll.BDP("DOV UN Equity","CUR_MKT_CAP")</f>
        <v>25575575484.5</v>
      </c>
      <c r="H101">
        <f>_xll.BDP("DOV UN Equity","CHG_PCT_YTD")</f>
        <v>-0.58635720000000002</v>
      </c>
      <c r="I101" t="str">
        <f>_xll.BDP("DOV UN Equity","CIE_DES")</f>
        <v>多佛公司(Dover Corporation)製造工業產品及製造業設備。該公司的產品包括：印刷、識別、標記與編碼系統、廢棄物處理、工業設備、製冷系統、顯示器外殼、工業泵、燃油分裝機、噴嘴、管道系統，以及電子儲罐計設備。多佛服務全球客戶。</v>
      </c>
      <c r="J101">
        <f>_xll.BDP("DOV UN Equity","ESG_SCORE")</f>
        <v>5.0500001907348633</v>
      </c>
      <c r="K101" t="str">
        <f>_xll.BDP("DOV UN Equity","MSCI_ESG_RATING")</f>
        <v>AA</v>
      </c>
      <c r="L101">
        <f>_xll.BDP("DOV UN Equity","EQY_BETA")</f>
        <v>1.1065328121185303</v>
      </c>
      <c r="M101">
        <f>_xll.BDP("DOV UN Equity","VOLATILITY_60D")</f>
        <v>20.126440950874155</v>
      </c>
      <c r="N101">
        <f>_xll.BDP("DOV UN Equity","PCT_INSIDER_SHARES_OUT")</f>
        <v>0.67945557099052389</v>
      </c>
      <c r="O101">
        <f>_xll.BDP("DOV UN Equity","PCT_CHG_INSIDER_HOLDINGS")</f>
        <v>2.5443267972561459</v>
      </c>
      <c r="P101">
        <f>_xll.BDP("DOV UN Equity","RISK_PREMIUM")</f>
        <v>5.7001156710505478</v>
      </c>
      <c r="Q101">
        <f>_xll.BDP("DOV UN Equity","HIGH_52WEEK")</f>
        <v>222.31</v>
      </c>
      <c r="R101">
        <f>_xll.BDP("DOV UN Equity","LOW_52WEEK")</f>
        <v>143.15</v>
      </c>
    </row>
    <row r="102" spans="1:18" ht="15.75" x14ac:dyDescent="0.25">
      <c r="A102" t="s">
        <v>118</v>
      </c>
      <c r="B102">
        <f>_xll.BDP("LNT UW Equity","RT_PX_CHG_PCT_1D")</f>
        <v>-0.414000004529953</v>
      </c>
      <c r="C102" t="str">
        <f>_xll.BDP("LNT UW Equity","GICS_SECTOR_NAME")</f>
        <v>公用事業</v>
      </c>
      <c r="D102" t="str">
        <f>_xll.BDP("LNT UW Equity","NAME_CHINESE_TRADITIONAL")</f>
        <v>聯合能源公司</v>
      </c>
      <c r="E102" t="str">
        <f>_xll.BDP("LNT UW Equity","CLASSIFICATION_LEVEL_4_NAME")</f>
        <v>整合型公用事業</v>
      </c>
      <c r="F102" t="str">
        <f>_xll.BDP("LNT UW Equity","CLASSIFICATION_DESCRIPTION")</f>
        <v>整合型公用事業</v>
      </c>
      <c r="G102">
        <f>_xll.BDP("LNT UW Equity","CUR_MKT_CAP")</f>
        <v>16681546857.059996</v>
      </c>
      <c r="H102">
        <f>_xll.BDP("LNT UW Equity","CHG_PCT_YTD")</f>
        <v>9.8072379999999999</v>
      </c>
      <c r="I102" t="str">
        <f>_xll.BDP("LNT UW Equity","CIE_DES")</f>
        <v>聯合能源公司(Alliant Energy Corporation)提供公用事業服務。該公司供應住宅及商業用戶電力、天然氣及水。聯合能源服務伊利諾州、愛荷華州、明尼蘇達州及威斯康辛州的客戶。</v>
      </c>
      <c r="J102">
        <f>_xll.BDP("LNT UW Equity","ESG_SCORE")</f>
        <v>5.7399997711181641</v>
      </c>
      <c r="K102" t="str">
        <f>_xll.BDP("LNT UW Equity","MSCI_ESG_RATING")</f>
        <v>AA</v>
      </c>
      <c r="L102">
        <f>_xll.BDP("LNT UW Equity","EQY_BETA")</f>
        <v>0.47568154335021973</v>
      </c>
      <c r="M102">
        <f>_xll.BDP("LNT UW Equity","VOLATILITY_60D")</f>
        <v>18.205100770350441</v>
      </c>
      <c r="N102">
        <f>_xll.BDP("LNT UW Equity","PCT_INSIDER_SHARES_OUT")</f>
        <v>0.36259000250315038</v>
      </c>
      <c r="O102">
        <f>_xll.BDP("LNT UW Equity","PCT_CHG_INSIDER_HOLDINGS")</f>
        <v>6.7837021044500023</v>
      </c>
      <c r="P102">
        <f>_xll.BDP("LNT UW Equity","RISK_PREMIUM")</f>
        <v>2.4503926047062872</v>
      </c>
      <c r="Q102">
        <f>_xll.BDP("LNT UW Equity","HIGH_52WEEK")</f>
        <v>66.540000000000006</v>
      </c>
      <c r="R102">
        <f>_xll.BDP("LNT UW Equity","LOW_52WEEK")</f>
        <v>54.99</v>
      </c>
    </row>
    <row r="103" spans="1:18" ht="15.75" x14ac:dyDescent="0.25">
      <c r="A103" t="s">
        <v>119</v>
      </c>
      <c r="B103">
        <f>_xll.BDP("STLD UW Equity","RT_PX_CHG_PCT_1D")</f>
        <v>3.1538000106811523</v>
      </c>
      <c r="C103" t="str">
        <f>_xll.BDP("STLD UW Equity","GICS_SECTOR_NAME")</f>
        <v>原材料</v>
      </c>
      <c r="D103" t="str">
        <f>_xll.BDP("STLD UW Equity","NAME_CHINESE_TRADITIONAL")</f>
        <v>鋼鐵動態公司</v>
      </c>
      <c r="E103" t="str">
        <f>_xll.BDP("STLD UW Equity","CLASSIFICATION_LEVEL_4_NAME")</f>
        <v>鋼製造業</v>
      </c>
      <c r="F103" t="str">
        <f>_xll.BDP("STLD UW Equity","CLASSIFICATION_DESCRIPTION")</f>
        <v>鋼製造業</v>
      </c>
      <c r="G103">
        <f>_xll.BDP("STLD UW Equity","CUR_MKT_CAP")</f>
        <v>19422220597.079998</v>
      </c>
      <c r="H103">
        <f>_xll.BDP("STLD UW Equity","CHG_PCT_YTD")</f>
        <v>14.692729999999999</v>
      </c>
      <c r="I103" t="str">
        <f>_xll.BDP("STLD UW Equity","CIE_DES")</f>
        <v>鋼鐵動態公司(Steel Dynamics, Inc.)為美國的多元化碳鋼生產商及金屬回收商。該公司的業務領域包括：鋼鐵營運、金屬回收、鐵資源營運，及鋼鐵加工營運。鋼鐵動態公司的產品包括：平軋鋼片、工程鋼條特殊強化鋼材，及結構鋼樑。</v>
      </c>
      <c r="J103">
        <f>_xll.BDP("STLD UW Equity","ESG_SCORE")</f>
        <v>7.0399999618530273</v>
      </c>
      <c r="K103" t="str">
        <f>_xll.BDP("STLD UW Equity","MSCI_ESG_RATING")</f>
        <v>AA</v>
      </c>
      <c r="L103">
        <f>_xll.BDP("STLD UW Equity","EQY_BETA")</f>
        <v>1.1075236797332764</v>
      </c>
      <c r="M103">
        <f>_xll.BDP("STLD UW Equity","VOLATILITY_60D")</f>
        <v>36.308039466674309</v>
      </c>
      <c r="N103">
        <f>_xll.BDP("STLD UW Equity","PCT_INSIDER_SHARES_OUT")</f>
        <v>6.5276506713531939</v>
      </c>
      <c r="O103">
        <f>_xll.BDP("STLD UW Equity","PCT_CHG_INSIDER_HOLDINGS")</f>
        <v>1.2191882683511477</v>
      </c>
      <c r="P103">
        <f>_xll.BDP("STLD UW Equity","RISK_PREMIUM")</f>
        <v>5.7052199571204181</v>
      </c>
      <c r="Q103">
        <f>_xll.BDP("STLD UW Equity","HIGH_52WEEK")</f>
        <v>155.56</v>
      </c>
      <c r="R103">
        <f>_xll.BDP("STLD UW Equity","LOW_52WEEK")</f>
        <v>103.345</v>
      </c>
    </row>
    <row r="104" spans="1:18" ht="15.75" x14ac:dyDescent="0.25">
      <c r="A104" t="s">
        <v>120</v>
      </c>
      <c r="B104">
        <f>_xll.BDP("DUK UN Equity","RT_PX_CHG_PCT_1D")</f>
        <v>0.15029999613761902</v>
      </c>
      <c r="C104" t="str">
        <f>_xll.BDP("DUK UN Equity","GICS_SECTOR_NAME")</f>
        <v>公用事業</v>
      </c>
      <c r="D104" t="str">
        <f>_xll.BDP("DUK UN Equity","NAME_CHINESE_TRADITIONAL")</f>
        <v>杜克能源公司</v>
      </c>
      <c r="E104" t="str">
        <f>_xll.BDP("DUK UN Equity","CLASSIFICATION_LEVEL_4_NAME")</f>
        <v>整合型公用事業</v>
      </c>
      <c r="F104" t="str">
        <f>_xll.BDP("DUK UN Equity","CLASSIFICATION_DESCRIPTION")</f>
        <v>整合型公用事業</v>
      </c>
      <c r="G104">
        <f>_xll.BDP("DUK UN Equity","CUR_MKT_CAP")</f>
        <v>93188210442.190048</v>
      </c>
      <c r="H104">
        <f>_xll.BDP("DUK UN Equity","CHG_PCT_YTD")</f>
        <v>11.31428</v>
      </c>
      <c r="I104" t="str">
        <f>_xll.BDP("DUK UN Equity","CIE_DES")</f>
        <v>杜克能源公司(Duke Energy Corporation)為一家能源公司，主要位於美洲，其擁有整合的能源資產網。該公司於美國及拉丁美洲，管理天然氣與電力的供應、運輸、及交易等業務。</v>
      </c>
      <c r="J104">
        <f>_xll.BDP("DUK UN Equity","ESG_SCORE")</f>
        <v>5.7300000190734863</v>
      </c>
      <c r="K104" t="str">
        <f>_xll.BDP("DUK UN Equity","MSCI_ESG_RATING")</f>
        <v>AA</v>
      </c>
      <c r="L104">
        <f>_xll.BDP("DUK UN Equity","EQY_BETA")</f>
        <v>0.32729822397232056</v>
      </c>
      <c r="M104">
        <f>_xll.BDP("DUK UN Equity","VOLATILITY_60D")</f>
        <v>17.320789085506767</v>
      </c>
      <c r="N104">
        <f>_xll.BDP("DUK UN Equity","PCT_INSIDER_SHARES_OUT")</f>
        <v>0.19039013955466108</v>
      </c>
      <c r="O104">
        <f>_xll.BDP("DUK UN Equity","PCT_CHG_INSIDER_HOLDINGS")</f>
        <v>15.04948799159463</v>
      </c>
      <c r="P104">
        <f>_xll.BDP("DUK UN Equity","RISK_PREMIUM")</f>
        <v>1.6860211600953339</v>
      </c>
      <c r="Q104">
        <f>_xll.BDP("DUK UN Equity","HIGH_52WEEK")</f>
        <v>125.27</v>
      </c>
      <c r="R104">
        <f>_xll.BDP("DUK UN Equity","LOW_52WEEK")</f>
        <v>105.22</v>
      </c>
    </row>
    <row r="105" spans="1:18" ht="15.75" x14ac:dyDescent="0.25">
      <c r="A105" t="s">
        <v>121</v>
      </c>
      <c r="B105">
        <f>_xll.BDP("REG UW Equity","RT_PX_CHG_PCT_1D")</f>
        <v>-0.48930001258850098</v>
      </c>
      <c r="C105" t="str">
        <f>_xll.BDP("REG UW Equity","GICS_SECTOR_NAME")</f>
        <v>房地產</v>
      </c>
      <c r="D105" t="str">
        <f>_xll.BDP("REG UW Equity","NAME_CHINESE_TRADITIONAL")</f>
        <v>Regency Centers公司</v>
      </c>
      <c r="E105" t="str">
        <f>_xll.BDP("REG UW Equity","CLASSIFICATION_LEVEL_4_NAME")</f>
        <v>零售不動產投資信託</v>
      </c>
      <c r="F105" t="str">
        <f>_xll.BDP("REG UW Equity","CLASSIFICATION_DESCRIPTION")</f>
        <v>購物中心REIT</v>
      </c>
      <c r="G105">
        <f>_xll.BDP("REG UW Equity","CUR_MKT_CAP")</f>
        <v>13322548056.52</v>
      </c>
      <c r="H105">
        <f>_xll.BDP("REG UW Equity","CHG_PCT_YTD")</f>
        <v>-3.719735</v>
      </c>
      <c r="I105" t="str">
        <f>_xll.BDP("REG UW Equity","CIE_DES")</f>
        <v>Regency Centers公司(Regency Centers Corporation)為自行管理的不動產投資信託公司，擁有並經營社區型日用品零售中心。該公司目前於美國數州擁有並經營房地產。</v>
      </c>
      <c r="J105">
        <f>_xll.BDP("REG UW Equity","ESG_SCORE")</f>
        <v>5.7899999618530273</v>
      </c>
      <c r="K105" t="str">
        <f>_xll.BDP("REG UW Equity","MSCI_ESG_RATING")</f>
        <v>A</v>
      </c>
      <c r="L105">
        <f>_xll.BDP("REG UW Equity","EQY_BETA")</f>
        <v>0.64630699157714844</v>
      </c>
      <c r="M105">
        <f>_xll.BDP("REG UW Equity","VOLATILITY_60D")</f>
        <v>16.514768443655665</v>
      </c>
      <c r="N105">
        <f>_xll.BDP("REG UW Equity","PCT_INSIDER_SHARES_OUT")</f>
        <v>0.77981656404778732</v>
      </c>
      <c r="O105">
        <f>_xll.BDP("REG UW Equity","PCT_CHG_INSIDER_HOLDINGS")</f>
        <v>-1.6491671782174315</v>
      </c>
      <c r="P105">
        <f>_xll.BDP("REG UW Equity","RISK_PREMIUM")</f>
        <v>3.3293405949211117</v>
      </c>
      <c r="Q105">
        <f>_xll.BDP("REG UW Equity","HIGH_52WEEK")</f>
        <v>78.17</v>
      </c>
      <c r="R105">
        <f>_xll.BDP("REG UW Equity","LOW_52WEEK")</f>
        <v>63.445</v>
      </c>
    </row>
    <row r="106" spans="1:18" ht="15.75" x14ac:dyDescent="0.25">
      <c r="A106" t="s">
        <v>122</v>
      </c>
      <c r="B106">
        <f>_xll.BDP("ETN UN Equity","RT_PX_CHG_PCT_1D")</f>
        <v>1.8888000249862671</v>
      </c>
      <c r="C106" t="str">
        <f>_xll.BDP("ETN UN Equity","GICS_SECTOR_NAME")</f>
        <v>工業</v>
      </c>
      <c r="D106" t="str">
        <f>_xll.BDP("ETN UN Equity","NAME_CHINESE_TRADITIONAL")</f>
        <v>伊頓公開有限公司</v>
      </c>
      <c r="E106" t="str">
        <f>_xll.BDP("ETN UN Equity","CLASSIFICATION_LEVEL_4_NAME")</f>
        <v>電力設備</v>
      </c>
      <c r="F106" t="str">
        <f>_xll.BDP("ETN UN Equity","CLASSIFICATION_DESCRIPTION")</f>
        <v>輸配電設備</v>
      </c>
      <c r="G106">
        <f>_xll.BDP("ETN UN Equity","CUR_MKT_CAP")</f>
        <v>153456121000</v>
      </c>
      <c r="H106">
        <f>_xll.BDP("ETN UN Equity","CHG_PCT_YTD")</f>
        <v>18.16977</v>
      </c>
      <c r="I106" t="str">
        <f>_xll.BDP("ETN UN Equity","CIE_DES")</f>
        <v>伊頓公開有限公司（Eaton Corporation Public Limited Company）為一家電力管理公司。該公司提供致動器、離合器、剎車及流體連接器、工業控制、感應器、馬達、發電機、泵浦、閥門、引擎，以及傳動系統。伊頓服務全球各地的工業、汽車、建築、商業以及航太市場。</v>
      </c>
      <c r="J106">
        <f>_xll.BDP("ETN UN Equity","ESG_SCORE")</f>
        <v>8.2799997329711914</v>
      </c>
      <c r="K106" t="str">
        <f>_xll.BDP("ETN UN Equity","MSCI_ESG_RATING")</f>
        <v>A</v>
      </c>
      <c r="L106">
        <f>_xll.BDP("ETN UN Equity","EQY_BETA")</f>
        <v>1.2838606834411621</v>
      </c>
      <c r="M106">
        <f>_xll.BDP("ETN UN Equity","VOLATILITY_60D")</f>
        <v>24.244638351474354</v>
      </c>
      <c r="N106">
        <f>_xll.BDP("ETN UN Equity","PCT_INSIDER_SHARES_OUT")</f>
        <v>0.21818170201891135</v>
      </c>
      <c r="O106">
        <f>_xll.BDP("ETN UN Equity","PCT_CHG_INSIDER_HOLDINGS")</f>
        <v>-4.8602621693213086</v>
      </c>
      <c r="P106">
        <f>_xll.BDP("ETN UN Equity","RISK_PREMIUM")</f>
        <v>6.6135900544309614</v>
      </c>
      <c r="Q106">
        <f>_xll.BDP("ETN UN Equity","HIGH_52WEEK")</f>
        <v>393</v>
      </c>
      <c r="R106">
        <f>_xll.BDP("ETN UN Equity","LOW_52WEEK")</f>
        <v>234</v>
      </c>
    </row>
    <row r="107" spans="1:18" ht="15.75" x14ac:dyDescent="0.25">
      <c r="A107" t="s">
        <v>123</v>
      </c>
      <c r="B107">
        <f>_xll.BDP("ECL UN Equity","RT_PX_CHG_PCT_1D")</f>
        <v>0.71160000562667847</v>
      </c>
      <c r="C107" t="str">
        <f>_xll.BDP("ECL UN Equity","GICS_SECTOR_NAME")</f>
        <v>原材料</v>
      </c>
      <c r="D107" t="str">
        <f>_xll.BDP("ECL UN Equity","NAME_CHINESE_TRADITIONAL")</f>
        <v>藝康集團</v>
      </c>
      <c r="E107" t="str">
        <f>_xll.BDP("ECL UN Equity","CLASSIFICATION_LEVEL_4_NAME")</f>
        <v>特用化學品</v>
      </c>
      <c r="F107" t="str">
        <f>_xll.BDP("ECL UN Equity","CLASSIFICATION_DESCRIPTION")</f>
        <v>特用化學品</v>
      </c>
      <c r="G107">
        <f>_xll.BDP("ECL UN Equity","CUR_MKT_CAP")</f>
        <v>77044553941.5</v>
      </c>
      <c r="H107">
        <f>_xll.BDP("ECL UN Equity","CHG_PCT_YTD")</f>
        <v>15.973879999999999</v>
      </c>
      <c r="I107" t="str">
        <f>_xll.BDP("ECL UN Equity","CIE_DES")</f>
        <v>藝康股份有限公司(Ecolab Inc.)為一家針對食物、醫療保健、觀光餐旅、工業和石油與天然氣市場客戶，提供水、衛生，以及感染預防解決方案的全球供應商。該公司的服務包括：食品安全、衛生、優化水和能源的使用，以及改善經營效率與永續性。</v>
      </c>
      <c r="J107">
        <f>_xll.BDP("ECL UN Equity","ESG_SCORE")</f>
        <v>6.5199999809265137</v>
      </c>
      <c r="K107" t="str">
        <f>_xll.BDP("ECL UN Equity","MSCI_ESG_RATING")</f>
        <v>AAA</v>
      </c>
      <c r="L107">
        <f>_xll.BDP("ECL UN Equity","EQY_BETA")</f>
        <v>0.81775343418121338</v>
      </c>
      <c r="M107">
        <f>_xll.BDP("ECL UN Equity","VOLATILITY_60D")</f>
        <v>14.690833996742683</v>
      </c>
      <c r="N107">
        <f>_xll.BDP("ECL UN Equity","PCT_INSIDER_SHARES_OUT")</f>
        <v>0.15334776302711059</v>
      </c>
      <c r="O107">
        <f>_xll.BDP("ECL UN Equity","PCT_CHG_INSIDER_HOLDINGS")</f>
        <v>6.3604821492584129</v>
      </c>
      <c r="P107">
        <f>_xll.BDP("ECL UN Equity","RISK_PREMIUM")</f>
        <v>4.21251779810071</v>
      </c>
      <c r="Q107">
        <f>_xll.BDP("ECL UN Equity","HIGH_52WEEK")</f>
        <v>274.08999999999997</v>
      </c>
      <c r="R107">
        <f>_xll.BDP("ECL UN Equity","LOW_52WEEK")</f>
        <v>222.22</v>
      </c>
    </row>
    <row r="108" spans="1:18" ht="15.75" x14ac:dyDescent="0.25">
      <c r="A108" t="s">
        <v>124</v>
      </c>
      <c r="B108">
        <f>_xll.BDP("RVTY UN Equity","RT_PX_CHG_PCT_1D")</f>
        <v>1.667199969291687</v>
      </c>
      <c r="C108" t="str">
        <f>_xll.BDP("RVTY UN Equity","GICS_SECTOR_NAME")</f>
        <v>醫療保健</v>
      </c>
      <c r="D108" t="str">
        <f>_xll.BDP("RVTY UN Equity","NAME_CHINESE_TRADITIONAL")</f>
        <v>Revvity公司</v>
      </c>
      <c r="E108" t="str">
        <f>_xll.BDP("RVTY UN Equity","CLASSIFICATION_LEVEL_4_NAME")</f>
        <v>生命科學設備</v>
      </c>
      <c r="F108" t="str">
        <f>_xll.BDP("RVTY UN Equity","CLASSIFICATION_DESCRIPTION")</f>
        <v>生命科學設備</v>
      </c>
      <c r="G108">
        <f>_xll.BDP("RVTY UN Equity","CUR_MKT_CAP")</f>
        <v>12219547652.200001</v>
      </c>
      <c r="H108">
        <f>_xll.BDP("RVTY UN Equity","CHG_PCT_YTD")</f>
        <v>-7.114058</v>
      </c>
      <c r="I108" t="str">
        <f>_xll.BDP("RVTY UN Equity","CIE_DES")</f>
        <v>Revvity公司(Revvity, Inc.)提供健康科學解決方案、技術、專業知識，以及服務。該公司著重於提供轉譯多組學技術、生物標誌識別、成像、預測、篩選、檢測和診斷、資訊學，以及其它領域。Revvity服務全球各地的醫藥與生物科技、臨床實驗室、學術界，以及政府。</v>
      </c>
      <c r="J108">
        <f>_xll.BDP("RVTY UN Equity","ESG_SCORE")</f>
        <v>4.7800002098083496</v>
      </c>
      <c r="K108" t="str">
        <f>_xll.BDP("RVTY UN Equity","MSCI_ESG_RATING")</f>
        <v>AAA</v>
      </c>
      <c r="L108">
        <f>_xll.BDP("RVTY UN Equity","EQY_BETA")</f>
        <v>0.77121573686599731</v>
      </c>
      <c r="M108">
        <f>_xll.BDP("RVTY UN Equity","VOLATILITY_60D")</f>
        <v>38.21426721876346</v>
      </c>
      <c r="N108">
        <f>_xll.BDP("RVTY UN Equity","PCT_INSIDER_SHARES_OUT")</f>
        <v>0.45906708848839012</v>
      </c>
      <c r="O108">
        <f>_xll.BDP("RVTY UN Equity","PCT_CHG_INSIDER_HOLDINGS")</f>
        <v>10.827755429751186</v>
      </c>
      <c r="P108">
        <f>_xll.BDP("RVTY UN Equity","RISK_PREMIUM")</f>
        <v>3.972786761789918</v>
      </c>
      <c r="Q108">
        <f>_xll.BDP("RVTY UN Equity","HIGH_52WEEK")</f>
        <v>129.5</v>
      </c>
      <c r="R108">
        <f>_xll.BDP("RVTY UN Equity","LOW_52WEEK")</f>
        <v>87.91</v>
      </c>
    </row>
    <row r="109" spans="1:18" ht="15.75" x14ac:dyDescent="0.25">
      <c r="A109" t="s">
        <v>125</v>
      </c>
      <c r="B109">
        <f>_xll.BDP("DELL UN Equity","RT_PX_CHG_PCT_1D")</f>
        <v>2.2360999584197998</v>
      </c>
      <c r="C109" t="str">
        <f>_xll.BDP("DELL UN Equity","GICS_SECTOR_NAME")</f>
        <v>資訊技術</v>
      </c>
      <c r="D109" t="str">
        <f>_xll.BDP("DELL UN Equity","NAME_CHINESE_TRADITIONAL")</f>
        <v>戴爾科技公司</v>
      </c>
      <c r="E109" t="str">
        <f>_xll.BDP("DELL UN Equity","CLASSIFICATION_LEVEL_4_NAME")</f>
        <v>電腦硬體及儲存體</v>
      </c>
      <c r="F109" t="str">
        <f>_xll.BDP("DELL UN Equity","CLASSIFICATION_DESCRIPTION")</f>
        <v>個人電腦</v>
      </c>
      <c r="G109">
        <f>_xll.BDP("DELL UN Equity","CUR_MKT_CAP")</f>
        <v>89078627978.280014</v>
      </c>
      <c r="H109">
        <f>_xll.BDP("DELL UN Equity","CHG_PCT_YTD")</f>
        <v>13.866720000000001</v>
      </c>
      <c r="I109" t="str">
        <f>_xll.BDP("DELL UN Equity","CIE_DES")</f>
        <v>戴爾科技公司(Dell Technologies Inc.)提供電腦產品。該公司提供筆記型電腦、桌上型電腦、平板電腦、工作站、伺服器、螢幕、印表機、閘道器、軟體、儲存設備，以及網路產品。戴爾科技服務全球客戶。</v>
      </c>
      <c r="J109">
        <f>_xll.BDP("DELL UN Equity","ESG_SCORE")</f>
        <v>5.0999999046325684</v>
      </c>
      <c r="K109" t="str">
        <f>_xll.BDP("DELL UN Equity","MSCI_ESG_RATING")</f>
        <v>A</v>
      </c>
      <c r="L109">
        <f>_xll.BDP("DELL UN Equity","EQY_BETA")</f>
        <v>1.7178761959075928</v>
      </c>
      <c r="M109">
        <f>_xll.BDP("DELL UN Equity","VOLATILITY_60D")</f>
        <v>34.496185998860526</v>
      </c>
      <c r="N109">
        <f>_xll.BDP("DELL UN Equity","PCT_INSIDER_SHARES_OUT")</f>
        <v>9.2551638265743161</v>
      </c>
      <c r="O109">
        <f>_xll.BDP("DELL UN Equity","PCT_CHG_INSIDER_HOLDINGS")</f>
        <v>-23.863326297657053</v>
      </c>
      <c r="P109">
        <f>_xll.BDP("DELL UN Equity","RISK_PREMIUM")</f>
        <v>8.8493471842646603</v>
      </c>
      <c r="Q109">
        <f>_xll.BDP("DELL UN Equity","HIGH_52WEEK")</f>
        <v>147.66</v>
      </c>
      <c r="R109">
        <f>_xll.BDP("DELL UN Equity","LOW_52WEEK")</f>
        <v>66.260000000000005</v>
      </c>
    </row>
    <row r="110" spans="1:18" ht="15.75" x14ac:dyDescent="0.25">
      <c r="A110" t="s">
        <v>126</v>
      </c>
      <c r="B110">
        <f>_xll.BDP("EMR UN Equity","RT_PX_CHG_PCT_1D")</f>
        <v>1.9139000177383423</v>
      </c>
      <c r="C110" t="str">
        <f>_xll.BDP("EMR UN Equity","GICS_SECTOR_NAME")</f>
        <v>工業</v>
      </c>
      <c r="D110" t="str">
        <f>_xll.BDP("EMR UN Equity","NAME_CHINESE_TRADITIONAL")</f>
        <v>艾默生電氣</v>
      </c>
      <c r="E110" t="str">
        <f>_xll.BDP("EMR UN Equity","CLASSIFICATION_LEVEL_4_NAME")</f>
        <v>多元化工業</v>
      </c>
      <c r="F110" t="str">
        <f>_xll.BDP("EMR UN Equity","CLASSIFICATION_DESCRIPTION")</f>
        <v>多元化工業</v>
      </c>
      <c r="G110">
        <f>_xll.BDP("EMR UN Equity","CUR_MKT_CAP")</f>
        <v>84166875000</v>
      </c>
      <c r="H110">
        <f>_xll.BDP("EMR UN Equity","CHG_PCT_YTD")</f>
        <v>20.73751</v>
      </c>
      <c r="I110" t="str">
        <f>_xll.BDP("EMR UN Equity","CIE_DES")</f>
        <v>艾默生電器公司(Emerson Electric Co.)設計及製造電子及電機設備、軟體、系統及服務。該公司透過其電力網、過程管理、工業自動化、氣候技術，以及商業與住宅解決方案部門，為全球的工業、商業及消費市場提供其產品。</v>
      </c>
      <c r="J110">
        <f>_xll.BDP("EMR UN Equity","ESG_SCORE")</f>
        <v>7.3000001907348633</v>
      </c>
      <c r="K110" t="str">
        <f>_xll.BDP("EMR UN Equity","MSCI_ESG_RATING")</f>
        <v>BBB</v>
      </c>
      <c r="L110">
        <f>_xll.BDP("EMR UN Equity","EQY_BETA")</f>
        <v>1.1238480806350708</v>
      </c>
      <c r="M110">
        <f>_xll.BDP("EMR UN Equity","VOLATILITY_60D")</f>
        <v>21.370392632772205</v>
      </c>
      <c r="N110">
        <f>_xll.BDP("EMR UN Equity","PCT_INSIDER_SHARES_OUT")</f>
        <v>0.41279331788444429</v>
      </c>
      <c r="O110">
        <f>_xll.BDP("EMR UN Equity","PCT_CHG_INSIDER_HOLDINGS")</f>
        <v>-1.4430214633989109</v>
      </c>
      <c r="P110">
        <f>_xll.BDP("EMR UN Equity","RISK_PREMIUM")</f>
        <v>5.7893123332178593</v>
      </c>
      <c r="Q110">
        <f>_xll.BDP("EMR UN Equity","HIGH_52WEEK")</f>
        <v>149.84</v>
      </c>
      <c r="R110">
        <f>_xll.BDP("EMR UN Equity","LOW_52WEEK")</f>
        <v>90.11</v>
      </c>
    </row>
    <row r="111" spans="1:18" ht="15.75" x14ac:dyDescent="0.25">
      <c r="A111" t="s">
        <v>127</v>
      </c>
      <c r="B111">
        <f>_xll.BDP("EOG UN Equity","RT_PX_CHG_PCT_1D")</f>
        <v>-0.55440002679824829</v>
      </c>
      <c r="C111" t="str">
        <f>_xll.BDP("EOG UN Equity","GICS_SECTOR_NAME")</f>
        <v>能源</v>
      </c>
      <c r="D111" t="str">
        <f>_xll.BDP("EOG UN Equity","NAME_CHINESE_TRADITIONAL")</f>
        <v>依歐格資源</v>
      </c>
      <c r="E111" t="str">
        <f>_xll.BDP("EOG UN Equity","CLASSIFICATION_LEVEL_4_NAME")</f>
        <v>探勘及生產</v>
      </c>
      <c r="F111" t="str">
        <f>_xll.BDP("EOG UN Equity","CLASSIFICATION_DESCRIPTION")</f>
        <v>原油及天然氣探勘與生產</v>
      </c>
      <c r="G111">
        <f>_xll.BDP("EOG UN Equity","CUR_MKT_CAP")</f>
        <v>64615724113.900002</v>
      </c>
      <c r="H111">
        <f>_xll.BDP("EOG UN Equity","CHG_PCT_YTD")</f>
        <v>-3.418177</v>
      </c>
      <c r="I111" t="str">
        <f>_xll.BDP("EOG UN Equity","CIE_DES")</f>
        <v>依歐格資源公司(EOG Resources, Inc.)探勘、開發、生產、及行銷天然氣與原油。該公司於美國、加拿大、千里達、英國北海地區、及中國等地的主要生產沉降帶都有營運據點；此外，偶而會選擇其他國際地區從事開發活動。</v>
      </c>
      <c r="J111">
        <f>_xll.BDP("EOG UN Equity","ESG_SCORE")</f>
        <v>5.3000001907348633</v>
      </c>
      <c r="K111" t="str">
        <f>_xll.BDP("EOG UN Equity","MSCI_ESG_RATING")</f>
        <v>A</v>
      </c>
      <c r="L111">
        <f>_xll.BDP("EOG UN Equity","EQY_BETA")</f>
        <v>0.73196476697921753</v>
      </c>
      <c r="M111">
        <f>_xll.BDP("EOG UN Equity","VOLATILITY_60D")</f>
        <v>24.512919332342769</v>
      </c>
      <c r="N111">
        <f>_xll.BDP("EOG UN Equity","PCT_INSIDER_SHARES_OUT")</f>
        <v>0.37121237534056317</v>
      </c>
      <c r="O111">
        <f>_xll.BDP("EOG UN Equity","PCT_CHG_INSIDER_HOLDINGS")</f>
        <v>3.2879098122692638</v>
      </c>
      <c r="P111">
        <f>_xll.BDP("EOG UN Equity","RISK_PREMIUM")</f>
        <v>3.7705920630830523</v>
      </c>
      <c r="Q111">
        <f>_xll.BDP("EOG UN Equity","HIGH_52WEEK")</f>
        <v>138.15</v>
      </c>
      <c r="R111">
        <f>_xll.BDP("EOG UN Equity","LOW_52WEEK")</f>
        <v>102.52</v>
      </c>
    </row>
    <row r="112" spans="1:18" ht="15.75" x14ac:dyDescent="0.25">
      <c r="A112" t="s">
        <v>128</v>
      </c>
      <c r="B112">
        <f>_xll.BDP("AON UN Equity","RT_PX_CHG_PCT_1D")</f>
        <v>4.5651998519897461</v>
      </c>
      <c r="C112" t="str">
        <f>_xll.BDP("AON UN Equity","GICS_SECTOR_NAME")</f>
        <v>金融</v>
      </c>
      <c r="D112" t="str">
        <f>_xll.BDP("AON UN Equity","NAME_CHINESE_TRADITIONAL")</f>
        <v>怡安公開有限公司</v>
      </c>
      <c r="E112" t="str">
        <f>_xll.BDP("AON UN Equity","CLASSIFICATION_LEVEL_4_NAME")</f>
        <v>保險經紀商及服務</v>
      </c>
      <c r="F112" t="str">
        <f>_xll.BDP("AON UN Equity","CLASSIFICATION_DESCRIPTION")</f>
        <v>保險經紀商及服務</v>
      </c>
      <c r="G112">
        <f>_xll.BDP("AON UN Equity","CUR_MKT_CAP")</f>
        <v>80405001755.330002</v>
      </c>
      <c r="H112">
        <f>_xll.BDP("AON UN Equity","CHG_PCT_YTD")</f>
        <v>3.8228080000000002</v>
      </c>
      <c r="I112" t="str">
        <f>_xll.BDP("AON UN Equity","CIE_DES")</f>
        <v>怡安公開有限公司（Aon Public Limited Company）提供保險經紀服務。該公司從事為客戶管理風險，與其他營運商協商並轉移保險風險，並為客戶提供健康與福利、退休、薪酬、策略人力資本，以及人力資源外包相關的建議。怡安服務全球客戶。</v>
      </c>
      <c r="J112">
        <f>_xll.BDP("AON UN Equity","ESG_SCORE")</f>
        <v>4.0199999809265137</v>
      </c>
      <c r="K112" t="str">
        <f>_xll.BDP("AON UN Equity","MSCI_ESG_RATING")</f>
        <v>A</v>
      </c>
      <c r="L112">
        <f>_xll.BDP("AON UN Equity","EQY_BETA")</f>
        <v>0.54649704694747925</v>
      </c>
      <c r="M112">
        <f>_xll.BDP("AON UN Equity","VOLATILITY_60D")</f>
        <v>20.779859955247506</v>
      </c>
      <c r="N112">
        <f>_xll.BDP("AON UN Equity","PCT_INSIDER_SHARES_OUT")</f>
        <v>1.1668545471662586</v>
      </c>
      <c r="O112">
        <f>_xll.BDP("AON UN Equity","PCT_CHG_INSIDER_HOLDINGS")</f>
        <v>3.595899588610632</v>
      </c>
      <c r="P112">
        <f>_xll.BDP("AON UN Equity","RISK_PREMIUM")</f>
        <v>2.8151866328519581</v>
      </c>
      <c r="Q112">
        <f>_xll.BDP("AON UN Equity","HIGH_52WEEK")</f>
        <v>412.87</v>
      </c>
      <c r="R112">
        <f>_xll.BDP("AON UN Equity","LOW_52WEEK")</f>
        <v>316.58999999999997</v>
      </c>
    </row>
    <row r="113" spans="1:18" ht="15.75" x14ac:dyDescent="0.25">
      <c r="A113" t="s">
        <v>129</v>
      </c>
      <c r="B113">
        <f>_xll.BDP("ETR UN Equity","RT_PX_CHG_PCT_1D")</f>
        <v>1.1300000362098217E-2</v>
      </c>
      <c r="C113" t="str">
        <f>_xll.BDP("ETR UN Equity","GICS_SECTOR_NAME")</f>
        <v>公用事業</v>
      </c>
      <c r="D113" t="str">
        <f>_xll.BDP("ETR UN Equity","NAME_CHINESE_TRADITIONAL")</f>
        <v>安特吉公司</v>
      </c>
      <c r="E113" t="str">
        <f>_xll.BDP("ETR UN Equity","CLASSIFICATION_LEVEL_4_NAME")</f>
        <v>整合型公用事業</v>
      </c>
      <c r="F113" t="str">
        <f>_xll.BDP("ETR UN Equity","CLASSIFICATION_DESCRIPTION")</f>
        <v>整合型公用事業</v>
      </c>
      <c r="G113">
        <f>_xll.BDP("ETR UN Equity","CUR_MKT_CAP")</f>
        <v>37977045449.439995</v>
      </c>
      <c r="H113">
        <f>_xll.BDP("ETR UN Equity","CHG_PCT_YTD")</f>
        <v>16.275390000000002</v>
      </c>
      <c r="I113" t="str">
        <f>_xll.BDP("ETR UN Equity","CIE_DES")</f>
        <v>安特吉公司(Entergy Corporation)為整合能源公司，主要致力於電力生產及零售電力配銷的業務。該公司於阿肯色州、路易斯安那州、密西西比州及德州提供電力予公用事業客戶。安特吉亦於美國北部擁有並經營核能電廠。</v>
      </c>
      <c r="J113">
        <f>_xll.BDP("ETR UN Equity","ESG_SCORE")</f>
        <v>6.1100001335144043</v>
      </c>
      <c r="K113" t="str">
        <f>_xll.BDP("ETR UN Equity","MSCI_ESG_RATING")</f>
        <v>BBB</v>
      </c>
      <c r="L113">
        <f>_xll.BDP("ETR UN Equity","EQY_BETA")</f>
        <v>0.56484335660934448</v>
      </c>
      <c r="M113">
        <f>_xll.BDP("ETR UN Equity","VOLATILITY_60D")</f>
        <v>16.990186623729031</v>
      </c>
      <c r="N113">
        <f>_xll.BDP("ETR UN Equity","PCT_INSIDER_SHARES_OUT")</f>
        <v>0.2523554689105032</v>
      </c>
      <c r="O113">
        <f>_xll.BDP("ETR UN Equity","PCT_CHG_INSIDER_HOLDINGS")</f>
        <v>1.811012929116971</v>
      </c>
      <c r="P113">
        <f>_xll.BDP("ETR UN Equity","RISK_PREMIUM")</f>
        <v>2.9096945282024143</v>
      </c>
      <c r="Q113">
        <f>_xll.BDP("ETR UN Equity","HIGH_52WEEK")</f>
        <v>89.35</v>
      </c>
      <c r="R113">
        <f>_xll.BDP("ETR UN Equity","LOW_52WEEK")</f>
        <v>56.465000000000003</v>
      </c>
    </row>
    <row r="114" spans="1:18" ht="15.75" x14ac:dyDescent="0.25">
      <c r="A114" t="s">
        <v>130</v>
      </c>
      <c r="B114">
        <f>_xll.BDP("EFX UN Equity","RT_PX_CHG_PCT_1D")</f>
        <v>0.11379999667406082</v>
      </c>
      <c r="C114" t="str">
        <f>_xll.BDP("EFX UN Equity","GICS_SECTOR_NAME")</f>
        <v>工業</v>
      </c>
      <c r="D114" t="str">
        <f>_xll.BDP("EFX UN Equity","NAME_CHINESE_TRADITIONAL")</f>
        <v>易速傳真公司</v>
      </c>
      <c r="E114" t="str">
        <f>_xll.BDP("EFX UN Equity","CLASSIFICATION_LEVEL_4_NAME")</f>
        <v>其它金融服務</v>
      </c>
      <c r="F114" t="str">
        <f>_xll.BDP("EFX UN Equity","CLASSIFICATION_DESCRIPTION")</f>
        <v>信用機構</v>
      </c>
      <c r="G114">
        <f>_xll.BDP("EFX UN Equity","CUR_MKT_CAP")</f>
        <v>30486342798.799999</v>
      </c>
      <c r="H114">
        <f>_xll.BDP("EFX UN Equity","CHG_PCT_YTD")</f>
        <v>-3.3706119999999999</v>
      </c>
      <c r="I114" t="str">
        <f>_xll.BDP("EFX UN Equity","CIE_DES")</f>
        <v>易速傳真公司(Equifax Inc.)為一家消費者信用報告機構。該公司透過資訊管理、交易處理、直接行銷以及客戶關係管理事業，撮合買家及賣家。Equifax服務美國的金融、零售、信用卡、電信、公用事業、運輸，以及資訊技術行業。</v>
      </c>
      <c r="J114">
        <f>_xll.BDP("EFX UN Equity","ESG_SCORE")</f>
        <v>3.0099999904632568</v>
      </c>
      <c r="K114" t="str">
        <f>_xll.BDP("EFX UN Equity","MSCI_ESG_RATING")</f>
        <v>BBB</v>
      </c>
      <c r="L114">
        <f>_xll.BDP("EFX UN Equity","EQY_BETA")</f>
        <v>1.2986396551132202</v>
      </c>
      <c r="M114">
        <f>_xll.BDP("EFX UN Equity","VOLATILITY_60D")</f>
        <v>31.341018663518248</v>
      </c>
      <c r="N114">
        <f>_xll.BDP("EFX UN Equity","PCT_INSIDER_SHARES_OUT")</f>
        <v>0.5742099591752331</v>
      </c>
      <c r="O114">
        <f>_xll.BDP("EFX UN Equity","PCT_CHG_INSIDER_HOLDINGS")</f>
        <v>9.4190082581022523</v>
      </c>
      <c r="P114">
        <f>_xll.BDP("EFX UN Equity","RISK_PREMIUM")</f>
        <v>6.6897214145743842</v>
      </c>
      <c r="Q114">
        <f>_xll.BDP("EFX UN Equity","HIGH_52WEEK")</f>
        <v>309</v>
      </c>
      <c r="R114">
        <f>_xll.BDP("EFX UN Equity","LOW_52WEEK")</f>
        <v>200</v>
      </c>
    </row>
    <row r="115" spans="1:18" ht="15.75" x14ac:dyDescent="0.25">
      <c r="A115" t="s">
        <v>131</v>
      </c>
      <c r="B115">
        <f>_xll.BDP("EQT UN Equity","RT_PX_CHG_PCT_1D")</f>
        <v>-3.4054999351501465</v>
      </c>
      <c r="C115" t="str">
        <f>_xll.BDP("EQT UN Equity","GICS_SECTOR_NAME")</f>
        <v>能源</v>
      </c>
      <c r="D115" t="str">
        <f>_xll.BDP("EQT UN Equity","NAME_CHINESE_TRADITIONAL")</f>
        <v>EQT公司</v>
      </c>
      <c r="E115" t="str">
        <f>_xll.BDP("EQT UN Equity","CLASSIFICATION_LEVEL_4_NAME")</f>
        <v>探勘及生產</v>
      </c>
      <c r="F115" t="str">
        <f>_xll.BDP("EQT UN Equity","CLASSIFICATION_DESCRIPTION")</f>
        <v>原油及天然氣探勘與生產</v>
      </c>
      <c r="G115">
        <f>_xll.BDP("EQT UN Equity","CUR_MKT_CAP")</f>
        <v>32569534830</v>
      </c>
      <c r="H115">
        <f>_xll.BDP("EQT UN Equity","CHG_PCT_YTD")</f>
        <v>13.18586</v>
      </c>
      <c r="I115" t="str">
        <f>_xll.BDP("EQT UN Equity","CIE_DES")</f>
        <v>EQT公司(EQT Corporation)為整合能源公司，業務重心為阿帕拉契山地區的天然氣供應、傳輸及配送。該公司透過子公司，提供天然氣產品予批發商及零售客戶。</v>
      </c>
      <c r="J115">
        <f>_xll.BDP("EQT UN Equity","ESG_SCORE")</f>
        <v>6.4899997711181641</v>
      </c>
      <c r="K115" t="str">
        <f>_xll.BDP("EQT UN Equity","MSCI_ESG_RATING")</f>
        <v>AA</v>
      </c>
      <c r="L115">
        <f>_xll.BDP("EQT UN Equity","EQY_BETA")</f>
        <v>0.91811543703079224</v>
      </c>
      <c r="M115">
        <f>_xll.BDP("EQT UN Equity","VOLATILITY_60D")</f>
        <v>39.504127653350636</v>
      </c>
      <c r="N115">
        <f>_xll.BDP("EQT UN Equity","PCT_INSIDER_SHARES_OUT")</f>
        <v>0.74121450444430548</v>
      </c>
      <c r="O115">
        <f>_xll.BDP("EQT UN Equity","PCT_CHG_INSIDER_HOLDINGS")</f>
        <v>16.868104256553934</v>
      </c>
      <c r="P115">
        <f>_xll.BDP("EQT UN Equity","RISK_PREMIUM")</f>
        <v>4.7295155942398308</v>
      </c>
      <c r="Q115">
        <f>_xll.BDP("EQT UN Equity","HIGH_52WEEK")</f>
        <v>61</v>
      </c>
      <c r="R115">
        <f>_xll.BDP("EQT UN Equity","LOW_52WEEK")</f>
        <v>30.02</v>
      </c>
    </row>
    <row r="116" spans="1:18" ht="15.75" x14ac:dyDescent="0.25">
      <c r="A116" t="s">
        <v>132</v>
      </c>
      <c r="B116">
        <f>_xll.BDP("IQV UN Equity","RT_PX_CHG_PCT_1D")</f>
        <v>-0.82160001993179321</v>
      </c>
      <c r="C116" t="str">
        <f>_xll.BDP("IQV UN Equity","GICS_SECTOR_NAME")</f>
        <v>醫療保健</v>
      </c>
      <c r="D116" t="str">
        <f>_xll.BDP("IQV UN Equity","NAME_CHINESE_TRADITIONAL")</f>
        <v>艾昆緯控股公司</v>
      </c>
      <c r="E116" t="str">
        <f>_xll.BDP("IQV UN Equity","CLASSIFICATION_LEVEL_4_NAME")</f>
        <v>醫療保健服務</v>
      </c>
      <c r="F116" t="str">
        <f>_xll.BDP("IQV UN Equity","CLASSIFICATION_DESCRIPTION")</f>
        <v>合約研究</v>
      </c>
      <c r="G116">
        <f>_xll.BDP("IQV UN Equity","CUR_MKT_CAP")</f>
        <v>33858900000</v>
      </c>
      <c r="H116">
        <f>_xll.BDP("IQV UN Equity","CHG_PCT_YTD")</f>
        <v>1.3536239999999999</v>
      </c>
      <c r="I116" t="str">
        <f>_xll.BDP("IQV UN Equity","CIE_DES")</f>
        <v>艾昆緯控股公司(IQVIA Holdings Inc.)致力於技術解決方案及合約研究服務。該公司提供廣泛的解決方案，包括臨床開發策略、治療專門知識、預測及規範分析，以及病人保留服務。 艾昆緯控股提供服務予全球消費者健康、生物製藥及醫療科技產業。</v>
      </c>
      <c r="J116">
        <f>_xll.BDP("IQV UN Equity","ESG_SCORE")</f>
        <v>3.809999942779541</v>
      </c>
      <c r="K116" t="str">
        <f>_xll.BDP("IQV UN Equity","MSCI_ESG_RATING")</f>
        <v>AA</v>
      </c>
      <c r="L116">
        <f>_xll.BDP("IQV UN Equity","EQY_BETA")</f>
        <v>0.94380861520767212</v>
      </c>
      <c r="M116">
        <f>_xll.BDP("IQV UN Equity","VOLATILITY_60D")</f>
        <v>50.388588464288645</v>
      </c>
      <c r="N116">
        <f>_xll.BDP("IQV UN Equity","PCT_INSIDER_SHARES_OUT")</f>
        <v>0.90480058823529419</v>
      </c>
      <c r="O116">
        <f>_xll.BDP("IQV UN Equity","PCT_CHG_INSIDER_HOLDINGS")</f>
        <v>2.3143368756019815</v>
      </c>
      <c r="P116">
        <f>_xll.BDP("IQV UN Equity","RISK_PREMIUM")</f>
        <v>4.8618696337777374</v>
      </c>
      <c r="Q116">
        <f>_xll.BDP("IQV UN Equity","HIGH_52WEEK")</f>
        <v>252.85</v>
      </c>
      <c r="R116">
        <f>_xll.BDP("IQV UN Equity","LOW_52WEEK")</f>
        <v>134.69499999999999</v>
      </c>
    </row>
    <row r="117" spans="1:18" ht="15.75" x14ac:dyDescent="0.25">
      <c r="A117" t="s">
        <v>133</v>
      </c>
      <c r="B117">
        <f>_xll.BDP("IT UN Equity","RT_PX_CHG_PCT_1D")</f>
        <v>0.14040000736713409</v>
      </c>
      <c r="C117" t="str">
        <f>_xll.BDP("IT UN Equity","GICS_SECTOR_NAME")</f>
        <v>資訊技術</v>
      </c>
      <c r="D117" t="str">
        <f>_xll.BDP("IT UN Equity","NAME_CHINESE_TRADITIONAL")</f>
        <v>高德納公司</v>
      </c>
      <c r="E117" t="str">
        <f>_xll.BDP("IT UN Equity","CLASSIFICATION_LEVEL_4_NAME")</f>
        <v>資訊科技服務</v>
      </c>
      <c r="F117" t="str">
        <f>_xll.BDP("IT UN Equity","CLASSIFICATION_DESCRIPTION")</f>
        <v>資訊科技服務</v>
      </c>
      <c r="G117">
        <f>_xll.BDP("IT UN Equity","CUR_MKT_CAP")</f>
        <v>27449488411.68</v>
      </c>
      <c r="H117">
        <f>_xll.BDP("IT UN Equity","CHG_PCT_YTD")</f>
        <v>-26.385529999999999</v>
      </c>
      <c r="I117" t="str">
        <f>_xll.BDP("IT UN Equity","CIE_DES")</f>
        <v>高德納公司(Gartner, Inc.)提供電腦硬體、軟體、通訊及相關資訊科技產業的研究報告及分析。該公司的業務範圍包括研究、諮詢、測量、活動及執行計畫。</v>
      </c>
      <c r="J117">
        <f>_xll.BDP("IT UN Equity","ESG_SCORE")</f>
        <v>4.630000114440918</v>
      </c>
      <c r="K117" t="str">
        <f>_xll.BDP("IT UN Equity","MSCI_ESG_RATING")</f>
        <v>AAA</v>
      </c>
      <c r="L117">
        <f>_xll.BDP("IT UN Equity","EQY_BETA")</f>
        <v>1.0631992816925049</v>
      </c>
      <c r="M117">
        <f>_xll.BDP("IT UN Equity","VOLATILITY_60D")</f>
        <v>20.719067293855012</v>
      </c>
      <c r="N117">
        <f>_xll.BDP("IT UN Equity","PCT_INSIDER_SHARES_OUT")</f>
        <v>2.7685821990584532</v>
      </c>
      <c r="O117">
        <f>_xll.BDP("IT UN Equity","PCT_CHG_INSIDER_HOLDINGS")</f>
        <v>2.7706050700138802</v>
      </c>
      <c r="P117">
        <f>_xll.BDP("IT UN Equity","RISK_PREMIUM")</f>
        <v>5.4768903557610509</v>
      </c>
      <c r="Q117">
        <f>_xll.BDP("IT UN Equity","HIGH_52WEEK")</f>
        <v>583.39</v>
      </c>
      <c r="R117">
        <f>_xll.BDP("IT UN Equity","LOW_52WEEK")</f>
        <v>352.55</v>
      </c>
    </row>
    <row r="118" spans="1:18" ht="15.75" x14ac:dyDescent="0.25">
      <c r="A118" t="s">
        <v>134</v>
      </c>
      <c r="B118">
        <f>_xll.BDP("FDX UN Equity","RT_PX_CHG_PCT_1D")</f>
        <v>2.8285999298095703</v>
      </c>
      <c r="C118" t="str">
        <f>_xll.BDP("FDX UN Equity","GICS_SECTOR_NAME")</f>
        <v>工業</v>
      </c>
      <c r="D118" t="str">
        <f>_xll.BDP("FDX UN Equity","NAME_CHINESE_TRADITIONAL")</f>
        <v>聯邦快遞公司</v>
      </c>
      <c r="E118" t="str">
        <f>_xll.BDP("FDX UN Equity","CLASSIFICATION_LEVEL_4_NAME")</f>
        <v>快遞服務</v>
      </c>
      <c r="F118" t="str">
        <f>_xll.BDP("FDX UN Equity","CLASSIFICATION_DESCRIPTION")</f>
        <v>快遞服務</v>
      </c>
      <c r="G118">
        <f>_xll.BDP("FDX UN Equity","CUR_MKT_CAP")</f>
        <v>57370660633.599991</v>
      </c>
      <c r="H118">
        <f>_xll.BDP("FDX UN Equity","CHG_PCT_YTD")</f>
        <v>-13.553470000000001</v>
      </c>
      <c r="I118" t="str">
        <f>_xll.BDP("FDX UN Equity","CIE_DES")</f>
        <v>聯邦快遞公司(FedEx Corporation)透過整合全球網路，遞送包裹及貨物至多個國家及領土。該公司提供全球快遞與貨運運輸、地面小型包裹、拼車貨、供應鏈管理、海關經紀服務、報關服務、貿易便利化，以及電子商務解決方案。</v>
      </c>
      <c r="J118">
        <f>_xll.BDP("FDX UN Equity","ESG_SCORE")</f>
        <v>4.4899997711181641</v>
      </c>
      <c r="K118" t="str">
        <f>_xll.BDP("FDX UN Equity","MSCI_ESG_RATING")</f>
        <v>A</v>
      </c>
      <c r="L118">
        <f>_xll.BDP("FDX UN Equity","EQY_BETA")</f>
        <v>0.88197457790374756</v>
      </c>
      <c r="M118">
        <f>_xll.BDP("FDX UN Equity","VOLATILITY_60D")</f>
        <v>29.212183492342458</v>
      </c>
      <c r="N118">
        <f>_xll.BDP("FDX UN Equity","PCT_INSIDER_SHARES_OUT")</f>
        <v>8.5380707260010738</v>
      </c>
      <c r="O118">
        <f>_xll.BDP("FDX UN Equity","PCT_CHG_INSIDER_HOLDINGS")</f>
        <v>0.36644467638161732</v>
      </c>
      <c r="P118">
        <f>_xll.BDP("FDX UN Equity","RISK_PREMIUM")</f>
        <v>4.5433421023929119</v>
      </c>
      <c r="Q118">
        <f>_xll.BDP("FDX UN Equity","HIGH_52WEEK")</f>
        <v>308.52</v>
      </c>
      <c r="R118">
        <f>_xll.BDP("FDX UN Equity","LOW_52WEEK")</f>
        <v>194.34</v>
      </c>
    </row>
    <row r="119" spans="1:18" ht="15.75" x14ac:dyDescent="0.25">
      <c r="A119" t="s">
        <v>135</v>
      </c>
      <c r="B119">
        <f>_xll.BDP("BRO UN Equity","RT_PX_CHG_PCT_1D")</f>
        <v>0.58380001783370972</v>
      </c>
      <c r="C119" t="str">
        <f>_xll.BDP("BRO UN Equity","GICS_SECTOR_NAME")</f>
        <v>金融</v>
      </c>
      <c r="D119" t="str">
        <f>_xll.BDP("BRO UN Equity","NAME_CHINESE_TRADITIONAL")</f>
        <v>Brown &amp; Brown Inc</v>
      </c>
      <c r="E119" t="str">
        <f>_xll.BDP("BRO UN Equity","CLASSIFICATION_LEVEL_4_NAME")</f>
        <v>保險經紀商及服務</v>
      </c>
      <c r="F119" t="str">
        <f>_xll.BDP("BRO UN Equity","CLASSIFICATION_DESCRIPTION")</f>
        <v>保險經紀商及服務</v>
      </c>
      <c r="G119">
        <f>_xll.BDP("BRO UN Equity","CUR_MKT_CAP")</f>
        <v>33691099533.600006</v>
      </c>
      <c r="H119">
        <f>_xll.BDP("BRO UN Equity","CHG_PCT_YTD")</f>
        <v>1.333075</v>
      </c>
      <c r="I119" t="str">
        <f>_xll.BDP("BRO UN Equity","CIE_DES")</f>
        <v>Brown &amp; Brown公司(Brown &amp; Brown, Inc.)及旗下子公司提供各式保險及再保險產品與服務。該公司亦提供風險管理、員工服務管理，以及管理醫療保健服務。Brown &amp; Brown的經營據點遍及全美。</v>
      </c>
      <c r="J119">
        <f>_xll.BDP("BRO UN Equity","ESG_SCORE")</f>
        <v>3.9000000953674316</v>
      </c>
      <c r="K119" t="str">
        <f>_xll.BDP("BRO UN Equity","MSCI_ESG_RATING")</f>
        <v>BBB</v>
      </c>
      <c r="L119">
        <f>_xll.BDP("BRO UN Equity","EQY_BETA")</f>
        <v>0.60485309362411499</v>
      </c>
      <c r="M119">
        <f>_xll.BDP("BRO UN Equity","VOLATILITY_60D")</f>
        <v>17.620475166851765</v>
      </c>
      <c r="N119">
        <f>_xll.BDP("BRO UN Equity","PCT_INSIDER_SHARES_OUT")</f>
        <v>14.364617575500382</v>
      </c>
      <c r="O119">
        <f>_xll.BDP("BRO UN Equity","PCT_CHG_INSIDER_HOLDINGS")</f>
        <v>0.1839657960540243</v>
      </c>
      <c r="P119">
        <f>_xll.BDP("BRO UN Equity","RISK_PREMIUM")</f>
        <v>3.1157978867787119</v>
      </c>
      <c r="Q119">
        <f>_xll.BDP("BRO UN Equity","HIGH_52WEEK")</f>
        <v>125.67</v>
      </c>
      <c r="R119">
        <f>_xll.BDP("BRO UN Equity","LOW_52WEEK")</f>
        <v>97.87</v>
      </c>
    </row>
    <row r="120" spans="1:18" ht="15.75" x14ac:dyDescent="0.25">
      <c r="A120" t="s">
        <v>136</v>
      </c>
      <c r="B120">
        <f>_xll.BDP("F UN Equity","RT_PX_CHG_PCT_1D")</f>
        <v>1.8650000095367432</v>
      </c>
      <c r="C120" t="str">
        <f>_xll.BDP("F UN Equity","GICS_SECTOR_NAME")</f>
        <v>非核心消費</v>
      </c>
      <c r="D120" t="str">
        <f>_xll.BDP("F UN Equity","NAME_CHINESE_TRADITIONAL")</f>
        <v>福特汽車公司</v>
      </c>
      <c r="E120" t="str">
        <f>_xll.BDP("F UN Equity","CLASSIFICATION_LEVEL_4_NAME")</f>
        <v>汽車</v>
      </c>
      <c r="F120" t="str">
        <f>_xll.BDP("F UN Equity","CLASSIFICATION_DESCRIPTION")</f>
        <v>車輛-化石燃料</v>
      </c>
      <c r="G120">
        <f>_xll.BDP("F UN Equity","CUR_MKT_CAP")</f>
        <v>45611015252.150002</v>
      </c>
      <c r="H120">
        <f>_xll.BDP("F UN Equity","CHG_PCT_YTD")</f>
        <v>15.85859</v>
      </c>
      <c r="I120" t="str">
        <f>_xll.BDP("F UN Equity","CIE_DES")</f>
        <v>福特汽車公司(Ford Motor Company)從事汽車及貨車的設計、製造及服務。該公司亦透過旗下子公司，提供汽車相關的融資、租賃及保險。</v>
      </c>
      <c r="J120">
        <f>_xll.BDP("F UN Equity","ESG_SCORE")</f>
        <v>5.9800000190734863</v>
      </c>
      <c r="K120" t="str">
        <f>_xll.BDP("F UN Equity","MSCI_ESG_RATING")</f>
        <v>BB</v>
      </c>
      <c r="L120">
        <f>_xll.BDP("F UN Equity","EQY_BETA")</f>
        <v>0.93577378988265991</v>
      </c>
      <c r="M120">
        <f>_xll.BDP("F UN Equity","VOLATILITY_60D")</f>
        <v>25.987889573242295</v>
      </c>
      <c r="N120">
        <f>_xll.BDP("F UN Equity","PCT_INSIDER_SHARES_OUT")</f>
        <v>0.31533096397390786</v>
      </c>
      <c r="O120">
        <f>_xll.BDP("F UN Equity","PCT_CHG_INSIDER_HOLDINGS")</f>
        <v>11.828380333037023</v>
      </c>
      <c r="P120">
        <f>_xll.BDP("F UN Equity","RISK_PREMIUM")</f>
        <v>4.8204795970362424</v>
      </c>
      <c r="Q120">
        <f>_xll.BDP("F UN Equity","HIGH_52WEEK")</f>
        <v>11.97</v>
      </c>
      <c r="R120">
        <f>_xll.BDP("F UN Equity","LOW_52WEEK")</f>
        <v>8.4450000000000003</v>
      </c>
    </row>
    <row r="121" spans="1:18" ht="15.75" x14ac:dyDescent="0.25">
      <c r="A121" t="s">
        <v>137</v>
      </c>
      <c r="B121">
        <f>_xll.BDP("NEE UN Equity","RT_PX_CHG_PCT_1D")</f>
        <v>-0.16670000553131104</v>
      </c>
      <c r="C121" t="str">
        <f>_xll.BDP("NEE UN Equity","GICS_SECTOR_NAME")</f>
        <v>公用事業</v>
      </c>
      <c r="D121" t="str">
        <f>_xll.BDP("NEE UN Equity","NAME_CHINESE_TRADITIONAL")</f>
        <v>新紀元能源公司</v>
      </c>
      <c r="E121" t="str">
        <f>_xll.BDP("NEE UN Equity","CLASSIFICATION_LEVEL_4_NAME")</f>
        <v>整合型公用事業</v>
      </c>
      <c r="F121" t="str">
        <f>_xll.BDP("NEE UN Equity","CLASSIFICATION_DESCRIPTION")</f>
        <v>整合型公用事業</v>
      </c>
      <c r="G121">
        <f>_xll.BDP("NEE UN Equity","CUR_MKT_CAP")</f>
        <v>147960172447.79996</v>
      </c>
      <c r="H121">
        <f>_xll.BDP("NEE UN Equity","CHG_PCT_YTD")</f>
        <v>0.22317970000000001</v>
      </c>
      <c r="I121" t="str">
        <f>_xll.BDP("NEE UN Equity","CIE_DES")</f>
        <v>新紀元能源公司（NextEra Energy, Inc.）為一家清潔能源公司。該公司透過來自風力與太陽的可再生能源，生產並銷售電力，以及提供電池儲存解決方案。新紀元能源服務佛羅裡達州客戶。</v>
      </c>
      <c r="J121">
        <f>_xll.BDP("NEE UN Equity","ESG_SCORE")</f>
        <v>6.880000114440918</v>
      </c>
      <c r="K121" t="str">
        <f>_xll.BDP("NEE UN Equity","MSCI_ESG_RATING")</f>
        <v>AA</v>
      </c>
      <c r="L121">
        <f>_xll.BDP("NEE UN Equity","EQY_BETA")</f>
        <v>0.62756550312042236</v>
      </c>
      <c r="M121">
        <f>_xll.BDP("NEE UN Equity","VOLATILITY_60D")</f>
        <v>32.918055880318519</v>
      </c>
      <c r="N121">
        <f>_xll.BDP("NEE UN Equity","PCT_INSIDER_SHARES_OUT")</f>
        <v>8.7732780133764343E-2</v>
      </c>
      <c r="O121">
        <f>_xll.BDP("NEE UN Equity","PCT_CHG_INSIDER_HOLDINGS")</f>
        <v>13.900289372647665</v>
      </c>
      <c r="P121">
        <f>_xll.BDP("NEE UN Equity","RISK_PREMIUM")</f>
        <v>3.2327970031893254</v>
      </c>
      <c r="Q121">
        <f>_xll.BDP("NEE UN Equity","HIGH_52WEEK")</f>
        <v>86.1</v>
      </c>
      <c r="R121">
        <f>_xll.BDP("NEE UN Equity","LOW_52WEEK")</f>
        <v>61.75</v>
      </c>
    </row>
    <row r="122" spans="1:18" ht="15.75" x14ac:dyDescent="0.25">
      <c r="A122" t="s">
        <v>138</v>
      </c>
      <c r="B122">
        <f>_xll.BDP("BEN UN Equity","RT_PX_CHG_PCT_1D")</f>
        <v>0.40450000762939453</v>
      </c>
      <c r="C122" t="str">
        <f>_xll.BDP("BEN UN Equity","GICS_SECTOR_NAME")</f>
        <v>金融</v>
      </c>
      <c r="D122" t="str">
        <f>_xll.BDP("BEN UN Equity","NAME_CHINESE_TRADITIONAL")</f>
        <v>富蘭克林資源公司</v>
      </c>
      <c r="E122" t="str">
        <f>_xll.BDP("BEN UN Equity","CLASSIFICATION_LEVEL_4_NAME")</f>
        <v>投資管理</v>
      </c>
      <c r="F122" t="str">
        <f>_xll.BDP("BEN UN Equity","CLASSIFICATION_DESCRIPTION")</f>
        <v>投資管理</v>
      </c>
      <c r="G122">
        <f>_xll.BDP("BEN UN Equity","CUR_MKT_CAP")</f>
        <v>13043438541.900002</v>
      </c>
      <c r="H122">
        <f>_xll.BDP("BEN UN Equity","CHG_PCT_YTD")</f>
        <v>22.326260000000001</v>
      </c>
      <c r="I122" t="str">
        <f>_xll.BDP("BEN UN Equity","CIE_DES")</f>
        <v>富蘭克林資源公司(Franklin Resources, Inc.)提供投資諮詢服務予共同基金、退休戶、法人及個別帳戶投資人。該公司管理多種資產級別，包括：全球股票，全球機構與地方固定收益、貨幣基金、另類投資，及避險基金。</v>
      </c>
      <c r="J122">
        <f>_xll.BDP("BEN UN Equity","ESG_SCORE")</f>
        <v>6.7100000381469727</v>
      </c>
      <c r="K122" t="str">
        <f>_xll.BDP("BEN UN Equity","MSCI_ESG_RATING")</f>
        <v>N.S.</v>
      </c>
      <c r="L122">
        <f>_xll.BDP("BEN UN Equity","EQY_BETA")</f>
        <v>0.99538862705230713</v>
      </c>
      <c r="M122">
        <f>_xll.BDP("BEN UN Equity","VOLATILITY_60D")</f>
        <v>25.882773221290556</v>
      </c>
      <c r="N122">
        <f>_xll.BDP("BEN UN Equity","PCT_INSIDER_SHARES_OUT")</f>
        <v>22.544084853458841</v>
      </c>
      <c r="O122">
        <f>_xll.BDP("BEN UN Equity","PCT_CHG_INSIDER_HOLDINGS")</f>
        <v>0.81038728106813362</v>
      </c>
      <c r="P122">
        <f>_xll.BDP("BEN UN Equity","RISK_PREMIUM")</f>
        <v>5.1275752961933607</v>
      </c>
      <c r="Q122">
        <f>_xll.BDP("BEN UN Equity","HIGH_52WEEK")</f>
        <v>25.35</v>
      </c>
      <c r="R122">
        <f>_xll.BDP("BEN UN Equity","LOW_52WEEK")</f>
        <v>16.25</v>
      </c>
    </row>
    <row r="123" spans="1:18" ht="15.75" x14ac:dyDescent="0.25">
      <c r="A123" t="s">
        <v>139</v>
      </c>
      <c r="B123">
        <f>_xll.BDP("GRMN UN Equity","RT_PX_CHG_PCT_1D")</f>
        <v>1.6917999982833862</v>
      </c>
      <c r="C123" t="str">
        <f>_xll.BDP("GRMN UN Equity","GICS_SECTOR_NAME")</f>
        <v>非核心消費</v>
      </c>
      <c r="D123" t="str">
        <f>_xll.BDP("GRMN UN Equity","NAME_CHINESE_TRADITIONAL")</f>
        <v>國際航電股份有限公司</v>
      </c>
      <c r="E123" t="str">
        <f>_xll.BDP("GRMN UN Equity","CLASSIFICATION_LEVEL_4_NAME")</f>
        <v>消費性電子</v>
      </c>
      <c r="F123" t="str">
        <f>_xll.BDP("GRMN UN Equity","CLASSIFICATION_DESCRIPTION")</f>
        <v>GPS設備</v>
      </c>
      <c r="G123">
        <f>_xll.BDP("GRMN UN Equity","CUR_MKT_CAP")</f>
        <v>45368543277.279999</v>
      </c>
      <c r="H123">
        <f>_xll.BDP("GRMN UN Equity","CHG_PCT_YTD")</f>
        <v>14.23931</v>
      </c>
      <c r="I123" t="str">
        <f>_xll.BDP("GRMN UN Equity","CIE_DES")</f>
        <v>國際航電股份有限公司(Garmin Ltd.)提供導航、通訊，以及資訊裝置。該公司設計、開發、製造，並銷售手持、可攜式，以及固定式安裝GPS嵌入的產品。國際航電服務全球各地的汽車、航空、海洋、戶外，以及健身市場。</v>
      </c>
      <c r="J123">
        <f>_xll.BDP("GRMN UN Equity","ESG_SCORE")</f>
        <v>3.5199999809265137</v>
      </c>
      <c r="K123" t="str">
        <f>_xll.BDP("GRMN UN Equity","MSCI_ESG_RATING")</f>
        <v>A</v>
      </c>
      <c r="L123">
        <f>_xll.BDP("GRMN UN Equity","EQY_BETA")</f>
        <v>1.0056698322296143</v>
      </c>
      <c r="M123">
        <f>_xll.BDP("GRMN UN Equity","VOLATILITY_60D")</f>
        <v>20.090136096585034</v>
      </c>
      <c r="N123">
        <f>_xll.BDP("GRMN UN Equity","PCT_INSIDER_SHARES_OUT")</f>
        <v>15.223303776069056</v>
      </c>
      <c r="O123">
        <f>_xll.BDP("GRMN UN Equity","PCT_CHG_INSIDER_HOLDINGS")</f>
        <v>-21.392957681505003</v>
      </c>
      <c r="P123">
        <f>_xll.BDP("GRMN UN Equity","RISK_PREMIUM")</f>
        <v>5.1805371768593789</v>
      </c>
      <c r="Q123">
        <f>_xll.BDP("GRMN UN Equity","HIGH_52WEEK")</f>
        <v>246.5</v>
      </c>
      <c r="R123">
        <f>_xll.BDP("GRMN UN Equity","LOW_52WEEK")</f>
        <v>160.78</v>
      </c>
    </row>
    <row r="124" spans="1:18" ht="15.75" x14ac:dyDescent="0.25">
      <c r="A124" t="s">
        <v>140</v>
      </c>
      <c r="B124">
        <f>_xll.BDP("FCX UN Equity","RT_PX_CHG_PCT_1D")</f>
        <v>0.69539999961853027</v>
      </c>
      <c r="C124" t="str">
        <f>_xll.BDP("FCX UN Equity","GICS_SECTOR_NAME")</f>
        <v>原材料</v>
      </c>
      <c r="D124" t="str">
        <f>_xll.BDP("FCX UN Equity","NAME_CHINESE_TRADITIONAL")</f>
        <v>自由港麥克莫蘭銅金公司</v>
      </c>
      <c r="E124" t="str">
        <f>_xll.BDP("FCX UN Equity","CLASSIFICATION_LEVEL_4_NAME")</f>
        <v>基本金屬</v>
      </c>
      <c r="F124" t="str">
        <f>_xll.BDP("FCX UN Equity","CLASSIFICATION_DESCRIPTION")</f>
        <v>銅</v>
      </c>
      <c r="G124">
        <f>_xll.BDP("FCX UN Equity","CUR_MKT_CAP")</f>
        <v>64471029357.170006</v>
      </c>
      <c r="H124">
        <f>_xll.BDP("FCX UN Equity","CHG_PCT_YTD")</f>
        <v>17.883400000000002</v>
      </c>
      <c r="I124" t="str">
        <f>_xll.BDP("FCX UN Equity","CIE_DES")</f>
        <v>自由港麥克莫蘭銅金公司(Freeport-McMoRan Inc.)為國際天然資源公司。該公司經營大型長期的地區多元化資產，包含豐富的銅、金、鉬、鈷、石油及天然氣等蘊藏。</v>
      </c>
      <c r="J124">
        <f>_xll.BDP("FCX UN Equity","ESG_SCORE")</f>
        <v>7.4000000953674316</v>
      </c>
      <c r="K124" t="str">
        <f>_xll.BDP("FCX UN Equity","MSCI_ESG_RATING")</f>
        <v>BBB</v>
      </c>
      <c r="L124">
        <f>_xll.BDP("FCX UN Equity","EQY_BETA")</f>
        <v>1.3594260215759277</v>
      </c>
      <c r="M124">
        <f>_xll.BDP("FCX UN Equity","VOLATILITY_60D")</f>
        <v>32.303630563989159</v>
      </c>
      <c r="N124">
        <f>_xll.BDP("FCX UN Equity","PCT_INSIDER_SHARES_OUT")</f>
        <v>0.61479341317365266</v>
      </c>
      <c r="O124">
        <f>_xll.BDP("FCX UN Equity","PCT_CHG_INSIDER_HOLDINGS")</f>
        <v>3.8155126753820157</v>
      </c>
      <c r="P124">
        <f>_xll.BDP("FCX UN Equity","RISK_PREMIUM")</f>
        <v>7.0028520477247236</v>
      </c>
      <c r="Q124">
        <f>_xll.BDP("FCX UN Equity","HIGH_52WEEK")</f>
        <v>52.61</v>
      </c>
      <c r="R124">
        <f>_xll.BDP("FCX UN Equity","LOW_52WEEK")</f>
        <v>27.92</v>
      </c>
    </row>
    <row r="125" spans="1:18" ht="15.75" x14ac:dyDescent="0.25">
      <c r="A125" t="s">
        <v>141</v>
      </c>
      <c r="B125">
        <f>_xll.BDP("EXE UW Equity","RT_PX_CHG_PCT_1D")</f>
        <v>-1.4357000589370728</v>
      </c>
      <c r="C125" t="str">
        <f>_xll.BDP("EXE UW Equity","GICS_SECTOR_NAME")</f>
        <v>能源</v>
      </c>
      <c r="D125" t="str">
        <f>_xll.BDP("EXE UW Equity","NAME_CHINESE_TRADITIONAL")</f>
        <v>Expand能源公司</v>
      </c>
      <c r="E125" t="str">
        <f>_xll.BDP("EXE UW Equity","CLASSIFICATION_LEVEL_4_NAME")</f>
        <v>探勘及生產</v>
      </c>
      <c r="F125" t="str">
        <f>_xll.BDP("EXE UW Equity","CLASSIFICATION_DESCRIPTION")</f>
        <v>原油及天然氣探勘與生產</v>
      </c>
      <c r="G125">
        <f>_xll.BDP("EXE UW Equity","CUR_MKT_CAP")</f>
        <v>23362441526.629997</v>
      </c>
      <c r="H125">
        <f>_xll.BDP("EXE UW Equity","CHG_PCT_YTD")</f>
        <v>-1.3862410000000001</v>
      </c>
      <c r="I125" t="str">
        <f>_xll.BDP("EXE UW Equity","CIE_DES")</f>
        <v>Expand能源公司（Expand Energy Corporation）為一家探勘公司。該公司著重於探索、開發，並收購傳統與非傳統的天然氣、石油，以及液化天然氣蘊藏。Expand能源服務美國的客戶。</v>
      </c>
      <c r="J125">
        <f>_xll.BDP("EXE UW Equity","ESG_SCORE")</f>
        <v>4.8400001525878906</v>
      </c>
      <c r="K125" t="str">
        <f>_xll.BDP("EXE UW Equity","MSCI_ESG_RATING")</f>
        <v>BBB</v>
      </c>
      <c r="L125">
        <f>_xll.BDP("EXE UW Equity","EQY_BETA")</f>
        <v>0.72046911716461182</v>
      </c>
      <c r="M125">
        <f>_xll.BDP("EXE UW Equity","VOLATILITY_60D")</f>
        <v>31.664774554764879</v>
      </c>
      <c r="N125">
        <f>_xll.BDP("EXE UW Equity","PCT_INSIDER_SHARES_OUT")</f>
        <v>0.25830386999883181</v>
      </c>
      <c r="O125">
        <f>_xll.BDP("EXE UW Equity","PCT_CHG_INSIDER_HOLDINGS")</f>
        <v>35.799796314665123</v>
      </c>
      <c r="P125">
        <f>_xll.BDP("EXE UW Equity","RISK_PREMIUM")</f>
        <v>3.7113741773235795</v>
      </c>
      <c r="Q125">
        <f>_xll.BDP("EXE UW Equity","HIGH_52WEEK")</f>
        <v>123.29</v>
      </c>
      <c r="R125">
        <f>_xll.BDP("EXE UW Equity","LOW_52WEEK")</f>
        <v>69.180000000000007</v>
      </c>
    </row>
    <row r="126" spans="1:18" ht="15.75" x14ac:dyDescent="0.25">
      <c r="A126" t="s">
        <v>142</v>
      </c>
      <c r="B126">
        <f>_xll.BDP("DXCM UW Equity","RT_PX_CHG_PCT_1D")</f>
        <v>2.5940001010894775</v>
      </c>
      <c r="C126" t="str">
        <f>_xll.BDP("DXCM UW Equity","GICS_SECTOR_NAME")</f>
        <v>醫療保健</v>
      </c>
      <c r="D126" t="str">
        <f>_xll.BDP("DXCM UW Equity","NAME_CHINESE_TRADITIONAL")</f>
        <v>德康醫療公司</v>
      </c>
      <c r="E126" t="str">
        <f>_xll.BDP("DXCM UW Equity","CLASSIFICATION_LEVEL_4_NAME")</f>
        <v>醫療設備</v>
      </c>
      <c r="F126" t="str">
        <f>_xll.BDP("DXCM UW Equity","CLASSIFICATION_DESCRIPTION")</f>
        <v>藥物管制與投藥</v>
      </c>
      <c r="G126">
        <f>_xll.BDP("DXCM UW Equity","CUR_MKT_CAP")</f>
        <v>34893646513.989998</v>
      </c>
      <c r="H126">
        <f>_xll.BDP("DXCM UW Equity","CHG_PCT_YTD")</f>
        <v>14.427160000000001</v>
      </c>
      <c r="I126" t="str">
        <f>_xll.BDP("DXCM UW Equity","CIE_DES")</f>
        <v>德康醫療公司(Dexcom, Inc.)為一家醫療裝置公司，著重於設計並開發糖尿病人的連續血糖監測系統。該公司開發連續測量皮膚下皮組織葡萄糖值的植入式小裝置，以及在指定時間間隔發送葡萄糖值的小型外部傳感器。</v>
      </c>
      <c r="J126">
        <f>_xll.BDP("DXCM UW Equity","ESG_SCORE")</f>
        <v>6.5999999046325684</v>
      </c>
      <c r="K126" t="str">
        <f>_xll.BDP("DXCM UW Equity","MSCI_ESG_RATING")</f>
        <v>BBB</v>
      </c>
      <c r="L126">
        <f>_xll.BDP("DXCM UW Equity","EQY_BETA")</f>
        <v>1.0702426433563232</v>
      </c>
      <c r="M126">
        <f>_xll.BDP("DXCM UW Equity","VOLATILITY_60D")</f>
        <v>44.154108737032772</v>
      </c>
      <c r="N126">
        <f>_xll.BDP("DXCM UW Equity","PCT_INSIDER_SHARES_OUT")</f>
        <v>0.67891789879051023</v>
      </c>
      <c r="O126">
        <f>_xll.BDP("DXCM UW Equity","PCT_CHG_INSIDER_HOLDINGS")</f>
        <v>15.042547481571978</v>
      </c>
      <c r="P126">
        <f>_xll.BDP("DXCM UW Equity","RISK_PREMIUM")</f>
        <v>5.5131730360007287</v>
      </c>
      <c r="Q126">
        <f>_xll.BDP("DXCM UW Equity","HIGH_52WEEK")</f>
        <v>93.23</v>
      </c>
      <c r="R126">
        <f>_xll.BDP("DXCM UW Equity","LOW_52WEEK")</f>
        <v>57.52</v>
      </c>
    </row>
    <row r="127" spans="1:18" ht="15.75" x14ac:dyDescent="0.25">
      <c r="A127" t="s">
        <v>143</v>
      </c>
      <c r="B127">
        <f>_xll.BDP("GD UN Equity","RT_PX_CHG_PCT_1D")</f>
        <v>-7.0000000298023224E-2</v>
      </c>
      <c r="C127" t="str">
        <f>_xll.BDP("GD UN Equity","GICS_SECTOR_NAME")</f>
        <v>工業</v>
      </c>
      <c r="D127" t="str">
        <f>_xll.BDP("GD UN Equity","NAME_CHINESE_TRADITIONAL")</f>
        <v>通用動力公司</v>
      </c>
      <c r="E127" t="str">
        <f>_xll.BDP("GD UN Equity","CLASSIFICATION_LEVEL_4_NAME")</f>
        <v>國防</v>
      </c>
      <c r="F127" t="str">
        <f>_xll.BDP("GD UN Equity","CLASSIFICATION_DESCRIPTION")</f>
        <v>國防</v>
      </c>
      <c r="G127">
        <f>_xll.BDP("GD UN Equity","CUR_MKT_CAP")</f>
        <v>84469289254.839981</v>
      </c>
      <c r="H127">
        <f>_xll.BDP("GD UN Equity","CHG_PCT_YTD")</f>
        <v>19.177199999999999</v>
      </c>
      <c r="I127" t="str">
        <f>_xll.BDP("GD UN Equity","CIE_DES")</f>
        <v>通用動力公司(General Dynamics Corporation)為多元化防禦公司。該公司提供多種類型的產品及服務，包括：商用航空、戰鬥車輛、武器系統、彈藥、造船設計和營造、資訊系統及科技。</v>
      </c>
      <c r="J127">
        <f>_xll.BDP("GD UN Equity","ESG_SCORE")</f>
        <v>7.6999998092651367</v>
      </c>
      <c r="K127" t="str">
        <f>_xll.BDP("GD UN Equity","MSCI_ESG_RATING")</f>
        <v>BBB</v>
      </c>
      <c r="L127">
        <f>_xll.BDP("GD UN Equity","EQY_BETA")</f>
        <v>0.69171953201293945</v>
      </c>
      <c r="M127">
        <f>_xll.BDP("GD UN Equity","VOLATILITY_60D")</f>
        <v>19.886930846728852</v>
      </c>
      <c r="N127">
        <f>_xll.BDP("GD UN Equity","PCT_INSIDER_SHARES_OUT")</f>
        <v>0.66977441519918868</v>
      </c>
      <c r="O127">
        <f>_xll.BDP("GD UN Equity","PCT_CHG_INSIDER_HOLDINGS")</f>
        <v>3.3856515931692579</v>
      </c>
      <c r="P127">
        <f>_xll.BDP("GD UN Equity","RISK_PREMIUM")</f>
        <v>3.563275576844215</v>
      </c>
      <c r="Q127">
        <f>_xll.BDP("GD UN Equity","HIGH_52WEEK")</f>
        <v>322.44</v>
      </c>
      <c r="R127">
        <f>_xll.BDP("GD UN Equity","LOW_52WEEK")</f>
        <v>239.75</v>
      </c>
    </row>
    <row r="128" spans="1:18" ht="15.75" x14ac:dyDescent="0.25">
      <c r="A128" t="s">
        <v>144</v>
      </c>
      <c r="B128">
        <f>_xll.BDP("GIS UN Equity","RT_PX_CHG_PCT_1D")</f>
        <v>0.23549999296665192</v>
      </c>
      <c r="C128" t="str">
        <f>_xll.BDP("GIS UN Equity","GICS_SECTOR_NAME")</f>
        <v>核心消費</v>
      </c>
      <c r="D128" t="str">
        <f>_xll.BDP("GIS UN Equity","NAME_CHINESE_TRADITIONAL")</f>
        <v>通用磨坊公司</v>
      </c>
      <c r="E128" t="str">
        <f>_xll.BDP("GIS UN Equity","CLASSIFICATION_LEVEL_4_NAME")</f>
        <v>包裝食品製造業</v>
      </c>
      <c r="F128" t="str">
        <f>_xll.BDP("GIS UN Equity","CLASSIFICATION_DESCRIPTION")</f>
        <v>包裝食品製造業</v>
      </c>
      <c r="G128">
        <f>_xll.BDP("GIS UN Equity","CUR_MKT_CAP")</f>
        <v>27701771914.300003</v>
      </c>
      <c r="H128">
        <f>_xll.BDP("GIS UN Equity","CHG_PCT_YTD")</f>
        <v>-19.915320000000001</v>
      </c>
      <c r="I128" t="str">
        <f>_xll.BDP("GIS UN Equity","CIE_DES")</f>
        <v>通用磨坊公司(General Mills, Inc.)為一家食品公司。該公司製造並銷售透過零售商店銷售的品牌加工消費食品。通用磨坊服務全球各地的客戶。</v>
      </c>
      <c r="J128">
        <f>_xll.BDP("GIS UN Equity","ESG_SCORE")</f>
        <v>6.4800000190734863</v>
      </c>
      <c r="K128" t="str">
        <f>_xll.BDP("GIS UN Equity","MSCI_ESG_RATING")</f>
        <v>AAA</v>
      </c>
      <c r="L128">
        <f>_xll.BDP("GIS UN Equity","EQY_BETA")</f>
        <v>0.27338743209838867</v>
      </c>
      <c r="M128">
        <f>_xll.BDP("GIS UN Equity","VOLATILITY_60D")</f>
        <v>22.319668589272979</v>
      </c>
      <c r="N128">
        <f>_xll.BDP("GIS UN Equity","PCT_INSIDER_SHARES_OUT")</f>
        <v>0.46719505143083634</v>
      </c>
      <c r="O128">
        <f>_xll.BDP("GIS UN Equity","PCT_CHG_INSIDER_HOLDINGS")</f>
        <v>8.3072649485882923</v>
      </c>
      <c r="P128">
        <f>_xll.BDP("GIS UN Equity","RISK_PREMIUM")</f>
        <v>1.4083088805913924</v>
      </c>
      <c r="Q128">
        <f>_xll.BDP("GIS UN Equity","HIGH_52WEEK")</f>
        <v>75.89</v>
      </c>
      <c r="R128">
        <f>_xll.BDP("GIS UN Equity","LOW_52WEEK")</f>
        <v>49.05</v>
      </c>
    </row>
    <row r="129" spans="1:18" ht="15.75" x14ac:dyDescent="0.25">
      <c r="A129" t="s">
        <v>145</v>
      </c>
      <c r="B129">
        <f>_xll.BDP("GPC UN Equity","RT_PX_CHG_PCT_1D")</f>
        <v>0.36779999732971191</v>
      </c>
      <c r="C129" t="str">
        <f>_xll.BDP("GPC UN Equity","GICS_SECTOR_NAME")</f>
        <v>非核心消費</v>
      </c>
      <c r="D129" t="str">
        <f>_xll.BDP("GPC UN Equity","NAME_CHINESE_TRADITIONAL")</f>
        <v>純正零件公司</v>
      </c>
      <c r="E129" t="str">
        <f>_xll.BDP("GPC UN Equity","CLASSIFICATION_LEVEL_4_NAME")</f>
        <v>汽車零售商</v>
      </c>
      <c r="F129" t="str">
        <f>_xll.BDP("GPC UN Equity","CLASSIFICATION_DESCRIPTION")</f>
        <v>汽車零件及配件店</v>
      </c>
      <c r="G129">
        <f>_xll.BDP("GPC UN Equity","CUR_MKT_CAP")</f>
        <v>18596639707.799995</v>
      </c>
      <c r="H129">
        <f>_xll.BDP("GPC UN Equity","CHG_PCT_YTD")</f>
        <v>14.50839</v>
      </c>
      <c r="I129" t="str">
        <f>_xll.BDP("GPC UN Equity","CIE_DES")</f>
        <v>純正零件公司(Genuine Parts Company)為一家汽車商店。該公司經銷汽車替換零件、工業替換零件、辦公室產品及電機和電子材料。純正零件服務美國、加拿大，以及墨西哥的客戶。</v>
      </c>
      <c r="J129">
        <f>_xll.BDP("GPC UN Equity","ESG_SCORE")</f>
        <v>5.5799999237060547</v>
      </c>
      <c r="K129" t="str">
        <f>_xll.BDP("GPC UN Equity","MSCI_ESG_RATING")</f>
        <v>AA</v>
      </c>
      <c r="L129">
        <f>_xll.BDP("GPC UN Equity","EQY_BETA")</f>
        <v>0.76453113555908203</v>
      </c>
      <c r="M129">
        <f>_xll.BDP("GPC UN Equity","VOLATILITY_60D")</f>
        <v>26.476870432429212</v>
      </c>
      <c r="N129">
        <f>_xll.BDP("GPC UN Equity","PCT_INSIDER_SHARES_OUT")</f>
        <v>0.50948111433918342</v>
      </c>
      <c r="O129">
        <f>_xll.BDP("GPC UN Equity","PCT_CHG_INSIDER_HOLDINGS")</f>
        <v>0.4136142717469854</v>
      </c>
      <c r="P129">
        <f>_xll.BDP("GPC UN Equity","RISK_PREMIUM")</f>
        <v>3.938352174539566</v>
      </c>
      <c r="Q129">
        <f>_xll.BDP("GPC UN Equity","HIGH_52WEEK")</f>
        <v>149</v>
      </c>
      <c r="R129">
        <f>_xll.BDP("GPC UN Equity","LOW_52WEEK")</f>
        <v>104.24</v>
      </c>
    </row>
    <row r="130" spans="1:18" ht="15.75" x14ac:dyDescent="0.25">
      <c r="A130" t="s">
        <v>146</v>
      </c>
      <c r="B130">
        <f>_xll.BDP("ATO UN Equity","RT_PX_CHG_PCT_1D")</f>
        <v>-0.55159997940063477</v>
      </c>
      <c r="C130" t="str">
        <f>_xll.BDP("ATO UN Equity","GICS_SECTOR_NAME")</f>
        <v>公用事業</v>
      </c>
      <c r="D130" t="str">
        <f>_xll.BDP("ATO UN Equity","NAME_CHINESE_TRADITIONAL")</f>
        <v>Atmos能源公司</v>
      </c>
      <c r="E130" t="str">
        <f>_xll.BDP("ATO UN Equity","CLASSIFICATION_LEVEL_4_NAME")</f>
        <v>天然氣公用事業</v>
      </c>
      <c r="F130" t="str">
        <f>_xll.BDP("ATO UN Equity","CLASSIFICATION_DESCRIPTION")</f>
        <v>天然氣配送</v>
      </c>
      <c r="G130">
        <f>_xll.BDP("ATO UN Equity","CUR_MKT_CAP")</f>
        <v>24911973749.759998</v>
      </c>
      <c r="H130">
        <f>_xll.BDP("ATO UN Equity","CHG_PCT_YTD")</f>
        <v>12.615780000000001</v>
      </c>
      <c r="I130" t="str">
        <f>_xll.BDP("ATO UN Equity","CIE_DES")</f>
        <v>Atmos能源公司(Atmos Energy Corporation)經銷天然氣。該公司為大型客戶提供天然氣行銷和採購服務，並管理儲存和管道資產。Atmos能源公司服務美國的客戶。</v>
      </c>
      <c r="J130">
        <f>_xll.BDP("ATO UN Equity","ESG_SCORE")</f>
        <v>4.1599998474121094</v>
      </c>
      <c r="K130" t="str">
        <f>_xll.BDP("ATO UN Equity","MSCI_ESG_RATING")</f>
        <v>AA</v>
      </c>
      <c r="L130">
        <f>_xll.BDP("ATO UN Equity","EQY_BETA")</f>
        <v>0.51834046840667725</v>
      </c>
      <c r="M130">
        <f>_xll.BDP("ATO UN Equity","VOLATILITY_60D")</f>
        <v>15.962953299936663</v>
      </c>
      <c r="N130">
        <f>_xll.BDP("ATO UN Equity","PCT_INSIDER_SHARES_OUT")</f>
        <v>0.35161613548237214</v>
      </c>
      <c r="O130">
        <f>_xll.BDP("ATO UN Equity","PCT_CHG_INSIDER_HOLDINGS")</f>
        <v>16.818655036809108</v>
      </c>
      <c r="P130">
        <f>_xll.BDP("ATO UN Equity","RISK_PREMIUM")</f>
        <v>2.6701428051173686</v>
      </c>
      <c r="Q130">
        <f>_xll.BDP("ATO UN Equity","HIGH_52WEEK")</f>
        <v>166.67</v>
      </c>
      <c r="R130">
        <f>_xll.BDP("ATO UN Equity","LOW_52WEEK")</f>
        <v>125.77</v>
      </c>
    </row>
    <row r="131" spans="1:18" ht="15.75" x14ac:dyDescent="0.25">
      <c r="A131" t="s">
        <v>147</v>
      </c>
      <c r="B131">
        <f>_xll.BDP("GWW UN Equity","RT_PX_CHG_PCT_1D")</f>
        <v>0.17200000584125519</v>
      </c>
      <c r="C131" t="str">
        <f>_xll.BDP("GWW UN Equity","GICS_SECTOR_NAME")</f>
        <v>工業</v>
      </c>
      <c r="D131" t="str">
        <f>_xll.BDP("GWW UN Equity","NAME_CHINESE_TRADITIONAL")</f>
        <v>格雷杰公司</v>
      </c>
      <c r="E131" t="str">
        <f>_xll.BDP("GWW UN Equity","CLASSIFICATION_LEVEL_4_NAME")</f>
        <v>工業經銷及出租</v>
      </c>
      <c r="F131" t="str">
        <f>_xll.BDP("GWW UN Equity","CLASSIFICATION_DESCRIPTION")</f>
        <v>工業設備/用品經銷商</v>
      </c>
      <c r="G131">
        <f>_xll.BDP("GWW UN Equity","CUR_MKT_CAP")</f>
        <v>50634291286.260002</v>
      </c>
      <c r="H131">
        <f>_xll.BDP("GWW UN Equity","CHG_PCT_YTD")</f>
        <v>-2.850797E-3</v>
      </c>
      <c r="I131" t="str">
        <f>_xll.BDP("GWW UN Equity","CIE_DES")</f>
        <v>固安捷公司(W.W. Grainger, Inc.)為北美的商業、工業、承包，和機構市場，經銷保養、維修，和經營用品，以及相關資訊。該公司的產品包括：馬達、冷暖空調設備、照明、手動與電動工具、幫浦、包裝、材料處理、粘合劑、安全、清潔、電氣，以及金屬加工設備。</v>
      </c>
      <c r="J131">
        <f>_xll.BDP("GWW UN Equity","ESG_SCORE")</f>
        <v>3.6400001049041748</v>
      </c>
      <c r="K131" t="str">
        <f>_xll.BDP("GWW UN Equity","MSCI_ESG_RATING")</f>
        <v>AAA</v>
      </c>
      <c r="L131">
        <f>_xll.BDP("GWW UN Equity","EQY_BETA")</f>
        <v>0.89333266019821167</v>
      </c>
      <c r="M131">
        <f>_xll.BDP("GWW UN Equity","VOLATILITY_60D")</f>
        <v>18.821884841245502</v>
      </c>
      <c r="N131">
        <f>_xll.BDP("GWW UN Equity","PCT_INSIDER_SHARES_OUT")</f>
        <v>6.325380871167531</v>
      </c>
      <c r="O131">
        <f>_xll.BDP("GWW UN Equity","PCT_CHG_INSIDER_HOLDINGS")</f>
        <v>0.33902435480696713</v>
      </c>
      <c r="P131">
        <f>_xll.BDP("GWW UN Equity","RISK_PREMIUM")</f>
        <v>4.6018513324588532</v>
      </c>
      <c r="Q131">
        <f>_xll.BDP("GWW UN Equity","HIGH_52WEEK")</f>
        <v>1226.8</v>
      </c>
      <c r="R131">
        <f>_xll.BDP("GWW UN Equity","LOW_52WEEK")</f>
        <v>900.02</v>
      </c>
    </row>
    <row r="132" spans="1:18" ht="15.75" x14ac:dyDescent="0.25">
      <c r="A132" t="s">
        <v>148</v>
      </c>
      <c r="B132">
        <f>_xll.BDP("HAL UN Equity","RT_PX_CHG_PCT_1D")</f>
        <v>0.13379999995231628</v>
      </c>
      <c r="C132" t="str">
        <f>_xll.BDP("HAL UN Equity","GICS_SECTOR_NAME")</f>
        <v>能源</v>
      </c>
      <c r="D132" t="str">
        <f>_xll.BDP("HAL UN Equity","NAME_CHINESE_TRADITIONAL")</f>
        <v>哈里伯頓公司</v>
      </c>
      <c r="E132" t="str">
        <f>_xll.BDP("HAL UN Equity","CLASSIFICATION_LEVEL_4_NAME")</f>
        <v>油田服務及設備製造</v>
      </c>
      <c r="F132" t="str">
        <f>_xll.BDP("HAL UN Equity","CLASSIFICATION_DESCRIPTION")</f>
        <v>境內油田服務</v>
      </c>
      <c r="G132">
        <f>_xll.BDP("HAL UN Equity","CUR_MKT_CAP")</f>
        <v>19140917189.899998</v>
      </c>
      <c r="H132">
        <f>_xll.BDP("HAL UN Equity","CHG_PCT_YTD")</f>
        <v>-17.432880000000001</v>
      </c>
      <c r="I132" t="str">
        <f>_xll.BDP("HAL UN Equity","CIE_DES")</f>
        <v>哈里伯頓公司(Halliburton Company)提供能源、工程與營建服務，並製造能源產業用的產品。該公司為從事探勘、開發及生產石油及天然氣的客戶，提供服務、產品及整合解決方案。</v>
      </c>
      <c r="J132">
        <f>_xll.BDP("HAL UN Equity","ESG_SCORE")</f>
        <v>5.7899999618530273</v>
      </c>
      <c r="K132" t="str">
        <f>_xll.BDP("HAL UN Equity","MSCI_ESG_RATING")</f>
        <v>A</v>
      </c>
      <c r="L132">
        <f>_xll.BDP("HAL UN Equity","EQY_BETA")</f>
        <v>0.83908259868621826</v>
      </c>
      <c r="M132">
        <f>_xll.BDP("HAL UN Equity","VOLATILITY_60D")</f>
        <v>40.459478109027572</v>
      </c>
      <c r="N132">
        <f>_xll.BDP("HAL UN Equity","PCT_INSIDER_SHARES_OUT")</f>
        <v>0.44658828250598948</v>
      </c>
      <c r="O132">
        <f>_xll.BDP("HAL UN Equity","PCT_CHG_INSIDER_HOLDINGS")</f>
        <v>6.0382364785374492</v>
      </c>
      <c r="P132">
        <f>_xll.BDP("HAL UN Equity","RISK_PREMIUM")</f>
        <v>4.3223913630902766</v>
      </c>
      <c r="Q132">
        <f>_xll.BDP("HAL UN Equity","HIGH_52WEEK")</f>
        <v>34.97</v>
      </c>
      <c r="R132">
        <f>_xll.BDP("HAL UN Equity","LOW_52WEEK")</f>
        <v>18.72</v>
      </c>
    </row>
    <row r="133" spans="1:18" ht="15.75" x14ac:dyDescent="0.25">
      <c r="A133" t="s">
        <v>149</v>
      </c>
      <c r="B133">
        <f>_xll.BDP("LHX UN Equity","RT_PX_CHG_PCT_1D")</f>
        <v>-1.4421000480651855</v>
      </c>
      <c r="C133" t="str">
        <f>_xll.BDP("LHX UN Equity","GICS_SECTOR_NAME")</f>
        <v>工業</v>
      </c>
      <c r="D133" t="str">
        <f>_xll.BDP("LHX UN Equity","NAME_CHINESE_TRADITIONAL")</f>
        <v>L3哈里斯科技公司</v>
      </c>
      <c r="E133" t="str">
        <f>_xll.BDP("LHX UN Equity","CLASSIFICATION_LEVEL_4_NAME")</f>
        <v>國防</v>
      </c>
      <c r="F133" t="str">
        <f>_xll.BDP("LHX UN Equity","CLASSIFICATION_DESCRIPTION")</f>
        <v>電子及作戰任務系統</v>
      </c>
      <c r="G133">
        <f>_xll.BDP("LHX UN Equity","CUR_MKT_CAP")</f>
        <v>50380887205.439987</v>
      </c>
      <c r="H133">
        <f>_xll.BDP("LHX UN Equity","CHG_PCT_YTD")</f>
        <v>28.057829999999999</v>
      </c>
      <c r="I133" t="str">
        <f>_xll.BDP("LHX UN Equity","CIE_DES")</f>
        <v>L3哈里斯科技公司(L3Harris Technologies, Inc.)為一家航空與國防技術創新商。該公司設計、開發，並製造無線電通訊與系統，包括：單頻道地面與空中傳播無線電系統。L3哈里斯科技提供跨越天空、陸地、海洋、太空及網路領域的先進國防與商業技術。</v>
      </c>
      <c r="J133">
        <f>_xll.BDP("LHX UN Equity","ESG_SCORE")</f>
        <v>6.809999942779541</v>
      </c>
      <c r="K133" t="str">
        <f>_xll.BDP("LHX UN Equity","MSCI_ESG_RATING")</f>
        <v>A</v>
      </c>
      <c r="L133">
        <f>_xll.BDP("LHX UN Equity","EQY_BETA")</f>
        <v>0.73706161975860596</v>
      </c>
      <c r="M133">
        <f>_xll.BDP("LHX UN Equity","VOLATILITY_60D")</f>
        <v>19.496612289846851</v>
      </c>
      <c r="N133">
        <f>_xll.BDP("LHX UN Equity","PCT_INSIDER_SHARES_OUT")</f>
        <v>0.34684948486008177</v>
      </c>
      <c r="O133">
        <f>_xll.BDP("LHX UN Equity","PCT_CHG_INSIDER_HOLDINGS")</f>
        <v>4.5259010873676324</v>
      </c>
      <c r="P133">
        <f>_xll.BDP("LHX UN Equity","RISK_PREMIUM")</f>
        <v>3.7968476337110992</v>
      </c>
      <c r="Q133">
        <f>_xll.BDP("LHX UN Equity","HIGH_52WEEK")</f>
        <v>280</v>
      </c>
      <c r="R133">
        <f>_xll.BDP("LHX UN Equity","LOW_52WEEK")</f>
        <v>193.09</v>
      </c>
    </row>
    <row r="134" spans="1:18" ht="15.75" x14ac:dyDescent="0.25">
      <c r="A134" t="s">
        <v>150</v>
      </c>
      <c r="B134">
        <f>_xll.BDP("DOC UN Equity","RT_PX_CHG_PCT_1D")</f>
        <v>-6.7302999496459961</v>
      </c>
      <c r="C134" t="str">
        <f>_xll.BDP("DOC UN Equity","GICS_SECTOR_NAME")</f>
        <v>房地產</v>
      </c>
      <c r="D134" t="str">
        <f>_xll.BDP("DOC UN Equity","NAME_CHINESE_TRADITIONAL")</f>
        <v>Healthpeak Properties Inc</v>
      </c>
      <c r="E134" t="str">
        <f>_xll.BDP("DOC UN Equity","CLASSIFICATION_LEVEL_4_NAME")</f>
        <v>醫療保健REIT</v>
      </c>
      <c r="F134" t="str">
        <f>_xll.BDP("DOC UN Equity","CLASSIFICATION_DESCRIPTION")</f>
        <v>醫療保健REIT</v>
      </c>
      <c r="G134">
        <f>_xll.BDP("DOC UN Equity","CUR_MKT_CAP")</f>
        <v>12230652772.799999</v>
      </c>
      <c r="H134">
        <f>_xll.BDP("DOC UN Equity","CHG_PCT_YTD")</f>
        <v>-13.172180000000001</v>
      </c>
      <c r="I134" t="str">
        <f>_xll.BDP("DOC UN Equity","CIE_DES")</f>
        <v>Healthpeak不動產臨時公司(Healthpeak Properties Interim, Inc.)為一家不動產投資信託。該信託投資於醫療保健相關的不動產物業，例如：高齡者住宅、生命科學、醫療辦公室、醫院，以及專業護理之家。Healthpeak不動產臨時服務美國的客戶。</v>
      </c>
      <c r="J134">
        <f>_xll.BDP("DOC UN Equity","ESG_SCORE")</f>
        <v>5.5300002098083496</v>
      </c>
      <c r="K134" t="str">
        <f>_xll.BDP("DOC UN Equity","MSCI_ESG_RATING")</f>
        <v>AA</v>
      </c>
      <c r="L134">
        <f>_xll.BDP("DOC UN Equity","EQY_BETA")</f>
        <v>0.73968559503555298</v>
      </c>
      <c r="M134">
        <f>_xll.BDP("DOC UN Equity","VOLATILITY_60D")</f>
        <v>25.456948764870923</v>
      </c>
      <c r="N134">
        <f>_xll.BDP("DOC UN Equity","PCT_INSIDER_SHARES_OUT")</f>
        <v>0.33813592431397121</v>
      </c>
      <c r="O134">
        <f>_xll.BDP("DOC UN Equity","PCT_CHG_INSIDER_HOLDINGS")</f>
        <v>7.4337679082112018</v>
      </c>
      <c r="P134">
        <f>_xll.BDP("DOC UN Equity","RISK_PREMIUM")</f>
        <v>3.810364596274495</v>
      </c>
      <c r="Q134">
        <f>_xll.BDP("DOC UN Equity","HIGH_52WEEK")</f>
        <v>23.26</v>
      </c>
      <c r="R134">
        <f>_xll.BDP("DOC UN Equity","LOW_52WEEK")</f>
        <v>16.635000000000002</v>
      </c>
    </row>
    <row r="135" spans="1:18" ht="15.75" x14ac:dyDescent="0.25">
      <c r="A135" t="s">
        <v>151</v>
      </c>
      <c r="B135">
        <f>_xll.BDP("PODD UW Equity","RT_PX_CHG_PCT_1D")</f>
        <v>1.2702000141143799</v>
      </c>
      <c r="C135" t="str">
        <f>_xll.BDP("PODD UW Equity","GICS_SECTOR_NAME")</f>
        <v>醫療保健</v>
      </c>
      <c r="D135" t="str">
        <f>_xll.BDP("PODD UW Equity","NAME_CHINESE_TRADITIONAL")</f>
        <v>Insulet公司</v>
      </c>
      <c r="E135" t="str">
        <f>_xll.BDP("PODD UW Equity","CLASSIFICATION_LEVEL_4_NAME")</f>
        <v>醫療設備</v>
      </c>
      <c r="F135" t="str">
        <f>_xll.BDP("PODD UW Equity","CLASSIFICATION_DESCRIPTION")</f>
        <v>藥物管制與投藥</v>
      </c>
      <c r="G135">
        <f>_xll.BDP("PODD UW Equity","CUR_MKT_CAP")</f>
        <v>20424210153.060001</v>
      </c>
      <c r="H135">
        <f>_xll.BDP("PODD UW Equity","CHG_PCT_YTD")</f>
        <v>11.16558</v>
      </c>
      <c r="I135" t="str">
        <f>_xll.BDP("PODD UW Equity","CIE_DES")</f>
        <v>Insulet公司(Insulet Corporation)為醫療器材公司。該公司針對胰島素依賴型糖尿病患者，開發、製造及行銷胰島素注射系統。Insulet於英國、加拿大及美國銷售其產品。</v>
      </c>
      <c r="J135">
        <f>_xll.BDP("PODD UW Equity","ESG_SCORE")</f>
        <v>5.3899998664855957</v>
      </c>
      <c r="K135" t="str">
        <f>_xll.BDP("PODD UW Equity","MSCI_ESG_RATING")</f>
        <v>A</v>
      </c>
      <c r="L135">
        <f>_xll.BDP("PODD UW Equity","EQY_BETA")</f>
        <v>1.073062539100647</v>
      </c>
      <c r="M135">
        <f>_xll.BDP("PODD UW Equity","VOLATILITY_60D")</f>
        <v>45.427597939321132</v>
      </c>
      <c r="N135">
        <f>_xll.BDP("PODD UW Equity","PCT_INSIDER_SHARES_OUT")</f>
        <v>0.55781093605506049</v>
      </c>
      <c r="O135">
        <f>_xll.BDP("PODD UW Equity","PCT_CHG_INSIDER_HOLDINGS")</f>
        <v>16.286558109361067</v>
      </c>
      <c r="P135">
        <f>_xll.BDP("PODD UW Equity","RISK_PREMIUM")</f>
        <v>5.5276992495453356</v>
      </c>
      <c r="Q135">
        <f>_xll.BDP("PODD UW Equity","HIGH_52WEEK")</f>
        <v>329.33</v>
      </c>
      <c r="R135">
        <f>_xll.BDP("PODD UW Equity","LOW_52WEEK")</f>
        <v>174.21</v>
      </c>
    </row>
    <row r="136" spans="1:18" ht="15.75" x14ac:dyDescent="0.25">
      <c r="A136" t="s">
        <v>152</v>
      </c>
      <c r="B136">
        <f>_xll.BDP("FTV UN Equity","RT_PX_CHG_PCT_1D")</f>
        <v>0.90090000629425049</v>
      </c>
      <c r="C136" t="str">
        <f>_xll.BDP("FTV UN Equity","GICS_SECTOR_NAME")</f>
        <v>工業</v>
      </c>
      <c r="D136" t="str">
        <f>_xll.BDP("FTV UN Equity","NAME_CHINESE_TRADITIONAL")</f>
        <v>Fortive公司</v>
      </c>
      <c r="E136" t="str">
        <f>_xll.BDP("FTV UN Equity","CLASSIFICATION_LEVEL_4_NAME")</f>
        <v>測量儀</v>
      </c>
      <c r="F136" t="str">
        <f>_xll.BDP("FTV UN Equity","CLASSIFICATION_DESCRIPTION")</f>
        <v>測量儀</v>
      </c>
      <c r="G136">
        <f>_xll.BDP("FTV UN Equity","CUR_MKT_CAP")</f>
        <v>17510735014.080002</v>
      </c>
      <c r="H136">
        <f>_xll.BDP("FTV UN Equity","CHG_PCT_YTD")</f>
        <v>-8.8164189999999998</v>
      </c>
      <c r="I136" t="str">
        <f>_xll.BDP("FTV UN Equity","CIE_DES")</f>
        <v>Fortive公司(Fortive Corporation)為一家多元化工業成長公司。 該公司著重於專業儀器、自動化、遙感，以及運輸技術。 Fortive服務全球客戶。</v>
      </c>
      <c r="J136">
        <f>_xll.BDP("FTV UN Equity","ESG_SCORE")</f>
        <v>4.809999942779541</v>
      </c>
      <c r="K136" t="str">
        <f>_xll.BDP("FTV UN Equity","MSCI_ESG_RATING")</f>
        <v>AA</v>
      </c>
      <c r="L136">
        <f>_xll.BDP("FTV UN Equity","EQY_BETA")</f>
        <v>0.98534369468688965</v>
      </c>
      <c r="M136">
        <f>_xll.BDP("FTV UN Equity","VOLATILITY_60D")</f>
        <v>24.245215324604807</v>
      </c>
      <c r="N136">
        <f>_xll.BDP("FTV UN Equity","PCT_INSIDER_SHARES_OUT")</f>
        <v>0.50161184739540721</v>
      </c>
      <c r="O136">
        <f>_xll.BDP("FTV UN Equity","PCT_CHG_INSIDER_HOLDINGS")</f>
        <v>20.879504070588816</v>
      </c>
      <c r="P136">
        <f>_xll.BDP("FTV UN Equity","RISK_PREMIUM")</f>
        <v>5.0758305347514154</v>
      </c>
      <c r="Q136">
        <f>_xll.BDP("FTV UN Equity","HIGH_52WEEK")</f>
        <v>62.754199999999997</v>
      </c>
      <c r="R136">
        <f>_xll.BDP("FTV UN Equity","LOW_52WEEK")</f>
        <v>45.491199999999999</v>
      </c>
    </row>
    <row r="137" spans="1:18" ht="15.75" x14ac:dyDescent="0.25">
      <c r="A137" t="s">
        <v>153</v>
      </c>
      <c r="B137">
        <f>_xll.BDP("HSY UN Equity","RT_PX_CHG_PCT_1D")</f>
        <v>1.7510000467300415</v>
      </c>
      <c r="C137" t="str">
        <f>_xll.BDP("HSY UN Equity","GICS_SECTOR_NAME")</f>
        <v>核心消費</v>
      </c>
      <c r="D137" t="str">
        <f>_xll.BDP("HSY UN Equity","NAME_CHINESE_TRADITIONAL")</f>
        <v>好時公司</v>
      </c>
      <c r="E137" t="str">
        <f>_xll.BDP("HSY UN Equity","CLASSIFICATION_LEVEL_4_NAME")</f>
        <v>包裝食品製造業</v>
      </c>
      <c r="F137" t="str">
        <f>_xll.BDP("HSY UN Equity","CLASSIFICATION_DESCRIPTION")</f>
        <v>零食及糖果</v>
      </c>
      <c r="G137">
        <f>_xll.BDP("HSY UN Equity","CUR_MKT_CAP")</f>
        <v>37911221184.800003</v>
      </c>
      <c r="H137">
        <f>_xll.BDP("HSY UN Equity","CHG_PCT_YTD")</f>
        <v>10.49306</v>
      </c>
      <c r="I137" t="str">
        <f>_xll.BDP("HSY UN Equity","CIE_DES")</f>
        <v>好時公司(Hershey Company)生產巧克力及糖果甜點。該公司主要產品包括巧克力及糖果甜點、口香糖與薄荷口氣清新產品，以及廚房用品，例如烘培材料、配料和飲料。</v>
      </c>
      <c r="J137">
        <f>_xll.BDP("HSY UN Equity","ESG_SCORE")</f>
        <v>6.440000057220459</v>
      </c>
      <c r="K137" t="str">
        <f>_xll.BDP("HSY UN Equity","MSCI_ESG_RATING")</f>
        <v>A</v>
      </c>
      <c r="L137">
        <f>_xll.BDP("HSY UN Equity","EQY_BETA")</f>
        <v>0.40503218770027161</v>
      </c>
      <c r="M137">
        <f>_xll.BDP("HSY UN Equity","VOLATILITY_60D")</f>
        <v>30.912335422027642</v>
      </c>
      <c r="N137">
        <f>_xll.BDP("HSY UN Equity","PCT_INSIDER_SHARES_OUT")</f>
        <v>0.45778495077042208</v>
      </c>
      <c r="O137">
        <f>_xll.BDP("HSY UN Equity","PCT_CHG_INSIDER_HOLDINGS")</f>
        <v>43.226018571656056</v>
      </c>
      <c r="P137">
        <f>_xll.BDP("HSY UN Equity","RISK_PREMIUM")</f>
        <v>2.0864544594660401</v>
      </c>
      <c r="Q137">
        <f>_xll.BDP("HSY UN Equity","HIGH_52WEEK")</f>
        <v>208.03</v>
      </c>
      <c r="R137">
        <f>_xll.BDP("HSY UN Equity","LOW_52WEEK")</f>
        <v>140.13</v>
      </c>
    </row>
    <row r="138" spans="1:18" ht="15.75" x14ac:dyDescent="0.25">
      <c r="A138" t="s">
        <v>154</v>
      </c>
      <c r="B138">
        <f>_xll.BDP("SYF UN Equity","RT_PX_CHG_PCT_1D")</f>
        <v>1.5178999900817871</v>
      </c>
      <c r="C138" t="str">
        <f>_xll.BDP("SYF UN Equity","GICS_SECTOR_NAME")</f>
        <v>金融</v>
      </c>
      <c r="D138" t="str">
        <f>_xll.BDP("SYF UN Equity","NAME_CHINESE_TRADITIONAL")</f>
        <v>同步金融</v>
      </c>
      <c r="E138" t="str">
        <f>_xll.BDP("SYF UN Equity","CLASSIFICATION_LEVEL_4_NAME")</f>
        <v>消費金融</v>
      </c>
      <c r="F138" t="str">
        <f>_xll.BDP("SYF UN Equity","CLASSIFICATION_DESCRIPTION")</f>
        <v>信用卡借貸</v>
      </c>
      <c r="G138">
        <f>_xll.BDP("SYF UN Equity","CUR_MKT_CAP")</f>
        <v>27122995249.200001</v>
      </c>
      <c r="H138">
        <f>_xll.BDP("SYF UN Equity","CHG_PCT_YTD")</f>
        <v>12.15385</v>
      </c>
      <c r="I138" t="str">
        <f>_xll.BDP("SYF UN Equity","CIE_DES")</f>
        <v>同步金融(Synchrony Financial)為一家消費性金融服務公司。該公司透過與不同國家和地區的零售商、當地商人、製造商、採購團體、產業協會，以及醫療保健服務供應商建立的計劃，提供一系列的信貸產品。同步金融服務美國的客戶。</v>
      </c>
      <c r="J138">
        <f>_xll.BDP("SYF UN Equity","ESG_SCORE")</f>
        <v>4.1599998474121094</v>
      </c>
      <c r="K138" t="str">
        <f>_xll.BDP("SYF UN Equity","MSCI_ESG_RATING")</f>
        <v>AA</v>
      </c>
      <c r="L138">
        <f>_xll.BDP("SYF UN Equity","EQY_BETA")</f>
        <v>1.230919361114502</v>
      </c>
      <c r="M138">
        <f>_xll.BDP("SYF UN Equity","VOLATILITY_60D")</f>
        <v>30.981097131214856</v>
      </c>
      <c r="N138">
        <f>_xll.BDP("SYF UN Equity","PCT_INSIDER_SHARES_OUT")</f>
        <v>0.8494872432352526</v>
      </c>
      <c r="O138">
        <f>_xll.BDP("SYF UN Equity","PCT_CHG_INSIDER_HOLDINGS")</f>
        <v>-7.8135258781991359</v>
      </c>
      <c r="P138">
        <f>_xll.BDP("SYF UN Equity","RISK_PREMIUM")</f>
        <v>6.3408718324899667</v>
      </c>
      <c r="Q138">
        <f>_xll.BDP("SYF UN Equity","HIGH_52WEEK")</f>
        <v>73.42</v>
      </c>
      <c r="R138">
        <f>_xll.BDP("SYF UN Equity","LOW_52WEEK")</f>
        <v>40.549999999999997</v>
      </c>
    </row>
    <row r="139" spans="1:18" ht="15.75" x14ac:dyDescent="0.25">
      <c r="A139" t="s">
        <v>155</v>
      </c>
      <c r="B139">
        <f>_xll.BDP("HRL UN Equity","RT_PX_CHG_PCT_1D")</f>
        <v>-0.20479999482631683</v>
      </c>
      <c r="C139" t="str">
        <f>_xll.BDP("HRL UN Equity","GICS_SECTOR_NAME")</f>
        <v>核心消費</v>
      </c>
      <c r="D139" t="str">
        <f>_xll.BDP("HRL UN Equity","NAME_CHINESE_TRADITIONAL")</f>
        <v>霍梅爾食品</v>
      </c>
      <c r="E139" t="str">
        <f>_xll.BDP("HRL UN Equity","CLASSIFICATION_LEVEL_4_NAME")</f>
        <v>包裝食品製造業</v>
      </c>
      <c r="F139" t="str">
        <f>_xll.BDP("HRL UN Equity","CLASSIFICATION_DESCRIPTION")</f>
        <v>醃漬及煙燻肉品</v>
      </c>
      <c r="G139">
        <f>_xll.BDP("HRL UN Equity","CUR_MKT_CAP")</f>
        <v>16078917782.359999</v>
      </c>
      <c r="H139">
        <f>_xll.BDP("HRL UN Equity","CHG_PCT_YTD")</f>
        <v>-6.7899289999999999</v>
      </c>
      <c r="I139" t="str">
        <f>_xll.BDP("HRL UN Equity","CIE_DES")</f>
        <v>霍梅爾食品公司(Hormel Foods Corporation)生產並行銷消費品牌肉類及食品。該公司加工處理肉類及禽鳥肉品，並生產多種調理食品。霍梅爾以多種品牌行銷全球。</v>
      </c>
      <c r="J139">
        <f>_xll.BDP("HRL UN Equity","ESG_SCORE")</f>
        <v>5.0399999618530273</v>
      </c>
      <c r="K139" t="str">
        <f>_xll.BDP("HRL UN Equity","MSCI_ESG_RATING")</f>
        <v>AA</v>
      </c>
      <c r="L139">
        <f>_xll.BDP("HRL UN Equity","EQY_BETA")</f>
        <v>0.42117658257484436</v>
      </c>
      <c r="M139">
        <f>_xll.BDP("HRL UN Equity","VOLATILITY_60D")</f>
        <v>21.102385199934311</v>
      </c>
      <c r="N139">
        <f>_xll.BDP("HRL UN Equity","PCT_INSIDER_SHARES_OUT")</f>
        <v>0.54746839958057392</v>
      </c>
      <c r="O139">
        <f>_xll.BDP("HRL UN Equity","PCT_CHG_INSIDER_HOLDINGS")</f>
        <v>4.0960418999682622</v>
      </c>
      <c r="P139">
        <f>_xll.BDP("HRL UN Equity","RISK_PREMIUM")</f>
        <v>2.1696195651152728</v>
      </c>
      <c r="Q139">
        <f>_xll.BDP("HRL UN Equity","HIGH_52WEEK")</f>
        <v>33.78</v>
      </c>
      <c r="R139">
        <f>_xll.BDP("HRL UN Equity","LOW_52WEEK")</f>
        <v>27.6</v>
      </c>
    </row>
    <row r="140" spans="1:18" ht="15.75" x14ac:dyDescent="0.25">
      <c r="A140" t="s">
        <v>156</v>
      </c>
      <c r="B140">
        <f>_xll.BDP("AJG UN Equity","RT_PX_CHG_PCT_1D")</f>
        <v>1.9673000574111938</v>
      </c>
      <c r="C140" t="str">
        <f>_xll.BDP("AJG UN Equity","GICS_SECTOR_NAME")</f>
        <v>金融</v>
      </c>
      <c r="D140" t="str">
        <f>_xll.BDP("AJG UN Equity","NAME_CHINESE_TRADITIONAL")</f>
        <v>Arthur J Gallagher &amp; Co</v>
      </c>
      <c r="E140" t="str">
        <f>_xll.BDP("AJG UN Equity","CLASSIFICATION_LEVEL_4_NAME")</f>
        <v>保險經紀商及服務</v>
      </c>
      <c r="F140" t="str">
        <f>_xll.BDP("AJG UN Equity","CLASSIFICATION_DESCRIPTION")</f>
        <v>保險經紀商及服務</v>
      </c>
      <c r="G140">
        <f>_xll.BDP("AJG UN Equity","CUR_MKT_CAP")</f>
        <v>80707354000</v>
      </c>
      <c r="H140">
        <f>_xll.BDP("AJG UN Equity","CHG_PCT_YTD")</f>
        <v>11.023429999999999</v>
      </c>
      <c r="I140" t="str">
        <f>_xll.BDP("AJG UN Equity","CIE_DES")</f>
        <v>Arthur J. Gallagher &amp; Co.及子公司提供保險經紀、風險管理、員工福利及其他相關服務，予美國及海外地區客戶。該公司的主要活動，係替客戶協商及安排保險。Gallagher亦專精於風險管理服務。</v>
      </c>
      <c r="J140">
        <f>_xll.BDP("AJG UN Equity","ESG_SCORE")</f>
        <v>4.0300002098083496</v>
      </c>
      <c r="K140" t="str">
        <f>_xll.BDP("AJG UN Equity","MSCI_ESG_RATING")</f>
        <v>BBB</v>
      </c>
      <c r="L140">
        <f>_xll.BDP("AJG UN Equity","EQY_BETA")</f>
        <v>0.56541532278060913</v>
      </c>
      <c r="M140">
        <f>_xll.BDP("AJG UN Equity","VOLATILITY_60D")</f>
        <v>22.018933497115746</v>
      </c>
      <c r="N140">
        <f>_xll.BDP("AJG UN Equity","PCT_INSIDER_SHARES_OUT")</f>
        <v>0.77443903740726239</v>
      </c>
      <c r="O140">
        <f>_xll.BDP("AJG UN Equity","PCT_CHG_INSIDER_HOLDINGS")</f>
        <v>0.95870132295316002</v>
      </c>
      <c r="P140">
        <f>_xll.BDP("AJG UN Equity","RISK_PREMIUM")</f>
        <v>2.912640914699435</v>
      </c>
      <c r="Q140">
        <f>_xll.BDP("AJG UN Equity","HIGH_52WEEK")</f>
        <v>351.17500000000001</v>
      </c>
      <c r="R140">
        <f>_xll.BDP("AJG UN Equity","LOW_52WEEK")</f>
        <v>274.33</v>
      </c>
    </row>
    <row r="141" spans="1:18" ht="15.75" x14ac:dyDescent="0.25">
      <c r="A141" t="s">
        <v>157</v>
      </c>
      <c r="B141">
        <f>_xll.BDP("MDLZ UW Equity","RT_PX_CHG_PCT_1D")</f>
        <v>0.56999999284744263</v>
      </c>
      <c r="C141" t="str">
        <f>_xll.BDP("MDLZ UW Equity","GICS_SECTOR_NAME")</f>
        <v>核心消費</v>
      </c>
      <c r="D141" t="str">
        <f>_xll.BDP("MDLZ UW Equity","NAME_CHINESE_TRADITIONAL")</f>
        <v>億滋國際</v>
      </c>
      <c r="E141" t="str">
        <f>_xll.BDP("MDLZ UW Equity","CLASSIFICATION_LEVEL_4_NAME")</f>
        <v>包裝食品製造業</v>
      </c>
      <c r="F141" t="str">
        <f>_xll.BDP("MDLZ UW Equity","CLASSIFICATION_DESCRIPTION")</f>
        <v>糖果</v>
      </c>
      <c r="G141">
        <f>_xll.BDP("MDLZ UW Equity","CUR_MKT_CAP")</f>
        <v>91388069026.339981</v>
      </c>
      <c r="H141">
        <f>_xll.BDP("MDLZ UW Equity","CHG_PCT_YTD")</f>
        <v>18.16508</v>
      </c>
      <c r="I141" t="str">
        <f>_xll.BDP("MDLZ UW Equity","CIE_DES")</f>
        <v>億滋國際公司(Mondelez International, Inc.)為一家食品及飲料公司。該公司製造並銷售包裝食物產品，包括：零食、飲料、起士、簡便食品，以及其它包裝雜貨產品。億滋國際於全球各地銷售其產品。</v>
      </c>
      <c r="J141">
        <f>_xll.BDP("MDLZ UW Equity","ESG_SCORE")</f>
        <v>6.5399999618530273</v>
      </c>
      <c r="K141" t="str">
        <f>_xll.BDP("MDLZ UW Equity","MSCI_ESG_RATING")</f>
        <v>A</v>
      </c>
      <c r="L141">
        <f>_xll.BDP("MDLZ UW Equity","EQY_BETA")</f>
        <v>0.37945067882537842</v>
      </c>
      <c r="M141">
        <f>_xll.BDP("MDLZ UW Equity","VOLATILITY_60D")</f>
        <v>18.477548075752125</v>
      </c>
      <c r="N141">
        <f>_xll.BDP("MDLZ UW Equity","PCT_INSIDER_SHARES_OUT")</f>
        <v>0.21452995215532722</v>
      </c>
      <c r="O141">
        <f>_xll.BDP("MDLZ UW Equity","PCT_CHG_INSIDER_HOLDINGS")</f>
        <v>11.743645402475945</v>
      </c>
      <c r="P141">
        <f>_xll.BDP("MDLZ UW Equity","RISK_PREMIUM")</f>
        <v>1.9546756653535364</v>
      </c>
      <c r="Q141">
        <f>_xll.BDP("MDLZ UW Equity","HIGH_52WEEK")</f>
        <v>76.05</v>
      </c>
      <c r="R141">
        <f>_xll.BDP("MDLZ UW Equity","LOW_52WEEK")</f>
        <v>53.95</v>
      </c>
    </row>
    <row r="142" spans="1:18" ht="15.75" x14ac:dyDescent="0.25">
      <c r="A142" t="s">
        <v>158</v>
      </c>
      <c r="B142">
        <f>_xll.BDP("CNP UN Equity","RT_PX_CHG_PCT_1D")</f>
        <v>1.3741999864578247</v>
      </c>
      <c r="C142" t="str">
        <f>_xll.BDP("CNP UN Equity","GICS_SECTOR_NAME")</f>
        <v>公用事業</v>
      </c>
      <c r="D142" t="str">
        <f>_xll.BDP("CNP UN Equity","NAME_CHINESE_TRADITIONAL")</f>
        <v>Centerpoint能源</v>
      </c>
      <c r="E142" t="str">
        <f>_xll.BDP("CNP UN Equity","CLASSIFICATION_LEVEL_4_NAME")</f>
        <v>整合型公用事業</v>
      </c>
      <c r="F142" t="str">
        <f>_xll.BDP("CNP UN Equity","CLASSIFICATION_DESCRIPTION")</f>
        <v>整合型公用事業</v>
      </c>
      <c r="G142">
        <f>_xll.BDP("CNP UN Equity","CUR_MKT_CAP")</f>
        <v>25038661347.279999</v>
      </c>
      <c r="H142">
        <f>_xll.BDP("CNP UN Equity","CHG_PCT_YTD")</f>
        <v>20.895050000000001</v>
      </c>
      <c r="I142" t="str">
        <f>_xll.BDP("CNP UN Equity","CIE_DES")</f>
        <v>中心點電力公司(CenterPoint Energy, Inc.)是一家公用事業控股公司。公司透過其子公司，從事電力傳輸與配送、天然氣配銷、州際輸油管道和收集運作、及位於德州的發電業務。</v>
      </c>
      <c r="J142">
        <f>_xll.BDP("CNP UN Equity","ESG_SCORE")</f>
        <v>5.2199997901916504</v>
      </c>
      <c r="K142" t="str">
        <f>_xll.BDP("CNP UN Equity","MSCI_ESG_RATING")</f>
        <v>A</v>
      </c>
      <c r="L142">
        <f>_xll.BDP("CNP UN Equity","EQY_BETA")</f>
        <v>0.5122218132019043</v>
      </c>
      <c r="M142">
        <f>_xll.BDP("CNP UN Equity","VOLATILITY_60D")</f>
        <v>16.025764986483974</v>
      </c>
      <c r="N142">
        <f>_xll.BDP("CNP UN Equity","PCT_INSIDER_SHARES_OUT")</f>
        <v>0.49137604553440606</v>
      </c>
      <c r="O142">
        <f>_xll.BDP("CNP UN Equity","PCT_CHG_INSIDER_HOLDINGS")</f>
        <v>8.2767083701868227</v>
      </c>
      <c r="P142">
        <f>_xll.BDP("CNP UN Equity","RISK_PREMIUM")</f>
        <v>2.6386235930013657</v>
      </c>
      <c r="Q142">
        <f>_xll.BDP("CNP UN Equity","HIGH_52WEEK")</f>
        <v>39.299999999999997</v>
      </c>
      <c r="R142">
        <f>_xll.BDP("CNP UN Equity","LOW_52WEEK")</f>
        <v>25.41</v>
      </c>
    </row>
    <row r="143" spans="1:18" ht="15.75" x14ac:dyDescent="0.25">
      <c r="A143" t="s">
        <v>159</v>
      </c>
      <c r="B143">
        <f>_xll.BDP("HUM UN Equity","RT_PX_CHG_PCT_1D")</f>
        <v>3.826200008392334</v>
      </c>
      <c r="C143" t="str">
        <f>_xll.BDP("HUM UN Equity","GICS_SECTOR_NAME")</f>
        <v>醫療保健</v>
      </c>
      <c r="D143" t="str">
        <f>_xll.BDP("HUM UN Equity","NAME_CHINESE_TRADITIONAL")</f>
        <v>哈門那公司</v>
      </c>
      <c r="E143" t="str">
        <f>_xll.BDP("HUM UN Equity","CLASSIFICATION_LEVEL_4_NAME")</f>
        <v>管理式醫療</v>
      </c>
      <c r="F143" t="str">
        <f>_xll.BDP("HUM UN Equity","CLASSIFICATION_DESCRIPTION")</f>
        <v>管理式醫療聯邦醫療保險</v>
      </c>
      <c r="G143">
        <f>_xll.BDP("HUM UN Equity","CUR_MKT_CAP")</f>
        <v>28722633180.499996</v>
      </c>
      <c r="H143">
        <f>_xll.BDP("HUM UN Equity","CHG_PCT_YTD")</f>
        <v>-6.1999950000000004</v>
      </c>
      <c r="I143" t="str">
        <f>_xll.BDP("HUM UN Equity","CIE_DES")</f>
        <v>哈門那公司(Humana Inc.)為一家管理醫療保健公司。該公司透過健康維護組織、服務點計劃，以及行政服務產品，提供協調性醫療保健。哈門那為雇員團體、政府贊助計劃，以及個人，提供其產品。</v>
      </c>
      <c r="J143">
        <f>_xll.BDP("HUM UN Equity","ESG_SCORE")</f>
        <v>6.7899999618530273</v>
      </c>
      <c r="K143" t="str">
        <f>_xll.BDP("HUM UN Equity","MSCI_ESG_RATING")</f>
        <v>AA</v>
      </c>
      <c r="L143">
        <f>_xll.BDP("HUM UN Equity","EQY_BETA")</f>
        <v>0.51395398378372192</v>
      </c>
      <c r="M143">
        <f>_xll.BDP("HUM UN Equity","VOLATILITY_60D")</f>
        <v>40.419015574729066</v>
      </c>
      <c r="N143">
        <f>_xll.BDP("HUM UN Equity","PCT_INSIDER_SHARES_OUT")</f>
        <v>0.31252138681867708</v>
      </c>
      <c r="O143">
        <f>_xll.BDP("HUM UN Equity","PCT_CHG_INSIDER_HOLDINGS")</f>
        <v>31.937793603766522</v>
      </c>
      <c r="P143">
        <f>_xll.BDP("HUM UN Equity","RISK_PREMIUM")</f>
        <v>2.6475465752846001</v>
      </c>
      <c r="Q143">
        <f>_xll.BDP("HUM UN Equity","HIGH_52WEEK")</f>
        <v>405.93</v>
      </c>
      <c r="R143">
        <f>_xll.BDP("HUM UN Equity","LOW_52WEEK")</f>
        <v>206.99</v>
      </c>
    </row>
    <row r="144" spans="1:18" ht="15.75" x14ac:dyDescent="0.25">
      <c r="A144" t="s">
        <v>160</v>
      </c>
      <c r="B144">
        <f>_xll.BDP("WTW UW Equity","RT_PX_CHG_PCT_1D")</f>
        <v>1.4186999797821045</v>
      </c>
      <c r="C144" t="str">
        <f>_xll.BDP("WTW UW Equity","GICS_SECTOR_NAME")</f>
        <v>金融</v>
      </c>
      <c r="D144" t="str">
        <f>_xll.BDP("WTW UW Equity","NAME_CHINESE_TRADITIONAL")</f>
        <v>威利斯韜睿惠悅公司</v>
      </c>
      <c r="E144" t="str">
        <f>_xll.BDP("WTW UW Equity","CLASSIFICATION_LEVEL_4_NAME")</f>
        <v>保險經紀商及服務</v>
      </c>
      <c r="F144" t="str">
        <f>_xll.BDP("WTW UW Equity","CLASSIFICATION_DESCRIPTION")</f>
        <v>保險經紀商及服務</v>
      </c>
      <c r="G144">
        <f>_xll.BDP("WTW UW Equity","CUR_MKT_CAP")</f>
        <v>31044791060.010002</v>
      </c>
      <c r="H144">
        <f>_xll.BDP("WTW UW Equity","CHG_PCT_YTD")</f>
        <v>-4.1498609999999998E-2</v>
      </c>
      <c r="I144" t="str">
        <f>_xll.BDP("WTW UW Equity","CIE_DES")</f>
        <v>威利斯韜睿惠悅公司(Willis Towers Watson Public Limited Company)為提供顧問、經紀及解決方案的公司。該公司提供一系列的保險經紀、再保險及風險管理顧問服務。威利斯韜睿惠悅服務對象遍及全球各地。</v>
      </c>
      <c r="J144">
        <f>_xll.BDP("WTW UW Equity","ESG_SCORE")</f>
        <v>4.679999828338623</v>
      </c>
      <c r="K144" t="str">
        <f>_xll.BDP("WTW UW Equity","MSCI_ESG_RATING")</f>
        <v>AA</v>
      </c>
      <c r="L144">
        <f>_xll.BDP("WTW UW Equity","EQY_BETA")</f>
        <v>0.52541166543960571</v>
      </c>
      <c r="M144">
        <f>_xll.BDP("WTW UW Equity","VOLATILITY_60D")</f>
        <v>16.570585921101934</v>
      </c>
      <c r="N144">
        <f>_xll.BDP("WTW UW Equity","PCT_INSIDER_SHARES_OUT")</f>
        <v>0.44401418419544819</v>
      </c>
      <c r="O144">
        <f>_xll.BDP("WTW UW Equity","PCT_CHG_INSIDER_HOLDINGS")</f>
        <v>7.9142819811911043</v>
      </c>
      <c r="P144">
        <f>_xll.BDP("WTW UW Equity","RISK_PREMIUM")</f>
        <v>2.7065688745290037</v>
      </c>
      <c r="Q144">
        <f>_xll.BDP("WTW UW Equity","HIGH_52WEEK")</f>
        <v>342.54</v>
      </c>
      <c r="R144">
        <f>_xll.BDP("WTW UW Equity","LOW_52WEEK")</f>
        <v>273.79000000000002</v>
      </c>
    </row>
    <row r="145" spans="1:18" ht="15.75" x14ac:dyDescent="0.25">
      <c r="A145" t="s">
        <v>161</v>
      </c>
      <c r="B145">
        <f>_xll.BDP("ITW UN Equity","RT_PX_CHG_PCT_1D")</f>
        <v>-4.9699999392032623E-2</v>
      </c>
      <c r="C145" t="str">
        <f>_xll.BDP("ITW UN Equity","GICS_SECTOR_NAME")</f>
        <v>工業</v>
      </c>
      <c r="D145" t="str">
        <f>_xll.BDP("ITW UN Equity","NAME_CHINESE_TRADITIONAL")</f>
        <v>伊利諾工具公司</v>
      </c>
      <c r="E145" t="str">
        <f>_xll.BDP("ITW UN Equity","CLASSIFICATION_LEVEL_4_NAME")</f>
        <v>多元化工業</v>
      </c>
      <c r="F145" t="str">
        <f>_xll.BDP("ITW UN Equity","CLASSIFICATION_DESCRIPTION")</f>
        <v>多元化工業</v>
      </c>
      <c r="G145">
        <f>_xll.BDP("ITW UN Equity","CUR_MKT_CAP")</f>
        <v>76678099999.999985</v>
      </c>
      <c r="H145">
        <f>_xll.BDP("ITW UN Equity","CHG_PCT_YTD")</f>
        <v>3.2102870000000001</v>
      </c>
      <c r="I145" t="str">
        <f>_xll.BDP("ITW UN Equity","CIE_DES")</f>
        <v>伊利諾工具公司(Illinois Tool Works Inc.)設計並製造扣件、零組件、設備、消耗系統，以及多種專門產品與設備。該公司提供工業用液體和黏著劑、專用工具、焊接產品，以及品質測量設備與系統。伊利諾工具公司服務全球客戶。</v>
      </c>
      <c r="J145">
        <f>_xll.BDP("ITW UN Equity","ESG_SCORE")</f>
        <v>5.940000057220459</v>
      </c>
      <c r="K145" t="str">
        <f>_xll.BDP("ITW UN Equity","MSCI_ESG_RATING")</f>
        <v>BBB</v>
      </c>
      <c r="L145">
        <f>_xll.BDP("ITW UN Equity","EQY_BETA")</f>
        <v>0.84753137826919556</v>
      </c>
      <c r="M145">
        <f>_xll.BDP("ITW UN Equity","VOLATILITY_60D")</f>
        <v>17.759932331709102</v>
      </c>
      <c r="N145">
        <f>_xll.BDP("ITW UN Equity","PCT_INSIDER_SHARES_OUT")</f>
        <v>0.36438577883959039</v>
      </c>
      <c r="O145">
        <f>_xll.BDP("ITW UN Equity","PCT_CHG_INSIDER_HOLDINGS")</f>
        <v>3.8014567670707962</v>
      </c>
      <c r="P145">
        <f>_xll.BDP("ITW UN Equity","RISK_PREMIUM")</f>
        <v>4.3659138148194545</v>
      </c>
      <c r="Q145">
        <f>_xll.BDP("ITW UN Equity","HIGH_52WEEK")</f>
        <v>279.04000000000002</v>
      </c>
      <c r="R145">
        <f>_xll.BDP("ITW UN Equity","LOW_52WEEK")</f>
        <v>214.69</v>
      </c>
    </row>
    <row r="146" spans="1:18" ht="15.75" x14ac:dyDescent="0.25">
      <c r="A146" t="s">
        <v>162</v>
      </c>
      <c r="B146">
        <f>_xll.BDP("CDW UW Equity","RT_PX_CHG_PCT_1D")</f>
        <v>0.17139999568462372</v>
      </c>
      <c r="C146" t="str">
        <f>_xll.BDP("CDW UW Equity","GICS_SECTOR_NAME")</f>
        <v>資訊技術</v>
      </c>
      <c r="D146" t="str">
        <f>_xll.BDP("CDW UW Equity","NAME_CHINESE_TRADITIONAL")</f>
        <v>CDW Corp/DE</v>
      </c>
      <c r="E146" t="str">
        <f>_xll.BDP("CDW UW Equity","CLASSIFICATION_LEVEL_4_NAME")</f>
        <v>資訊科技服務</v>
      </c>
      <c r="F146" t="str">
        <f>_xll.BDP("CDW UW Equity","CLASSIFICATION_DESCRIPTION")</f>
        <v>資訊科技服務</v>
      </c>
      <c r="G146">
        <f>_xll.BDP("CDW UW Equity","CUR_MKT_CAP")</f>
        <v>23853448071.000004</v>
      </c>
      <c r="H146">
        <f>_xll.BDP("CDW UW Equity","CHG_PCT_YTD")</f>
        <v>4.0795260000000004</v>
      </c>
      <c r="I146" t="str">
        <f>_xll.BDP("CDW UW Equity","CIE_DES")</f>
        <v>CDW Corporation of Delaware提供資訊科技產品與服務。該公司提供硬體、軟體、電腦周邊設備、雲端計算、行動設備、網絡通訊，以及安全解決方案。CDW提供服務予全美洲的企業、政府、教育及醫療保健客戶。</v>
      </c>
      <c r="J146">
        <f>_xll.BDP("CDW UW Equity","ESG_SCORE")</f>
        <v>5.2800002098083496</v>
      </c>
      <c r="K146" t="str">
        <f>_xll.BDP("CDW UW Equity","MSCI_ESG_RATING")</f>
        <v>A</v>
      </c>
      <c r="L146">
        <f>_xll.BDP("CDW UW Equity","EQY_BETA")</f>
        <v>1.0501358509063721</v>
      </c>
      <c r="M146">
        <f>_xll.BDP("CDW UW Equity","VOLATILITY_60D")</f>
        <v>29.268135652100053</v>
      </c>
      <c r="N146">
        <f>_xll.BDP("CDW UW Equity","PCT_INSIDER_SHARES_OUT")</f>
        <v>0.42572389304189079</v>
      </c>
      <c r="O146">
        <f>_xll.BDP("CDW UW Equity","PCT_CHG_INSIDER_HOLDINGS")</f>
        <v>25.301042817630794</v>
      </c>
      <c r="P146">
        <f>_xll.BDP("CDW UW Equity","RISK_PREMIUM")</f>
        <v>5.409596312849521</v>
      </c>
      <c r="Q146">
        <f>_xll.BDP("CDW UW Equity","HIGH_52WEEK")</f>
        <v>237.03</v>
      </c>
      <c r="R146">
        <f>_xll.BDP("CDW UW Equity","LOW_52WEEK")</f>
        <v>137.31</v>
      </c>
    </row>
    <row r="147" spans="1:18" ht="15.75" x14ac:dyDescent="0.25">
      <c r="A147" t="s">
        <v>163</v>
      </c>
      <c r="B147">
        <f>_xll.BDP("TT UN Equity","RT_PX_CHG_PCT_1D")</f>
        <v>2.2393999099731445</v>
      </c>
      <c r="C147" t="str">
        <f>_xll.BDP("TT UN Equity","GICS_SECTOR_NAME")</f>
        <v>工業</v>
      </c>
      <c r="D147" t="str">
        <f>_xll.BDP("TT UN Equity","NAME_CHINESE_TRADITIONAL")</f>
        <v>特靈科技公開有限公司</v>
      </c>
      <c r="E147" t="str">
        <f>_xll.BDP("TT UN Equity","CLASSIFICATION_LEVEL_4_NAME")</f>
        <v>商業住宅建築設備及系統</v>
      </c>
      <c r="F147" t="str">
        <f>_xll.BDP("TT UN Equity","CLASSIFICATION_DESCRIPTION")</f>
        <v>冷暖氣及冷凍設備</v>
      </c>
      <c r="G147">
        <f>_xll.BDP("TT UN Equity","CUR_MKT_CAP")</f>
        <v>105280110564.48999</v>
      </c>
      <c r="H147">
        <f>_xll.BDP("TT UN Equity","CHG_PCT_YTD")</f>
        <v>27.811019999999999</v>
      </c>
      <c r="I147" t="str">
        <f>_xll.BDP("TT UN Equity","CIE_DES")</f>
        <v>特靈科技公開有限公司(Trane Technologies Public Limited Company)製造工業設備。該公司提供中央暖氣、空調、電動車輛、空氣清淨機，以及流體處理產品。特靈科技服務全球客戶。</v>
      </c>
      <c r="J147">
        <f>_xll.BDP("TT UN Equity","ESG_SCORE")</f>
        <v>4.8299999237060547</v>
      </c>
      <c r="K147" t="str">
        <f>_xll.BDP("TT UN Equity","MSCI_ESG_RATING")</f>
        <v>AAA</v>
      </c>
      <c r="L147">
        <f>_xll.BDP("TT UN Equity","EQY_BETA")</f>
        <v>1.1926896572113037</v>
      </c>
      <c r="M147">
        <f>_xll.BDP("TT UN Equity","VOLATILITY_60D")</f>
        <v>17.941829946914243</v>
      </c>
      <c r="N147">
        <f>_xll.BDP("TT UN Equity","PCT_INSIDER_SHARES_OUT")</f>
        <v>0.3340458453129343</v>
      </c>
      <c r="O147">
        <f>_xll.BDP("TT UN Equity","PCT_CHG_INSIDER_HOLDINGS")</f>
        <v>4.8278130163637391E-2</v>
      </c>
      <c r="P147">
        <f>_xll.BDP("TT UN Equity","RISK_PREMIUM")</f>
        <v>6.1439380118823053</v>
      </c>
      <c r="Q147">
        <f>_xll.BDP("TT UN Equity","HIGH_52WEEK")</f>
        <v>473.07</v>
      </c>
      <c r="R147">
        <f>_xll.BDP("TT UN Equity","LOW_52WEEK")</f>
        <v>301.62</v>
      </c>
    </row>
    <row r="148" spans="1:18" ht="15.75" x14ac:dyDescent="0.25">
      <c r="A148" t="s">
        <v>164</v>
      </c>
      <c r="B148">
        <f>_xll.BDP("IPG UN Equity","RT_PX_CHG_PCT_1D")</f>
        <v>-0.98820000886917114</v>
      </c>
      <c r="C148" t="str">
        <f>_xll.BDP("IPG UN Equity","GICS_SECTOR_NAME")</f>
        <v>通訊服務</v>
      </c>
      <c r="D148" t="str">
        <f>_xll.BDP("IPG UN Equity","NAME_CHINESE_TRADITIONAL")</f>
        <v>埃培智集團</v>
      </c>
      <c r="E148" t="str">
        <f>_xll.BDP("IPG UN Equity","CLASSIFICATION_LEVEL_4_NAME")</f>
        <v>廣告及行銷</v>
      </c>
      <c r="F148" t="str">
        <f>_xll.BDP("IPG UN Equity","CLASSIFICATION_DESCRIPTION")</f>
        <v>廣告代理及服務</v>
      </c>
      <c r="G148">
        <f>_xll.BDP("IPG UN Equity","CUR_MKT_CAP")</f>
        <v>9541239459.5000019</v>
      </c>
      <c r="H148">
        <f>_xll.BDP("IPG UN Equity","CHG_PCT_YTD")</f>
        <v>-7.0306940000000004</v>
      </c>
      <c r="I148" t="str">
        <f>_xll.BDP("IPG UN Equity","CIE_DES")</f>
        <v>埃培智集團(The Interpublic Group of Companies, Inc.)為匯集了廣告代理商及行銷服務公司的機構。該公司在全球從事廣告業務、獨立媒體購買、直銷、健康保健通訊、互動諮詢服務、行銷研究、促銷、體驗及運動行銷，以及公共關係。</v>
      </c>
      <c r="J148">
        <f>_xll.BDP("IPG UN Equity","ESG_SCORE")</f>
        <v>6</v>
      </c>
      <c r="K148" t="str">
        <f>_xll.BDP("IPG UN Equity","MSCI_ESG_RATING")</f>
        <v>N.S.</v>
      </c>
      <c r="L148">
        <f>_xll.BDP("IPG UN Equity","EQY_BETA")</f>
        <v>0.89963662624359131</v>
      </c>
      <c r="M148">
        <f>_xll.BDP("IPG UN Equity","VOLATILITY_60D")</f>
        <v>32.696621637696502</v>
      </c>
      <c r="N148">
        <f>_xll.BDP("IPG UN Equity","PCT_INSIDER_SHARES_OUT")</f>
        <v>0.44442706183258956</v>
      </c>
      <c r="O148">
        <f>_xll.BDP("IPG UN Equity","PCT_CHG_INSIDER_HOLDINGS")</f>
        <v>17.207152587967268</v>
      </c>
      <c r="P148">
        <f>_xll.BDP("IPG UN Equity","RISK_PREMIUM")</f>
        <v>4.6343251418673992</v>
      </c>
      <c r="Q148">
        <f>_xll.BDP("IPG UN Equity","HIGH_52WEEK")</f>
        <v>33</v>
      </c>
      <c r="R148">
        <f>_xll.BDP("IPG UN Equity","LOW_52WEEK")</f>
        <v>22.53</v>
      </c>
    </row>
    <row r="149" spans="1:18" ht="15.75" x14ac:dyDescent="0.25">
      <c r="A149" t="s">
        <v>165</v>
      </c>
      <c r="B149">
        <f>_xll.BDP("IFF UN Equity","RT_PX_CHG_PCT_1D")</f>
        <v>0.98839998245239258</v>
      </c>
      <c r="C149" t="str">
        <f>_xll.BDP("IFF UN Equity","GICS_SECTOR_NAME")</f>
        <v>原材料</v>
      </c>
      <c r="D149" t="str">
        <f>_xll.BDP("IFF UN Equity","NAME_CHINESE_TRADITIONAL")</f>
        <v>國際香料香精</v>
      </c>
      <c r="E149" t="str">
        <f>_xll.BDP("IFF UN Equity","CLASSIFICATION_LEVEL_4_NAME")</f>
        <v>特用化學品</v>
      </c>
      <c r="F149" t="str">
        <f>_xll.BDP("IFF UN Equity","CLASSIFICATION_DESCRIPTION")</f>
        <v>香精及香料</v>
      </c>
      <c r="G149">
        <f>_xll.BDP("IFF UN Equity","CUR_MKT_CAP")</f>
        <v>19601214137.349998</v>
      </c>
      <c r="H149">
        <f>_xll.BDP("IFF UN Equity","CHG_PCT_YTD")</f>
        <v>-9.3672419999999992</v>
      </c>
      <c r="I149" t="str">
        <f>_xll.BDP("IFF UN Equity","CIE_DES")</f>
        <v>國際香料香精公司(International Flavors &amp; Fragrances Inc.)開發、製造並供應香料及香精，予食品、飲料、個人保養品及家用產品等產業。該公司的香料與香精，係用於多數原料的個別原料及化合物，用來調配、混合並互相作用，以製作獨家配方。</v>
      </c>
      <c r="J149">
        <f>_xll.BDP("IFF UN Equity","ESG_SCORE")</f>
        <v>4.8000001907348633</v>
      </c>
      <c r="K149" t="str">
        <f>_xll.BDP("IFF UN Equity","MSCI_ESG_RATING")</f>
        <v>A</v>
      </c>
      <c r="L149">
        <f>_xll.BDP("IFF UN Equity","EQY_BETA")</f>
        <v>0.77590405941009521</v>
      </c>
      <c r="M149">
        <f>_xll.BDP("IFF UN Equity","VOLATILITY_60D")</f>
        <v>28.016307721531408</v>
      </c>
      <c r="N149">
        <f>_xll.BDP("IFF UN Equity","PCT_INSIDER_SHARES_OUT")</f>
        <v>0.14130925840424752</v>
      </c>
      <c r="O149">
        <f>_xll.BDP("IFF UN Equity","PCT_CHG_INSIDER_HOLDINGS")</f>
        <v>45.298544291434737</v>
      </c>
      <c r="P149">
        <f>_xll.BDP("IFF UN Equity","RISK_PREMIUM")</f>
        <v>3.9969378583610058</v>
      </c>
      <c r="Q149">
        <f>_xll.BDP("IFF UN Equity","HIGH_52WEEK")</f>
        <v>106.77</v>
      </c>
      <c r="R149">
        <f>_xll.BDP("IFF UN Equity","LOW_52WEEK")</f>
        <v>65.94</v>
      </c>
    </row>
    <row r="150" spans="1:18" ht="15.75" x14ac:dyDescent="0.25">
      <c r="A150" t="s">
        <v>166</v>
      </c>
      <c r="B150">
        <f>_xll.BDP("GNRC UN Equity","RT_PX_CHG_PCT_1D")</f>
        <v>2.3273999691009521</v>
      </c>
      <c r="C150" t="str">
        <f>_xll.BDP("GNRC UN Equity","GICS_SECTOR_NAME")</f>
        <v>工業</v>
      </c>
      <c r="D150" t="str">
        <f>_xll.BDP("GNRC UN Equity","NAME_CHINESE_TRADITIONAL")</f>
        <v>基內瑞克控股公司</v>
      </c>
      <c r="E150" t="str">
        <f>_xll.BDP("GNRC UN Equity","CLASSIFICATION_LEVEL_4_NAME")</f>
        <v>電力設備</v>
      </c>
      <c r="F150" t="str">
        <f>_xll.BDP("GNRC UN Equity","CLASSIFICATION_DESCRIPTION")</f>
        <v>發電設備</v>
      </c>
      <c r="G150">
        <f>_xll.BDP("GNRC UN Equity","CUR_MKT_CAP")</f>
        <v>9273455470.079998</v>
      </c>
      <c r="H150">
        <f>_xll.BDP("GNRC UN Equity","CHG_PCT_YTD")</f>
        <v>1.231859</v>
      </c>
      <c r="I150" t="str">
        <f>_xll.BDP("GNRC UN Equity","CIE_DES")</f>
        <v>基內瑞克控股公司(Generac Holdings, Inc.)製造自動、固定式備用，以及攜帶型發電機。該公司提供發電機以服務住宅、商業、工業，與電信市場。基內瑞克控股於全球各地行銷其產品。</v>
      </c>
      <c r="J150">
        <f>_xll.BDP("GNRC UN Equity","ESG_SCORE")</f>
        <v>5.6500000953674316</v>
      </c>
      <c r="K150" t="str">
        <f>_xll.BDP("GNRC UN Equity","MSCI_ESG_RATING")</f>
        <v>N.S.</v>
      </c>
      <c r="L150">
        <f>_xll.BDP("GNRC UN Equity","EQY_BETA")</f>
        <v>1.4543453454971313</v>
      </c>
      <c r="M150">
        <f>_xll.BDP("GNRC UN Equity","VOLATILITY_60D")</f>
        <v>30.608125063160109</v>
      </c>
      <c r="N150">
        <f>_xll.BDP("GNRC UN Equity","PCT_INSIDER_SHARES_OUT")</f>
        <v>1.6661349166788673</v>
      </c>
      <c r="O150">
        <f>_xll.BDP("GNRC UN Equity","PCT_CHG_INSIDER_HOLDINGS")</f>
        <v>1.0759820556709563</v>
      </c>
      <c r="P150">
        <f>_xll.BDP("GNRC UN Equity","RISK_PREMIUM")</f>
        <v>7.4918128086197369</v>
      </c>
      <c r="Q150">
        <f>_xll.BDP("GNRC UN Equity","HIGH_52WEEK")</f>
        <v>195.86</v>
      </c>
      <c r="R150">
        <f>_xll.BDP("GNRC UN Equity","LOW_52WEEK")</f>
        <v>99.5</v>
      </c>
    </row>
    <row r="151" spans="1:18" ht="15.75" x14ac:dyDescent="0.25">
      <c r="A151" t="s">
        <v>167</v>
      </c>
      <c r="B151">
        <f>_xll.BDP("NXPI UW Equity","RT_PX_CHG_PCT_1D")</f>
        <v>-0.50800001621246338</v>
      </c>
      <c r="C151" t="str">
        <f>_xll.BDP("NXPI UW Equity","GICS_SECTOR_NAME")</f>
        <v>資訊技術</v>
      </c>
      <c r="D151" t="str">
        <f>_xll.BDP("NXPI UW Equity","NAME_CHINESE_TRADITIONAL")</f>
        <v>恩智浦半導體股份有限公司</v>
      </c>
      <c r="E151" t="str">
        <f>_xll.BDP("NXPI UW Equity","CLASSIFICATION_LEVEL_4_NAME")</f>
        <v>半導體元件</v>
      </c>
      <c r="F151" t="str">
        <f>_xll.BDP("NXPI UW Equity","CLASSIFICATION_DESCRIPTION")</f>
        <v>類比IC</v>
      </c>
      <c r="G151">
        <f>_xll.BDP("NXPI UW Equity","CUR_MKT_CAP")</f>
        <v>56294667917.549995</v>
      </c>
      <c r="H151">
        <f>_xll.BDP("NXPI UW Equity","CHG_PCT_YTD")</f>
        <v>7.4284309999999998</v>
      </c>
      <c r="I151" t="str">
        <f>_xll.BDP("NXPI UW Equity","CIE_DES")</f>
        <v>恩智浦半導體股份有限公司( NXP Semiconductors NV)為全球性的半導體公司。該公司在行動通訊、消費性電器、安全應用、汽車娛樂及網路等領域設計半導體及軟體。恩智浦半導體股份有限公司提供產品予汽車、辨識、無線基礎設施、照明、行動裝置及電腦應用程式。</v>
      </c>
      <c r="J151">
        <f>_xll.BDP("NXPI UW Equity","ESG_SCORE")</f>
        <v>6.190000057220459</v>
      </c>
      <c r="K151" t="str">
        <f>_xll.BDP("NXPI UW Equity","MSCI_ESG_RATING")</f>
        <v>AAA</v>
      </c>
      <c r="L151">
        <f>_xll.BDP("NXPI UW Equity","EQY_BETA")</f>
        <v>1.345407247543335</v>
      </c>
      <c r="M151">
        <f>_xll.BDP("NXPI UW Equity","VOLATILITY_60D")</f>
        <v>36.035684168501085</v>
      </c>
      <c r="N151">
        <f>_xll.BDP("NXPI UW Equity","PCT_INSIDER_SHARES_OUT")</f>
        <v>0.15302493600132638</v>
      </c>
      <c r="O151">
        <f>_xll.BDP("NXPI UW Equity","PCT_CHG_INSIDER_HOLDINGS")</f>
        <v>-1.7638287297369961</v>
      </c>
      <c r="P151">
        <f>_xll.BDP("NXPI UW Equity","RISK_PREMIUM")</f>
        <v>12.180399496410702</v>
      </c>
      <c r="Q151">
        <f>_xll.BDP("NXPI UW Equity","HIGH_52WEEK")</f>
        <v>264.45</v>
      </c>
      <c r="R151">
        <f>_xll.BDP("NXPI UW Equity","LOW_52WEEK")</f>
        <v>148.09</v>
      </c>
    </row>
    <row r="152" spans="1:18" ht="15.75" x14ac:dyDescent="0.25">
      <c r="A152" t="s">
        <v>168</v>
      </c>
      <c r="B152">
        <f>_xll.BDP("K UN Equity","RT_PX_CHG_PCT_1D")</f>
        <v>-3.7599999457597733E-2</v>
      </c>
      <c r="C152" t="str">
        <f>_xll.BDP("K UN Equity","GICS_SECTOR_NAME")</f>
        <v>核心消費</v>
      </c>
      <c r="D152" t="str">
        <f>_xll.BDP("K UN Equity","NAME_CHINESE_TRADITIONAL")</f>
        <v>家樂氏</v>
      </c>
      <c r="E152" t="str">
        <f>_xll.BDP("K UN Equity","CLASSIFICATION_LEVEL_4_NAME")</f>
        <v>包裝食品製造業</v>
      </c>
      <c r="F152" t="str">
        <f>_xll.BDP("K UN Equity","CLASSIFICATION_DESCRIPTION")</f>
        <v>零食</v>
      </c>
      <c r="G152">
        <f>_xll.BDP("K UN Equity","CUR_MKT_CAP")</f>
        <v>27696146277.420002</v>
      </c>
      <c r="H152">
        <f>_xll.BDP("K UN Equity","CHG_PCT_YTD")</f>
        <v>-1.4079299999999999</v>
      </c>
      <c r="I152" t="str">
        <f>_xll.BDP("K UN Equity","CIE_DES")</f>
        <v>家樂氏(Kellanova)為一家零食與早餐食品製造公司。該公司提供零食產品(例如：零食、穀類、麵條、植物性食物，和冷凍早餐)，以及網路配送服務。家樂氏服務全球客戶。</v>
      </c>
      <c r="J152">
        <f>_xll.BDP("K UN Equity","ESG_SCORE")</f>
        <v>4.369999885559082</v>
      </c>
      <c r="K152" t="str">
        <f>_xll.BDP("K UN Equity","MSCI_ESG_RATING")</f>
        <v>AAA</v>
      </c>
      <c r="L152">
        <f>_xll.BDP("K UN Equity","EQY_BETA")</f>
        <v>0.38262811303138733</v>
      </c>
      <c r="M152">
        <f>_xll.BDP("K UN Equity","VOLATILITY_60D")</f>
        <v>7.5357801250449441</v>
      </c>
      <c r="N152">
        <f>_xll.BDP("K UN Equity","PCT_INSIDER_SHARES_OUT")</f>
        <v>0.8984188400500257</v>
      </c>
      <c r="O152">
        <f>_xll.BDP("K UN Equity","PCT_CHG_INSIDER_HOLDINGS")</f>
        <v>11.531126632952311</v>
      </c>
      <c r="P152">
        <f>_xll.BDP("K UN Equity","RISK_PREMIUM")</f>
        <v>1.9710436775019764</v>
      </c>
      <c r="Q152">
        <f>_xll.BDP("K UN Equity","HIGH_52WEEK")</f>
        <v>83.2</v>
      </c>
      <c r="R152">
        <f>_xll.BDP("K UN Equity","LOW_52WEEK")</f>
        <v>56.66</v>
      </c>
    </row>
    <row r="153" spans="1:18" ht="15.75" x14ac:dyDescent="0.25">
      <c r="A153" t="s">
        <v>169</v>
      </c>
      <c r="B153">
        <f>_xll.BDP("BR UN Equity","RT_PX_CHG_PCT_1D")</f>
        <v>0.27669999003410339</v>
      </c>
      <c r="C153" t="str">
        <f>_xll.BDP("BR UN Equity","GICS_SECTOR_NAME")</f>
        <v>工業</v>
      </c>
      <c r="D153" t="str">
        <f>_xll.BDP("BR UN Equity","NAME_CHINESE_TRADITIONAL")</f>
        <v>Broadridge財務解決方案公司</v>
      </c>
      <c r="E153" t="str">
        <f>_xll.BDP("BR UN Equity","CLASSIFICATION_LEVEL_4_NAME")</f>
        <v>其它金融服務</v>
      </c>
      <c r="F153" t="str">
        <f>_xll.BDP("BR UN Equity","CLASSIFICATION_DESCRIPTION")</f>
        <v>其它金融服務</v>
      </c>
      <c r="G153">
        <f>_xll.BDP("BR UN Equity","CUR_MKT_CAP")</f>
        <v>29799300093.600002</v>
      </c>
      <c r="H153">
        <f>_xll.BDP("BR UN Equity","CHG_PCT_YTD")</f>
        <v>12.20753</v>
      </c>
      <c r="I153" t="str">
        <f>_xll.BDP("BR UN Equity","CIE_DES")</f>
        <v>布羅德里奇金融解決方案公司(Broadridge Financial Solutions, Inc.)提供技術外包解決方案予金融服務業。該公司提供廣泛的解決方案，協助客戶服務其交易前、交易中及交易後程序的整個投資週期內的零售與機構客戶。</v>
      </c>
      <c r="J153">
        <f>_xll.BDP("BR UN Equity","ESG_SCORE")</f>
        <v>5.0799999237060547</v>
      </c>
      <c r="K153" t="str">
        <f>_xll.BDP("BR UN Equity","MSCI_ESG_RATING")</f>
        <v>AAA</v>
      </c>
      <c r="L153">
        <f>_xll.BDP("BR UN Equity","EQY_BETA")</f>
        <v>0.73555070161819458</v>
      </c>
      <c r="M153">
        <f>_xll.BDP("BR UN Equity","VOLATILITY_60D")</f>
        <v>21.370651964265011</v>
      </c>
      <c r="N153">
        <f>_xll.BDP("BR UN Equity","PCT_INSIDER_SHARES_OUT")</f>
        <v>0.65801586485662744</v>
      </c>
      <c r="O153">
        <f>_xll.BDP("BR UN Equity","PCT_CHG_INSIDER_HOLDINGS")</f>
        <v>-8.2147731959379406</v>
      </c>
      <c r="P153">
        <f>_xll.BDP("BR UN Equity","RISK_PREMIUM")</f>
        <v>3.7890643957668542</v>
      </c>
      <c r="Q153">
        <f>_xll.BDP("BR UN Equity","HIGH_52WEEK")</f>
        <v>257.64999999999998</v>
      </c>
      <c r="R153">
        <f>_xll.BDP("BR UN Equity","LOW_52WEEK")</f>
        <v>206.48</v>
      </c>
    </row>
    <row r="154" spans="1:18" ht="15.75" x14ac:dyDescent="0.25">
      <c r="A154" t="s">
        <v>170</v>
      </c>
      <c r="B154">
        <f>_xll.BDP("KIM UN Equity","RT_PX_CHG_PCT_1D")</f>
        <v>-0.9099000096321106</v>
      </c>
      <c r="C154" t="str">
        <f>_xll.BDP("KIM UN Equity","GICS_SECTOR_NAME")</f>
        <v>房地產</v>
      </c>
      <c r="D154" t="str">
        <f>_xll.BDP("KIM UN Equity","NAME_CHINESE_TRADITIONAL")</f>
        <v>KRC臨時公司</v>
      </c>
      <c r="E154" t="str">
        <f>_xll.BDP("KIM UN Equity","CLASSIFICATION_LEVEL_4_NAME")</f>
        <v>零售不動產投資信託</v>
      </c>
      <c r="F154" t="str">
        <f>_xll.BDP("KIM UN Equity","CLASSIFICATION_DESCRIPTION")</f>
        <v>購物中心REIT</v>
      </c>
      <c r="G154">
        <f>_xll.BDP("KIM UN Equity","CUR_MKT_CAP")</f>
        <v>14799480096.060003</v>
      </c>
      <c r="H154">
        <f>_xll.BDP("KIM UN Equity","CHG_PCT_YTD")</f>
        <v>-7.0422549999999999</v>
      </c>
      <c r="I154" t="str">
        <f>_xll.BDP("KIM UN Equity","CIE_DES")</f>
        <v>金克不動產公司(Kimco Realty Corporation)為一家不動產投資信託(REIT)。該公司持有並管理露天雜貨購物中心，以及不斷成長的混合用途資產投資組合。金克不動產服務美國的客戶。</v>
      </c>
      <c r="J154">
        <f>_xll.BDP("KIM UN Equity","ESG_SCORE")</f>
        <v>6.119999885559082</v>
      </c>
      <c r="K154" t="str">
        <f>_xll.BDP("KIM UN Equity","MSCI_ESG_RATING")</f>
        <v>BBB</v>
      </c>
      <c r="L154">
        <f>_xll.BDP("KIM UN Equity","EQY_BETA")</f>
        <v>0.88148367404937744</v>
      </c>
      <c r="M154">
        <f>_xll.BDP("KIM UN Equity","VOLATILITY_60D")</f>
        <v>21.942677000529372</v>
      </c>
      <c r="N154">
        <f>_xll.BDP("KIM UN Equity","PCT_INSIDER_SHARES_OUT")</f>
        <v>2.2582972209214263</v>
      </c>
      <c r="O154">
        <f>_xll.BDP("KIM UN Equity","PCT_CHG_INSIDER_HOLDINGS")</f>
        <v>1.4829577837559791</v>
      </c>
      <c r="P154">
        <f>_xll.BDP("KIM UN Equity","RISK_PREMIUM")</f>
        <v>4.5408132946407793</v>
      </c>
      <c r="Q154">
        <f>_xll.BDP("KIM UN Equity","HIGH_52WEEK")</f>
        <v>25.83</v>
      </c>
      <c r="R154">
        <f>_xll.BDP("KIM UN Equity","LOW_52WEEK")</f>
        <v>17.934999999999999</v>
      </c>
    </row>
    <row r="155" spans="1:18" ht="15.75" x14ac:dyDescent="0.25">
      <c r="A155" t="s">
        <v>171</v>
      </c>
      <c r="B155">
        <f>_xll.BDP("ORCL UN Equity","RT_PX_CHG_PCT_1D")</f>
        <v>0.94300001859664917</v>
      </c>
      <c r="C155" t="str">
        <f>_xll.BDP("ORCL UN Equity","GICS_SECTOR_NAME")</f>
        <v>資訊技術</v>
      </c>
      <c r="D155" t="str">
        <f>_xll.BDP("ORCL UN Equity","NAME_CHINESE_TRADITIONAL")</f>
        <v>甲骨文公司</v>
      </c>
      <c r="E155" t="str">
        <f>_xll.BDP("ORCL UN Equity","CLASSIFICATION_LEVEL_4_NAME")</f>
        <v>基礎建設軟體</v>
      </c>
      <c r="F155" t="str">
        <f>_xll.BDP("ORCL UN Equity","CLASSIFICATION_DESCRIPTION")</f>
        <v>基礎建設軟體</v>
      </c>
      <c r="G155">
        <f>_xll.BDP("ORCL UN Equity","CUR_MKT_CAP")</f>
        <v>688501144960.00012</v>
      </c>
      <c r="H155">
        <f>_xll.BDP("ORCL UN Equity","CHG_PCT_YTD")</f>
        <v>47.09554</v>
      </c>
      <c r="I155" t="str">
        <f>_xll.BDP("ORCL UN Equity","CIE_DES")</f>
        <v>甲骨文公司(Oracle)為企業資訊管理提供電腦軟體產品。該公司主要提供資料庫與關聯式伺服器、應用軟體開發、決策支援工具以及企業業務應用軟體等。 甲骨文軟體可以支援網路電腦、個人數位助理(PDA)、用戶終端產品、個人電腦、工作站、迷你電腦、大型電腦以及多量平行處理電腦等。</v>
      </c>
      <c r="J155">
        <f>_xll.BDP("ORCL UN Equity","ESG_SCORE")</f>
        <v>4.1399998664855957</v>
      </c>
      <c r="K155" t="str">
        <f>_xll.BDP("ORCL UN Equity","MSCI_ESG_RATING")</f>
        <v>A</v>
      </c>
      <c r="L155">
        <f>_xll.BDP("ORCL UN Equity","EQY_BETA")</f>
        <v>1.2633814811706543</v>
      </c>
      <c r="M155">
        <f>_xll.BDP("ORCL UN Equity","VOLATILITY_60D")</f>
        <v>41.71749945029871</v>
      </c>
      <c r="N155">
        <f>_xll.BDP("ORCL UN Equity","PCT_INSIDER_SHARES_OUT")</f>
        <v>41.467271494958943</v>
      </c>
      <c r="O155">
        <f>_xll.BDP("ORCL UN Equity","PCT_CHG_INSIDER_HOLDINGS")</f>
        <v>1.0548788475219444</v>
      </c>
      <c r="P155">
        <f>_xll.BDP("ORCL UN Equity","RISK_PREMIUM")</f>
        <v>6.5080949253988258</v>
      </c>
      <c r="Q155">
        <f>_xll.BDP("ORCL UN Equity","HIGH_52WEEK")</f>
        <v>251.51</v>
      </c>
      <c r="R155">
        <f>_xll.BDP("ORCL UN Equity","LOW_52WEEK")</f>
        <v>119.01</v>
      </c>
    </row>
    <row r="156" spans="1:18" ht="15.75" x14ac:dyDescent="0.25">
      <c r="A156" t="s">
        <v>172</v>
      </c>
      <c r="B156">
        <f>_xll.BDP("KR UN Equity","RT_PX_CHG_PCT_1D")</f>
        <v>-1.2711000442504883</v>
      </c>
      <c r="C156" t="str">
        <f>_xll.BDP("KR UN Equity","GICS_SECTOR_NAME")</f>
        <v>核心消費</v>
      </c>
      <c r="D156" t="str">
        <f>_xll.BDP("KR UN Equity","NAME_CHINESE_TRADITIONAL")</f>
        <v>克羅格公司</v>
      </c>
      <c r="E156" t="str">
        <f>_xll.BDP("KR UN Equity","CLASSIFICATION_LEVEL_4_NAME")</f>
        <v>食品及藥品商店</v>
      </c>
      <c r="F156" t="str">
        <f>_xll.BDP("KR UN Equity","CLASSIFICATION_DESCRIPTION")</f>
        <v>超級市場</v>
      </c>
      <c r="G156">
        <f>_xll.BDP("KR UN Equity","CUR_MKT_CAP")</f>
        <v>47246196183.479996</v>
      </c>
      <c r="H156">
        <f>_xll.BDP("KR UN Equity","CHG_PCT_YTD")</f>
        <v>16.86018</v>
      </c>
      <c r="I156" t="str">
        <f>_xll.BDP("KR UN Equity","CIE_DES")</f>
        <v>克羅格公司(Kroger Co.)為一家超級市場。該公司提供肉類、海鮮、烘焙、乳製品、冷凍、清潔、廚房、飲料、健康、電子、玩具、蔬菜、水果、美容，以及家用產品。克羅格服務美國的客戶。</v>
      </c>
      <c r="J156">
        <f>_xll.BDP("KR UN Equity","ESG_SCORE")</f>
        <v>6.1599998474121094</v>
      </c>
      <c r="K156" t="str">
        <f>_xll.BDP("KR UN Equity","MSCI_ESG_RATING")</f>
        <v>A</v>
      </c>
      <c r="L156">
        <f>_xll.BDP("KR UN Equity","EQY_BETA")</f>
        <v>0.32414260506629944</v>
      </c>
      <c r="M156">
        <f>_xll.BDP("KR UN Equity","VOLATILITY_60D")</f>
        <v>28.422081829728267</v>
      </c>
      <c r="N156">
        <f>_xll.BDP("KR UN Equity","PCT_INSIDER_SHARES_OUT")</f>
        <v>0.8803511437999938</v>
      </c>
      <c r="O156">
        <f>_xll.BDP("KR UN Equity","PCT_CHG_INSIDER_HOLDINGS")</f>
        <v>0.43519961675040364</v>
      </c>
      <c r="P156">
        <f>_xll.BDP("KR UN Equity","RISK_PREMIUM")</f>
        <v>1.6697655257561803</v>
      </c>
      <c r="Q156">
        <f>_xll.BDP("KR UN Equity","HIGH_52WEEK")</f>
        <v>74.099999999999994</v>
      </c>
      <c r="R156">
        <f>_xll.BDP("KR UN Equity","LOW_52WEEK")</f>
        <v>50.7</v>
      </c>
    </row>
    <row r="157" spans="1:18" ht="15.75" x14ac:dyDescent="0.25">
      <c r="A157" t="s">
        <v>173</v>
      </c>
      <c r="B157">
        <f>_xll.BDP("LEN UN Equity","RT_PX_CHG_PCT_1D")</f>
        <v>1.6033999919891357</v>
      </c>
      <c r="C157" t="str">
        <f>_xll.BDP("LEN UN Equity","GICS_SECTOR_NAME")</f>
        <v>非核心消費</v>
      </c>
      <c r="D157" t="str">
        <f>_xll.BDP("LEN UN Equity","NAME_CHINESE_TRADITIONAL")</f>
        <v>萊納房屋公司</v>
      </c>
      <c r="E157" t="str">
        <f>_xll.BDP("LEN UN Equity","CLASSIFICATION_LEVEL_4_NAME")</f>
        <v>住宅營建</v>
      </c>
      <c r="F157" t="str">
        <f>_xll.BDP("LEN UN Equity","CLASSIFICATION_DESCRIPTION")</f>
        <v>住宅營建</v>
      </c>
      <c r="G157">
        <f>_xll.BDP("LEN UN Equity","CUR_MKT_CAP")</f>
        <v>29729934676.889996</v>
      </c>
      <c r="H157">
        <f>_xll.BDP("LEN UN Equity","CHG_PCT_YTD")</f>
        <v>-11.99006</v>
      </c>
      <c r="I157" t="str">
        <f>_xll.BDP("LEN UN Equity","CIE_DES")</f>
        <v>萊納房屋公司(Lennar Corporation)建造並銷售單戶連棟及獨棟住宅，並買賣住宅用地。該公司也提供抵押融資、產權保險、商業不動產、投資管理及其它金融服務。萊納房屋服務美國的客戶。</v>
      </c>
      <c r="J157">
        <f>_xll.BDP("LEN UN Equity","ESG_SCORE")</f>
        <v>2.0699999332427979</v>
      </c>
      <c r="K157" t="str">
        <f>_xll.BDP("LEN UN Equity","MSCI_ESG_RATING")</f>
        <v>BBB</v>
      </c>
      <c r="L157">
        <f>_xll.BDP("LEN UN Equity","EQY_BETA")</f>
        <v>0.91524529457092285</v>
      </c>
      <c r="M157">
        <f>_xll.BDP("LEN UN Equity","VOLATILITY_60D")</f>
        <v>39.01913649132991</v>
      </c>
      <c r="N157">
        <f>_xll.BDP("LEN UN Equity","PCT_INSIDER_SHARES_OUT")</f>
        <v>2.540531788880219</v>
      </c>
      <c r="O157">
        <f>_xll.BDP("LEN UN Equity","PCT_CHG_INSIDER_HOLDINGS")</f>
        <v>-2.8642842791857812</v>
      </c>
      <c r="P157">
        <f>_xll.BDP("LEN UN Equity","RISK_PREMIUM")</f>
        <v>4.7147305432820321</v>
      </c>
      <c r="Q157">
        <f>_xll.BDP("LEN UN Equity","HIGH_52WEEK")</f>
        <v>185.45949999999999</v>
      </c>
      <c r="R157">
        <f>_xll.BDP("LEN UN Equity","LOW_52WEEK")</f>
        <v>98.88</v>
      </c>
    </row>
    <row r="158" spans="1:18" ht="15.75" x14ac:dyDescent="0.25">
      <c r="A158" t="s">
        <v>174</v>
      </c>
      <c r="B158">
        <f>_xll.BDP("LLY UN Equity","RT_PX_CHG_PCT_1D")</f>
        <v>0.90140002965927124</v>
      </c>
      <c r="C158" t="str">
        <f>_xll.BDP("LLY UN Equity","GICS_SECTOR_NAME")</f>
        <v>醫療保健</v>
      </c>
      <c r="D158" t="str">
        <f>_xll.BDP("LLY UN Equity","NAME_CHINESE_TRADITIONAL")</f>
        <v>禮來公司</v>
      </c>
      <c r="E158" t="str">
        <f>_xll.BDP("LLY UN Equity","CLASSIFICATION_LEVEL_4_NAME")</f>
        <v>大型製藥業</v>
      </c>
      <c r="F158" t="str">
        <f>_xll.BDP("LLY UN Equity","CLASSIFICATION_DESCRIPTION")</f>
        <v>大型製藥業</v>
      </c>
      <c r="G158">
        <f>_xll.BDP("LLY UN Equity","CUR_MKT_CAP")</f>
        <v>770215286211.19006</v>
      </c>
      <c r="H158">
        <f>_xll.BDP("LLY UN Equity","CHG_PCT_YTD")</f>
        <v>5.2707249999999997</v>
      </c>
      <c r="I158" t="str">
        <f>_xll.BDP("LLY UN Equity","CIE_DES")</f>
        <v>禮來公司(Eli Lilly and Company)研發、開發、製造及銷售人用與動物用藥。該公司的產品行銷世界各國。禮來產品內容包括：神經科學用藥、內分泌藥物、抗感染藥、心血管用藥、抗癌藥、及動物保健產品。</v>
      </c>
      <c r="J158">
        <f>_xll.BDP("LLY UN Equity","ESG_SCORE")</f>
        <v>5.690000057220459</v>
      </c>
      <c r="K158" t="str">
        <f>_xll.BDP("LLY UN Equity","MSCI_ESG_RATING")</f>
        <v>A</v>
      </c>
      <c r="L158">
        <f>_xll.BDP("LLY UN Equity","EQY_BETA")</f>
        <v>0.80148863792419434</v>
      </c>
      <c r="M158">
        <f>_xll.BDP("LLY UN Equity","VOLATILITY_60D")</f>
        <v>41.409899691135877</v>
      </c>
      <c r="N158">
        <f>_xll.BDP("LLY UN Equity","PCT_INSIDER_SHARES_OUT")</f>
        <v>0.17704032696035402</v>
      </c>
      <c r="O158">
        <f>_xll.BDP("LLY UN Equity","PCT_CHG_INSIDER_HOLDINGS")</f>
        <v>9.035925974956049</v>
      </c>
      <c r="P158">
        <f>_xll.BDP("LLY UN Equity","RISK_PREMIUM")</f>
        <v>4.1287324651980395</v>
      </c>
      <c r="Q158">
        <f>_xll.BDP("LLY UN Equity","HIGH_52WEEK")</f>
        <v>972.24</v>
      </c>
      <c r="R158">
        <f>_xll.BDP("LLY UN Equity","LOW_52WEEK")</f>
        <v>678.02</v>
      </c>
    </row>
    <row r="159" spans="1:18" ht="15.75" x14ac:dyDescent="0.25">
      <c r="A159" t="s">
        <v>175</v>
      </c>
      <c r="B159">
        <f>_xll.BDP("CHTR UW Equity","RT_PX_CHG_PCT_1D")</f>
        <v>-18.486799240112305</v>
      </c>
      <c r="C159" t="str">
        <f>_xll.BDP("CHTR UW Equity","GICS_SECTOR_NAME")</f>
        <v>通訊服務</v>
      </c>
      <c r="D159" t="str">
        <f>_xll.BDP("CHTR UW Equity","NAME_CHINESE_TRADITIONAL")</f>
        <v>特許通訊公司</v>
      </c>
      <c r="E159" t="str">
        <f>_xll.BDP("CHTR UW Equity","CLASSIFICATION_LEVEL_4_NAME")</f>
        <v>有線及衛星電視</v>
      </c>
      <c r="F159" t="str">
        <f>_xll.BDP("CHTR UW Equity","CLASSIFICATION_DESCRIPTION")</f>
        <v>有線及衛星電視</v>
      </c>
      <c r="G159">
        <f>_xll.BDP("CHTR UW Equity","CUR_MKT_CAP")</f>
        <v>47411073753.749992</v>
      </c>
      <c r="H159">
        <f>_xll.BDP("CHTR UW Equity","CHG_PCT_YTD")</f>
        <v>-9.6332789999999999</v>
      </c>
      <c r="I159" t="str">
        <f>_xll.BDP("CHTR UW Equity","CIE_DES")</f>
        <v>特許通訊公司(Charter Communications, Inc.)為一家有線電信公司。該公司提供有線廣播、網際網路、語音，以及大眾媒體服務。特許通訊服務美國的客戶。</v>
      </c>
      <c r="J159">
        <f>_xll.BDP("CHTR UW Equity","ESG_SCORE")</f>
        <v>4.820000171661377</v>
      </c>
      <c r="K159" t="str">
        <f>_xll.BDP("CHTR UW Equity","MSCI_ESG_RATING")</f>
        <v>BBB</v>
      </c>
      <c r="L159">
        <f>_xll.BDP("CHTR UW Equity","EQY_BETA")</f>
        <v>0.80968552827835083</v>
      </c>
      <c r="M159">
        <f>_xll.BDP("CHTR UW Equity","VOLATILITY_60D")</f>
        <v>51.467409651742166</v>
      </c>
      <c r="N159">
        <f>_xll.BDP("CHTR UW Equity","PCT_INSIDER_SHARES_OUT")</f>
        <v>0.29951900198402531</v>
      </c>
      <c r="O159">
        <f>_xll.BDP("CHTR UW Equity","PCT_CHG_INSIDER_HOLDINGS")</f>
        <v>2.6315393376247411</v>
      </c>
      <c r="P159">
        <f>_xll.BDP("CHTR UW Equity","RISK_PREMIUM")</f>
        <v>4.1709573523861172</v>
      </c>
      <c r="Q159">
        <f>_xll.BDP("CHTR UW Equity","HIGH_52WEEK")</f>
        <v>436.56</v>
      </c>
      <c r="R159">
        <f>_xll.BDP("CHTR UW Equity","LOW_52WEEK")</f>
        <v>307.33999999999997</v>
      </c>
    </row>
    <row r="160" spans="1:18" ht="15.75" x14ac:dyDescent="0.25">
      <c r="A160" t="s">
        <v>176</v>
      </c>
      <c r="B160">
        <f>_xll.BDP("L UN Equity","RT_PX_CHG_PCT_1D")</f>
        <v>0.43830001354217529</v>
      </c>
      <c r="C160" t="str">
        <f>_xll.BDP("L UN Equity","GICS_SECTOR_NAME")</f>
        <v>金融</v>
      </c>
      <c r="D160" t="str">
        <f>_xll.BDP("L UN Equity","NAME_CHINESE_TRADITIONAL")</f>
        <v>洛斯公司</v>
      </c>
      <c r="E160" t="str">
        <f>_xll.BDP("L UN Equity","CLASSIFICATION_LEVEL_4_NAME")</f>
        <v>產物及意外保險</v>
      </c>
      <c r="F160" t="str">
        <f>_xll.BDP("L UN Equity","CLASSIFICATION_DESCRIPTION")</f>
        <v>產物及意外保險</v>
      </c>
      <c r="G160">
        <f>_xll.BDP("L UN Equity","CUR_MKT_CAP")</f>
        <v>19220783756.48</v>
      </c>
      <c r="H160">
        <f>_xll.BDP("L UN Equity","CHG_PCT_YTD")</f>
        <v>8.2300120000000003</v>
      </c>
      <c r="I160" t="str">
        <f>_xll.BDP("L UN Equity","CIE_DES")</f>
        <v>洛斯公司(Loews Corporation)為一家控股公司。該公司透過旗下子公司，提供商業房地產和意外保險服務、天然氣和天然氣液體的運輸與儲存，並經營連鎖飯店。洛斯服務美國的客戶。</v>
      </c>
      <c r="J160">
        <f>_xll.BDP("L UN Equity","ESG_SCORE")</f>
        <v>1.6699999570846558</v>
      </c>
      <c r="K160" t="str">
        <f>_xll.BDP("L UN Equity","MSCI_ESG_RATING")</f>
        <v>BB</v>
      </c>
      <c r="L160">
        <f>_xll.BDP("L UN Equity","EQY_BETA")</f>
        <v>0.61436396837234497</v>
      </c>
      <c r="M160">
        <f>_xll.BDP("L UN Equity","VOLATILITY_60D")</f>
        <v>15.403791704062025</v>
      </c>
      <c r="N160">
        <f>_xll.BDP("L UN Equity","PCT_INSIDER_SHARES_OUT")</f>
        <v>7.9585556745105439</v>
      </c>
      <c r="O160">
        <f>_xll.BDP("L UN Equity","PCT_CHG_INSIDER_HOLDINGS")</f>
        <v>0.4896706038799708</v>
      </c>
      <c r="P160">
        <f>_xll.BDP("L UN Equity","RISK_PREMIUM")</f>
        <v>3.1647915411955116</v>
      </c>
      <c r="Q160">
        <f>_xll.BDP("L UN Equity","HIGH_52WEEK")</f>
        <v>93.21</v>
      </c>
      <c r="R160">
        <f>_xll.BDP("L UN Equity","LOW_52WEEK")</f>
        <v>75.16</v>
      </c>
    </row>
    <row r="161" spans="1:18" ht="15.75" x14ac:dyDescent="0.25">
      <c r="A161" t="s">
        <v>177</v>
      </c>
      <c r="B161">
        <f>_xll.BDP("LOW UN Equity","RT_PX_CHG_PCT_1D")</f>
        <v>0.54970002174377441</v>
      </c>
      <c r="C161" t="str">
        <f>_xll.BDP("LOW UN Equity","GICS_SECTOR_NAME")</f>
        <v>非核心消費</v>
      </c>
      <c r="D161" t="str">
        <f>_xll.BDP("LOW UN Equity","NAME_CHINESE_TRADITIONAL")</f>
        <v>羅威公司</v>
      </c>
      <c r="E161" t="str">
        <f>_xll.BDP("LOW UN Equity","CLASSIFICATION_LEVEL_4_NAME")</f>
        <v>家居產品店</v>
      </c>
      <c r="F161" t="str">
        <f>_xll.BDP("LOW UN Equity","CLASSIFICATION_DESCRIPTION")</f>
        <v>家居用品中心</v>
      </c>
      <c r="G161">
        <f>_xll.BDP("LOW UN Equity","CUR_MKT_CAP")</f>
        <v>127107261061.20004</v>
      </c>
      <c r="H161">
        <f>_xll.BDP("LOW UN Equity","CHG_PCT_YTD")</f>
        <v>-8.1037289999999995</v>
      </c>
      <c r="I161" t="str">
        <f>_xll.BDP("LOW UN Equity","CIE_DES")</f>
        <v>羅威公司(Lowe's Companies, Inc.)為一家居的居家修繕商店。該公司提供工具、電器、建築用品、地毯、浴室，以及照明產品。羅威服務美國的客戶。</v>
      </c>
      <c r="J161">
        <f>_xll.BDP("LOW UN Equity","ESG_SCORE")</f>
        <v>5.179999828338623</v>
      </c>
      <c r="K161" t="str">
        <f>_xll.BDP("LOW UN Equity","MSCI_ESG_RATING")</f>
        <v>AA</v>
      </c>
      <c r="L161">
        <f>_xll.BDP("LOW UN Equity","EQY_BETA")</f>
        <v>0.89792513847351074</v>
      </c>
      <c r="M161">
        <f>_xll.BDP("LOW UN Equity","VOLATILITY_60D")</f>
        <v>23.096144287935946</v>
      </c>
      <c r="N161">
        <f>_xll.BDP("LOW UN Equity","PCT_INSIDER_SHARES_OUT")</f>
        <v>0.11633756583470385</v>
      </c>
      <c r="O161">
        <f>_xll.BDP("LOW UN Equity","PCT_CHG_INSIDER_HOLDINGS")</f>
        <v>15.966374618692663</v>
      </c>
      <c r="P161">
        <f>_xll.BDP("LOW UN Equity","RISK_PREMIUM")</f>
        <v>4.6255087035727502</v>
      </c>
      <c r="Q161">
        <f>_xll.BDP("LOW UN Equity","HIGH_52WEEK")</f>
        <v>286.99</v>
      </c>
      <c r="R161">
        <f>_xll.BDP("LOW UN Equity","LOW_52WEEK")</f>
        <v>206.58</v>
      </c>
    </row>
    <row r="162" spans="1:18" ht="15.75" x14ac:dyDescent="0.25">
      <c r="A162" t="s">
        <v>178</v>
      </c>
      <c r="B162">
        <f>_xll.BDP("HUBB UN Equity","RT_PX_CHG_PCT_1D")</f>
        <v>1.1519999504089355</v>
      </c>
      <c r="C162" t="str">
        <f>_xll.BDP("HUBB UN Equity","GICS_SECTOR_NAME")</f>
        <v>工業</v>
      </c>
      <c r="D162" t="str">
        <f>_xll.BDP("HUBB UN Equity","NAME_CHINESE_TRADITIONAL")</f>
        <v>安柏</v>
      </c>
      <c r="E162" t="str">
        <f>_xll.BDP("HUBB UN Equity","CLASSIFICATION_LEVEL_4_NAME")</f>
        <v>電機零件</v>
      </c>
      <c r="F162" t="str">
        <f>_xll.BDP("HUBB UN Equity","CLASSIFICATION_DESCRIPTION")</f>
        <v>電機零件</v>
      </c>
      <c r="G162">
        <f>_xll.BDP("HUBB UN Equity","CUR_MKT_CAP")</f>
        <v>23619508191.299999</v>
      </c>
      <c r="H162">
        <f>_xll.BDP("HUBB UN Equity","CHG_PCT_YTD")</f>
        <v>5.6458700000000004</v>
      </c>
      <c r="I162" t="str">
        <f>_xll.BDP("HUBB UN Equity","CIE_DES")</f>
        <v>安柏公司(Hubbell Incorporated)為商業、工業、公用事業及電信市場，製造電器及電子產品。該公司產品包括火星塞、插座、連接器、照明燈具、高壓測試及測量設備，及語音與資料訊號處理組件。安柏在美國及海外均有營運據點。</v>
      </c>
      <c r="J162">
        <f>_xll.BDP("HUBB UN Equity","ESG_SCORE")</f>
        <v>5.8499999046325684</v>
      </c>
      <c r="K162" t="str">
        <f>_xll.BDP("HUBB UN Equity","MSCI_ESG_RATING")</f>
        <v>AA</v>
      </c>
      <c r="L162">
        <f>_xll.BDP("HUBB UN Equity","EQY_BETA")</f>
        <v>1.1466436386108398</v>
      </c>
      <c r="M162">
        <f>_xll.BDP("HUBB UN Equity","VOLATILITY_60D")</f>
        <v>28.357991784080301</v>
      </c>
      <c r="N162">
        <f>_xll.BDP("HUBB UN Equity","PCT_INSIDER_SHARES_OUT")</f>
        <v>0.41237772752311108</v>
      </c>
      <c r="O162">
        <f>_xll.BDP("HUBB UN Equity","PCT_CHG_INSIDER_HOLDINGS")</f>
        <v>16.586088550654114</v>
      </c>
      <c r="P162">
        <f>_xll.BDP("HUBB UN Equity","RISK_PREMIUM")</f>
        <v>5.9067397748851773</v>
      </c>
      <c r="Q162">
        <f>_xll.BDP("HUBB UN Equity","HIGH_52WEEK")</f>
        <v>479.74</v>
      </c>
      <c r="R162">
        <f>_xll.BDP("HUBB UN Equity","LOW_52WEEK")</f>
        <v>299.42500000000001</v>
      </c>
    </row>
    <row r="163" spans="1:18" ht="15.75" x14ac:dyDescent="0.25">
      <c r="A163" t="s">
        <v>179</v>
      </c>
      <c r="B163">
        <f>_xll.BDP("IEX UN Equity","RT_PX_CHG_PCT_1D")</f>
        <v>1.1052999496459961</v>
      </c>
      <c r="C163" t="str">
        <f>_xll.BDP("IEX UN Equity","GICS_SECTOR_NAME")</f>
        <v>工業</v>
      </c>
      <c r="D163" t="str">
        <f>_xll.BDP("IEX UN Equity","NAME_CHINESE_TRADITIONAL")</f>
        <v>IDEX公司</v>
      </c>
      <c r="E163" t="str">
        <f>_xll.BDP("IEX UN Equity","CLASSIFICATION_LEVEL_4_NAME")</f>
        <v>流量控制設備</v>
      </c>
      <c r="F163" t="str">
        <f>_xll.BDP("IEX UN Equity","CLASSIFICATION_DESCRIPTION")</f>
        <v>流量控制設備</v>
      </c>
      <c r="G163">
        <f>_xll.BDP("IEX UN Equity","CUR_MKT_CAP")</f>
        <v>14027877888.139999</v>
      </c>
      <c r="H163">
        <f>_xll.BDP("IEX UN Equity","CHG_PCT_YTD")</f>
        <v>-11.27622</v>
      </c>
      <c r="I163" t="str">
        <f>_xll.BDP("IEX UN Equity","CIE_DES")</f>
        <v>IDEX公司(IDEX Corporation)設計、製造及行銷幫浦、分配設備及其他工程產品。 該公司提供產品，包括工業用幫浦、潤滑系統、綁紮和夾緊裝置，以及救援工具工具。 IDEX服務全球的客戶。</v>
      </c>
      <c r="J163">
        <f>_xll.BDP("IEX UN Equity","ESG_SCORE")</f>
        <v>4.3899998664855957</v>
      </c>
      <c r="K163" t="str">
        <f>_xll.BDP("IEX UN Equity","MSCI_ESG_RATING")</f>
        <v>AA</v>
      </c>
      <c r="L163">
        <f>_xll.BDP("IEX UN Equity","EQY_BETA")</f>
        <v>0.95076048374176025</v>
      </c>
      <c r="M163">
        <f>_xll.BDP("IEX UN Equity","VOLATILITY_60D")</f>
        <v>23.257907592578004</v>
      </c>
      <c r="N163">
        <f>_xll.BDP("IEX UN Equity","PCT_INSIDER_SHARES_OUT")</f>
        <v>0.24240114549535699</v>
      </c>
      <c r="O163">
        <f>_xll.BDP("IEX UN Equity","PCT_CHG_INSIDER_HOLDINGS")</f>
        <v>18.821010284527787</v>
      </c>
      <c r="P163">
        <f>_xll.BDP("IEX UN Equity","RISK_PREMIUM")</f>
        <v>4.8976810027134414</v>
      </c>
      <c r="Q163">
        <f>_xll.BDP("IEX UN Equity","HIGH_52WEEK")</f>
        <v>238.19</v>
      </c>
      <c r="R163">
        <f>_xll.BDP("IEX UN Equity","LOW_52WEEK")</f>
        <v>154.5</v>
      </c>
    </row>
    <row r="164" spans="1:18" ht="15.75" x14ac:dyDescent="0.25">
      <c r="A164" t="s">
        <v>180</v>
      </c>
      <c r="B164">
        <f>_xll.BDP("MMC UN Equity","RT_PX_CHG_PCT_1D")</f>
        <v>0.99849998950958252</v>
      </c>
      <c r="C164" t="str">
        <f>_xll.BDP("MMC UN Equity","GICS_SECTOR_NAME")</f>
        <v>金融</v>
      </c>
      <c r="D164" t="str">
        <f>_xll.BDP("MMC UN Equity","NAME_CHINESE_TRADITIONAL")</f>
        <v>馬什麥克倫南</v>
      </c>
      <c r="E164" t="str">
        <f>_xll.BDP("MMC UN Equity","CLASSIFICATION_LEVEL_4_NAME")</f>
        <v>保險經紀商及服務</v>
      </c>
      <c r="F164" t="str">
        <f>_xll.BDP("MMC UN Equity","CLASSIFICATION_DESCRIPTION")</f>
        <v>保險經紀商及服務</v>
      </c>
      <c r="G164">
        <f>_xll.BDP("MMC UN Equity","CUR_MKT_CAP")</f>
        <v>103437698647.2</v>
      </c>
      <c r="H164">
        <f>_xll.BDP("MMC UN Equity","CHG_PCT_YTD")</f>
        <v>-0.94628480000000004</v>
      </c>
      <c r="I164" t="str">
        <f>_xll.BDP("MMC UN Equity","CIE_DES")</f>
        <v>馬什麥克倫南集團公司(Marsh &amp; McLennan Companies, Inc.)是一家專業服務公司，提供關於風險、策略及人力資本方面的建議及解決方案。馬什麥克倫南集團為全球客戶提供分析、建議和交易業務。</v>
      </c>
      <c r="J164">
        <f>_xll.BDP("MMC UN Equity","ESG_SCORE")</f>
        <v>6.0999999046325684</v>
      </c>
      <c r="K164" t="str">
        <f>_xll.BDP("MMC UN Equity","MSCI_ESG_RATING")</f>
        <v>AA</v>
      </c>
      <c r="L164">
        <f>_xll.BDP("MMC UN Equity","EQY_BETA")</f>
        <v>0.57565373182296753</v>
      </c>
      <c r="M164">
        <f>_xll.BDP("MMC UN Equity","VOLATILITY_60D")</f>
        <v>16.450027181177791</v>
      </c>
      <c r="N164">
        <f>_xll.BDP("MMC UN Equity","PCT_INSIDER_SHARES_OUT")</f>
        <v>0.12590917886433534</v>
      </c>
      <c r="O164">
        <f>_xll.BDP("MMC UN Equity","PCT_CHG_INSIDER_HOLDINGS")</f>
        <v>8.8071037793615616</v>
      </c>
      <c r="P164">
        <f>_xll.BDP("MMC UN Equity","RISK_PREMIUM")</f>
        <v>2.9653823383516071</v>
      </c>
      <c r="Q164">
        <f>_xll.BDP("MMC UN Equity","HIGH_52WEEK")</f>
        <v>248</v>
      </c>
      <c r="R164">
        <f>_xll.BDP("MMC UN Equity","LOW_52WEEK")</f>
        <v>208.1</v>
      </c>
    </row>
    <row r="165" spans="1:18" ht="15.75" x14ac:dyDescent="0.25">
      <c r="A165" t="s">
        <v>181</v>
      </c>
      <c r="B165">
        <f>_xll.BDP("MAS UN Equity","RT_PX_CHG_PCT_1D")</f>
        <v>0.47459998726844788</v>
      </c>
      <c r="C165" t="str">
        <f>_xll.BDP("MAS UN Equity","GICS_SECTOR_NAME")</f>
        <v>工業</v>
      </c>
      <c r="D165" t="str">
        <f>_xll.BDP("MAS UN Equity","NAME_CHINESE_TRADITIONAL")</f>
        <v>馬斯可</v>
      </c>
      <c r="E165" t="str">
        <f>_xll.BDP("MAS UN Equity","CLASSIFICATION_LEVEL_4_NAME")</f>
        <v>居家修繕</v>
      </c>
      <c r="F165" t="str">
        <f>_xll.BDP("MAS UN Equity","CLASSIFICATION_DESCRIPTION")</f>
        <v>配管產品</v>
      </c>
      <c r="G165">
        <f>_xll.BDP("MAS UN Equity","CUR_MKT_CAP")</f>
        <v>14291321990.499998</v>
      </c>
      <c r="H165">
        <f>_xll.BDP("MAS UN Equity","CHG_PCT_YTD")</f>
        <v>-6.6418629999999999</v>
      </c>
      <c r="I165" t="str">
        <f>_xll.BDP("MAS UN Equity","CIE_DES")</f>
        <v>馬斯可公司(Masco Corporation)製造並銷售居家修繕及建築產品。該公司產品包括水龍頭、廚房衛浴櫥櫃、建築塗料以及建商硬體產品。馬斯可透過大型量販商、家用品中心、硬體商店以及其他批發零售商店，銷售其產品予消費者及承包商。</v>
      </c>
      <c r="J165">
        <f>_xll.BDP("MAS UN Equity","ESG_SCORE")</f>
        <v>4.6599998474121094</v>
      </c>
      <c r="K165" t="str">
        <f>_xll.BDP("MAS UN Equity","MSCI_ESG_RATING")</f>
        <v>BBB</v>
      </c>
      <c r="L165">
        <f>_xll.BDP("MAS UN Equity","EQY_BETA")</f>
        <v>1.0081179141998291</v>
      </c>
      <c r="M165">
        <f>_xll.BDP("MAS UN Equity","VOLATILITY_60D")</f>
        <v>35.496848718290003</v>
      </c>
      <c r="N165">
        <f>_xll.BDP("MAS UN Equity","PCT_INSIDER_SHARES_OUT")</f>
        <v>0.45404554142844955</v>
      </c>
      <c r="O165">
        <f>_xll.BDP("MAS UN Equity","PCT_CHG_INSIDER_HOLDINGS")</f>
        <v>3.8979660137153602</v>
      </c>
      <c r="P165">
        <f>_xll.BDP("MAS UN Equity","RISK_PREMIUM")</f>
        <v>5.1931480549550058</v>
      </c>
      <c r="Q165">
        <f>_xll.BDP("MAS UN Equity","HIGH_52WEEK")</f>
        <v>86.64</v>
      </c>
      <c r="R165">
        <f>_xll.BDP("MAS UN Equity","LOW_52WEEK")</f>
        <v>56.96</v>
      </c>
    </row>
    <row r="166" spans="1:18" ht="15.75" x14ac:dyDescent="0.25">
      <c r="A166" t="s">
        <v>182</v>
      </c>
      <c r="B166">
        <f>_xll.BDP("SPGI UN Equity","RT_PX_CHG_PCT_1D")</f>
        <v>0.77230000495910645</v>
      </c>
      <c r="C166" t="str">
        <f>_xll.BDP("SPGI UN Equity","GICS_SECTOR_NAME")</f>
        <v>金融</v>
      </c>
      <c r="D166" t="str">
        <f>_xll.BDP("SPGI UN Equity","NAME_CHINESE_TRADITIONAL")</f>
        <v>標準普爾全球公司</v>
      </c>
      <c r="E166" t="str">
        <f>_xll.BDP("SPGI UN Equity","CLASSIFICATION_LEVEL_4_NAME")</f>
        <v>其它金融服務</v>
      </c>
      <c r="F166" t="str">
        <f>_xll.BDP("SPGI UN Equity","CLASSIFICATION_DESCRIPTION")</f>
        <v>金融資訊服務</v>
      </c>
      <c r="G166">
        <f>_xll.BDP("SPGI UN Equity","CUR_MKT_CAP")</f>
        <v>167920805000.00003</v>
      </c>
      <c r="H166">
        <f>_xll.BDP("SPGI UN Equity","CHG_PCT_YTD")</f>
        <v>7.413208</v>
      </c>
      <c r="I166" t="str">
        <f>_xll.BDP("SPGI UN Equity","CIE_DES")</f>
        <v>標準普爾全球公司(S&amp;P Global Inc.)提供客戶財經資訊服務。該公司提供全球資本及商品市場的評等、基準、分析的相關資訊。標準普爾全球公司的經營範圍遍及全球各地。</v>
      </c>
      <c r="J166">
        <f>_xll.BDP("SPGI UN Equity","ESG_SCORE")</f>
        <v>6.3299999237060547</v>
      </c>
      <c r="K166" t="str">
        <f>_xll.BDP("SPGI UN Equity","MSCI_ESG_RATING")</f>
        <v>AA</v>
      </c>
      <c r="L166">
        <f>_xll.BDP("SPGI UN Equity","EQY_BETA")</f>
        <v>0.97101253271102905</v>
      </c>
      <c r="M166">
        <f>_xll.BDP("SPGI UN Equity","VOLATILITY_60D")</f>
        <v>14.620606199641662</v>
      </c>
      <c r="N166">
        <f>_xll.BDP("SPGI UN Equity","PCT_INSIDER_SHARES_OUT")</f>
        <v>9.4060474036317288E-2</v>
      </c>
      <c r="O166">
        <f>_xll.BDP("SPGI UN Equity","PCT_CHG_INSIDER_HOLDINGS")</f>
        <v>8.8301359541515989</v>
      </c>
      <c r="P166">
        <f>_xll.BDP("SPGI UN Equity","RISK_PREMIUM")</f>
        <v>5.0020059901303053</v>
      </c>
      <c r="Q166">
        <f>_xll.BDP("SPGI UN Equity","HIGH_52WEEK")</f>
        <v>545.33000000000004</v>
      </c>
      <c r="R166">
        <f>_xll.BDP("SPGI UN Equity","LOW_52WEEK")</f>
        <v>427.15</v>
      </c>
    </row>
    <row r="167" spans="1:18" ht="15.75" x14ac:dyDescent="0.25">
      <c r="A167" t="s">
        <v>183</v>
      </c>
      <c r="B167">
        <f>_xll.BDP("MDT UN Equity","RT_PX_CHG_PCT_1D")</f>
        <v>0.67159998416900635</v>
      </c>
      <c r="C167" t="str">
        <f>_xll.BDP("MDT UN Equity","GICS_SECTOR_NAME")</f>
        <v>醫療保健</v>
      </c>
      <c r="D167" t="str">
        <f>_xll.BDP("MDT UN Equity","NAME_CHINESE_TRADITIONAL")</f>
        <v>美敦力公司</v>
      </c>
      <c r="E167" t="str">
        <f>_xll.BDP("MDT UN Equity","CLASSIFICATION_LEVEL_4_NAME")</f>
        <v>醫療裝置</v>
      </c>
      <c r="F167" t="str">
        <f>_xll.BDP("MDT UN Equity","CLASSIFICATION_DESCRIPTION")</f>
        <v>醫療裝置</v>
      </c>
      <c r="G167">
        <f>_xll.BDP("MDT UN Equity","CUR_MKT_CAP")</f>
        <v>119080741496.82001</v>
      </c>
      <c r="H167">
        <f>_xll.BDP("MDT UN Equity","CHG_PCT_YTD")</f>
        <v>16.349530000000001</v>
      </c>
      <c r="I167" t="str">
        <f>_xll.BDP("MDT UN Equity","CIE_DES")</f>
        <v>美敦力公開有限公司(Medtronic, PLC.)開發治療用及診斷用醫療產品。該公司的主要產品包括：心搏過緩調整、心速管理、心房心室纖維顫動管理、心臟衰竭處理、心瓣換置、惡性與非惡性疼痛，以及行動失序醫療等。美敦力的產品行銷全球。</v>
      </c>
      <c r="J167">
        <f>_xll.BDP("MDT UN Equity","ESG_SCORE")</f>
        <v>7.3000001907348633</v>
      </c>
      <c r="K167" t="str">
        <f>_xll.BDP("MDT UN Equity","MSCI_ESG_RATING")</f>
        <v>BB</v>
      </c>
      <c r="L167">
        <f>_xll.BDP("MDT UN Equity","EQY_BETA")</f>
        <v>0.68404668569564819</v>
      </c>
      <c r="M167">
        <f>_xll.BDP("MDT UN Equity","VOLATILITY_60D")</f>
        <v>19.007599824335877</v>
      </c>
      <c r="N167">
        <f>_xll.BDP("MDT UN Equity","PCT_INSIDER_SHARES_OUT")</f>
        <v>0.10057529082586349</v>
      </c>
      <c r="O167">
        <f>_xll.BDP("MDT UN Equity","PCT_CHG_INSIDER_HOLDINGS")</f>
        <v>4.4278911763085134</v>
      </c>
      <c r="P167">
        <f>_xll.BDP("MDT UN Equity","RISK_PREMIUM")</f>
        <v>3.5237502134245631</v>
      </c>
      <c r="Q167">
        <f>_xll.BDP("MDT UN Equity","HIGH_52WEEK")</f>
        <v>96.21</v>
      </c>
      <c r="R167">
        <f>_xll.BDP("MDT UN Equity","LOW_52WEEK")</f>
        <v>78.62</v>
      </c>
    </row>
    <row r="168" spans="1:18" ht="15.75" x14ac:dyDescent="0.25">
      <c r="A168" t="s">
        <v>184</v>
      </c>
      <c r="B168">
        <f>_xll.BDP("VTRS UW Equity","RT_PX_CHG_PCT_1D")</f>
        <v>0.64170002937316895</v>
      </c>
      <c r="C168" t="str">
        <f>_xll.BDP("VTRS UW Equity","GICS_SECTOR_NAME")</f>
        <v>醫療保健</v>
      </c>
      <c r="D168" t="str">
        <f>_xll.BDP("VTRS UW Equity","NAME_CHINESE_TRADITIONAL")</f>
        <v>暉致公司</v>
      </c>
      <c r="E168" t="str">
        <f>_xll.BDP("VTRS UW Equity","CLASSIFICATION_LEVEL_4_NAME")</f>
        <v>製藥</v>
      </c>
      <c r="F168" t="str">
        <f>_xll.BDP("VTRS UW Equity","CLASSIFICATION_DESCRIPTION")</f>
        <v>學名藥品</v>
      </c>
      <c r="G168">
        <f>_xll.BDP("VTRS UW Equity","CUR_MKT_CAP")</f>
        <v>11044347281.24</v>
      </c>
      <c r="H168">
        <f>_xll.BDP("VTRS UW Equity","CHG_PCT_YTD")</f>
        <v>-24.417670000000001</v>
      </c>
      <c r="I168" t="str">
        <f>_xll.BDP("VTRS UW Equity","CIE_DES")</f>
        <v>暉致公司(Viatris Inc.)為製藥公司。該公司針對涵蓋非傳染性疾病和傳染性疾病的主要治療領域的廣泛患者生產藥物。暉致服務全球客戶。</v>
      </c>
      <c r="J168">
        <f>_xll.BDP("VTRS UW Equity","ESG_SCORE")</f>
        <v>4.1700000762939453</v>
      </c>
      <c r="K168" t="str">
        <f>_xll.BDP("VTRS UW Equity","MSCI_ESG_RATING")</f>
        <v>N.S.</v>
      </c>
      <c r="L168">
        <f>_xll.BDP("VTRS UW Equity","EQY_BETA")</f>
        <v>0.82532334327697754</v>
      </c>
      <c r="M168">
        <f>_xll.BDP("VTRS UW Equity","VOLATILITY_60D")</f>
        <v>33.914013738366869</v>
      </c>
      <c r="N168">
        <f>_xll.BDP("VTRS UW Equity","PCT_INSIDER_SHARES_OUT")</f>
        <v>0.50390991767787185</v>
      </c>
      <c r="O168">
        <f>_xll.BDP("VTRS UW Equity","PCT_CHG_INSIDER_HOLDINGS")</f>
        <v>27.384460573343151</v>
      </c>
      <c r="P168">
        <f>_xll.BDP("VTRS UW Equity","RISK_PREMIUM")</f>
        <v>4.2515128979229928</v>
      </c>
      <c r="Q168">
        <f>_xll.BDP("VTRS UW Equity","HIGH_52WEEK")</f>
        <v>13.545</v>
      </c>
      <c r="R168">
        <f>_xll.BDP("VTRS UW Equity","LOW_52WEEK")</f>
        <v>6.86</v>
      </c>
    </row>
    <row r="169" spans="1:18" ht="15.75" x14ac:dyDescent="0.25">
      <c r="A169" t="s">
        <v>185</v>
      </c>
      <c r="B169">
        <f>_xll.BDP("CVS UN Equity","RT_PX_CHG_PCT_1D")</f>
        <v>3.3190999031066895</v>
      </c>
      <c r="C169" t="str">
        <f>_xll.BDP("CVS UN Equity","GICS_SECTOR_NAME")</f>
        <v>醫療保健</v>
      </c>
      <c r="D169" t="str">
        <f>_xll.BDP("CVS UN Equity","NAME_CHINESE_TRADITIONAL")</f>
        <v>CVS保健公司</v>
      </c>
      <c r="E169" t="str">
        <f>_xll.BDP("CVS UN Equity","CLASSIFICATION_LEVEL_4_NAME")</f>
        <v>醫療保健供應鏈</v>
      </c>
      <c r="F169" t="str">
        <f>_xll.BDP("CVS UN Equity","CLASSIFICATION_DESCRIPTION")</f>
        <v>PBM</v>
      </c>
      <c r="G169">
        <f>_xll.BDP("CVS UN Equity","CUR_MKT_CAP")</f>
        <v>76786679340.300003</v>
      </c>
      <c r="H169">
        <f>_xll.BDP("CVS UN Equity","CHG_PCT_YTD")</f>
        <v>35.219430000000003</v>
      </c>
      <c r="I169" t="str">
        <f>_xll.BDP("CVS UN Equity","CIE_DES")</f>
        <v>西維斯健康公司(CVS Health Corporation)提供醫療保健及零售藥房服務。該公司提供處方藥、美容、個人護理、化妝品，和醫療保健產品，以及藥房福利管理、疾病管理，與行政服務。西維斯健康公司於美國及波多黎各經營業務。</v>
      </c>
      <c r="J169">
        <f>_xll.BDP("CVS UN Equity","ESG_SCORE")</f>
        <v>4.070000171661377</v>
      </c>
      <c r="K169" t="str">
        <f>_xll.BDP("CVS UN Equity","MSCI_ESG_RATING")</f>
        <v>BBB</v>
      </c>
      <c r="L169">
        <f>_xll.BDP("CVS UN Equity","EQY_BETA")</f>
        <v>0.68895387649536133</v>
      </c>
      <c r="M169">
        <f>_xll.BDP("CVS UN Equity","VOLATILITY_60D")</f>
        <v>31.833056653060204</v>
      </c>
      <c r="N169">
        <f>_xll.BDP("CVS UN Equity","PCT_INSIDER_SHARES_OUT")</f>
        <v>0.88757850403827909</v>
      </c>
      <c r="O169">
        <f>_xll.BDP("CVS UN Equity","PCT_CHG_INSIDER_HOLDINGS")</f>
        <v>-23.606188797155074</v>
      </c>
      <c r="P169">
        <f>_xll.BDP("CVS UN Equity","RISK_PREMIUM")</f>
        <v>3.5490287726068495</v>
      </c>
      <c r="Q169">
        <f>_xll.BDP("CVS UN Equity","HIGH_52WEEK")</f>
        <v>72.41</v>
      </c>
      <c r="R169">
        <f>_xll.BDP("CVS UN Equity","LOW_52WEEK")</f>
        <v>43.575000000000003</v>
      </c>
    </row>
    <row r="170" spans="1:18" ht="15.75" x14ac:dyDescent="0.25">
      <c r="A170" t="s">
        <v>186</v>
      </c>
      <c r="B170">
        <f>_xll.BDP("DD UN Equity","RT_PX_CHG_PCT_1D")</f>
        <v>1.2968000173568726</v>
      </c>
      <c r="C170" t="str">
        <f>_xll.BDP("DD UN Equity","GICS_SECTOR_NAME")</f>
        <v>原材料</v>
      </c>
      <c r="D170" t="str">
        <f>_xll.BDP("DD UN Equity","NAME_CHINESE_TRADITIONAL")</f>
        <v>新杜邦公司</v>
      </c>
      <c r="E170" t="str">
        <f>_xll.BDP("DD UN Equity","CLASSIFICATION_LEVEL_4_NAME")</f>
        <v>基本及多元化學品</v>
      </c>
      <c r="F170" t="str">
        <f>_xll.BDP("DD UN Equity","CLASSIFICATION_DESCRIPTION")</f>
        <v>基本及多元化學品</v>
      </c>
      <c r="G170">
        <f>_xll.BDP("DD UN Equity","CUR_MKT_CAP")</f>
        <v>31709646877.849995</v>
      </c>
      <c r="H170">
        <f>_xll.BDP("DD UN Equity","CHG_PCT_YTD")</f>
        <v>-0.62950819999999996</v>
      </c>
      <c r="I170" t="str">
        <f>_xll.BDP("DD UN Equity","CIE_DES")</f>
        <v>新杜邦公司(DuPont de Nemours, Inc.)提供技術材料及解決方案。該公司提供各種產品，例如：建設材料、黏合劑、電子產品、紡織品、纖維、家庭花園、醫療設備、樹脂、印刷，以及消費性產品。新杜邦服務全球的能源、汽車、建設、政府、軍事、安全，以及包裝產業。</v>
      </c>
      <c r="J170">
        <f>_xll.BDP("DD UN Equity","ESG_SCORE")</f>
        <v>5.8499999046325684</v>
      </c>
      <c r="K170" t="str">
        <f>_xll.BDP("DD UN Equity","MSCI_ESG_RATING")</f>
        <v>A</v>
      </c>
      <c r="L170">
        <f>_xll.BDP("DD UN Equity","EQY_BETA")</f>
        <v>0.97680550813674927</v>
      </c>
      <c r="M170">
        <f>_xll.BDP("DD UN Equity","VOLATILITY_60D")</f>
        <v>28.588197077208587</v>
      </c>
      <c r="N170">
        <f>_xll.BDP("DD UN Equity","PCT_INSIDER_SHARES_OUT")</f>
        <v>0.26346845796653601</v>
      </c>
      <c r="O170">
        <f>_xll.BDP("DD UN Equity","PCT_CHG_INSIDER_HOLDINGS")</f>
        <v>23.371297274623252</v>
      </c>
      <c r="P170">
        <f>_xll.BDP("DD UN Equity","RISK_PREMIUM")</f>
        <v>5.0318475182300801</v>
      </c>
      <c r="Q170">
        <f>_xll.BDP("DD UN Equity","HIGH_52WEEK")</f>
        <v>90.04</v>
      </c>
      <c r="R170">
        <f>_xll.BDP("DD UN Equity","LOW_52WEEK")</f>
        <v>53.87</v>
      </c>
    </row>
    <row r="171" spans="1:18" ht="15.75" x14ac:dyDescent="0.25">
      <c r="A171" t="s">
        <v>187</v>
      </c>
      <c r="B171">
        <f>_xll.BDP("MU UW Equity","RT_PX_CHG_PCT_1D")</f>
        <v>-0.42070001363754272</v>
      </c>
      <c r="C171" t="str">
        <f>_xll.BDP("MU UW Equity","GICS_SECTOR_NAME")</f>
        <v>資訊技術</v>
      </c>
      <c r="D171" t="str">
        <f>_xll.BDP("MU UW Equity","NAME_CHINESE_TRADITIONAL")</f>
        <v>美光科技公司</v>
      </c>
      <c r="E171" t="str">
        <f>_xll.BDP("MU UW Equity","CLASSIFICATION_LEVEL_4_NAME")</f>
        <v>半導體元件</v>
      </c>
      <c r="F171" t="str">
        <f>_xll.BDP("MU UW Equity","CLASSIFICATION_DESCRIPTION")</f>
        <v>記憶體IC</v>
      </c>
      <c r="G171">
        <f>_xll.BDP("MU UW Equity","CUR_MKT_CAP")</f>
        <v>124513858737.25998</v>
      </c>
      <c r="H171">
        <f>_xll.BDP("MU UW Equity","CHG_PCT_YTD")</f>
        <v>32.200560000000003</v>
      </c>
      <c r="I171" t="str">
        <f>_xll.BDP("MU UW Equity","CIE_DES")</f>
        <v>美光科技公司(Micron Technology, Inc., )透過旗下子公司，製造並銷售動態隨機存取記憶體晶片(DRAM)、靜態隨機存取記憶體晶片(SRAM)、快閃記憶體、半導體零組件及記憶體模組。</v>
      </c>
      <c r="J171">
        <f>_xll.BDP("MU UW Equity","ESG_SCORE")</f>
        <v>5.880000114440918</v>
      </c>
      <c r="K171" t="str">
        <f>_xll.BDP("MU UW Equity","MSCI_ESG_RATING")</f>
        <v>A</v>
      </c>
      <c r="L171">
        <f>_xll.BDP("MU UW Equity","EQY_BETA")</f>
        <v>1.855461597442627</v>
      </c>
      <c r="M171">
        <f>_xll.BDP("MU UW Equity","VOLATILITY_60D")</f>
        <v>37.479567267968349</v>
      </c>
      <c r="N171">
        <f>_xll.BDP("MU UW Equity","PCT_INSIDER_SHARES_OUT")</f>
        <v>0.25036095163632305</v>
      </c>
      <c r="O171">
        <f>_xll.BDP("MU UW Equity","PCT_CHG_INSIDER_HOLDINGS")</f>
        <v>-12.709941809784853</v>
      </c>
      <c r="P171">
        <f>_xll.BDP("MU UW Equity","RISK_PREMIUM")</f>
        <v>9.5580949907541264</v>
      </c>
      <c r="Q171">
        <f>_xll.BDP("MU UW Equity","HIGH_52WEEK")</f>
        <v>129.75</v>
      </c>
      <c r="R171">
        <f>_xll.BDP("MU UW Equity","LOW_52WEEK")</f>
        <v>61.57</v>
      </c>
    </row>
    <row r="172" spans="1:18" ht="15.75" x14ac:dyDescent="0.25">
      <c r="A172" t="s">
        <v>188</v>
      </c>
      <c r="B172">
        <f>_xll.BDP("MSI UN Equity","RT_PX_CHG_PCT_1D")</f>
        <v>0.74620002508163452</v>
      </c>
      <c r="C172" t="str">
        <f>_xll.BDP("MSI UN Equity","GICS_SECTOR_NAME")</f>
        <v>資訊技術</v>
      </c>
      <c r="D172" t="str">
        <f>_xll.BDP("MSI UN Equity","NAME_CHINESE_TRADITIONAL")</f>
        <v>摩托羅拉系統公司</v>
      </c>
      <c r="E172" t="str">
        <f>_xll.BDP("MSI UN Equity","CLASSIFICATION_LEVEL_4_NAME")</f>
        <v>通訊設備</v>
      </c>
      <c r="F172" t="str">
        <f>_xll.BDP("MSI UN Equity","CLASSIFICATION_DESCRIPTION")</f>
        <v>行動無線電通訊設備</v>
      </c>
      <c r="G172">
        <f>_xll.BDP("MSI UN Equity","CUR_MKT_CAP")</f>
        <v>71439964540</v>
      </c>
      <c r="H172">
        <f>_xll.BDP("MSI UN Equity","CHG_PCT_YTD")</f>
        <v>-7.4054060000000002</v>
      </c>
      <c r="I172" t="str">
        <f>_xll.BDP("MSI UN Equity","CIE_DES")</f>
        <v>摩托羅拉系統公司(Motorola Solutions, Inc.)為資料通訊及電信設備提供者。該公司開發資料擷取、無線、基礎設施、條碼掃描、雙向對講機以及無線寬頻網路。摩托羅拉亦生產公共安全及政府產品、語音及資料通信產品和系統，以及無線LAN安全。</v>
      </c>
      <c r="J172">
        <f>_xll.BDP("MSI UN Equity","ESG_SCORE")</f>
        <v>3.9500000476837158</v>
      </c>
      <c r="K172" t="str">
        <f>_xll.BDP("MSI UN Equity","MSCI_ESG_RATING")</f>
        <v>AA</v>
      </c>
      <c r="L172">
        <f>_xll.BDP("MSI UN Equity","EQY_BETA")</f>
        <v>0.86854398250579834</v>
      </c>
      <c r="M172">
        <f>_xll.BDP("MSI UN Equity","VOLATILITY_60D")</f>
        <v>21.935429775008906</v>
      </c>
      <c r="N172">
        <f>_xll.BDP("MSI UN Equity","PCT_INSIDER_SHARES_OUT")</f>
        <v>0.43064339014041814</v>
      </c>
      <c r="O172">
        <f>_xll.BDP("MSI UN Equity","PCT_CHG_INSIDER_HOLDINGS")</f>
        <v>15.393621090457374</v>
      </c>
      <c r="P172">
        <f>_xll.BDP("MSI UN Equity","RISK_PREMIUM")</f>
        <v>4.4741566734015938</v>
      </c>
      <c r="Q172">
        <f>_xll.BDP("MSI UN Equity","HIGH_52WEEK")</f>
        <v>507.505</v>
      </c>
      <c r="R172">
        <f>_xll.BDP("MSI UN Equity","LOW_52WEEK")</f>
        <v>388.9</v>
      </c>
    </row>
    <row r="173" spans="1:18" ht="15.75" x14ac:dyDescent="0.25">
      <c r="A173" t="s">
        <v>189</v>
      </c>
      <c r="B173">
        <f>_xll.BDP("CBOE UF Equity","RT_PX_CHG_PCT_1D")</f>
        <v>0.24400000274181366</v>
      </c>
      <c r="C173" t="str">
        <f>_xll.BDP("CBOE UF Equity","GICS_SECTOR_NAME")</f>
        <v>金融</v>
      </c>
      <c r="D173" t="str">
        <f>_xll.BDP("CBOE UF Equity","NAME_CHINESE_TRADITIONAL")</f>
        <v>芝加哥選擇權交易所全球市場公</v>
      </c>
      <c r="E173" t="str">
        <f>_xll.BDP("CBOE UF Equity","CLASSIFICATION_LEVEL_4_NAME")</f>
        <v>證券及商品交易所</v>
      </c>
      <c r="F173" t="str">
        <f>_xll.BDP("CBOE UF Equity","CLASSIFICATION_DESCRIPTION")</f>
        <v>證券及商品交易所</v>
      </c>
      <c r="G173">
        <f>_xll.BDP("CBOE UF Equity","CUR_MKT_CAP")</f>
        <v>25812886922.459999</v>
      </c>
      <c r="H173">
        <f>_xll.BDP("CBOE UF Equity","CHG_PCT_YTD")</f>
        <v>26.156610000000001</v>
      </c>
      <c r="I173" t="str">
        <f>_xll.BDP("CBOE UF Equity","CIE_DES")</f>
        <v>芝加哥選擇權交易所全球市場公司(Cboe Global Markets, Inc.)為交易所控股公司。該公司透過旗下子公司，經營金融選擇權交易平台，提供尖端的交易及投資解決方案，包括股票、外匯、指數、資料與分析，以及交易申報解決方案。Cboe全球市場公司服務全球客戶。</v>
      </c>
      <c r="J173">
        <f>_xll.BDP("CBOE UF Equity","ESG_SCORE")</f>
        <v>8.4799995422363281</v>
      </c>
      <c r="K173" t="str">
        <f>_xll.BDP("CBOE UF Equity","MSCI_ESG_RATING")</f>
        <v>AA</v>
      </c>
      <c r="L173">
        <f>_xll.BDP("CBOE UF Equity","EQY_BETA")</f>
        <v>0.26571670174598694</v>
      </c>
      <c r="M173">
        <f>_xll.BDP("CBOE UF Equity","VOLATILITY_60D")</f>
        <v>22.646095861760259</v>
      </c>
      <c r="N173">
        <f>_xll.BDP("CBOE UF Equity","PCT_INSIDER_SHARES_OUT")</f>
        <v>0.42303795219900436</v>
      </c>
      <c r="O173">
        <f>_xll.BDP("CBOE UF Equity","PCT_CHG_INSIDER_HOLDINGS")</f>
        <v>3.8752400627504686</v>
      </c>
      <c r="P173">
        <f>_xll.BDP("CBOE UF Equity","RISK_PREMIUM")</f>
        <v>1.3687944172051549</v>
      </c>
      <c r="Q173">
        <f>_xll.BDP("CBOE UF Equity","HIGH_52WEEK")</f>
        <v>248.77</v>
      </c>
      <c r="R173">
        <f>_xll.BDP("CBOE UF Equity","LOW_52WEEK")</f>
        <v>181.33</v>
      </c>
    </row>
    <row r="174" spans="1:18" ht="15.75" x14ac:dyDescent="0.25">
      <c r="A174" t="s">
        <v>190</v>
      </c>
      <c r="B174">
        <f>_xll.BDP("NEM UN Equity","RT_PX_CHG_PCT_1D")</f>
        <v>6.8931999206542969</v>
      </c>
      <c r="C174" t="str">
        <f>_xll.BDP("NEM UN Equity","GICS_SECTOR_NAME")</f>
        <v>原材料</v>
      </c>
      <c r="D174" t="str">
        <f>_xll.BDP("NEM UN Equity","NAME_CHINESE_TRADITIONAL")</f>
        <v>紐蒙特公司</v>
      </c>
      <c r="E174" t="str">
        <f>_xll.BDP("NEM UN Equity","CLASSIFICATION_LEVEL_4_NAME")</f>
        <v>貴金屬礦業</v>
      </c>
      <c r="F174" t="str">
        <f>_xll.BDP("NEM UN Equity","CLASSIFICATION_DESCRIPTION")</f>
        <v>黃金</v>
      </c>
      <c r="G174">
        <f>_xll.BDP("NEM UN Equity","CUR_MKT_CAP")</f>
        <v>72223069418.749985</v>
      </c>
      <c r="H174">
        <f>_xll.BDP("NEM UN Equity","CHG_PCT_YTD")</f>
        <v>76.652330000000006</v>
      </c>
      <c r="I174" t="str">
        <f>_xll.BDP("NEM UN Equity","CIE_DES")</f>
        <v>紐蒙特公司(Newmont Corporation)收購、探勘，並開發礦產。該公司生產並銷售黃金、銅、白銀、鋅，以及鉛。紐蒙特服務全球客戶。</v>
      </c>
      <c r="J174">
        <f>_xll.BDP("NEM UN Equity","ESG_SCORE")</f>
        <v>7.2699999809265137</v>
      </c>
      <c r="K174" t="str">
        <f>_xll.BDP("NEM UN Equity","MSCI_ESG_RATING")</f>
        <v>AA</v>
      </c>
      <c r="L174">
        <f>_xll.BDP("NEM UN Equity","EQY_BETA")</f>
        <v>0.79234850406646729</v>
      </c>
      <c r="M174">
        <f>_xll.BDP("NEM UN Equity","VOLATILITY_60D")</f>
        <v>39.927254293757919</v>
      </c>
      <c r="N174">
        <f>_xll.BDP("NEM UN Equity","PCT_INSIDER_SHARES_OUT")</f>
        <v>0.1463285538713642</v>
      </c>
      <c r="O174">
        <f>_xll.BDP("NEM UN Equity","PCT_CHG_INSIDER_HOLDINGS")</f>
        <v>7.0173487914702832</v>
      </c>
      <c r="P174">
        <f>_xll.BDP("NEM UN Equity","RISK_PREMIUM")</f>
        <v>4.0816486194527144</v>
      </c>
      <c r="Q174">
        <f>_xll.BDP("NEM UN Equity","HIGH_52WEEK")</f>
        <v>66.56</v>
      </c>
      <c r="R174">
        <f>_xll.BDP("NEM UN Equity","LOW_52WEEK")</f>
        <v>36.86</v>
      </c>
    </row>
    <row r="175" spans="1:18" ht="15.75" x14ac:dyDescent="0.25">
      <c r="A175" t="s">
        <v>191</v>
      </c>
      <c r="B175">
        <f>_xll.BDP("NKE UN Equity","RT_PX_CHG_PCT_1D")</f>
        <v>1.1269999742507935</v>
      </c>
      <c r="C175" t="str">
        <f>_xll.BDP("NKE UN Equity","GICS_SECTOR_NAME")</f>
        <v>非核心消費</v>
      </c>
      <c r="D175" t="str">
        <f>_xll.BDP("NKE UN Equity","NAME_CHINESE_TRADITIONAL")</f>
        <v>耐吉公司</v>
      </c>
      <c r="E175" t="str">
        <f>_xll.BDP("NKE UN Equity","CLASSIFICATION_LEVEL_4_NAME")</f>
        <v>服飾、鞋類及配件設計</v>
      </c>
      <c r="F175" t="str">
        <f>_xll.BDP("NKE UN Equity","CLASSIFICATION_DESCRIPTION")</f>
        <v>運動鞋</v>
      </c>
      <c r="G175">
        <f>_xll.BDP("NKE UN Equity","CUR_MKT_CAP")</f>
        <v>112643429334.84</v>
      </c>
      <c r="H175">
        <f>_xll.BDP("NKE UN Equity","CHG_PCT_YTD")</f>
        <v>0.79291909999999999</v>
      </c>
      <c r="I175" t="str">
        <f>_xll.BDP("NKE UN Equity","CIE_DES")</f>
        <v>耐吉公司(NIKE, Inc.)為男士、女士及兒童設計、開發及行銷運動鞋、服飾、設備及飾品。該公司透過旗下商店、子公司和經銷商銷售其產品。耐吉服務全球客戶。</v>
      </c>
      <c r="J175">
        <f>_xll.BDP("NKE UN Equity","ESG_SCORE")</f>
        <v>5.0199999809265137</v>
      </c>
      <c r="K175" t="str">
        <f>_xll.BDP("NKE UN Equity","MSCI_ESG_RATING")</f>
        <v>BB</v>
      </c>
      <c r="L175">
        <f>_xll.BDP("NKE UN Equity","EQY_BETA")</f>
        <v>0.92224198579788208</v>
      </c>
      <c r="M175">
        <f>_xll.BDP("NKE UN Equity","VOLATILITY_60D")</f>
        <v>44.752034448525144</v>
      </c>
      <c r="N175">
        <f>_xll.BDP("NKE UN Equity","PCT_INSIDER_SHARES_OUT")</f>
        <v>0.68985345598039083</v>
      </c>
      <c r="O175">
        <f>_xll.BDP("NKE UN Equity","PCT_CHG_INSIDER_HOLDINGS")</f>
        <v>-1.7280983387861633</v>
      </c>
      <c r="P175">
        <f>_xll.BDP("NKE UN Equity","RISK_PREMIUM")</f>
        <v>4.7507728087002032</v>
      </c>
      <c r="Q175">
        <f>_xll.BDP("NKE UN Equity","HIGH_52WEEK")</f>
        <v>90.62</v>
      </c>
      <c r="R175">
        <f>_xll.BDP("NKE UN Equity","LOW_52WEEK")</f>
        <v>52.28</v>
      </c>
    </row>
    <row r="176" spans="1:18" ht="15.75" x14ac:dyDescent="0.25">
      <c r="A176" t="s">
        <v>192</v>
      </c>
      <c r="B176">
        <f>_xll.BDP("NI UN Equity","RT_PX_CHG_PCT_1D")</f>
        <v>0.66829997301101685</v>
      </c>
      <c r="C176" t="str">
        <f>_xll.BDP("NI UN Equity","GICS_SECTOR_NAME")</f>
        <v>公用事業</v>
      </c>
      <c r="D176" t="str">
        <f>_xll.BDP("NI UN Equity","NAME_CHINESE_TRADITIONAL")</f>
        <v>NiSource公司</v>
      </c>
      <c r="E176" t="str">
        <f>_xll.BDP("NI UN Equity","CLASSIFICATION_LEVEL_4_NAME")</f>
        <v>天然氣公用事業</v>
      </c>
      <c r="F176" t="str">
        <f>_xll.BDP("NI UN Equity","CLASSIFICATION_DESCRIPTION")</f>
        <v>天然氣配送</v>
      </c>
      <c r="G176">
        <f>_xll.BDP("NI UN Equity","CUR_MKT_CAP")</f>
        <v>19854248912.519997</v>
      </c>
      <c r="H176">
        <f>_xll.BDP("NI UN Equity","CHG_PCT_YTD")</f>
        <v>14.744289999999999</v>
      </c>
      <c r="I176" t="str">
        <f>_xll.BDP("NI UN Equity","CIE_DES")</f>
        <v>NiSource公司(NiSource Inc.)為能源控股公司。其子公司提供天然氣、電力及其他產品服務，予墨西哥灣沿中西部至新英格蘭的客戶。</v>
      </c>
      <c r="J176">
        <f>_xll.BDP("NI UN Equity","ESG_SCORE")</f>
        <v>5.1399998664855957</v>
      </c>
      <c r="K176" t="str">
        <f>_xll.BDP("NI UN Equity","MSCI_ESG_RATING")</f>
        <v>AAA</v>
      </c>
      <c r="L176">
        <f>_xll.BDP("NI UN Equity","EQY_BETA")</f>
        <v>0.59236478805541992</v>
      </c>
      <c r="M176">
        <f>_xll.BDP("NI UN Equity","VOLATILITY_60D")</f>
        <v>18.9706086672197</v>
      </c>
      <c r="N176">
        <f>_xll.BDP("NI UN Equity","PCT_INSIDER_SHARES_OUT")</f>
        <v>0.33881004151450944</v>
      </c>
      <c r="O176">
        <f>_xll.BDP("NI UN Equity","PCT_CHG_INSIDER_HOLDINGS")</f>
        <v>14.032014942169074</v>
      </c>
      <c r="P176">
        <f>_xll.BDP("NI UN Equity","RISK_PREMIUM")</f>
        <v>3.051466503653526</v>
      </c>
      <c r="Q176">
        <f>_xll.BDP("NI UN Equity","HIGH_52WEEK")</f>
        <v>42.255000000000003</v>
      </c>
      <c r="R176">
        <f>_xll.BDP("NI UN Equity","LOW_52WEEK")</f>
        <v>30.53</v>
      </c>
    </row>
    <row r="177" spans="1:18" ht="15.75" x14ac:dyDescent="0.25">
      <c r="A177" t="s">
        <v>193</v>
      </c>
      <c r="B177">
        <f>_xll.BDP("NSC UN Equity","RT_PX_CHG_PCT_1D")</f>
        <v>1.5755000114440918</v>
      </c>
      <c r="C177" t="str">
        <f>_xll.BDP("NSC UN Equity","GICS_SECTOR_NAME")</f>
        <v>工業</v>
      </c>
      <c r="D177" t="str">
        <f>_xll.BDP("NSC UN Equity","NAME_CHINESE_TRADITIONAL")</f>
        <v>諾福克南方公司</v>
      </c>
      <c r="E177" t="str">
        <f>_xll.BDP("NSC UN Equity","CLASSIFICATION_LEVEL_4_NAME")</f>
        <v>鐵路貨運</v>
      </c>
      <c r="F177" t="str">
        <f>_xll.BDP("NSC UN Equity","CLASSIFICATION_DESCRIPTION")</f>
        <v>鐵路貨運</v>
      </c>
      <c r="G177">
        <f>_xll.BDP("NSC UN Equity","CUR_MKT_CAP")</f>
        <v>63660735812.379997</v>
      </c>
      <c r="H177">
        <f>_xll.BDP("NSC UN Equity","CHG_PCT_YTD")</f>
        <v>20.315300000000001</v>
      </c>
      <c r="I177" t="str">
        <f>_xll.BDP("NSC UN Equity","CIE_DES")</f>
        <v>諾福克南方公司(Norfolk Southern Corporation)提供鐵路運輸服務。該公司主要於東南部、東部，和中西部運輸原材料、中間產品，以及成品，並透過與鐵路運輸公司的轉乘往返於美國其它地區。諾福克南方公司亦透過幾個大西洋和墨西哥灣的數個港口，從事海外貨物運輸。</v>
      </c>
      <c r="J177">
        <f>_xll.BDP("NSC UN Equity","ESG_SCORE")</f>
        <v>5.2399997711181641</v>
      </c>
      <c r="K177" t="str">
        <f>_xll.BDP("NSC UN Equity","MSCI_ESG_RATING")</f>
        <v>BBB</v>
      </c>
      <c r="L177">
        <f>_xll.BDP("NSC UN Equity","EQY_BETA")</f>
        <v>0.9252091646194458</v>
      </c>
      <c r="M177">
        <f>_xll.BDP("NSC UN Equity","VOLATILITY_60D")</f>
        <v>22.342060286455421</v>
      </c>
      <c r="N177">
        <f>_xll.BDP("NSC UN Equity","PCT_INSIDER_SHARES_OUT")</f>
        <v>3.3434226225196116E-2</v>
      </c>
      <c r="O177">
        <f>_xll.BDP("NSC UN Equity","PCT_CHG_INSIDER_HOLDINGS")</f>
        <v>16.44695937943073</v>
      </c>
      <c r="P177">
        <f>_xll.BDP("NSC UN Equity","RISK_PREMIUM")</f>
        <v>4.7660577259790893</v>
      </c>
      <c r="Q177">
        <f>_xll.BDP("NSC UN Equity","HIGH_52WEEK")</f>
        <v>286.95</v>
      </c>
      <c r="R177">
        <f>_xll.BDP("NSC UN Equity","LOW_52WEEK")</f>
        <v>202.01</v>
      </c>
    </row>
    <row r="178" spans="1:18" ht="15.75" x14ac:dyDescent="0.25">
      <c r="A178" t="s">
        <v>194</v>
      </c>
      <c r="B178">
        <f>_xll.BDP("PFG UW Equity","RT_PX_CHG_PCT_1D")</f>
        <v>0.89630001783370972</v>
      </c>
      <c r="C178" t="str">
        <f>_xll.BDP("PFG UW Equity","GICS_SECTOR_NAME")</f>
        <v>金融</v>
      </c>
      <c r="D178" t="str">
        <f>_xll.BDP("PFG UW Equity","NAME_CHINESE_TRADITIONAL")</f>
        <v>信安金融保險集團</v>
      </c>
      <c r="E178" t="str">
        <f>_xll.BDP("PFG UW Equity","CLASSIFICATION_LEVEL_4_NAME")</f>
        <v>人壽保險</v>
      </c>
      <c r="F178" t="str">
        <f>_xll.BDP("PFG UW Equity","CLASSIFICATION_DESCRIPTION")</f>
        <v>人壽保險</v>
      </c>
      <c r="G178">
        <f>_xll.BDP("PFG UW Equity","CUR_MKT_CAP")</f>
        <v>18170662232.699997</v>
      </c>
      <c r="H178">
        <f>_xll.BDP("PFG UW Equity","CHG_PCT_YTD")</f>
        <v>4.7022300000000001</v>
      </c>
      <c r="I178" t="str">
        <f>_xll.BDP("PFG UW Equity","CIE_DES")</f>
        <v>信安金融集團公司(Principal Financial Group, Inc.)提供企業、個人及機構客戶各式各樣的金融產品及服務。該公司提供退休計畫方案、人壽及健康保險、保健計畫以及投資和銀行產品。</v>
      </c>
      <c r="J178">
        <f>_xll.BDP("PFG UW Equity","ESG_SCORE")</f>
        <v>2.7999999523162842</v>
      </c>
      <c r="K178" t="str">
        <f>_xll.BDP("PFG UW Equity","MSCI_ESG_RATING")</f>
        <v>A</v>
      </c>
      <c r="L178">
        <f>_xll.BDP("PFG UW Equity","EQY_BETA")</f>
        <v>0.94148194789886475</v>
      </c>
      <c r="M178">
        <f>_xll.BDP("PFG UW Equity","VOLATILITY_60D")</f>
        <v>21.989629554360071</v>
      </c>
      <c r="N178">
        <f>_xll.BDP("PFG UW Equity","PCT_INSIDER_SHARES_OUT")</f>
        <v>0.81109082085437934</v>
      </c>
      <c r="O178">
        <f>_xll.BDP("PFG UW Equity","PCT_CHG_INSIDER_HOLDINGS")</f>
        <v>16.044227721969825</v>
      </c>
      <c r="P178">
        <f>_xll.BDP("PFG UW Equity","RISK_PREMIUM")</f>
        <v>4.849884202669859</v>
      </c>
      <c r="Q178">
        <f>_xll.BDP("PFG UW Equity","HIGH_52WEEK")</f>
        <v>91.97</v>
      </c>
      <c r="R178">
        <f>_xll.BDP("PFG UW Equity","LOW_52WEEK")</f>
        <v>68.5</v>
      </c>
    </row>
    <row r="179" spans="1:18" ht="15.75" x14ac:dyDescent="0.25">
      <c r="A179" t="s">
        <v>195</v>
      </c>
      <c r="B179">
        <f>_xll.BDP("ES UN Equity","RT_PX_CHG_PCT_1D")</f>
        <v>0.31619998812675476</v>
      </c>
      <c r="C179" t="str">
        <f>_xll.BDP("ES UN Equity","GICS_SECTOR_NAME")</f>
        <v>公用事業</v>
      </c>
      <c r="D179" t="str">
        <f>_xll.BDP("ES UN Equity","NAME_CHINESE_TRADITIONAL")</f>
        <v>Eversource能源</v>
      </c>
      <c r="E179" t="str">
        <f>_xll.BDP("ES UN Equity","CLASSIFICATION_LEVEL_4_NAME")</f>
        <v>電力網</v>
      </c>
      <c r="F179" t="str">
        <f>_xll.BDP("ES UN Equity","CLASSIFICATION_DESCRIPTION")</f>
        <v>電力網</v>
      </c>
      <c r="G179">
        <f>_xll.BDP("ES UN Equity","CUR_MKT_CAP")</f>
        <v>24475175908.959999</v>
      </c>
      <c r="H179">
        <f>_xll.BDP("ES UN Equity","CHG_PCT_YTD")</f>
        <v>16.002089999999999</v>
      </c>
      <c r="I179" t="str">
        <f>_xll.BDP("ES UN Equity","CIE_DES")</f>
        <v>Eversource能源(Eversource Energy)為公共事業的控股公司。該公司透過旗下子公司，提供電力服務予康乃狄克州、新罕布夏州，及麻州西部等地的客戶。Eversource能源亦於康乃狄克州從事天然氣分銷的業務。</v>
      </c>
      <c r="J179">
        <f>_xll.BDP("ES UN Equity","ESG_SCORE")</f>
        <v>5.059999942779541</v>
      </c>
      <c r="K179" t="str">
        <f>_xll.BDP("ES UN Equity","MSCI_ESG_RATING")</f>
        <v>AA</v>
      </c>
      <c r="L179">
        <f>_xll.BDP("ES UN Equity","EQY_BETA")</f>
        <v>0.48562997579574585</v>
      </c>
      <c r="M179">
        <f>_xll.BDP("ES UN Equity","VOLATILITY_60D")</f>
        <v>20.741062976153845</v>
      </c>
      <c r="N179">
        <f>_xll.BDP("ES UN Equity","PCT_INSIDER_SHARES_OUT")</f>
        <v>0.10974923295683436</v>
      </c>
      <c r="O179">
        <f>_xll.BDP("ES UN Equity","PCT_CHG_INSIDER_HOLDINGS")</f>
        <v>20.82117236708838</v>
      </c>
      <c r="P179">
        <f>_xll.BDP("ES UN Equity","RISK_PREMIUM")</f>
        <v>2.5016402632158994</v>
      </c>
      <c r="Q179">
        <f>_xll.BDP("ES UN Equity","HIGH_52WEEK")</f>
        <v>69.010000000000005</v>
      </c>
      <c r="R179">
        <f>_xll.BDP("ES UN Equity","LOW_52WEEK")</f>
        <v>52.31</v>
      </c>
    </row>
    <row r="180" spans="1:18" ht="15.75" x14ac:dyDescent="0.25">
      <c r="A180" t="s">
        <v>196</v>
      </c>
      <c r="B180">
        <f>_xll.BDP("NOC UN Equity","RT_PX_CHG_PCT_1D")</f>
        <v>0.2215999960899353</v>
      </c>
      <c r="C180" t="str">
        <f>_xll.BDP("NOC UN Equity","GICS_SECTOR_NAME")</f>
        <v>工業</v>
      </c>
      <c r="D180" t="str">
        <f>_xll.BDP("NOC UN Equity","NAME_CHINESE_TRADITIONAL")</f>
        <v>諾斯洛普格拉曼</v>
      </c>
      <c r="E180" t="str">
        <f>_xll.BDP("NOC UN Equity","CLASSIFICATION_LEVEL_4_NAME")</f>
        <v>國防</v>
      </c>
      <c r="F180" t="str">
        <f>_xll.BDP("NOC UN Equity","CLASSIFICATION_DESCRIPTION")</f>
        <v>國防</v>
      </c>
      <c r="G180">
        <f>_xll.BDP("NOC UN Equity","CUR_MKT_CAP")</f>
        <v>81577072164.679993</v>
      </c>
      <c r="H180">
        <f>_xll.BDP("NOC UN Equity","CHG_PCT_YTD")</f>
        <v>21.404669999999999</v>
      </c>
      <c r="I180" t="str">
        <f>_xll.BDP("NOC UN Equity","CIE_DES")</f>
        <v>諾斯洛普格拉曼公司(Northrop Grumman Corporation)為全球性保全公司。該公司提供航太、電子、資訊系統、及技術服務所需之系統、產品及解決方案，予全球的政府和商業客戶使用。</v>
      </c>
      <c r="J180">
        <f>_xll.BDP("NOC UN Equity","ESG_SCORE")</f>
        <v>4.8600001335144043</v>
      </c>
      <c r="K180" t="str">
        <f>_xll.BDP("NOC UN Equity","MSCI_ESG_RATING")</f>
        <v>A</v>
      </c>
      <c r="L180">
        <f>_xll.BDP("NOC UN Equity","EQY_BETA")</f>
        <v>0.50268733501434326</v>
      </c>
      <c r="M180">
        <f>_xll.BDP("NOC UN Equity","VOLATILITY_60D")</f>
        <v>27.656746113094506</v>
      </c>
      <c r="N180">
        <f>_xll.BDP("NOC UN Equity","PCT_INSIDER_SHARES_OUT")</f>
        <v>0.31724819210381117</v>
      </c>
      <c r="O180">
        <f>_xll.BDP("NOC UN Equity","PCT_CHG_INSIDER_HOLDINGS")</f>
        <v>1.8980618068712012</v>
      </c>
      <c r="P180">
        <f>_xll.BDP("NOC UN Equity","RISK_PREMIUM")</f>
        <v>2.5895083494794369</v>
      </c>
      <c r="Q180">
        <f>_xll.BDP("NOC UN Equity","HIGH_52WEEK")</f>
        <v>576.75</v>
      </c>
      <c r="R180">
        <f>_xll.BDP("NOC UN Equity","LOW_52WEEK")</f>
        <v>427</v>
      </c>
    </row>
    <row r="181" spans="1:18" ht="15.75" x14ac:dyDescent="0.25">
      <c r="A181" t="s">
        <v>197</v>
      </c>
      <c r="B181">
        <f>_xll.BDP("WFC UN Equity","RT_PX_CHG_PCT_1D")</f>
        <v>0.53649997711181641</v>
      </c>
      <c r="C181" t="str">
        <f>_xll.BDP("WFC UN Equity","GICS_SECTOR_NAME")</f>
        <v>金融</v>
      </c>
      <c r="D181" t="str">
        <f>_xll.BDP("WFC UN Equity","NAME_CHINESE_TRADITIONAL")</f>
        <v>富國銀行</v>
      </c>
      <c r="E181" t="str">
        <f>_xll.BDP("WFC UN Equity","CLASSIFICATION_LEVEL_4_NAME")</f>
        <v>銀行</v>
      </c>
      <c r="F181" t="str">
        <f>_xll.BDP("WFC UN Equity","CLASSIFICATION_DESCRIPTION")</f>
        <v>銀行</v>
      </c>
      <c r="G181">
        <f>_xll.BDP("WFC UN Equity","CUR_MKT_CAP")</f>
        <v>274392663846.71994</v>
      </c>
      <c r="H181">
        <f>_xll.BDP("WFC UN Equity","CHG_PCT_YTD")</f>
        <v>20.045559999999998</v>
      </c>
      <c r="I181" t="str">
        <f>_xll.BDP("WFC UN Equity","CIE_DES")</f>
        <v>富國銀行公司(Wells Fargo &amp; Company)經營多元化的金融服務。該公司提供銀行、保險、投資、抵押、租賃、信用卡，以及消費性金融。富國銀行公司服務全球各地的實體商店、網際網路，以及其他經銷通道。</v>
      </c>
      <c r="J181">
        <f>_xll.BDP("WFC UN Equity","ESG_SCORE")</f>
        <v>4.869999885559082</v>
      </c>
      <c r="K181" t="str">
        <f>_xll.BDP("WFC UN Equity","MSCI_ESG_RATING")</f>
        <v>BB</v>
      </c>
      <c r="L181">
        <f>_xll.BDP("WFC UN Equity","EQY_BETA")</f>
        <v>1.0412775278091431</v>
      </c>
      <c r="M181">
        <f>_xll.BDP("WFC UN Equity","VOLATILITY_60D")</f>
        <v>23.905663702511454</v>
      </c>
      <c r="N181">
        <f>_xll.BDP("WFC UN Equity","PCT_INSIDER_SHARES_OUT")</f>
        <v>0.14296558590453756</v>
      </c>
      <c r="O181">
        <f>_xll.BDP("WFC UN Equity","PCT_CHG_INSIDER_HOLDINGS")</f>
        <v>24.950242976105645</v>
      </c>
      <c r="P181">
        <f>_xll.BDP("WFC UN Equity","RISK_PREMIUM")</f>
        <v>5.3639641673290726</v>
      </c>
      <c r="Q181">
        <f>_xll.BDP("WFC UN Equity","HIGH_52WEEK")</f>
        <v>84.83</v>
      </c>
      <c r="R181">
        <f>_xll.BDP("WFC UN Equity","LOW_52WEEK")</f>
        <v>50.21</v>
      </c>
    </row>
    <row r="182" spans="1:18" ht="15.75" x14ac:dyDescent="0.25">
      <c r="A182" t="s">
        <v>198</v>
      </c>
      <c r="B182">
        <f>_xll.BDP("NUE UN Equity","RT_PX_CHG_PCT_1D")</f>
        <v>3.1110999584197998</v>
      </c>
      <c r="C182" t="str">
        <f>_xll.BDP("NUE UN Equity","GICS_SECTOR_NAME")</f>
        <v>原材料</v>
      </c>
      <c r="D182" t="str">
        <f>_xll.BDP("NUE UN Equity","NAME_CHINESE_TRADITIONAL")</f>
        <v>諾可公司</v>
      </c>
      <c r="E182" t="str">
        <f>_xll.BDP("NUE UN Equity","CLASSIFICATION_LEVEL_4_NAME")</f>
        <v>鋼製造業</v>
      </c>
      <c r="F182" t="str">
        <f>_xll.BDP("NUE UN Equity","CLASSIFICATION_DESCRIPTION")</f>
        <v>鋼製造業</v>
      </c>
      <c r="G182">
        <f>_xll.BDP("NUE UN Equity","CUR_MKT_CAP")</f>
        <v>33650346289.98</v>
      </c>
      <c r="H182">
        <f>_xll.BDP("NUE UN Equity","CHG_PCT_YTD")</f>
        <v>24.95073</v>
      </c>
      <c r="I182" t="str">
        <f>_xll.BDP("NUE UN Equity","CIE_DES")</f>
        <v>諾可公司(Nucor Corporation)為一家製造鋼鐵產品公司。該公司的產品包括碳及合金鋼、鋼接頭、鋼承板、冷軋鋼、研磨鋼球、軸承鋼及金屬建築系統。諾可亦代理含鐵與非鐵金屬、生鐵與HBI/DRI、提供鐵合金、並處理含鐵與非鐵的廢金屬。</v>
      </c>
      <c r="J182">
        <f>_xll.BDP("NUE UN Equity","ESG_SCORE")</f>
        <v>6.1700000762939453</v>
      </c>
      <c r="K182" t="str">
        <f>_xll.BDP("NUE UN Equity","MSCI_ESG_RATING")</f>
        <v>AA</v>
      </c>
      <c r="L182">
        <f>_xll.BDP("NUE UN Equity","EQY_BETA")</f>
        <v>1.0927337408065796</v>
      </c>
      <c r="M182">
        <f>_xll.BDP("NUE UN Equity","VOLATILITY_60D")</f>
        <v>36.827043208503888</v>
      </c>
      <c r="N182">
        <f>_xll.BDP("NUE UN Equity","PCT_INSIDER_SHARES_OUT")</f>
        <v>0.70781619931484419</v>
      </c>
      <c r="O182">
        <f>_xll.BDP("NUE UN Equity","PCT_CHG_INSIDER_HOLDINGS")</f>
        <v>6.7121934074645733</v>
      </c>
      <c r="P182">
        <f>_xll.BDP("NUE UN Equity","RISK_PREMIUM")</f>
        <v>5.6290321010291571</v>
      </c>
      <c r="Q182">
        <f>_xll.BDP("NUE UN Equity","HIGH_52WEEK")</f>
        <v>170.505</v>
      </c>
      <c r="R182">
        <f>_xll.BDP("NUE UN Equity","LOW_52WEEK")</f>
        <v>97.65</v>
      </c>
    </row>
    <row r="183" spans="1:18" ht="15.75" x14ac:dyDescent="0.25">
      <c r="A183" t="s">
        <v>199</v>
      </c>
      <c r="B183">
        <f>_xll.BDP("OXY UN Equity","RT_PX_CHG_PCT_1D")</f>
        <v>0.17929999530315399</v>
      </c>
      <c r="C183" t="str">
        <f>_xll.BDP("OXY UN Equity","GICS_SECTOR_NAME")</f>
        <v>能源</v>
      </c>
      <c r="D183" t="str">
        <f>_xll.BDP("OXY UN Equity","NAME_CHINESE_TRADITIONAL")</f>
        <v>西方石油</v>
      </c>
      <c r="E183" t="str">
        <f>_xll.BDP("OXY UN Equity","CLASSIFICATION_LEVEL_4_NAME")</f>
        <v>探勘及生產</v>
      </c>
      <c r="F183" t="str">
        <f>_xll.BDP("OXY UN Equity","CLASSIFICATION_DESCRIPTION")</f>
        <v>原油及天然氣探勘與生產</v>
      </c>
      <c r="G183">
        <f>_xll.BDP("OXY UN Equity","CUR_MKT_CAP")</f>
        <v>44000572033.380005</v>
      </c>
      <c r="H183">
        <f>_xll.BDP("OXY UN Equity","CHG_PCT_YTD")</f>
        <v>-9.5122440000000008</v>
      </c>
      <c r="I183" t="str">
        <f>_xll.BDP("OXY UN Equity","CIE_DES")</f>
        <v>西方石油公司(Occidental Petroleum Corporation)探勘、開發、生產及行銷原油與天然氣。該公司亦製造及行銷多種基本化學原料、乙烯基及特用化學品。西方石油亦收集、處理、加工、運輸、儲存、交易及行銷原油、天然氣、天然氣凝結油、凝析油及二氧化碳(CO2)，及電力生產與行銷。</v>
      </c>
      <c r="J183">
        <f>_xll.BDP("OXY UN Equity","ESG_SCORE")</f>
        <v>5.8400001525878906</v>
      </c>
      <c r="K183" t="str">
        <f>_xll.BDP("OXY UN Equity","MSCI_ESG_RATING")</f>
        <v>A</v>
      </c>
      <c r="L183">
        <f>_xll.BDP("OXY UN Equity","EQY_BETA")</f>
        <v>0.62005323171615601</v>
      </c>
      <c r="M183">
        <f>_xll.BDP("OXY UN Equity","VOLATILITY_60D")</f>
        <v>35.063699666327864</v>
      </c>
      <c r="N183">
        <f>_xll.BDP("OXY UN Equity","PCT_INSIDER_SHARES_OUT")</f>
        <v>0.38041699051357608</v>
      </c>
      <c r="O183">
        <f>_xll.BDP("OXY UN Equity","PCT_CHG_INSIDER_HOLDINGS")</f>
        <v>19.537610938763208</v>
      </c>
      <c r="P183">
        <f>_xll.BDP("OXY UN Equity","RISK_PREMIUM")</f>
        <v>3.1940988141363857</v>
      </c>
      <c r="Q183">
        <f>_xll.BDP("OXY UN Equity","HIGH_52WEEK")</f>
        <v>61.35</v>
      </c>
      <c r="R183">
        <f>_xll.BDP("OXY UN Equity","LOW_52WEEK")</f>
        <v>34.79</v>
      </c>
    </row>
    <row r="184" spans="1:18" ht="15.75" x14ac:dyDescent="0.25">
      <c r="A184" t="s">
        <v>200</v>
      </c>
      <c r="B184">
        <f>_xll.BDP("OMC UN Equity","RT_PX_CHG_PCT_1D")</f>
        <v>-0.75269997119903564</v>
      </c>
      <c r="C184" t="str">
        <f>_xll.BDP("OMC UN Equity","GICS_SECTOR_NAME")</f>
        <v>通訊服務</v>
      </c>
      <c r="D184" t="str">
        <f>_xll.BDP("OMC UN Equity","NAME_CHINESE_TRADITIONAL")</f>
        <v>奧姆尼康集團</v>
      </c>
      <c r="E184" t="str">
        <f>_xll.BDP("OMC UN Equity","CLASSIFICATION_LEVEL_4_NAME")</f>
        <v>廣告及行銷</v>
      </c>
      <c r="F184" t="str">
        <f>_xll.BDP("OMC UN Equity","CLASSIFICATION_DESCRIPTION")</f>
        <v>廣告代理及服務</v>
      </c>
      <c r="G184">
        <f>_xll.BDP("OMC UN Equity","CUR_MKT_CAP")</f>
        <v>14815926550.719999</v>
      </c>
      <c r="H184">
        <f>_xll.BDP("OMC UN Equity","CHG_PCT_YTD")</f>
        <v>-11.11111</v>
      </c>
      <c r="I184" t="str">
        <f>_xll.BDP("OMC UN Equity","CIE_DES")</f>
        <v>奧姆尼康集團(Omnicom Group Inc.)提供廣告、行銷與企業溝通服務。該公司的機構於全球主要市場營運，其提供多方面的服務包括：傳統媒體廣告、顧客關係管理(CRM)、公共關係，以及與特殊通信。</v>
      </c>
      <c r="J184">
        <f>_xll.BDP("OMC UN Equity","ESG_SCORE")</f>
        <v>6.4000000953674316</v>
      </c>
      <c r="K184" t="str">
        <f>_xll.BDP("OMC UN Equity","MSCI_ESG_RATING")</f>
        <v>BB</v>
      </c>
      <c r="L184">
        <f>_xll.BDP("OMC UN Equity","EQY_BETA")</f>
        <v>0.87421935796737671</v>
      </c>
      <c r="M184">
        <f>_xll.BDP("OMC UN Equity","VOLATILITY_60D")</f>
        <v>31.732258826136352</v>
      </c>
      <c r="N184">
        <f>_xll.BDP("OMC UN Equity","PCT_INSIDER_SHARES_OUT")</f>
        <v>1.2907095098204702</v>
      </c>
      <c r="O184">
        <f>_xll.BDP("OMC UN Equity","PCT_CHG_INSIDER_HOLDINGS")</f>
        <v>8.3325610709793985</v>
      </c>
      <c r="P184">
        <f>_xll.BDP("OMC UN Equity","RISK_PREMIUM")</f>
        <v>4.5033924052780865</v>
      </c>
      <c r="Q184">
        <f>_xll.BDP("OMC UN Equity","HIGH_52WEEK")</f>
        <v>107</v>
      </c>
      <c r="R184">
        <f>_xll.BDP("OMC UN Equity","LOW_52WEEK")</f>
        <v>68.39</v>
      </c>
    </row>
    <row r="185" spans="1:18" ht="15.75" x14ac:dyDescent="0.25">
      <c r="A185" t="s">
        <v>201</v>
      </c>
      <c r="B185">
        <f>_xll.BDP("OKE UN Equity","RT_PX_CHG_PCT_1D")</f>
        <v>-0.57309997081756592</v>
      </c>
      <c r="C185" t="str">
        <f>_xll.BDP("OKE UN Equity","GICS_SECTOR_NAME")</f>
        <v>能源</v>
      </c>
      <c r="D185" t="str">
        <f>_xll.BDP("OKE UN Equity","NAME_CHINESE_TRADITIONAL")</f>
        <v>ONEOK Inc</v>
      </c>
      <c r="E185" t="str">
        <f>_xll.BDP("OKE UN Equity","CLASSIFICATION_LEVEL_4_NAME")</f>
        <v>中游石油及天然氣業</v>
      </c>
      <c r="F185" t="str">
        <f>_xll.BDP("OKE UN Equity","CLASSIFICATION_DESCRIPTION")</f>
        <v>中游石油及天然氣業</v>
      </c>
      <c r="G185">
        <f>_xll.BDP("OKE UN Equity","CUR_MKT_CAP")</f>
        <v>51333010176.779999</v>
      </c>
      <c r="H185">
        <f>_xll.BDP("OKE UN Equity","CHG_PCT_YTD")</f>
        <v>-18.784859999999998</v>
      </c>
      <c r="I185" t="str">
        <f>_xll.BDP("OKE UN Equity","CIE_DES")</f>
        <v>ONEOK公司為一多元化的能源公司。該公司在美國境內從事天然氣及液化天然氣的業務。</v>
      </c>
      <c r="J185">
        <f>_xll.BDP("OKE UN Equity","ESG_SCORE")</f>
        <v>5.320000171661377</v>
      </c>
      <c r="K185" t="str">
        <f>_xll.BDP("OKE UN Equity","MSCI_ESG_RATING")</f>
        <v>AAA</v>
      </c>
      <c r="L185">
        <f>_xll.BDP("OKE UN Equity","EQY_BETA")</f>
        <v>0.89943033456802368</v>
      </c>
      <c r="M185">
        <f>_xll.BDP("OKE UN Equity","VOLATILITY_60D")</f>
        <v>24.919269409239416</v>
      </c>
      <c r="N185">
        <f>_xll.BDP("OKE UN Equity","PCT_INSIDER_SHARES_OUT")</f>
        <v>0.20385882793876642</v>
      </c>
      <c r="O185">
        <f>_xll.BDP("OKE UN Equity","PCT_CHG_INSIDER_HOLDINGS")</f>
        <v>5.8995705748573251</v>
      </c>
      <c r="P185">
        <f>_xll.BDP("OKE UN Equity","RISK_PREMIUM")</f>
        <v>4.6332624653702972</v>
      </c>
      <c r="Q185">
        <f>_xll.BDP("OKE UN Equity","HIGH_52WEEK")</f>
        <v>118.03</v>
      </c>
      <c r="R185">
        <f>_xll.BDP("OKE UN Equity","LOW_52WEEK")</f>
        <v>75.48</v>
      </c>
    </row>
    <row r="186" spans="1:18" ht="15.75" x14ac:dyDescent="0.25">
      <c r="A186" t="s">
        <v>202</v>
      </c>
      <c r="B186">
        <f>_xll.BDP("RJF UN Equity","RT_PX_CHG_PCT_1D")</f>
        <v>1.0128999948501587</v>
      </c>
      <c r="C186" t="str">
        <f>_xll.BDP("RJF UN Equity","GICS_SECTOR_NAME")</f>
        <v>金融</v>
      </c>
      <c r="D186" t="str">
        <f>_xll.BDP("RJF UN Equity","NAME_CHINESE_TRADITIONAL")</f>
        <v>Raymond James Financial Inc</v>
      </c>
      <c r="E186" t="str">
        <f>_xll.BDP("RJF UN Equity","CLASSIFICATION_LEVEL_4_NAME")</f>
        <v>財富管理</v>
      </c>
      <c r="F186" t="str">
        <f>_xll.BDP("RJF UN Equity","CLASSIFICATION_DESCRIPTION")</f>
        <v>財富管理</v>
      </c>
      <c r="G186">
        <f>_xll.BDP("RJF UN Equity","CUR_MKT_CAP")</f>
        <v>34001692289.140003</v>
      </c>
      <c r="H186">
        <f>_xll.BDP("RJF UN Equity","CHG_PCT_YTD")</f>
        <v>8.4980349999999998</v>
      </c>
      <c r="I186" t="str">
        <f>_xll.BDP("RJF UN Equity","CIE_DES")</f>
        <v>Raymond James金融公司透過旗下投資子公司，提供金融服務予個人、公司、和地方政府。該公司經營據點遍及美國、加拿大、和海外等地。</v>
      </c>
      <c r="J186">
        <f>_xll.BDP("RJF UN Equity","ESG_SCORE")</f>
        <v>3.2799999713897705</v>
      </c>
      <c r="K186" t="str">
        <f>_xll.BDP("RJF UN Equity","MSCI_ESG_RATING")</f>
        <v>AA</v>
      </c>
      <c r="L186">
        <f>_xll.BDP("RJF UN Equity","EQY_BETA")</f>
        <v>1.0908252000808716</v>
      </c>
      <c r="M186">
        <f>_xll.BDP("RJF UN Equity","VOLATILITY_60D")</f>
        <v>21.301076763876793</v>
      </c>
      <c r="N186">
        <f>_xll.BDP("RJF UN Equity","PCT_INSIDER_SHARES_OUT")</f>
        <v>10.19744716078204</v>
      </c>
      <c r="O186">
        <f>_xll.BDP("RJF UN Equity","PCT_CHG_INSIDER_HOLDINGS")</f>
        <v>6.0657535469980699E-2</v>
      </c>
      <c r="P186">
        <f>_xll.BDP("RJF UN Equity","RISK_PREMIUM")</f>
        <v>5.6192005779325962</v>
      </c>
      <c r="Q186">
        <f>_xll.BDP("RJF UN Equity","HIGH_52WEEK")</f>
        <v>174.23</v>
      </c>
      <c r="R186">
        <f>_xll.BDP("RJF UN Equity","LOW_52WEEK")</f>
        <v>104.4</v>
      </c>
    </row>
    <row r="187" spans="1:18" ht="15.75" x14ac:dyDescent="0.25">
      <c r="A187" t="s">
        <v>203</v>
      </c>
      <c r="B187">
        <f>_xll.BDP("PCG UN Equity","RT_PX_CHG_PCT_1D")</f>
        <v>1.660599946975708</v>
      </c>
      <c r="C187" t="str">
        <f>_xll.BDP("PCG UN Equity","GICS_SECTOR_NAME")</f>
        <v>公用事業</v>
      </c>
      <c r="D187" t="str">
        <f>_xll.BDP("PCG UN Equity","NAME_CHINESE_TRADITIONAL")</f>
        <v>太平洋電力瓦斯公司</v>
      </c>
      <c r="E187" t="str">
        <f>_xll.BDP("PCG UN Equity","CLASSIFICATION_LEVEL_4_NAME")</f>
        <v>整合型公用事業</v>
      </c>
      <c r="F187" t="str">
        <f>_xll.BDP("PCG UN Equity","CLASSIFICATION_DESCRIPTION")</f>
        <v>整合型公用事業</v>
      </c>
      <c r="G187">
        <f>_xll.BDP("PCG UN Equity","CUR_MKT_CAP")</f>
        <v>30943404983.039997</v>
      </c>
      <c r="H187">
        <f>_xll.BDP("PCG UN Equity","CHG_PCT_YTD")</f>
        <v>-30.22795</v>
      </c>
      <c r="I187" t="str">
        <f>_xll.BDP("PCG UN Equity","CIE_DES")</f>
        <v>太平洋電力瓦斯公司（PG&amp;E Corporation）為一家控股公司。該公司透過旗下子公司，提供電力與天然氣配送業務、發電，以及天然氣傳輸與儲存服務。太平洋電力瓦斯服務加州北部和中部地區的電力及天然氣零售客戶。</v>
      </c>
      <c r="J187">
        <f>_xll.BDP("PCG UN Equity","ESG_SCORE")</f>
        <v>6.570000171661377</v>
      </c>
      <c r="K187" t="str">
        <f>_xll.BDP("PCG UN Equity","MSCI_ESG_RATING")</f>
        <v>BBB</v>
      </c>
      <c r="L187">
        <f>_xll.BDP("PCG UN Equity","EQY_BETA")</f>
        <v>0.58173143863677979</v>
      </c>
      <c r="M187">
        <f>_xll.BDP("PCG UN Equity","VOLATILITY_60D")</f>
        <v>29.127408999639805</v>
      </c>
      <c r="N187">
        <f>_xll.BDP("PCG UN Equity","PCT_INSIDER_SHARES_OUT")</f>
        <v>0.20651373649999885</v>
      </c>
      <c r="O187">
        <f>_xll.BDP("PCG UN Equity","PCT_CHG_INSIDER_HOLDINGS")</f>
        <v>36.332284905910043</v>
      </c>
      <c r="P187">
        <f>_xll.BDP("PCG UN Equity","RISK_PREMIUM")</f>
        <v>2.9966906117928027</v>
      </c>
      <c r="Q187">
        <f>_xll.BDP("PCG UN Equity","HIGH_52WEEK")</f>
        <v>21.72</v>
      </c>
      <c r="R187">
        <f>_xll.BDP("PCG UN Equity","LOW_52WEEK")</f>
        <v>12.97</v>
      </c>
    </row>
    <row r="188" spans="1:18" ht="15.75" x14ac:dyDescent="0.25">
      <c r="A188" t="s">
        <v>204</v>
      </c>
      <c r="B188">
        <f>_xll.BDP("PH UN Equity","RT_PX_CHG_PCT_1D")</f>
        <v>1.2609000205993652</v>
      </c>
      <c r="C188" t="str">
        <f>_xll.BDP("PH UN Equity","GICS_SECTOR_NAME")</f>
        <v>工業</v>
      </c>
      <c r="D188" t="str">
        <f>_xll.BDP("PH UN Equity","NAME_CHINESE_TRADITIONAL")</f>
        <v>派克漢尼汾公司</v>
      </c>
      <c r="E188" t="str">
        <f>_xll.BDP("PH UN Equity","CLASSIFICATION_LEVEL_4_NAME")</f>
        <v>多元化工業</v>
      </c>
      <c r="F188" t="str">
        <f>_xll.BDP("PH UN Equity","CLASSIFICATION_DESCRIPTION")</f>
        <v>多元化工業</v>
      </c>
      <c r="G188">
        <f>_xll.BDP("PH UN Equity","CUR_MKT_CAP")</f>
        <v>94404944915.280014</v>
      </c>
      <c r="H188">
        <f>_xll.BDP("PH UN Equity","CHG_PCT_YTD")</f>
        <v>16.161180000000002</v>
      </c>
      <c r="I188" t="str">
        <f>_xll.BDP("PH UN Equity","CIE_DES")</f>
        <v>派克漢尼汾公司(Parker-Hannifin Corporation)設計並製造多元工業及航太系統。該公司針對工業市場提供移動控制和液體系統與元件，並針對航空航天市場提供飛行控制、液壓、液體運輸、熱能管理、充氣，以及潤滑系統與元件。派克漢尼汾服務全球客戶。</v>
      </c>
      <c r="J188">
        <f>_xll.BDP("PH UN Equity","ESG_SCORE")</f>
        <v>6.0399999618530273</v>
      </c>
      <c r="K188" t="str">
        <f>_xll.BDP("PH UN Equity","MSCI_ESG_RATING")</f>
        <v>A</v>
      </c>
      <c r="L188">
        <f>_xll.BDP("PH UN Equity","EQY_BETA")</f>
        <v>1.2022444009780884</v>
      </c>
      <c r="M188">
        <f>_xll.BDP("PH UN Equity","VOLATILITY_60D")</f>
        <v>18.919738492546617</v>
      </c>
      <c r="N188">
        <f>_xll.BDP("PH UN Equity","PCT_INSIDER_SHARES_OUT")</f>
        <v>0.56656351641127578</v>
      </c>
      <c r="O188">
        <f>_xll.BDP("PH UN Equity","PCT_CHG_INSIDER_HOLDINGS")</f>
        <v>5.8396153581927788</v>
      </c>
      <c r="P188">
        <f>_xll.BDP("PH UN Equity","RISK_PREMIUM")</f>
        <v>6.1931576500904555</v>
      </c>
      <c r="Q188">
        <f>_xll.BDP("PH UN Equity","HIGH_52WEEK")</f>
        <v>740.25</v>
      </c>
      <c r="R188">
        <f>_xll.BDP("PH UN Equity","LOW_52WEEK")</f>
        <v>489.91</v>
      </c>
    </row>
    <row r="189" spans="1:18" ht="15.75" x14ac:dyDescent="0.25">
      <c r="A189" t="s">
        <v>205</v>
      </c>
      <c r="B189">
        <f>_xll.BDP("ROL UN Equity","RT_PX_CHG_PCT_1D")</f>
        <v>0.10339999943971634</v>
      </c>
      <c r="C189" t="str">
        <f>_xll.BDP("ROL UN Equity","GICS_SECTOR_NAME")</f>
        <v>工業</v>
      </c>
      <c r="D189" t="str">
        <f>_xll.BDP("ROL UN Equity","NAME_CHINESE_TRADITIONAL")</f>
        <v>羅林斯公司</v>
      </c>
      <c r="E189" t="str">
        <f>_xll.BDP("ROL UN Equity","CLASSIFICATION_LEVEL_4_NAME")</f>
        <v>建築維護保養服務</v>
      </c>
      <c r="F189" t="str">
        <f>_xll.BDP("ROL UN Equity","CLASSIFICATION_DESCRIPTION")</f>
        <v>病蟲防治服務</v>
      </c>
      <c r="G189">
        <f>_xll.BDP("ROL UN Equity","CUR_MKT_CAP")</f>
        <v>28152737774.27</v>
      </c>
      <c r="H189">
        <f>_xll.BDP("ROL UN Equity","CHG_PCT_YTD")</f>
        <v>25.32902</v>
      </c>
      <c r="I189" t="str">
        <f>_xll.BDP("ROL UN Equity","CIE_DES")</f>
        <v>羅林斯公司(Rollins, Inc.)為控股公司。該公司透過旗下子公司，提供基本的除蟲服務，包括：白蟻危害、囓齒動物及昆蟲防治。羅林斯為全球商業和住宅客戶提供服務。</v>
      </c>
      <c r="J189">
        <f>_xll.BDP("ROL UN Equity","ESG_SCORE")</f>
        <v>2.119999885559082</v>
      </c>
      <c r="K189" t="str">
        <f>_xll.BDP("ROL UN Equity","MSCI_ESG_RATING")</f>
        <v>BBB</v>
      </c>
      <c r="L189">
        <f>_xll.BDP("ROL UN Equity","EQY_BETA")</f>
        <v>0.66791754961013794</v>
      </c>
      <c r="M189">
        <f>_xll.BDP("ROL UN Equity","VOLATILITY_60D")</f>
        <v>18.832577962470925</v>
      </c>
      <c r="N189">
        <f>_xll.BDP("ROL UN Equity","PCT_INSIDER_SHARES_OUT")</f>
        <v>1.5024304638494552</v>
      </c>
      <c r="O189">
        <f>_xll.BDP("ROL UN Equity","PCT_CHG_INSIDER_HOLDINGS")</f>
        <v>-0.63328823102752063</v>
      </c>
      <c r="P189">
        <f>_xll.BDP("ROL UN Equity","RISK_PREMIUM")</f>
        <v>3.4406637108331917</v>
      </c>
      <c r="Q189">
        <f>_xll.BDP("ROL UN Equity","HIGH_52WEEK")</f>
        <v>58.62</v>
      </c>
      <c r="R189">
        <f>_xll.BDP("ROL UN Equity","LOW_52WEEK")</f>
        <v>45.34</v>
      </c>
    </row>
    <row r="190" spans="1:18" ht="15.75" x14ac:dyDescent="0.25">
      <c r="A190" t="s">
        <v>206</v>
      </c>
      <c r="B190">
        <f>_xll.BDP("PPL UN Equity","RT_PX_CHG_PCT_1D")</f>
        <v>-2.7300000190734863E-2</v>
      </c>
      <c r="C190" t="str">
        <f>_xll.BDP("PPL UN Equity","GICS_SECTOR_NAME")</f>
        <v>公用事業</v>
      </c>
      <c r="D190" t="str">
        <f>_xll.BDP("PPL UN Equity","NAME_CHINESE_TRADITIONAL")</f>
        <v>PPL公司</v>
      </c>
      <c r="E190" t="str">
        <f>_xll.BDP("PPL UN Equity","CLASSIFICATION_LEVEL_4_NAME")</f>
        <v>整合型公用事業</v>
      </c>
      <c r="F190" t="str">
        <f>_xll.BDP("PPL UN Equity","CLASSIFICATION_DESCRIPTION")</f>
        <v>整合型公用事業</v>
      </c>
      <c r="G190">
        <f>_xll.BDP("PPL UN Equity","CUR_MKT_CAP")</f>
        <v>27034881261.84</v>
      </c>
      <c r="H190">
        <f>_xll.BDP("PPL UN Equity","CHG_PCT_YTD")</f>
        <v>12.66174</v>
      </c>
      <c r="I190" t="str">
        <f>_xll.BDP("PPL UN Equity","CIE_DES")</f>
        <v>PPL公司(PPL Corporation)為一家能源及公用事業控股公司。該公司透過旗下子公司，以發電廠發電，並銷售批發與零售能源和天然氣。PPL服務美國的電力及天然氣行業。</v>
      </c>
      <c r="J190">
        <f>_xll.BDP("PPL UN Equity","ESG_SCORE")</f>
        <v>5.5999999046325684</v>
      </c>
      <c r="K190" t="str">
        <f>_xll.BDP("PPL UN Equity","MSCI_ESG_RATING")</f>
        <v>BBB</v>
      </c>
      <c r="L190">
        <f>_xll.BDP("PPL UN Equity","EQY_BETA")</f>
        <v>0.48376086354255676</v>
      </c>
      <c r="M190">
        <f>_xll.BDP("PPL UN Equity","VOLATILITY_60D")</f>
        <v>17.631888951620773</v>
      </c>
      <c r="N190">
        <f>_xll.BDP("PPL UN Equity","PCT_INSIDER_SHARES_OUT")</f>
        <v>0.12900845367939651</v>
      </c>
      <c r="O190">
        <f>_xll.BDP("PPL UN Equity","PCT_CHG_INSIDER_HOLDINGS")</f>
        <v>57.44376720806558</v>
      </c>
      <c r="P190">
        <f>_xll.BDP("PPL UN Equity","RISK_PREMIUM")</f>
        <v>2.4920118491926786</v>
      </c>
      <c r="Q190">
        <f>_xll.BDP("PPL UN Equity","HIGH_52WEEK")</f>
        <v>36.94</v>
      </c>
      <c r="R190">
        <f>_xll.BDP("PPL UN Equity","LOW_52WEEK")</f>
        <v>29.37</v>
      </c>
    </row>
    <row r="191" spans="1:18" ht="15.75" x14ac:dyDescent="0.25">
      <c r="A191" t="s">
        <v>207</v>
      </c>
      <c r="B191">
        <f>_xll.BDP("APTV UN Equity","RT_PX_CHG_PCT_1D")</f>
        <v>0.63870000839233398</v>
      </c>
      <c r="C191" t="str">
        <f>_xll.BDP("APTV UN Equity","GICS_SECTOR_NAME")</f>
        <v>非核心消費</v>
      </c>
      <c r="D191" t="str">
        <f>_xll.BDP("APTV UN Equity","NAME_CHINESE_TRADITIONAL")</f>
        <v>安波福控股有限公司</v>
      </c>
      <c r="E191" t="str">
        <f>_xll.BDP("APTV UN Equity","CLASSIFICATION_LEVEL_4_NAME")</f>
        <v>汽車零件</v>
      </c>
      <c r="F191" t="str">
        <f>_xll.BDP("APTV UN Equity","CLASSIFICATION_DESCRIPTION")</f>
        <v>其它電機設備製造</v>
      </c>
      <c r="G191">
        <f>_xll.BDP("APTV UN Equity","CUR_MKT_CAP")</f>
        <v>15439268974.989998</v>
      </c>
      <c r="H191">
        <f>_xll.BDP("APTV UN Equity","CHG_PCT_YTD")</f>
        <v>17.245370000000001</v>
      </c>
      <c r="I191" t="str">
        <f>_xll.BDP("APTV UN Equity","CIE_DES")</f>
        <v>安波福公開有限公司（Aptiv PLC）為一家控股公司。該公司透過旗下子公司，設計、開發並製造軟體解決方案，協助汽車原始設備生產商製造具有先進安全功能、電氣化架構及智慧連接功能的車輛。安波福服務全球的客戶。</v>
      </c>
      <c r="J191">
        <f>_xll.BDP("APTV UN Equity","ESG_SCORE")</f>
        <v>5.4800000190734863</v>
      </c>
      <c r="K191" t="str">
        <f>_xll.BDP("APTV UN Equity","MSCI_ESG_RATING")</f>
        <v>AA</v>
      </c>
      <c r="L191">
        <f>_xll.BDP("APTV UN Equity","EQY_BETA")</f>
        <v>0.91235238313674927</v>
      </c>
      <c r="M191">
        <f>_xll.BDP("APTV UN Equity","VOLATILITY_60D")</f>
        <v>33.953903985442274</v>
      </c>
      <c r="N191">
        <f>_xll.BDP("APTV UN Equity","PCT_INSIDER_SHARES_OUT")</f>
        <v>1.4376534293541787</v>
      </c>
      <c r="O191">
        <f>_xll.BDP("APTV UN Equity","PCT_CHG_INSIDER_HOLDINGS")</f>
        <v>21.686358708096343</v>
      </c>
      <c r="P191">
        <f>_xll.BDP("APTV UN Equity","RISK_PREMIUM")</f>
        <v>4.6998282018238307</v>
      </c>
      <c r="Q191">
        <f>_xll.BDP("APTV UN Equity","HIGH_52WEEK")</f>
        <v>80.92</v>
      </c>
      <c r="R191">
        <f>_xll.BDP("APTV UN Equity","LOW_52WEEK")</f>
        <v>47.2</v>
      </c>
    </row>
    <row r="192" spans="1:18" ht="15.75" x14ac:dyDescent="0.25">
      <c r="A192" t="s">
        <v>208</v>
      </c>
      <c r="B192">
        <f>_xll.BDP("COP UN Equity","RT_PX_CHG_PCT_1D")</f>
        <v>-0.70069998502731323</v>
      </c>
      <c r="C192" t="str">
        <f>_xll.BDP("COP UN Equity","GICS_SECTOR_NAME")</f>
        <v>能源</v>
      </c>
      <c r="D192" t="str">
        <f>_xll.BDP("COP UN Equity","NAME_CHINESE_TRADITIONAL")</f>
        <v>康菲石油</v>
      </c>
      <c r="E192" t="str">
        <f>_xll.BDP("COP UN Equity","CLASSIFICATION_LEVEL_4_NAME")</f>
        <v>探勘及生產</v>
      </c>
      <c r="F192" t="str">
        <f>_xll.BDP("COP UN Equity","CLASSIFICATION_DESCRIPTION")</f>
        <v>原油產量</v>
      </c>
      <c r="G192">
        <f>_xll.BDP("COP UN Equity","CUR_MKT_CAP")</f>
        <v>119865831968.7</v>
      </c>
      <c r="H192">
        <f>_xll.BDP("COP UN Equity","CHG_PCT_YTD")</f>
        <v>-4.2553169999999998</v>
      </c>
      <c r="I192" t="str">
        <f>_xll.BDP("COP UN Equity","CIE_DES")</f>
        <v>康菲石油(ConocoPhillips)開採、生產、運輸及行銷原油、天然氣、天然氣凝結油、液化天然氣遍及全球。</v>
      </c>
      <c r="J192">
        <f>_xll.BDP("COP UN Equity","ESG_SCORE")</f>
        <v>6.0199999809265137</v>
      </c>
      <c r="K192" t="str">
        <f>_xll.BDP("COP UN Equity","MSCI_ESG_RATING")</f>
        <v>A</v>
      </c>
      <c r="L192">
        <f>_xll.BDP("COP UN Equity","EQY_BETA")</f>
        <v>0.7413061261177063</v>
      </c>
      <c r="M192">
        <f>_xll.BDP("COP UN Equity","VOLATILITY_60D")</f>
        <v>29.071435488364948</v>
      </c>
      <c r="N192">
        <f>_xll.BDP("COP UN Equity","PCT_INSIDER_SHARES_OUT")</f>
        <v>0.10223911547753897</v>
      </c>
      <c r="O192">
        <f>_xll.BDP("COP UN Equity","PCT_CHG_INSIDER_HOLDINGS")</f>
        <v>8.3386227899861467</v>
      </c>
      <c r="P192">
        <f>_xll.BDP("COP UN Equity","RISK_PREMIUM")</f>
        <v>3.8187124866539239</v>
      </c>
      <c r="Q192">
        <f>_xll.BDP("COP UN Equity","HIGH_52WEEK")</f>
        <v>116.04</v>
      </c>
      <c r="R192">
        <f>_xll.BDP("COP UN Equity","LOW_52WEEK")</f>
        <v>79.88</v>
      </c>
    </row>
    <row r="193" spans="1:18" ht="15.75" x14ac:dyDescent="0.25">
      <c r="A193" t="s">
        <v>209</v>
      </c>
      <c r="B193">
        <f>_xll.BDP("PHM UN Equity","RT_PX_CHG_PCT_1D")</f>
        <v>0.27579998970031738</v>
      </c>
      <c r="C193" t="str">
        <f>_xll.BDP("PHM UN Equity","GICS_SECTOR_NAME")</f>
        <v>非核心消費</v>
      </c>
      <c r="D193" t="str">
        <f>_xll.BDP("PHM UN Equity","NAME_CHINESE_TRADITIONAL")</f>
        <v>普得集團公司</v>
      </c>
      <c r="E193" t="str">
        <f>_xll.BDP("PHM UN Equity","CLASSIFICATION_LEVEL_4_NAME")</f>
        <v>住宅營建</v>
      </c>
      <c r="F193" t="str">
        <f>_xll.BDP("PHM UN Equity","CLASSIFICATION_DESCRIPTION")</f>
        <v>單戶住宅建築</v>
      </c>
      <c r="G193">
        <f>_xll.BDP("PHM UN Equity","CUR_MKT_CAP")</f>
        <v>22955572734.899998</v>
      </c>
      <c r="H193">
        <f>_xll.BDP("PHM UN Equity","CHG_PCT_YTD")</f>
        <v>6.8411369999999998</v>
      </c>
      <c r="I193" t="str">
        <f>_xll.BDP("PHM UN Equity","CIE_DES")</f>
        <v>普得集團公司(PulteGroup Inc.)銷售及建造住屋，並購買、開發及銷售住宅用地，及開發活躍成人社區。該公司亦為購屋者，提供抵押融資、產權保險及其他服務。其經營範圍分布於美國，及波多黎各等不同市場。</v>
      </c>
      <c r="J193">
        <f>_xll.BDP("PHM UN Equity","ESG_SCORE")</f>
        <v>4.4099998474121094</v>
      </c>
      <c r="K193" t="str">
        <f>_xll.BDP("PHM UN Equity","MSCI_ESG_RATING")</f>
        <v>A</v>
      </c>
      <c r="L193">
        <f>_xll.BDP("PHM UN Equity","EQY_BETA")</f>
        <v>0.9196276068687439</v>
      </c>
      <c r="M193">
        <f>_xll.BDP("PHM UN Equity","VOLATILITY_60D")</f>
        <v>39.442258061756355</v>
      </c>
      <c r="N193">
        <f>_xll.BDP("PHM UN Equity","PCT_INSIDER_SHARES_OUT")</f>
        <v>0.6798176612386565</v>
      </c>
      <c r="O193">
        <f>_xll.BDP("PHM UN Equity","PCT_CHG_INSIDER_HOLDINGS")</f>
        <v>1.5736654970121451</v>
      </c>
      <c r="P193">
        <f>_xll.BDP("PHM UN Equity","RISK_PREMIUM")</f>
        <v>4.7373052800911664</v>
      </c>
      <c r="Q193">
        <f>_xll.BDP("PHM UN Equity","HIGH_52WEEK")</f>
        <v>149.47</v>
      </c>
      <c r="R193">
        <f>_xll.BDP("PHM UN Equity","LOW_52WEEK")</f>
        <v>88.46</v>
      </c>
    </row>
    <row r="194" spans="1:18" ht="15.75" x14ac:dyDescent="0.25">
      <c r="A194" t="s">
        <v>210</v>
      </c>
      <c r="B194">
        <f>_xll.BDP("PNW UN Equity","RT_PX_CHG_PCT_1D")</f>
        <v>-1.0341999530792236</v>
      </c>
      <c r="C194" t="str">
        <f>_xll.BDP("PNW UN Equity","GICS_SECTOR_NAME")</f>
        <v>公用事業</v>
      </c>
      <c r="D194" t="str">
        <f>_xll.BDP("PNW UN Equity","NAME_CHINESE_TRADITIONAL")</f>
        <v>皮那可資本公司</v>
      </c>
      <c r="E194" t="str">
        <f>_xll.BDP("PNW UN Equity","CLASSIFICATION_LEVEL_4_NAME")</f>
        <v>整合型公用事業</v>
      </c>
      <c r="F194" t="str">
        <f>_xll.BDP("PNW UN Equity","CLASSIFICATION_DESCRIPTION")</f>
        <v>整合型公用事業</v>
      </c>
      <c r="G194">
        <f>_xll.BDP("PNW UN Equity","CUR_MKT_CAP")</f>
        <v>10854563908.189999</v>
      </c>
      <c r="H194">
        <f>_xll.BDP("PNW UN Equity","CHG_PCT_YTD")</f>
        <v>7.2431330000000003</v>
      </c>
      <c r="I194" t="str">
        <f>_xll.BDP("PNW UN Equity","CIE_DES")</f>
        <v>皮那可資本公司(Pinnacle West Capital Corporation)為公用事業控股公司。該公司透過子公司，提供零售及批發電力服務予亞利桑那州大部分地區。皮那可亦透過子公司從事美國西部不動產開發。</v>
      </c>
      <c r="J194">
        <f>_xll.BDP("PNW UN Equity","ESG_SCORE")</f>
        <v>5.179999828338623</v>
      </c>
      <c r="K194" t="str">
        <f>_xll.BDP("PNW UN Equity","MSCI_ESG_RATING")</f>
        <v>N.S.</v>
      </c>
      <c r="L194">
        <f>_xll.BDP("PNW UN Equity","EQY_BETA")</f>
        <v>0.44684717059135437</v>
      </c>
      <c r="M194">
        <f>_xll.BDP("PNW UN Equity","VOLATILITY_60D")</f>
        <v>16.659032123434688</v>
      </c>
      <c r="N194">
        <f>_xll.BDP("PNW UN Equity","PCT_INSIDER_SHARES_OUT")</f>
        <v>0.29572860744227342</v>
      </c>
      <c r="O194">
        <f>_xll.BDP("PNW UN Equity","PCT_CHG_INSIDER_HOLDINGS")</f>
        <v>43.916217306775245</v>
      </c>
      <c r="P194">
        <f>_xll.BDP("PNW UN Equity","RISK_PREMIUM")</f>
        <v>2.3018572352823612</v>
      </c>
      <c r="Q194">
        <f>_xll.BDP("PNW UN Equity","HIGH_52WEEK")</f>
        <v>96.5</v>
      </c>
      <c r="R194">
        <f>_xll.BDP("PNW UN Equity","LOW_52WEEK")</f>
        <v>81.62</v>
      </c>
    </row>
    <row r="195" spans="1:18" ht="15.75" x14ac:dyDescent="0.25">
      <c r="A195" t="s">
        <v>211</v>
      </c>
      <c r="B195">
        <f>_xll.BDP("PNC UN Equity","RT_PX_CHG_PCT_1D")</f>
        <v>-5.0999999046325684E-2</v>
      </c>
      <c r="C195" t="str">
        <f>_xll.BDP("PNC UN Equity","GICS_SECTOR_NAME")</f>
        <v>金融</v>
      </c>
      <c r="D195" t="str">
        <f>_xll.BDP("PNC UN Equity","NAME_CHINESE_TRADITIONAL")</f>
        <v>PNC金融服務集團</v>
      </c>
      <c r="E195" t="str">
        <f>_xll.BDP("PNC UN Equity","CLASSIFICATION_LEVEL_4_NAME")</f>
        <v>銀行</v>
      </c>
      <c r="F195" t="str">
        <f>_xll.BDP("PNC UN Equity","CLASSIFICATION_DESCRIPTION")</f>
        <v>銀行</v>
      </c>
      <c r="G195">
        <f>_xll.BDP("PNC UN Equity","CUR_MKT_CAP")</f>
        <v>77550912114.449997</v>
      </c>
      <c r="H195">
        <f>_xll.BDP("PNC UN Equity","CHG_PCT_YTD")</f>
        <v>1.6593169999999999</v>
      </c>
      <c r="I195" t="str">
        <f>_xll.BDP("PNC UN Equity","CIE_DES")</f>
        <v>PNC金融服務集團(PNC Financial Services Group, Inc.)為多元化金融服務公司。該公司在全美及主要地區市場，提供地區銀行、批發銀行和資產管理服務。</v>
      </c>
      <c r="J195">
        <f>_xll.BDP("PNC UN Equity","ESG_SCORE")</f>
        <v>5.2600002288818359</v>
      </c>
      <c r="K195" t="str">
        <f>_xll.BDP("PNC UN Equity","MSCI_ESG_RATING")</f>
        <v>AA</v>
      </c>
      <c r="L195">
        <f>_xll.BDP("PNC UN Equity","EQY_BETA")</f>
        <v>1.0437817573547363</v>
      </c>
      <c r="M195">
        <f>_xll.BDP("PNC UN Equity","VOLATILITY_60D")</f>
        <v>21.820514629252347</v>
      </c>
      <c r="N195">
        <f>_xll.BDP("PNC UN Equity","PCT_INSIDER_SHARES_OUT")</f>
        <v>0.41166528047081785</v>
      </c>
      <c r="O195">
        <f>_xll.BDP("PNC UN Equity","PCT_CHG_INSIDER_HOLDINGS")</f>
        <v>5.0158838255836002</v>
      </c>
      <c r="P195">
        <f>_xll.BDP("PNC UN Equity","RISK_PREMIUM")</f>
        <v>5.3768642801141739</v>
      </c>
      <c r="Q195">
        <f>_xll.BDP("PNC UN Equity","HIGH_52WEEK")</f>
        <v>216.11</v>
      </c>
      <c r="R195">
        <f>_xll.BDP("PNC UN Equity","LOW_52WEEK")</f>
        <v>145.13999999999999</v>
      </c>
    </row>
    <row r="196" spans="1:18" ht="15.75" x14ac:dyDescent="0.25">
      <c r="A196" t="s">
        <v>212</v>
      </c>
      <c r="B196">
        <f>_xll.BDP("PPG UN Equity","RT_PX_CHG_PCT_1D")</f>
        <v>0.80860000848770142</v>
      </c>
      <c r="C196" t="str">
        <f>_xll.BDP("PPG UN Equity","GICS_SECTOR_NAME")</f>
        <v>原材料</v>
      </c>
      <c r="D196" t="str">
        <f>_xll.BDP("PPG UN Equity","NAME_CHINESE_TRADITIONAL")</f>
        <v>匹茲堡工業</v>
      </c>
      <c r="E196" t="str">
        <f>_xll.BDP("PPG UN Equity","CLASSIFICATION_LEVEL_4_NAME")</f>
        <v>特用化學品</v>
      </c>
      <c r="F196" t="str">
        <f>_xll.BDP("PPG UN Equity","CLASSIFICATION_DESCRIPTION")</f>
        <v>塗料及塗膜</v>
      </c>
      <c r="G196">
        <f>_xll.BDP("PPG UN Equity","CUR_MKT_CAP")</f>
        <v>26320650000</v>
      </c>
      <c r="H196">
        <f>_xll.BDP("PPG UN Equity","CHG_PCT_YTD")</f>
        <v>-2.930094</v>
      </c>
      <c r="I196" t="str">
        <f>_xll.BDP("PPG UN Equity","CIE_DES")</f>
        <v>匹茲堡工業(PPG Industries, Inc.)供應產品給全球的製造業、營建業、汽車業、化學處理業，及其他產業。該公司製作保護及裝飾塗料、平面玻璃、玻璃製品、連續纖維原絲玻璃製品，及特用化學品。</v>
      </c>
      <c r="J196">
        <f>_xll.BDP("PPG UN Equity","ESG_SCORE")</f>
        <v>5.369999885559082</v>
      </c>
      <c r="K196" t="str">
        <f>_xll.BDP("PPG UN Equity","MSCI_ESG_RATING")</f>
        <v>AAA</v>
      </c>
      <c r="L196">
        <f>_xll.BDP("PPG UN Equity","EQY_BETA")</f>
        <v>0.92488884925842285</v>
      </c>
      <c r="M196">
        <f>_xll.BDP("PPG UN Equity","VOLATILITY_60D")</f>
        <v>24.919007657847125</v>
      </c>
      <c r="N196">
        <f>_xll.BDP("PPG UN Equity","PCT_INSIDER_SHARES_OUT")</f>
        <v>0.30456833920704846</v>
      </c>
      <c r="O196">
        <f>_xll.BDP("PPG UN Equity","PCT_CHG_INSIDER_HOLDINGS")</f>
        <v>2.4954890177802369</v>
      </c>
      <c r="P196">
        <f>_xll.BDP("PPG UN Equity","RISK_PREMIUM")</f>
        <v>4.764407675850391</v>
      </c>
      <c r="Q196">
        <f>_xll.BDP("PPG UN Equity","HIGH_52WEEK")</f>
        <v>137.22</v>
      </c>
      <c r="R196">
        <f>_xll.BDP("PPG UN Equity","LOW_52WEEK")</f>
        <v>90.25</v>
      </c>
    </row>
    <row r="197" spans="1:18" ht="15.75" x14ac:dyDescent="0.25">
      <c r="A197" t="s">
        <v>213</v>
      </c>
      <c r="B197">
        <f>_xll.BDP("DASH UW Equity","RT_PX_CHG_PCT_1D")</f>
        <v>2.5564999580383301</v>
      </c>
      <c r="C197" t="str">
        <f>_xll.BDP("DASH UW Equity","GICS_SECTOR_NAME")</f>
        <v>非核心消費</v>
      </c>
      <c r="D197" t="str">
        <f>_xll.BDP("DASH UW Equity","NAME_CHINESE_TRADITIONAL")</f>
        <v>DoorDash公司</v>
      </c>
      <c r="E197" t="str">
        <f>_xll.BDP("DASH UW Equity","CLASSIFICATION_LEVEL_4_NAME")</f>
        <v>網路媒體及服務</v>
      </c>
      <c r="F197" t="str">
        <f>_xll.BDP("DASH UW Equity","CLASSIFICATION_DESCRIPTION")</f>
        <v>線上食品外送服務</v>
      </c>
      <c r="G197">
        <f>_xll.BDP("DASH UW Equity","CUR_MKT_CAP")</f>
        <v>105901931784</v>
      </c>
      <c r="H197">
        <f>_xll.BDP("DASH UW Equity","CHG_PCT_YTD")</f>
        <v>48.983609999999999</v>
      </c>
      <c r="I197" t="str">
        <f>_xll.BDP("DASH UW Equity","CIE_DES")</f>
        <v>DoorDash公司(DoorDash, Inc.)提供餐飲外送服務。該公司研發的科技，關注於經由隨選餐飲外送應用程式連結顧客及商戶。DoorDash服務美國的客戶。</v>
      </c>
      <c r="J197">
        <f>_xll.BDP("DASH UW Equity","ESG_SCORE")</f>
        <v>2.130000114440918</v>
      </c>
      <c r="K197" t="str">
        <f>_xll.BDP("DASH UW Equity","MSCI_ESG_RATING")</f>
        <v>BBB</v>
      </c>
      <c r="L197">
        <f>_xll.BDP("DASH UW Equity","EQY_BETA")</f>
        <v>1.4334466457366943</v>
      </c>
      <c r="M197">
        <f>_xll.BDP("DASH UW Equity","VOLATILITY_60D")</f>
        <v>37.737407131942277</v>
      </c>
      <c r="N197">
        <f>_xll.BDP("DASH UW Equity","PCT_INSIDER_SHARES_OUT")</f>
        <v>0.87588708251344127</v>
      </c>
      <c r="O197">
        <f>_xll.BDP("DASH UW Equity","PCT_CHG_INSIDER_HOLDINGS")</f>
        <v>-20.336399355663076</v>
      </c>
      <c r="P197">
        <f>_xll.BDP("DASH UW Equity","RISK_PREMIUM")</f>
        <v>7.5133862775707243</v>
      </c>
      <c r="Q197">
        <f>_xll.BDP("DASH UW Equity","HIGH_52WEEK")</f>
        <v>250.22</v>
      </c>
      <c r="R197">
        <f>_xll.BDP("DASH UW Equity","LOW_52WEEK")</f>
        <v>104.86</v>
      </c>
    </row>
    <row r="198" spans="1:18" ht="15.75" x14ac:dyDescent="0.25">
      <c r="A198" t="s">
        <v>214</v>
      </c>
      <c r="B198">
        <f>_xll.BDP("PGR UN Equity","RT_PX_CHG_PCT_1D")</f>
        <v>1.0994999408721924</v>
      </c>
      <c r="C198" t="str">
        <f>_xll.BDP("PGR UN Equity","GICS_SECTOR_NAME")</f>
        <v>金融</v>
      </c>
      <c r="D198" t="str">
        <f>_xll.BDP("PGR UN Equity","NAME_CHINESE_TRADITIONAL")</f>
        <v>先進公司</v>
      </c>
      <c r="E198" t="str">
        <f>_xll.BDP("PGR UN Equity","CLASSIFICATION_LEVEL_4_NAME")</f>
        <v>產物及意外保險</v>
      </c>
      <c r="F198" t="str">
        <f>_xll.BDP("PGR UN Equity","CLASSIFICATION_DESCRIPTION")</f>
        <v>產物及意外個人保險</v>
      </c>
      <c r="G198">
        <f>_xll.BDP("PGR UN Equity","CUR_MKT_CAP")</f>
        <v>146614533114.29996</v>
      </c>
      <c r="H198">
        <f>_xll.BDP("PGR UN Equity","CHG_PCT_YTD")</f>
        <v>6.3425209999999996</v>
      </c>
      <c r="I198" t="str">
        <f>_xll.BDP("PGR UN Equity","CIE_DES")</f>
        <v>先進公司(The Progressive Corporation)為一家保險控股公司。該公司透過旗下子公司，提供個人和商業汽車保險，以及其它專業財產意外保險和相關服務。先進服務美國的客戶。</v>
      </c>
      <c r="J198">
        <f>_xll.BDP("PGR UN Equity","ESG_SCORE")</f>
        <v>2.5299999713897705</v>
      </c>
      <c r="K198" t="str">
        <f>_xll.BDP("PGR UN Equity","MSCI_ESG_RATING")</f>
        <v>A</v>
      </c>
      <c r="L198">
        <f>_xll.BDP("PGR UN Equity","EQY_BETA")</f>
        <v>0.62092792987823486</v>
      </c>
      <c r="M198">
        <f>_xll.BDP("PGR UN Equity","VOLATILITY_60D")</f>
        <v>21.474519776488691</v>
      </c>
      <c r="N198">
        <f>_xll.BDP("PGR UN Equity","PCT_INSIDER_SHARES_OUT")</f>
        <v>0.26569719096945255</v>
      </c>
      <c r="O198">
        <f>_xll.BDP("PGR UN Equity","PCT_CHG_INSIDER_HOLDINGS")</f>
        <v>-5.4127775039699388</v>
      </c>
      <c r="P198">
        <f>_xll.BDP("PGR UN Equity","RISK_PREMIUM")</f>
        <v>3.1986046730196476</v>
      </c>
      <c r="Q198">
        <f>_xll.BDP("PGR UN Equity","HIGH_52WEEK")</f>
        <v>292.99</v>
      </c>
      <c r="R198">
        <f>_xll.BDP("PGR UN Equity","LOW_52WEEK")</f>
        <v>204.29480000000001</v>
      </c>
    </row>
    <row r="199" spans="1:18" ht="15.75" x14ac:dyDescent="0.25">
      <c r="A199" t="s">
        <v>215</v>
      </c>
      <c r="B199">
        <f>_xll.BDP("VLTO UN Equity","RT_PX_CHG_PCT_1D")</f>
        <v>9.7000002861022949E-3</v>
      </c>
      <c r="C199" t="str">
        <f>_xll.BDP("VLTO UN Equity","GICS_SECTOR_NAME")</f>
        <v>工業</v>
      </c>
      <c r="D199" t="str">
        <f>_xll.BDP("VLTO UN Equity","NAME_CHINESE_TRADITIONAL")</f>
        <v>Veralto公司</v>
      </c>
      <c r="E199" t="str">
        <f>_xll.BDP("VLTO UN Equity","CLASSIFICATION_LEVEL_4_NAME")</f>
        <v>污染控制設備</v>
      </c>
      <c r="F199" t="str">
        <f>_xll.BDP("VLTO UN Equity","CLASSIFICATION_DESCRIPTION")</f>
        <v>水濾淨設備製造</v>
      </c>
      <c r="G199">
        <f>_xll.BDP("VLTO UN Equity","CUR_MKT_CAP")</f>
        <v>25599101327.759998</v>
      </c>
      <c r="H199">
        <f>_xll.BDP("VLTO UN Equity","CHG_PCT_YTD")</f>
        <v>1.4040269999999999</v>
      </c>
      <c r="I199" t="str">
        <f>_xll.BDP("VLTO UN Equity","CIE_DES")</f>
        <v>Veralto公司(Veralto Corporation)提供技術解決方案。該公司提供產品品質控制系統及水淨化設備。Veralto服務全球各地的客戶。</v>
      </c>
      <c r="J199">
        <f>_xll.BDP("VLTO UN Equity","ESG_SCORE")</f>
        <v>4.5</v>
      </c>
      <c r="K199" t="str">
        <f>_xll.BDP("VLTO UN Equity","MSCI_ESG_RATING")</f>
        <v>AAA</v>
      </c>
      <c r="L199">
        <f>_xll.BDP("VLTO UN Equity","EQY_BETA")</f>
        <v>0.81205219030380249</v>
      </c>
      <c r="M199">
        <f>_xll.BDP("VLTO UN Equity","VOLATILITY_60D")</f>
        <v>16.643229261257904</v>
      </c>
      <c r="N199">
        <f>_xll.BDP("VLTO UN Equity","PCT_INSIDER_SHARES_OUT")</f>
        <v>0.10806532042933706</v>
      </c>
      <c r="O199">
        <f>_xll.BDP("VLTO UN Equity","PCT_CHG_INSIDER_HOLDINGS")</f>
        <v>-5.5395683453237403</v>
      </c>
      <c r="P199">
        <f>_xll.BDP("VLTO UN Equity","RISK_PREMIUM")</f>
        <v>4.1831488094776867</v>
      </c>
      <c r="Q199">
        <f>_xll.BDP("VLTO UN Equity","HIGH_52WEEK")</f>
        <v>115</v>
      </c>
      <c r="R199">
        <f>_xll.BDP("VLTO UN Equity","LOW_52WEEK")</f>
        <v>83.864999999999995</v>
      </c>
    </row>
    <row r="200" spans="1:18" ht="15.75" x14ac:dyDescent="0.25">
      <c r="A200" t="s">
        <v>216</v>
      </c>
      <c r="B200">
        <f>_xll.BDP("PEG UN Equity","RT_PX_CHG_PCT_1D")</f>
        <v>0.74769997596740723</v>
      </c>
      <c r="C200" t="str">
        <f>_xll.BDP("PEG UN Equity","GICS_SECTOR_NAME")</f>
        <v>公用事業</v>
      </c>
      <c r="D200" t="str">
        <f>_xll.BDP("PEG UN Equity","NAME_CHINESE_TRADITIONAL")</f>
        <v>大眾服務企業集團公司</v>
      </c>
      <c r="E200" t="str">
        <f>_xll.BDP("PEG UN Equity","CLASSIFICATION_LEVEL_4_NAME")</f>
        <v>整合型公用事業</v>
      </c>
      <c r="F200" t="str">
        <f>_xll.BDP("PEG UN Equity","CLASSIFICATION_DESCRIPTION")</f>
        <v>整合型公用事業</v>
      </c>
      <c r="G200">
        <f>_xll.BDP("PEG UN Equity","CUR_MKT_CAP")</f>
        <v>43702236957.800003</v>
      </c>
      <c r="H200">
        <f>_xll.BDP("PEG UN Equity","CHG_PCT_YTD")</f>
        <v>3.6572399999999998</v>
      </c>
      <c r="I200" t="str">
        <f>_xll.BDP("PEG UN Equity","CIE_DES")</f>
        <v>大眾服務企業集團公司（Public Service Enterprise Group Incorporated (PSEG)）為一家大眾公用事業控股公司。該公司透過旗下子公司，提供傳輸並配送電力及天然氣，且透過整合其商業核能發電資產的營運來提供能源。大眾服務企業集團服務紐澤西州與長島的客戶。</v>
      </c>
      <c r="J200">
        <f>_xll.BDP("PEG UN Equity","ESG_SCORE")</f>
        <v>6.2899999618530273</v>
      </c>
      <c r="K200" t="str">
        <f>_xll.BDP("PEG UN Equity","MSCI_ESG_RATING")</f>
        <v>AA</v>
      </c>
      <c r="L200">
        <f>_xll.BDP("PEG UN Equity","EQY_BETA")</f>
        <v>0.59098953008651733</v>
      </c>
      <c r="M200">
        <f>_xll.BDP("PEG UN Equity","VOLATILITY_60D")</f>
        <v>18.074785664711065</v>
      </c>
      <c r="N200">
        <f>_xll.BDP("PEG UN Equity","PCT_INSIDER_SHARES_OUT")</f>
        <v>0.25648925779046361</v>
      </c>
      <c r="O200">
        <f>_xll.BDP("PEG UN Equity","PCT_CHG_INSIDER_HOLDINGS")</f>
        <v>15.726162388918317</v>
      </c>
      <c r="P200">
        <f>_xll.BDP("PEG UN Equity","RISK_PREMIUM")</f>
        <v>3.0443820960205792</v>
      </c>
      <c r="Q200">
        <f>_xll.BDP("PEG UN Equity","HIGH_52WEEK")</f>
        <v>95.11</v>
      </c>
      <c r="R200">
        <f>_xll.BDP("PEG UN Equity","LOW_52WEEK")</f>
        <v>74.790000000000006</v>
      </c>
    </row>
    <row r="201" spans="1:18" ht="15.75" x14ac:dyDescent="0.25">
      <c r="A201" t="s">
        <v>217</v>
      </c>
      <c r="B201">
        <f>_xll.BDP("COO UW Equity","RT_PX_CHG_PCT_1D")</f>
        <v>1.0705000162124634</v>
      </c>
      <c r="C201" t="str">
        <f>_xll.BDP("COO UW Equity","GICS_SECTOR_NAME")</f>
        <v>醫療保健</v>
      </c>
      <c r="D201" t="str">
        <f>_xll.BDP("COO UW Equity","NAME_CHINESE_TRADITIONAL")</f>
        <v>Cooper Cos Inc/The</v>
      </c>
      <c r="E201" t="str">
        <f>_xll.BDP("COO UW Equity","CLASSIFICATION_LEVEL_4_NAME")</f>
        <v>醫療保健用品</v>
      </c>
      <c r="F201" t="str">
        <f>_xll.BDP("COO UW Equity","CLASSIFICATION_DESCRIPTION")</f>
        <v>眼科用產品</v>
      </c>
      <c r="G201">
        <f>_xll.BDP("COO UW Equity","CUR_MKT_CAP")</f>
        <v>14881637673.359999</v>
      </c>
      <c r="H201">
        <f>_xll.BDP("COO UW Equity","CHG_PCT_YTD")</f>
        <v>-18.862179999999999</v>
      </c>
      <c r="I201" t="str">
        <f>_xll.BDP("COO UW Equity","CIE_DES")</f>
        <v>The Cooper Companies公司透過旗下子公司，開發、製造、及行銷特殊保健產品。該公司的產品包括：視力保健市場的隱形眼鏡、及婦產科使用的診斷產品、手術器材、及配件等。</v>
      </c>
      <c r="J201">
        <f>_xll.BDP("COO UW Equity","ESG_SCORE")</f>
        <v>7.0199999809265137</v>
      </c>
      <c r="K201" t="str">
        <f>_xll.BDP("COO UW Equity","MSCI_ESG_RATING")</f>
        <v>AA</v>
      </c>
      <c r="L201">
        <f>_xll.BDP("COO UW Equity","EQY_BETA")</f>
        <v>0.89198583364486694</v>
      </c>
      <c r="M201">
        <f>_xll.BDP("COO UW Equity","VOLATILITY_60D")</f>
        <v>42.141461837648116</v>
      </c>
      <c r="N201">
        <f>_xll.BDP("COO UW Equity","PCT_INSIDER_SHARES_OUT")</f>
        <v>0.81992606979512561</v>
      </c>
      <c r="O201">
        <f>_xll.BDP("COO UW Equity","PCT_CHG_INSIDER_HOLDINGS")</f>
        <v>5.872770552852411</v>
      </c>
      <c r="P201">
        <f>_xll.BDP("COO UW Equity","RISK_PREMIUM")</f>
        <v>4.6042625426673887</v>
      </c>
      <c r="Q201">
        <f>_xll.BDP("COO UW Equity","HIGH_52WEEK")</f>
        <v>112.34</v>
      </c>
      <c r="R201">
        <f>_xll.BDP("COO UW Equity","LOW_52WEEK")</f>
        <v>65</v>
      </c>
    </row>
    <row r="202" spans="1:18" ht="15.75" x14ac:dyDescent="0.25">
      <c r="A202" t="s">
        <v>218</v>
      </c>
      <c r="B202">
        <f>_xll.BDP("EIX UN Equity","RT_PX_CHG_PCT_1D")</f>
        <v>2.9755001068115234</v>
      </c>
      <c r="C202" t="str">
        <f>_xll.BDP("EIX UN Equity","GICS_SECTOR_NAME")</f>
        <v>公用事業</v>
      </c>
      <c r="D202" t="str">
        <f>_xll.BDP("EIX UN Equity","NAME_CHINESE_TRADITIONAL")</f>
        <v>愛迪生國際</v>
      </c>
      <c r="E202" t="str">
        <f>_xll.BDP("EIX UN Equity","CLASSIFICATION_LEVEL_4_NAME")</f>
        <v>整合型公用事業</v>
      </c>
      <c r="F202" t="str">
        <f>_xll.BDP("EIX UN Equity","CLASSIFICATION_DESCRIPTION")</f>
        <v>整合型公用事業</v>
      </c>
      <c r="G202">
        <f>_xll.BDP("EIX UN Equity","CUR_MKT_CAP")</f>
        <v>20373235902.900002</v>
      </c>
      <c r="H202">
        <f>_xll.BDP("EIX UN Equity","CHG_PCT_YTD")</f>
        <v>-33.679859999999998</v>
      </c>
      <c r="I202" t="str">
        <f>_xll.BDP("EIX UN Equity","CIE_DES")</f>
        <v>愛迪生國際(Edison International)透過其子公司在全球各地開發、收購、擁有並經營電力發電設施。該公司亦提供資金及金融服務予能源及基礎建設計劃，並管理及銷售不動產。愛迪生國際提供整合配套能源服 務、公用事業外包及消費性產品。</v>
      </c>
      <c r="J202">
        <f>_xll.BDP("EIX UN Equity","ESG_SCORE")</f>
        <v>6.5</v>
      </c>
      <c r="K202" t="str">
        <f>_xll.BDP("EIX UN Equity","MSCI_ESG_RATING")</f>
        <v>A</v>
      </c>
      <c r="L202">
        <f>_xll.BDP("EIX UN Equity","EQY_BETA")</f>
        <v>0.61177492141723633</v>
      </c>
      <c r="M202">
        <f>_xll.BDP("EIX UN Equity","VOLATILITY_60D")</f>
        <v>31.301447718887975</v>
      </c>
      <c r="N202">
        <f>_xll.BDP("EIX UN Equity","PCT_INSIDER_SHARES_OUT")</f>
        <v>0.16075594755950209</v>
      </c>
      <c r="O202">
        <f>_xll.BDP("EIX UN Equity","PCT_CHG_INSIDER_HOLDINGS")</f>
        <v>21.865322906857383</v>
      </c>
      <c r="P202">
        <f>_xll.BDP("EIX UN Equity","RISK_PREMIUM")</f>
        <v>3.151454505944252</v>
      </c>
      <c r="Q202">
        <f>_xll.BDP("EIX UN Equity","HIGH_52WEEK")</f>
        <v>88.77</v>
      </c>
      <c r="R202">
        <f>_xll.BDP("EIX UN Equity","LOW_52WEEK")</f>
        <v>47.74</v>
      </c>
    </row>
    <row r="203" spans="1:18" ht="15.75" x14ac:dyDescent="0.25">
      <c r="A203" t="s">
        <v>219</v>
      </c>
      <c r="B203">
        <f>_xll.BDP("SLB UN Equity","RT_PX_CHG_PCT_1D")</f>
        <v>0.65270000696182251</v>
      </c>
      <c r="C203" t="str">
        <f>_xll.BDP("SLB UN Equity","GICS_SECTOR_NAME")</f>
        <v>能源</v>
      </c>
      <c r="D203" t="str">
        <f>_xll.BDP("SLB UN Equity","NAME_CHINESE_TRADITIONAL")</f>
        <v>斯倫貝謝公眾有限公司</v>
      </c>
      <c r="E203" t="str">
        <f>_xll.BDP("SLB UN Equity","CLASSIFICATION_LEVEL_4_NAME")</f>
        <v>油田服務及設備製造</v>
      </c>
      <c r="F203" t="str">
        <f>_xll.BDP("SLB UN Equity","CLASSIFICATION_DESCRIPTION")</f>
        <v>境內油田服務</v>
      </c>
      <c r="G203">
        <f>_xll.BDP("SLB UN Equity","CUR_MKT_CAP")</f>
        <v>53234817997.37999</v>
      </c>
      <c r="H203">
        <f>_xll.BDP("SLB UN Equity","CHG_PCT_YTD")</f>
        <v>-7.4856550000000004</v>
      </c>
      <c r="I203" t="str">
        <f>_xll.BDP("SLB UN Equity","CIE_DES")</f>
        <v>斯倫貝謝國家有限公司(Schlumberger N.V.)為一家油田服務公司。該公司提供大規模新能源系統、大規模提供數位化、石油與天然氣創新，以及脫碳工業產品與服務，並提供地熱能源、企業資料績效，以及甲烷消除解決方案。SLB服務全球各地的客戶。</v>
      </c>
      <c r="J203">
        <f>_xll.BDP("SLB UN Equity","ESG_SCORE")</f>
        <v>6.190000057220459</v>
      </c>
      <c r="K203" t="str">
        <f>_xll.BDP("SLB UN Equity","MSCI_ESG_RATING")</f>
        <v>A</v>
      </c>
      <c r="L203">
        <f>_xll.BDP("SLB UN Equity","EQY_BETA")</f>
        <v>0.84597223997116089</v>
      </c>
      <c r="M203">
        <f>_xll.BDP("SLB UN Equity","VOLATILITY_60D")</f>
        <v>32.580118337000229</v>
      </c>
      <c r="N203">
        <f>_xll.BDP("SLB UN Equity","PCT_INSIDER_SHARES_OUT")</f>
        <v>0.23612134796424139</v>
      </c>
      <c r="O203">
        <f>_xll.BDP("SLB UN Equity","PCT_CHG_INSIDER_HOLDINGS")</f>
        <v>0.80182226903556342</v>
      </c>
      <c r="P203">
        <f>_xll.BDP("SLB UN Equity","RISK_PREMIUM")</f>
        <v>4.3578821789306401</v>
      </c>
      <c r="Q203">
        <f>_xll.BDP("SLB UN Equity","HIGH_52WEEK")</f>
        <v>48.81</v>
      </c>
      <c r="R203">
        <f>_xll.BDP("SLB UN Equity","LOW_52WEEK")</f>
        <v>31.14</v>
      </c>
    </row>
    <row r="204" spans="1:18" ht="15.75" x14ac:dyDescent="0.25">
      <c r="A204" t="s">
        <v>220</v>
      </c>
      <c r="B204">
        <f>_xll.BDP("SCHW UN Equity","RT_PX_CHG_PCT_1D")</f>
        <v>0.580299973487854</v>
      </c>
      <c r="C204" t="str">
        <f>_xll.BDP("SCHW UN Equity","GICS_SECTOR_NAME")</f>
        <v>金融</v>
      </c>
      <c r="D204" t="str">
        <f>_xll.BDP("SCHW UN Equity","NAME_CHINESE_TRADITIONAL")</f>
        <v>嘉信理財公司</v>
      </c>
      <c r="E204" t="str">
        <f>_xll.BDP("SCHW UN Equity","CLASSIFICATION_LEVEL_4_NAME")</f>
        <v>財富管理</v>
      </c>
      <c r="F204" t="str">
        <f>_xll.BDP("SCHW UN Equity","CLASSIFICATION_DESCRIPTION")</f>
        <v>零售證券經紀</v>
      </c>
      <c r="G204">
        <f>_xll.BDP("SCHW UN Equity","CUR_MKT_CAP")</f>
        <v>181294887410.67999</v>
      </c>
      <c r="H204">
        <f>_xll.BDP("SCHW UN Equity","CHG_PCT_YTD")</f>
        <v>31.144439999999999</v>
      </c>
      <c r="I204" t="str">
        <f>_xll.BDP("SCHW UN Equity","CIE_DES")</f>
        <v>嘉信理財公司(The Charles Schwab Corporation)為一家金融服務公司。該公司提供財富與資產管理、證券經紀、銀行、交易與研究、託管，以及金融顧問服務。嘉信理財服務全球客戶。</v>
      </c>
      <c r="J204">
        <f>_xll.BDP("SCHW UN Equity","ESG_SCORE")</f>
        <v>3.5899999141693115</v>
      </c>
      <c r="K204" t="str">
        <f>_xll.BDP("SCHW UN Equity","MSCI_ESG_RATING")</f>
        <v>BBB</v>
      </c>
      <c r="L204">
        <f>_xll.BDP("SCHW UN Equity","EQY_BETA")</f>
        <v>1.0758881568908691</v>
      </c>
      <c r="M204">
        <f>_xll.BDP("SCHW UN Equity","VOLATILITY_60D")</f>
        <v>14.681786360128832</v>
      </c>
      <c r="N204">
        <f>_xll.BDP("SCHW UN Equity","PCT_INSIDER_SHARES_OUT")</f>
        <v>5.6406379837531695</v>
      </c>
      <c r="O204">
        <f>_xll.BDP("SCHW UN Equity","PCT_CHG_INSIDER_HOLDINGS")</f>
        <v>-1.3903188872694194</v>
      </c>
      <c r="P204">
        <f>_xll.BDP("SCHW UN Equity","RISK_PREMIUM")</f>
        <v>5.5422549392366403</v>
      </c>
      <c r="Q204">
        <f>_xll.BDP("SCHW UN Equity","HIGH_52WEEK")</f>
        <v>98.254999999999995</v>
      </c>
      <c r="R204">
        <f>_xll.BDP("SCHW UN Equity","LOW_52WEEK")</f>
        <v>61.16</v>
      </c>
    </row>
    <row r="205" spans="1:18" ht="15.75" x14ac:dyDescent="0.25">
      <c r="A205" t="s">
        <v>221</v>
      </c>
      <c r="B205">
        <f>_xll.BDP("SHW UN Equity","RT_PX_CHG_PCT_1D")</f>
        <v>-3.229999914765358E-2</v>
      </c>
      <c r="C205" t="str">
        <f>_xll.BDP("SHW UN Equity","GICS_SECTOR_NAME")</f>
        <v>原材料</v>
      </c>
      <c r="D205" t="str">
        <f>_xll.BDP("SHW UN Equity","NAME_CHINESE_TRADITIONAL")</f>
        <v>薛文威廉公司</v>
      </c>
      <c r="E205" t="str">
        <f>_xll.BDP("SHW UN Equity","CLASSIFICATION_LEVEL_4_NAME")</f>
        <v>特用化學品</v>
      </c>
      <c r="F205" t="str">
        <f>_xll.BDP("SHW UN Equity","CLASSIFICATION_DESCRIPTION")</f>
        <v>塗料及塗膜</v>
      </c>
      <c r="G205">
        <f>_xll.BDP("SHW UN Equity","CUR_MKT_CAP")</f>
        <v>84798260771.600006</v>
      </c>
      <c r="H205">
        <f>_xll.BDP("SHW UN Equity","CHG_PCT_YTD")</f>
        <v>5.001245E-2</v>
      </c>
      <c r="I205" t="str">
        <f>_xll.BDP("SHW UN Equity","CIE_DES")</f>
        <v>薛文威廉公司(Sherwin-Williams Company)製造、經銷，並銷售油漆、塗料，以及相關產品。該公司的產品銷售予北美洲及南美洲的專業、工業、商業，以及零售客戶。薛文威廉在加勒比海地區、歐洲，以及亞洲亦有其它經營的業務。</v>
      </c>
      <c r="J205">
        <f>_xll.BDP("SHW UN Equity","ESG_SCORE")</f>
        <v>4.679999828338623</v>
      </c>
      <c r="K205" t="str">
        <f>_xll.BDP("SHW UN Equity","MSCI_ESG_RATING")</f>
        <v>AA</v>
      </c>
      <c r="L205">
        <f>_xll.BDP("SHW UN Equity","EQY_BETA")</f>
        <v>0.88921356201171875</v>
      </c>
      <c r="M205">
        <f>_xll.BDP("SHW UN Equity","VOLATILITY_60D")</f>
        <v>22.293977153393165</v>
      </c>
      <c r="N205">
        <f>_xll.BDP("SHW UN Equity","PCT_INSIDER_SHARES_OUT")</f>
        <v>0.34133389723715207</v>
      </c>
      <c r="O205">
        <f>_xll.BDP("SHW UN Equity","PCT_CHG_INSIDER_HOLDINGS")</f>
        <v>5.4957957637043942</v>
      </c>
      <c r="P205">
        <f>_xll.BDP("SHW UN Equity","RISK_PREMIUM")</f>
        <v>4.5806324983978266</v>
      </c>
      <c r="Q205">
        <f>_xll.BDP("SHW UN Equity","HIGH_52WEEK")</f>
        <v>400.28</v>
      </c>
      <c r="R205">
        <f>_xll.BDP("SHW UN Equity","LOW_52WEEK")</f>
        <v>308.83999999999997</v>
      </c>
    </row>
    <row r="206" spans="1:18" ht="15.75" x14ac:dyDescent="0.25">
      <c r="A206" t="s">
        <v>222</v>
      </c>
      <c r="B206">
        <f>_xll.BDP("WST UN Equity","RT_PX_CHG_PCT_1D")</f>
        <v>-5.5858001708984375</v>
      </c>
      <c r="C206" t="str">
        <f>_xll.BDP("WST UN Equity","GICS_SECTOR_NAME")</f>
        <v>醫療保健</v>
      </c>
      <c r="D206" t="str">
        <f>_xll.BDP("WST UN Equity","NAME_CHINESE_TRADITIONAL")</f>
        <v>West Pharmaceutical Services</v>
      </c>
      <c r="E206" t="str">
        <f>_xll.BDP("WST UN Equity","CLASSIFICATION_LEVEL_4_NAME")</f>
        <v>醫療保健用品</v>
      </c>
      <c r="F206" t="str">
        <f>_xll.BDP("WST UN Equity","CLASSIFICATION_DESCRIPTION")</f>
        <v>外科用器具及用品</v>
      </c>
      <c r="G206">
        <f>_xll.BDP("WST UN Equity","CUR_MKT_CAP")</f>
        <v>18948299210.75</v>
      </c>
      <c r="H206">
        <f>_xll.BDP("WST UN Equity","CHG_PCT_YTD")</f>
        <v>-19.55367</v>
      </c>
      <c r="I206" t="str">
        <f>_xll.BDP("WST UN Equity","CIE_DES")</f>
        <v>West Pharmaceutical Services, Inc.為新型藥物療法與醫療保健產品提供附加價值，助其打入全球市場。該公司具備包裝組件設計/製造與藥物傳遞系統研發之相關技術，並提供合約實驗室等各種服務。</v>
      </c>
      <c r="J206">
        <f>_xll.BDP("WST UN Equity","ESG_SCORE")</f>
        <v>2.9000000953674316</v>
      </c>
      <c r="K206" t="str">
        <f>_xll.BDP("WST UN Equity","MSCI_ESG_RATING")</f>
        <v>AA</v>
      </c>
      <c r="L206">
        <f>_xll.BDP("WST UN Equity","EQY_BETA")</f>
        <v>0.86435174942016602</v>
      </c>
      <c r="M206">
        <f>_xll.BDP("WST UN Equity","VOLATILITY_60D")</f>
        <v>54.078879359484155</v>
      </c>
      <c r="N206">
        <f>_xll.BDP("WST UN Equity","PCT_INSIDER_SHARES_OUT")</f>
        <v>0.58032323630984484</v>
      </c>
      <c r="O206">
        <f>_xll.BDP("WST UN Equity","PCT_CHG_INSIDER_HOLDINGS")</f>
        <v>3.663674393153165</v>
      </c>
      <c r="P206">
        <f>_xll.BDP("WST UN Equity","RISK_PREMIUM")</f>
        <v>4.4525610973405838</v>
      </c>
      <c r="Q206">
        <f>_xll.BDP("WST UN Equity","HIGH_52WEEK")</f>
        <v>351.43</v>
      </c>
      <c r="R206">
        <f>_xll.BDP("WST UN Equity","LOW_52WEEK")</f>
        <v>187.46</v>
      </c>
    </row>
    <row r="207" spans="1:18" ht="15.75" x14ac:dyDescent="0.25">
      <c r="A207" t="s">
        <v>223</v>
      </c>
      <c r="B207">
        <f>_xll.BDP("SJM UN Equity","RT_PX_CHG_PCT_1D")</f>
        <v>0.3497999906539917</v>
      </c>
      <c r="C207" t="str">
        <f>_xll.BDP("SJM UN Equity","GICS_SECTOR_NAME")</f>
        <v>核心消費</v>
      </c>
      <c r="D207" t="str">
        <f>_xll.BDP("SJM UN Equity","NAME_CHINESE_TRADITIONAL")</f>
        <v>J M Smucker Co/The</v>
      </c>
      <c r="E207" t="str">
        <f>_xll.BDP("SJM UN Equity","CLASSIFICATION_LEVEL_4_NAME")</f>
        <v>包裝食品製造業</v>
      </c>
      <c r="F207" t="str">
        <f>_xll.BDP("SJM UN Equity","CLASSIFICATION_DESCRIPTION")</f>
        <v>包裝食品製造業</v>
      </c>
      <c r="G207">
        <f>_xll.BDP("SJM UN Equity","CUR_MKT_CAP")</f>
        <v>11630654357.519999</v>
      </c>
      <c r="H207">
        <f>_xll.BDP("SJM UN Equity","CHG_PCT_YTD")</f>
        <v>-0.99891269999999999</v>
      </c>
      <c r="I207" t="str">
        <f>_xll.BDP("SJM UN Equity","CIE_DES")</f>
        <v>The J. M. Smucker Company於全球生產及行銷食品。該公司的主要產品包括花生醬、酥油及油脂、果醬、罐裝牛奶、烘培包及霜狀白糖、現成品麵粉及烘培材料、果汁及飲料、冷凍三明治、甜點佐料、糖漿、腌黃瓜、調味品以及馬鈴薯配菜。</v>
      </c>
      <c r="J207">
        <f>_xll.BDP("SJM UN Equity","ESG_SCORE")</f>
        <v>5.2899999618530273</v>
      </c>
      <c r="K207" t="str">
        <f>_xll.BDP("SJM UN Equity","MSCI_ESG_RATING")</f>
        <v>AA</v>
      </c>
      <c r="L207">
        <f>_xll.BDP("SJM UN Equity","EQY_BETA")</f>
        <v>0.47006648778915405</v>
      </c>
      <c r="M207">
        <f>_xll.BDP("SJM UN Equity","VOLATILITY_60D")</f>
        <v>42.552357859114302</v>
      </c>
      <c r="N207">
        <f>_xll.BDP("SJM UN Equity","PCT_INSIDER_SHARES_OUT")</f>
        <v>3.4888382395811171</v>
      </c>
      <c r="O207">
        <f>_xll.BDP("SJM UN Equity","PCT_CHG_INSIDER_HOLDINGS")</f>
        <v>2.6958468169280114</v>
      </c>
      <c r="P207">
        <f>_xll.BDP("SJM UN Equity","RISK_PREMIUM")</f>
        <v>2.4214676005429028</v>
      </c>
      <c r="Q207">
        <f>_xll.BDP("SJM UN Equity","HIGH_52WEEK")</f>
        <v>125.12</v>
      </c>
      <c r="R207">
        <f>_xll.BDP("SJM UN Equity","LOW_52WEEK")</f>
        <v>93.47</v>
      </c>
    </row>
    <row r="208" spans="1:18" ht="15.75" x14ac:dyDescent="0.25">
      <c r="A208" t="s">
        <v>224</v>
      </c>
      <c r="B208">
        <f>_xll.BDP("SNA UN Equity","RT_PX_CHG_PCT_1D")</f>
        <v>-1.8200000748038292E-2</v>
      </c>
      <c r="C208" t="str">
        <f>_xll.BDP("SNA UN Equity","GICS_SECTOR_NAME")</f>
        <v>工業</v>
      </c>
      <c r="D208" t="str">
        <f>_xll.BDP("SNA UN Equity","NAME_CHINESE_TRADITIONAL")</f>
        <v>實耐寶公司</v>
      </c>
      <c r="E208" t="str">
        <f>_xll.BDP("SNA UN Equity","CLASSIFICATION_LEVEL_4_NAME")</f>
        <v>工業機械</v>
      </c>
      <c r="F208" t="str">
        <f>_xll.BDP("SNA UN Equity","CLASSIFICATION_DESCRIPTION")</f>
        <v>手工工具</v>
      </c>
      <c r="G208">
        <f>_xll.BDP("SNA UN Equity","CUR_MKT_CAP")</f>
        <v>17227996540.169998</v>
      </c>
      <c r="H208">
        <f>_xll.BDP("SNA UN Equity","CHG_PCT_YTD")</f>
        <v>-2.7129759999999998</v>
      </c>
      <c r="I208" t="str">
        <f>_xll.BDP("SNA UN Equity","CIE_DES")</f>
        <v>實耐寶公司(Snap-on Incorporated)於全球各地開發、製造，並經銷工具及設備解決方案。該公司產品針對汽車服務業，提供手動與電動工具、診斷與修理場設備、工具箱產品、檢測軟體，以及其它解決方案。實耐寶服務美國的客戶。</v>
      </c>
      <c r="J208">
        <f>_xll.BDP("SNA UN Equity","ESG_SCORE")</f>
        <v>2.9300000667572021</v>
      </c>
      <c r="K208" t="str">
        <f>_xll.BDP("SNA UN Equity","MSCI_ESG_RATING")</f>
        <v>BBB</v>
      </c>
      <c r="L208">
        <f>_xll.BDP("SNA UN Equity","EQY_BETA")</f>
        <v>0.85681474208831787</v>
      </c>
      <c r="M208">
        <f>_xll.BDP("SNA UN Equity","VOLATILITY_60D")</f>
        <v>24.329699778187834</v>
      </c>
      <c r="N208">
        <f>_xll.BDP("SNA UN Equity","PCT_INSIDER_SHARES_OUT")</f>
        <v>2.2014194627379311</v>
      </c>
      <c r="O208">
        <f>_xll.BDP("SNA UN Equity","PCT_CHG_INSIDER_HOLDINGS")</f>
        <v>5.5198943643854763</v>
      </c>
      <c r="P208">
        <f>_xll.BDP("SNA UN Equity","RISK_PREMIUM")</f>
        <v>4.4137354853618147</v>
      </c>
      <c r="Q208">
        <f>_xll.BDP("SNA UN Equity","HIGH_52WEEK")</f>
        <v>373.42</v>
      </c>
      <c r="R208">
        <f>_xll.BDP("SNA UN Equity","LOW_52WEEK")</f>
        <v>267.16000000000003</v>
      </c>
    </row>
    <row r="209" spans="1:18" ht="15.75" x14ac:dyDescent="0.25">
      <c r="A209" t="s">
        <v>225</v>
      </c>
      <c r="B209">
        <f>_xll.BDP("AME UN Equity","RT_PX_CHG_PCT_1D")</f>
        <v>0.20589999854564667</v>
      </c>
      <c r="C209" t="str">
        <f>_xll.BDP("AME UN Equity","GICS_SECTOR_NAME")</f>
        <v>工業</v>
      </c>
      <c r="D209" t="str">
        <f>_xll.BDP("AME UN Equity","NAME_CHINESE_TRADITIONAL")</f>
        <v>阿美特克公司</v>
      </c>
      <c r="E209" t="str">
        <f>_xll.BDP("AME UN Equity","CLASSIFICATION_LEVEL_4_NAME")</f>
        <v>測量儀</v>
      </c>
      <c r="F209" t="str">
        <f>_xll.BDP("AME UN Equity","CLASSIFICATION_DESCRIPTION")</f>
        <v>量測及控制設備</v>
      </c>
      <c r="G209">
        <f>_xll.BDP("AME UN Equity","CUR_MKT_CAP")</f>
        <v>41578995148.019997</v>
      </c>
      <c r="H209">
        <f>_xll.BDP("AME UN Equity","CHG_PCT_YTD")</f>
        <v>-9.4305180000000002E-2</v>
      </c>
      <c r="I209" t="str">
        <f>_xll.BDP("AME UN Equity","CIE_DES")</f>
        <v>阿美特克公司(AMETEK, Inc.)為一家電子儀器和機電裝置製造公司。該公司製造處理、航太、動力及工業市場用的進階工具，並供應電子接線、特殊金屬、馬達與系統，以及地板保養和及特殊馬達。阿美特克服務全球各地的客戶。</v>
      </c>
      <c r="J209">
        <f>_xll.BDP("AME UN Equity","ESG_SCORE")</f>
        <v>2.4500000476837158</v>
      </c>
      <c r="K209" t="str">
        <f>_xll.BDP("AME UN Equity","MSCI_ESG_RATING")</f>
        <v>BBB</v>
      </c>
      <c r="L209">
        <f>_xll.BDP("AME UN Equity","EQY_BETA")</f>
        <v>0.92919075489044189</v>
      </c>
      <c r="M209">
        <f>_xll.BDP("AME UN Equity","VOLATILITY_60D")</f>
        <v>17.611875562358133</v>
      </c>
      <c r="N209">
        <f>_xll.BDP("AME UN Equity","PCT_INSIDER_SHARES_OUT")</f>
        <v>0.46386418860095546</v>
      </c>
      <c r="O209">
        <f>_xll.BDP("AME UN Equity","PCT_CHG_INSIDER_HOLDINGS")</f>
        <v>3.74300728937108</v>
      </c>
      <c r="P209">
        <f>_xll.BDP("AME UN Equity","RISK_PREMIUM")</f>
        <v>4.7865682113897794</v>
      </c>
      <c r="Q209">
        <f>_xll.BDP("AME UN Equity","HIGH_52WEEK")</f>
        <v>198.02</v>
      </c>
      <c r="R209">
        <f>_xll.BDP("AME UN Equity","LOW_52WEEK")</f>
        <v>145.41999999999999</v>
      </c>
    </row>
    <row r="210" spans="1:18" ht="15.75" x14ac:dyDescent="0.25">
      <c r="A210" t="s">
        <v>226</v>
      </c>
      <c r="B210">
        <f>_xll.BDP("UBER UN Equity","RT_PX_CHG_PCT_1D")</f>
        <v>0.46219998598098755</v>
      </c>
      <c r="C210" t="str">
        <f>_xll.BDP("UBER UN Equity","GICS_SECTOR_NAME")</f>
        <v>工業</v>
      </c>
      <c r="D210" t="str">
        <f>_xll.BDP("UBER UN Equity","NAME_CHINESE_TRADITIONAL")</f>
        <v>優步科技公司</v>
      </c>
      <c r="E210" t="str">
        <f>_xll.BDP("UBER UN Equity","CLASSIFICATION_LEVEL_4_NAME")</f>
        <v>網路媒體及服務</v>
      </c>
      <c r="F210" t="str">
        <f>_xll.BDP("UBER UN Equity","CLASSIFICATION_DESCRIPTION")</f>
        <v>共乘服務</v>
      </c>
      <c r="G210">
        <f>_xll.BDP("UBER UN Equity","CUR_MKT_CAP")</f>
        <v>190902735666.42001</v>
      </c>
      <c r="H210">
        <f>_xll.BDP("UBER UN Equity","CHG_PCT_YTD")</f>
        <v>51.342840000000002</v>
      </c>
      <c r="I210" t="str">
        <f>_xll.BDP("UBER UN Equity","CIE_DES")</f>
        <v>優步科技公司(Uber Technologies Inc)提供叫車服務。該公司針對道路運輸、導航、共乘，以及支付處理解決方案，開發應用程式。優步科技服務全球各地的客戶。</v>
      </c>
      <c r="J210">
        <f>_xll.BDP("UBER UN Equity","ESG_SCORE")</f>
        <v>6.6500000953674316</v>
      </c>
      <c r="K210" t="str">
        <f>_xll.BDP("UBER UN Equity","MSCI_ESG_RATING")</f>
        <v>A</v>
      </c>
      <c r="L210">
        <f>_xll.BDP("UBER UN Equity","EQY_BETA")</f>
        <v>1.2593299150466919</v>
      </c>
      <c r="M210">
        <f>_xll.BDP("UBER UN Equity","VOLATILITY_60D")</f>
        <v>33.163836317808837</v>
      </c>
      <c r="N210">
        <f>_xll.BDP("UBER UN Equity","PCT_INSIDER_SHARES_OUT")</f>
        <v>0.19304699574591808</v>
      </c>
      <c r="O210">
        <f>_xll.BDP("UBER UN Equity","PCT_CHG_INSIDER_HOLDINGS")</f>
        <v>11.492864980502944</v>
      </c>
      <c r="P210">
        <f>_xll.BDP("UBER UN Equity","RISK_PREMIUM")</f>
        <v>6.4872239712774746</v>
      </c>
      <c r="Q210">
        <f>_xll.BDP("UBER UN Equity","HIGH_52WEEK")</f>
        <v>97.71</v>
      </c>
      <c r="R210">
        <f>_xll.BDP("UBER UN Equity","LOW_52WEEK")</f>
        <v>54.99</v>
      </c>
    </row>
    <row r="211" spans="1:18" ht="15.75" x14ac:dyDescent="0.25">
      <c r="A211" t="s">
        <v>227</v>
      </c>
      <c r="B211">
        <f>_xll.BDP("SO UN Equity","RT_PX_CHG_PCT_1D")</f>
        <v>0.36840000748634338</v>
      </c>
      <c r="C211" t="str">
        <f>_xll.BDP("SO UN Equity","GICS_SECTOR_NAME")</f>
        <v>公用事業</v>
      </c>
      <c r="D211" t="str">
        <f>_xll.BDP("SO UN Equity","NAME_CHINESE_TRADITIONAL")</f>
        <v>南方公司</v>
      </c>
      <c r="E211" t="str">
        <f>_xll.BDP("SO UN Equity","CLASSIFICATION_LEVEL_4_NAME")</f>
        <v>整合型公用事業</v>
      </c>
      <c r="F211" t="str">
        <f>_xll.BDP("SO UN Equity","CLASSIFICATION_DESCRIPTION")</f>
        <v>整合型公用事業</v>
      </c>
      <c r="G211">
        <f>_xll.BDP("SO UN Equity","CUR_MKT_CAP")</f>
        <v>104903463574.00002</v>
      </c>
      <c r="H211">
        <f>_xll.BDP("SO UN Equity","CHG_PCT_YTD")</f>
        <v>15.828469999999999</v>
      </c>
      <c r="I211" t="str">
        <f>_xll.BDP("SO UN Equity","CIE_DES")</f>
        <v>南方公司（The Southern Company）為公共事業的控股公司。該公司透過旗下子公司，開發、建造、收購、擁有，並管理發電資產，包括可再生能源專案，於批發市場銷售電力，以及經銷天然氣產品。南方公司服務美國的客戶。</v>
      </c>
      <c r="J211">
        <f>_xll.BDP("SO UN Equity","ESG_SCORE")</f>
        <v>6.0799999237060547</v>
      </c>
      <c r="K211" t="str">
        <f>_xll.BDP("SO UN Equity","MSCI_ESG_RATING")</f>
        <v>A</v>
      </c>
      <c r="L211">
        <f>_xll.BDP("SO UN Equity","EQY_BETA")</f>
        <v>0.39575165510177612</v>
      </c>
      <c r="M211">
        <f>_xll.BDP("SO UN Equity","VOLATILITY_60D")</f>
        <v>16.961787416799503</v>
      </c>
      <c r="N211">
        <f>_xll.BDP("SO UN Equity","PCT_INSIDER_SHARES_OUT")</f>
        <v>0.19935757422781794</v>
      </c>
      <c r="O211">
        <f>_xll.BDP("SO UN Equity","PCT_CHG_INSIDER_HOLDINGS")</f>
        <v>6.7169826652620461</v>
      </c>
      <c r="P211">
        <f>_xll.BDP("SO UN Equity","RISK_PREMIUM")</f>
        <v>2.0386473734754325</v>
      </c>
      <c r="Q211">
        <f>_xll.BDP("SO UN Equity","HIGH_52WEEK")</f>
        <v>96.4</v>
      </c>
      <c r="R211">
        <f>_xll.BDP("SO UN Equity","LOW_52WEEK")</f>
        <v>80.459999999999994</v>
      </c>
    </row>
    <row r="212" spans="1:18" ht="15.75" x14ac:dyDescent="0.25">
      <c r="A212" t="s">
        <v>228</v>
      </c>
      <c r="B212">
        <f>_xll.BDP("TFC UN Equity","RT_PX_CHG_PCT_1D")</f>
        <v>0.37380000948905945</v>
      </c>
      <c r="C212" t="str">
        <f>_xll.BDP("TFC UN Equity","GICS_SECTOR_NAME")</f>
        <v>金融</v>
      </c>
      <c r="D212" t="str">
        <f>_xll.BDP("TFC UN Equity","NAME_CHINESE_TRADITIONAL")</f>
        <v>Truist金融公司</v>
      </c>
      <c r="E212" t="str">
        <f>_xll.BDP("TFC UN Equity","CLASSIFICATION_LEVEL_4_NAME")</f>
        <v>銀行</v>
      </c>
      <c r="F212" t="str">
        <f>_xll.BDP("TFC UN Equity","CLASSIFICATION_DESCRIPTION")</f>
        <v>銀行</v>
      </c>
      <c r="G212">
        <f>_xll.BDP("TFC UN Equity","CUR_MKT_CAP")</f>
        <v>59780453569.649994</v>
      </c>
      <c r="H212">
        <f>_xll.BDP("TFC UN Equity","CHG_PCT_YTD")</f>
        <v>5.2328239999999999</v>
      </c>
      <c r="I212" t="str">
        <f>_xll.BDP("TFC UN Equity","CIE_DES")</f>
        <v>Truist金融公司(Truist Financial Corporation)提供金融服務。該公司提供廣泛的服務，包括：零售、小型企業及商業銀行、資產管理、資本市場、商業不動產、公司與機構銀行、保險、抵押、付款，以及專用貸款及財富管理解決方案。</v>
      </c>
      <c r="J212">
        <f>_xll.BDP("TFC UN Equity","ESG_SCORE")</f>
        <v>3.8900001049041748</v>
      </c>
      <c r="K212" t="str">
        <f>_xll.BDP("TFC UN Equity","MSCI_ESG_RATING")</f>
        <v>BBB</v>
      </c>
      <c r="L212">
        <f>_xll.BDP("TFC UN Equity","EQY_BETA")</f>
        <v>1.1521066427230835</v>
      </c>
      <c r="M212">
        <f>_xll.BDP("TFC UN Equity","VOLATILITY_60D")</f>
        <v>24.444008054237997</v>
      </c>
      <c r="N212">
        <f>_xll.BDP("TFC UN Equity","PCT_INSIDER_SHARES_OUT")</f>
        <v>0.32146836107973864</v>
      </c>
      <c r="O212">
        <f>_xll.BDP("TFC UN Equity","PCT_CHG_INSIDER_HOLDINGS")</f>
        <v>3.6336426757182996</v>
      </c>
      <c r="P212">
        <f>_xll.BDP("TFC UN Equity","RISK_PREMIUM")</f>
        <v>5.9348815118587011</v>
      </c>
      <c r="Q212">
        <f>_xll.BDP("TFC UN Equity","HIGH_52WEEK")</f>
        <v>49.05</v>
      </c>
      <c r="R212">
        <f>_xll.BDP("TFC UN Equity","LOW_52WEEK")</f>
        <v>33.57</v>
      </c>
    </row>
    <row r="213" spans="1:18" ht="15.75" x14ac:dyDescent="0.25">
      <c r="A213" t="s">
        <v>229</v>
      </c>
      <c r="B213">
        <f>_xll.BDP("LUV UN Equity","RT_PX_CHG_PCT_1D")</f>
        <v>-0.15029999613761902</v>
      </c>
      <c r="C213" t="str">
        <f>_xll.BDP("LUV UN Equity","GICS_SECTOR_NAME")</f>
        <v>工業</v>
      </c>
      <c r="D213" t="str">
        <f>_xll.BDP("LUV UN Equity","NAME_CHINESE_TRADITIONAL")</f>
        <v>西南航空</v>
      </c>
      <c r="E213" t="str">
        <f>_xll.BDP("LUV UN Equity","CLASSIFICATION_LEVEL_4_NAME")</f>
        <v>航空</v>
      </c>
      <c r="F213" t="str">
        <f>_xll.BDP("LUV UN Equity","CLASSIFICATION_DESCRIPTION")</f>
        <v>主要航線-廉價</v>
      </c>
      <c r="G213">
        <f>_xll.BDP("LUV UN Equity","CUR_MKT_CAP")</f>
        <v>17441483815.889999</v>
      </c>
      <c r="H213">
        <f>_xll.BDP("LUV UN Equity","CHG_PCT_YTD")</f>
        <v>-1.219509</v>
      </c>
      <c r="I213" t="str">
        <f>_xll.BDP("LUV UN Equity","CIE_DES")</f>
        <v>西南航空(Southwest Airlines Co.)為一國內航空公司，主要提供短程、高頻率、點對點的航班服務。該公司在美國各地提供航班服務。</v>
      </c>
      <c r="J213">
        <f>_xll.BDP("LUV UN Equity","ESG_SCORE")</f>
        <v>7.2699999809265137</v>
      </c>
      <c r="K213" t="str">
        <f>_xll.BDP("LUV UN Equity","MSCI_ESG_RATING")</f>
        <v>N.S.</v>
      </c>
      <c r="L213">
        <f>_xll.BDP("LUV UN Equity","EQY_BETA")</f>
        <v>1.0257171392440796</v>
      </c>
      <c r="M213">
        <f>_xll.BDP("LUV UN Equity","VOLATILITY_60D")</f>
        <v>40.95662772302272</v>
      </c>
      <c r="N213">
        <f>_xll.BDP("LUV UN Equity","PCT_INSIDER_SHARES_OUT")</f>
        <v>1.3477931731836066</v>
      </c>
      <c r="O213">
        <f>_xll.BDP("LUV UN Equity","PCT_CHG_INSIDER_HOLDINGS")</f>
        <v>7.472449992930895</v>
      </c>
      <c r="P213">
        <f>_xll.BDP("LUV UN Equity","RISK_PREMIUM")</f>
        <v>5.2838074709022038</v>
      </c>
      <c r="Q213">
        <f>_xll.BDP("LUV UN Equity","HIGH_52WEEK")</f>
        <v>37.96</v>
      </c>
      <c r="R213">
        <f>_xll.BDP("LUV UN Equity","LOW_52WEEK")</f>
        <v>23.585000000000001</v>
      </c>
    </row>
    <row r="214" spans="1:18" ht="15.75" x14ac:dyDescent="0.25">
      <c r="A214" t="s">
        <v>230</v>
      </c>
      <c r="B214">
        <f>_xll.BDP("WRB UN Equity","RT_PX_CHG_PCT_1D")</f>
        <v>0.65659999847412109</v>
      </c>
      <c r="C214" t="str">
        <f>_xll.BDP("WRB UN Equity","GICS_SECTOR_NAME")</f>
        <v>金融</v>
      </c>
      <c r="D214" t="str">
        <f>_xll.BDP("WRB UN Equity","NAME_CHINESE_TRADITIONAL")</f>
        <v>W.R.柏克利公司</v>
      </c>
      <c r="E214" t="str">
        <f>_xll.BDP("WRB UN Equity","CLASSIFICATION_LEVEL_4_NAME")</f>
        <v>產物及意外保險</v>
      </c>
      <c r="F214" t="str">
        <f>_xll.BDP("WRB UN Equity","CLASSIFICATION_DESCRIPTION")</f>
        <v>產物意外險保費</v>
      </c>
      <c r="G214">
        <f>_xll.BDP("WRB UN Equity","CUR_MKT_CAP")</f>
        <v>26171759470.589996</v>
      </c>
      <c r="H214">
        <f>_xll.BDP("WRB UN Equity","CHG_PCT_YTD")</f>
        <v>18.696079999999998</v>
      </c>
      <c r="I214" t="str">
        <f>_xll.BDP("WRB UN Equity","CIE_DES")</f>
        <v>W.R.柏克利公司為(W. R. Berkley Corporation)為保險代理商。該公司提供產物意外保險及再保險產品。W.R.柏克利服務全球客戶。</v>
      </c>
      <c r="J214">
        <f>_xll.BDP("WRB UN Equity","ESG_SCORE")</f>
        <v>1.6799999475479126</v>
      </c>
      <c r="K214" t="str">
        <f>_xll.BDP("WRB UN Equity","MSCI_ESG_RATING")</f>
        <v>BB</v>
      </c>
      <c r="L214">
        <f>_xll.BDP("WRB UN Equity","EQY_BETA")</f>
        <v>0.57033389806747437</v>
      </c>
      <c r="M214">
        <f>_xll.BDP("WRB UN Equity","VOLATILITY_60D")</f>
        <v>17.658519818826782</v>
      </c>
      <c r="N214">
        <f>_xll.BDP("WRB UN Equity","PCT_INSIDER_SHARES_OUT")</f>
        <v>24.439910764511836</v>
      </c>
      <c r="O214">
        <f>_xll.BDP("WRB UN Equity","PCT_CHG_INSIDER_HOLDINGS")</f>
        <v>2.9950437528312522E-2</v>
      </c>
      <c r="P214">
        <f>_xll.BDP("WRB UN Equity","RISK_PREMIUM")</f>
        <v>2.9379781191319227</v>
      </c>
      <c r="Q214">
        <f>_xll.BDP("WRB UN Equity","HIGH_52WEEK")</f>
        <v>75.713200000000001</v>
      </c>
      <c r="R214">
        <f>_xll.BDP("WRB UN Equity","LOW_52WEEK")</f>
        <v>52.637099999999997</v>
      </c>
    </row>
    <row r="215" spans="1:18" ht="15.75" x14ac:dyDescent="0.25">
      <c r="A215" t="s">
        <v>231</v>
      </c>
      <c r="B215">
        <f>_xll.BDP("SWK UN Equity","RT_PX_CHG_PCT_1D")</f>
        <v>1.6646000146865845</v>
      </c>
      <c r="C215" t="str">
        <f>_xll.BDP("SWK UN Equity","GICS_SECTOR_NAME")</f>
        <v>工業</v>
      </c>
      <c r="D215" t="str">
        <f>_xll.BDP("SWK UN Equity","NAME_CHINESE_TRADITIONAL")</f>
        <v>史丹利百得公司</v>
      </c>
      <c r="E215" t="str">
        <f>_xll.BDP("SWK UN Equity","CLASSIFICATION_LEVEL_4_NAME")</f>
        <v>工業機械</v>
      </c>
      <c r="F215" t="str">
        <f>_xll.BDP("SWK UN Equity","CLASSIFICATION_DESCRIPTION")</f>
        <v>工具</v>
      </c>
      <c r="G215">
        <f>_xll.BDP("SWK UN Equity","CUR_MKT_CAP")</f>
        <v>11433255893.1</v>
      </c>
      <c r="H215">
        <f>_xll.BDP("SWK UN Equity","CHG_PCT_YTD")</f>
        <v>-7.9586509999999997</v>
      </c>
      <c r="I215" t="str">
        <f>_xll.BDP("SWK UN Equity","CIE_DES")</f>
        <v>史丹利百得公司(Stanley Black &amp; Decker, Inc.)為多元化的全球供應商，產品包括：手動工具、電動工具及相關配件、機械門禁及電子保全解決方案、醫療保健解決方案、工程緊固系統等。該公司提供陸上和海上管道建設和檢測服務。</v>
      </c>
      <c r="J215">
        <f>_xll.BDP("SWK UN Equity","ESG_SCORE")</f>
        <v>5.1999998092651367</v>
      </c>
      <c r="K215" t="str">
        <f>_xll.BDP("SWK UN Equity","MSCI_ESG_RATING")</f>
        <v>N.S.</v>
      </c>
      <c r="L215">
        <f>_xll.BDP("SWK UN Equity","EQY_BETA")</f>
        <v>1.1209515333175659</v>
      </c>
      <c r="M215">
        <f>_xll.BDP("SWK UN Equity","VOLATILITY_60D")</f>
        <v>45.50604253101239</v>
      </c>
      <c r="N215">
        <f>_xll.BDP("SWK UN Equity","PCT_INSIDER_SHARES_OUT")</f>
        <v>0.27783990084834775</v>
      </c>
      <c r="O215">
        <f>_xll.BDP("SWK UN Equity","PCT_CHG_INSIDER_HOLDINGS")</f>
        <v>20.775866765502307</v>
      </c>
      <c r="P215">
        <f>_xll.BDP("SWK UN Equity","RISK_PREMIUM")</f>
        <v>5.7743912621247766</v>
      </c>
      <c r="Q215">
        <f>_xll.BDP("SWK UN Equity","HIGH_52WEEK")</f>
        <v>110.61</v>
      </c>
      <c r="R215">
        <f>_xll.BDP("SWK UN Equity","LOW_52WEEK")</f>
        <v>53.98</v>
      </c>
    </row>
    <row r="216" spans="1:18" ht="15.75" x14ac:dyDescent="0.25">
      <c r="A216" t="s">
        <v>232</v>
      </c>
      <c r="B216">
        <f>_xll.BDP("PSA UN Equity","RT_PX_CHG_PCT_1D")</f>
        <v>0.15659999847412109</v>
      </c>
      <c r="C216" t="str">
        <f>_xll.BDP("PSA UN Equity","GICS_SECTOR_NAME")</f>
        <v>房地產</v>
      </c>
      <c r="D216" t="str">
        <f>_xll.BDP("PSA UN Equity","NAME_CHINESE_TRADITIONAL")</f>
        <v>公共存儲公司</v>
      </c>
      <c r="E216" t="str">
        <f>_xll.BDP("PSA UN Equity","CLASSIFICATION_LEVEL_4_NAME")</f>
        <v>自助倉儲 REIT</v>
      </c>
      <c r="F216" t="str">
        <f>_xll.BDP("PSA UN Equity","CLASSIFICATION_DESCRIPTION")</f>
        <v>自助倉儲 REIT</v>
      </c>
      <c r="G216">
        <f>_xll.BDP("PSA UN Equity","CUR_MKT_CAP")</f>
        <v>50482123549.439995</v>
      </c>
      <c r="H216">
        <f>_xll.BDP("PSA UN Equity","CHG_PCT_YTD")</f>
        <v>-3.9006150000000002</v>
      </c>
      <c r="I216" t="str">
        <f>_xll.BDP("PSA UN Equity","CIE_DES")</f>
        <v>公共存儲公司(Public Storage)為一家不動產投資信託。該公司收購、開發、擁有，並管理管理自助倉儲設施，出租自助倉儲空間供個人和商業用途。公共存儲服務全球客戶。</v>
      </c>
      <c r="J216">
        <f>_xll.BDP("PSA UN Equity","ESG_SCORE")</f>
        <v>5.2699999809265137</v>
      </c>
      <c r="K216" t="str">
        <f>_xll.BDP("PSA UN Equity","MSCI_ESG_RATING")</f>
        <v>N.S.</v>
      </c>
      <c r="L216">
        <f>_xll.BDP("PSA UN Equity","EQY_BETA")</f>
        <v>0.72360873222351074</v>
      </c>
      <c r="M216">
        <f>_xll.BDP("PSA UN Equity","VOLATILITY_60D")</f>
        <v>17.290209959370927</v>
      </c>
      <c r="N216">
        <f>_xll.BDP("PSA UN Equity","PCT_INSIDER_SHARES_OUT")</f>
        <v>10.190423698621625</v>
      </c>
      <c r="O216">
        <f>_xll.BDP("PSA UN Equity","PCT_CHG_INSIDER_HOLDINGS")</f>
        <v>-2.2214963078324998E-3</v>
      </c>
      <c r="P216">
        <f>_xll.BDP("PSA UN Equity","RISK_PREMIUM")</f>
        <v>3.7275473705649373</v>
      </c>
      <c r="Q216">
        <f>_xll.BDP("PSA UN Equity","HIGH_52WEEK")</f>
        <v>368.17</v>
      </c>
      <c r="R216">
        <f>_xll.BDP("PSA UN Equity","LOW_52WEEK")</f>
        <v>256.60000000000002</v>
      </c>
    </row>
    <row r="217" spans="1:18" ht="15.75" x14ac:dyDescent="0.25">
      <c r="A217" t="s">
        <v>233</v>
      </c>
      <c r="B217">
        <f>_xll.BDP("ANET UN Equity","RT_PX_CHG_PCT_1D")</f>
        <v>0.21050000190734863</v>
      </c>
      <c r="C217" t="str">
        <f>_xll.BDP("ANET UN Equity","GICS_SECTOR_NAME")</f>
        <v>資訊技術</v>
      </c>
      <c r="D217" t="str">
        <f>_xll.BDP("ANET UN Equity","NAME_CHINESE_TRADITIONAL")</f>
        <v>Arista網路公司</v>
      </c>
      <c r="E217" t="str">
        <f>_xll.BDP("ANET UN Equity","CLASSIFICATION_LEVEL_4_NAME")</f>
        <v>通訊設備</v>
      </c>
      <c r="F217" t="str">
        <f>_xll.BDP("ANET UN Equity","CLASSIFICATION_DESCRIPTION")</f>
        <v>數據網路設備</v>
      </c>
      <c r="G217">
        <f>_xll.BDP("ANET UN Equity","CUR_MKT_CAP")</f>
        <v>143526701134.68002</v>
      </c>
      <c r="H217">
        <f>_xll.BDP("ANET UN Equity","CHG_PCT_YTD")</f>
        <v>3.3927450000000001</v>
      </c>
      <c r="I217" t="str">
        <f>_xll.BDP("ANET UN Equity","CIE_DES")</f>
        <v>Arista網路公司（Arista Networks, Inc.）為一家雲端網路公司。該公司透過針對大型資料中心、人工智慧、園區，與路由環境的先進自動化、分析，以及安全功能，整個資料中心和園區提供產品，包括用於監控與網路檢測的路由和軟體解決方案。Arista網路服務全球客戶。</v>
      </c>
      <c r="J217">
        <f>_xll.BDP("ANET UN Equity","ESG_SCORE")</f>
        <v>3.3599998950958252</v>
      </c>
      <c r="K217" t="str">
        <f>_xll.BDP("ANET UN Equity","MSCI_ESG_RATING")</f>
        <v>AA</v>
      </c>
      <c r="L217">
        <f>_xll.BDP("ANET UN Equity","EQY_BETA")</f>
        <v>1.7778328657150269</v>
      </c>
      <c r="M217">
        <f>_xll.BDP("ANET UN Equity","VOLATILITY_60D")</f>
        <v>47.195197492125885</v>
      </c>
      <c r="N217">
        <f>_xll.BDP("ANET UN Equity","PCT_INSIDER_SHARES_OUT")</f>
        <v>21.186728464608841</v>
      </c>
      <c r="O217">
        <f>_xll.BDP("ANET UN Equity","PCT_CHG_INSIDER_HOLDINGS")</f>
        <v>-0.45664827105580547</v>
      </c>
      <c r="P217">
        <f>_xll.BDP("ANET UN Equity","RISK_PREMIUM")</f>
        <v>9.1582037761437896</v>
      </c>
      <c r="Q217">
        <f>_xll.BDP("ANET UN Equity","HIGH_52WEEK")</f>
        <v>133.04</v>
      </c>
      <c r="R217">
        <f>_xll.BDP("ANET UN Equity","LOW_52WEEK")</f>
        <v>59.51</v>
      </c>
    </row>
    <row r="218" spans="1:18" ht="15.75" x14ac:dyDescent="0.25">
      <c r="A218" t="s">
        <v>234</v>
      </c>
      <c r="B218">
        <f>_xll.BDP("SYY UN Equity","RT_PX_CHG_PCT_1D")</f>
        <v>0.55099999904632568</v>
      </c>
      <c r="C218" t="str">
        <f>_xll.BDP("SYY UN Equity","GICS_SECTOR_NAME")</f>
        <v>核心消費</v>
      </c>
      <c r="D218" t="str">
        <f>_xll.BDP("SYY UN Equity","NAME_CHINESE_TRADITIONAL")</f>
        <v>西斯柯公司</v>
      </c>
      <c r="E218" t="str">
        <f>_xll.BDP("SYY UN Equity","CLASSIFICATION_LEVEL_4_NAME")</f>
        <v>食品批發商</v>
      </c>
      <c r="F218" t="str">
        <f>_xll.BDP("SYY UN Equity","CLASSIFICATION_DESCRIPTION")</f>
        <v>食品批發商</v>
      </c>
      <c r="G218">
        <f>_xll.BDP("SYY UN Equity","CUR_MKT_CAP")</f>
        <v>38925559984.299995</v>
      </c>
      <c r="H218">
        <f>_xll.BDP("SYY UN Equity","CHG_PCT_YTD")</f>
        <v>5.0222350000000002</v>
      </c>
      <c r="I218" t="str">
        <f>_xll.BDP("SYY UN Equity","CIE_DES")</f>
        <v>西斯柯公司(Sysco Corporation)主要配銷食品及相關產品予食品服務業。該公司亦經銷旅客個人保養用品、客房日常用品、房間飾品，及紡織品等予旅館業者。西斯柯服務美國的客戶。</v>
      </c>
      <c r="J218">
        <f>_xll.BDP("SYY UN Equity","ESG_SCORE")</f>
        <v>4.0300002098083496</v>
      </c>
      <c r="K218" t="str">
        <f>_xll.BDP("SYY UN Equity","MSCI_ESG_RATING")</f>
        <v>A</v>
      </c>
      <c r="L218">
        <f>_xll.BDP("SYY UN Equity","EQY_BETA")</f>
        <v>0.50021070241928101</v>
      </c>
      <c r="M218">
        <f>_xll.BDP("SYY UN Equity","VOLATILITY_60D")</f>
        <v>16.849964950564186</v>
      </c>
      <c r="N218">
        <f>_xll.BDP("SYY UN Equity","PCT_INSIDER_SHARES_OUT")</f>
        <v>0.28707459922265349</v>
      </c>
      <c r="O218">
        <f>_xll.BDP("SYY UN Equity","PCT_CHG_INSIDER_HOLDINGS")</f>
        <v>0.54701778747097451</v>
      </c>
      <c r="P218">
        <f>_xll.BDP("SYY UN Equity","RISK_PREMIUM")</f>
        <v>2.5767503976935147</v>
      </c>
      <c r="Q218">
        <f>_xll.BDP("SYY UN Equity","HIGH_52WEEK")</f>
        <v>82.23</v>
      </c>
      <c r="R218">
        <f>_xll.BDP("SYY UN Equity","LOW_52WEEK")</f>
        <v>67.260000000000005</v>
      </c>
    </row>
    <row r="219" spans="1:18" ht="15.75" x14ac:dyDescent="0.25">
      <c r="A219" t="s">
        <v>235</v>
      </c>
      <c r="B219">
        <f>_xll.BDP("CTVA UN Equity","RT_PX_CHG_PCT_1D")</f>
        <v>0.42399999499320984</v>
      </c>
      <c r="C219" t="str">
        <f>_xll.BDP("CTVA UN Equity","GICS_SECTOR_NAME")</f>
        <v>原材料</v>
      </c>
      <c r="D219" t="str">
        <f>_xll.BDP("CTVA UN Equity","NAME_CHINESE_TRADITIONAL")</f>
        <v>科迪華公司</v>
      </c>
      <c r="E219" t="str">
        <f>_xll.BDP("CTVA UN Equity","CLASSIFICATION_LEVEL_4_NAME")</f>
        <v>農業化學品</v>
      </c>
      <c r="F219" t="str">
        <f>_xll.BDP("CTVA UN Equity","CLASSIFICATION_DESCRIPTION")</f>
        <v>種子及農業生物科技</v>
      </c>
      <c r="G219">
        <f>_xll.BDP("CTVA UN Equity","CUR_MKT_CAP")</f>
        <v>50153760756.26001</v>
      </c>
      <c r="H219">
        <f>_xll.BDP("CTVA UN Equity","CHG_PCT_YTD")</f>
        <v>28.915030000000002</v>
      </c>
      <c r="I219" t="str">
        <f>_xll.BDP("CTVA UN Equity","CIE_DES")</f>
        <v>科迪華公司(Corteva, Inc.)提供農業產品。該公司提供種子及作物保護產品，以及軟體解決方案及數位服務。科迪華服務全球各地的客戶。</v>
      </c>
      <c r="J219">
        <f>_xll.BDP("CTVA UN Equity","ESG_SCORE")</f>
        <v>6.4800000190734863</v>
      </c>
      <c r="K219" t="str">
        <f>_xll.BDP("CTVA UN Equity","MSCI_ESG_RATING")</f>
        <v>BBB</v>
      </c>
      <c r="L219">
        <f>_xll.BDP("CTVA UN Equity","EQY_BETA")</f>
        <v>0.79733991622924805</v>
      </c>
      <c r="M219">
        <f>_xll.BDP("CTVA UN Equity","VOLATILITY_60D")</f>
        <v>19.813076609664808</v>
      </c>
      <c r="N219">
        <f>_xll.BDP("CTVA UN Equity","PCT_INSIDER_SHARES_OUT")</f>
        <v>0.21253801838203742</v>
      </c>
      <c r="O219">
        <f>_xll.BDP("CTVA UN Equity","PCT_CHG_INSIDER_HOLDINGS")</f>
        <v>-1.389821031381649</v>
      </c>
      <c r="P219">
        <f>_xll.BDP("CTVA UN Equity","RISK_PREMIUM")</f>
        <v>4.1073610306692121</v>
      </c>
      <c r="Q219">
        <f>_xll.BDP("CTVA UN Equity","HIGH_52WEEK")</f>
        <v>77.400000000000006</v>
      </c>
      <c r="R219">
        <f>_xll.BDP("CTVA UN Equity","LOW_52WEEK")</f>
        <v>50.3</v>
      </c>
    </row>
    <row r="220" spans="1:18" ht="15.75" x14ac:dyDescent="0.25">
      <c r="A220" t="s">
        <v>236</v>
      </c>
      <c r="B220">
        <f>_xll.BDP("TXN UW Equity","RT_PX_CHG_PCT_1D")</f>
        <v>-0.37700000405311584</v>
      </c>
      <c r="C220" t="str">
        <f>_xll.BDP("TXN UW Equity","GICS_SECTOR_NAME")</f>
        <v>資訊技術</v>
      </c>
      <c r="D220" t="str">
        <f>_xll.BDP("TXN UW Equity","NAME_CHINESE_TRADITIONAL")</f>
        <v>德州儀器公司</v>
      </c>
      <c r="E220" t="str">
        <f>_xll.BDP("TXN UW Equity","CLASSIFICATION_LEVEL_4_NAME")</f>
        <v>半導體元件</v>
      </c>
      <c r="F220" t="str">
        <f>_xll.BDP("TXN UW Equity","CLASSIFICATION_DESCRIPTION")</f>
        <v>類比IC</v>
      </c>
      <c r="G220">
        <f>_xll.BDP("TXN UW Equity","CUR_MKT_CAP")</f>
        <v>168058249894.21002</v>
      </c>
      <c r="H220">
        <f>_xll.BDP("TXN UW Equity","CHG_PCT_YTD")</f>
        <v>-1.343925</v>
      </c>
      <c r="I220" t="str">
        <f>_xll.BDP("TXN UW Equity","CIE_DES")</f>
        <v>德州儀器(Texas Instruments Incorporated)為半導體設計及製造公司。該公司研發類比積體電路及內嵌處理。德州儀器服務全球客戶。</v>
      </c>
      <c r="J220">
        <f>_xll.BDP("TXN UW Equity","ESG_SCORE")</f>
        <v>5.320000171661377</v>
      </c>
      <c r="K220" t="str">
        <f>_xll.BDP("TXN UW Equity","MSCI_ESG_RATING")</f>
        <v>AAA</v>
      </c>
      <c r="L220">
        <f>_xll.BDP("TXN UW Equity","EQY_BETA")</f>
        <v>1.1073116064071655</v>
      </c>
      <c r="M220">
        <f>_xll.BDP("TXN UW Equity","VOLATILITY_60D")</f>
        <v>42.526359668965064</v>
      </c>
      <c r="N220">
        <f>_xll.BDP("TXN UW Equity","PCT_INSIDER_SHARES_OUT")</f>
        <v>0.16795969738641395</v>
      </c>
      <c r="O220">
        <f>_xll.BDP("TXN UW Equity","PCT_CHG_INSIDER_HOLDINGS")</f>
        <v>9.3987135525612242</v>
      </c>
      <c r="P220">
        <f>_xll.BDP("TXN UW Equity","RISK_PREMIUM")</f>
        <v>5.704127497433424</v>
      </c>
      <c r="Q220">
        <f>_xll.BDP("TXN UW Equity","HIGH_52WEEK")</f>
        <v>221.69</v>
      </c>
      <c r="R220">
        <f>_xll.BDP("TXN UW Equity","LOW_52WEEK")</f>
        <v>139.96</v>
      </c>
    </row>
    <row r="221" spans="1:18" ht="15.75" x14ac:dyDescent="0.25">
      <c r="A221" t="s">
        <v>237</v>
      </c>
      <c r="B221">
        <f>_xll.BDP("TXT UN Equity","RT_PX_CHG_PCT_1D")</f>
        <v>-1.7669999599456787</v>
      </c>
      <c r="C221" t="str">
        <f>_xll.BDP("TXT UN Equity","GICS_SECTOR_NAME")</f>
        <v>工業</v>
      </c>
      <c r="D221" t="str">
        <f>_xll.BDP("TXT UN Equity","NAME_CHINESE_TRADITIONAL")</f>
        <v>德事隆公司</v>
      </c>
      <c r="E221" t="str">
        <f>_xll.BDP("TXT UN Equity","CLASSIFICATION_LEVEL_4_NAME")</f>
        <v>飛機及零件</v>
      </c>
      <c r="F221" t="str">
        <f>_xll.BDP("TXT UN Equity","CLASSIFICATION_DESCRIPTION")</f>
        <v>飛機</v>
      </c>
      <c r="G221">
        <f>_xll.BDP("TXT UN Equity","CUR_MKT_CAP")</f>
        <v>14167320952.499998</v>
      </c>
      <c r="H221">
        <f>_xll.BDP("TXT UN Equity","CHG_PCT_YTD")</f>
        <v>3.9351579999999999</v>
      </c>
      <c r="I221" t="str">
        <f>_xll.BDP("TXT UN Equity","CIE_DES")</f>
        <v>德事隆公司(Textron Inc.)為多產業公司，經營飛機、國防、工業產品及財務。該公司提供飛機、直升飛機、武器和汽車產品。德事隆的財務部門提供資產基礎放款、航空、配銷、高爾夫及度假村融資，以及結構型資本。</v>
      </c>
      <c r="J221">
        <f>_xll.BDP("TXT UN Equity","ESG_SCORE")</f>
        <v>5.0100002288818359</v>
      </c>
      <c r="K221" t="str">
        <f>_xll.BDP("TXT UN Equity","MSCI_ESG_RATING")</f>
        <v>A</v>
      </c>
      <c r="L221">
        <f>_xll.BDP("TXT UN Equity","EQY_BETA")</f>
        <v>0.99561858177185059</v>
      </c>
      <c r="M221">
        <f>_xll.BDP("TXT UN Equity","VOLATILITY_60D")</f>
        <v>27.814444801127731</v>
      </c>
      <c r="N221">
        <f>_xll.BDP("TXT UN Equity","PCT_INSIDER_SHARES_OUT")</f>
        <v>0.89151470466927707</v>
      </c>
      <c r="O221">
        <f>_xll.BDP("TXT UN Equity","PCT_CHG_INSIDER_HOLDINGS")</f>
        <v>4.8013759252842014</v>
      </c>
      <c r="P221">
        <f>_xll.BDP("TXT UN Equity","RISK_PREMIUM")</f>
        <v>5.1287598688387872</v>
      </c>
      <c r="Q221">
        <f>_xll.BDP("TXT UN Equity","HIGH_52WEEK")</f>
        <v>93.98</v>
      </c>
      <c r="R221">
        <f>_xll.BDP("TXT UN Equity","LOW_52WEEK")</f>
        <v>57.9</v>
      </c>
    </row>
    <row r="222" spans="1:18" ht="15.75" x14ac:dyDescent="0.25">
      <c r="A222" t="s">
        <v>238</v>
      </c>
      <c r="B222">
        <f>_xll.BDP("TMO UN Equity","RT_PX_CHG_PCT_1D")</f>
        <v>0.69260001182556152</v>
      </c>
      <c r="C222" t="str">
        <f>_xll.BDP("TMO UN Equity","GICS_SECTOR_NAME")</f>
        <v>醫療保健</v>
      </c>
      <c r="D222" t="str">
        <f>_xll.BDP("TMO UN Equity","NAME_CHINESE_TRADITIONAL")</f>
        <v>賽默飛世爾科技有限公司</v>
      </c>
      <c r="E222" t="str">
        <f>_xll.BDP("TMO UN Equity","CLASSIFICATION_LEVEL_4_NAME")</f>
        <v>生命科學設備</v>
      </c>
      <c r="F222" t="str">
        <f>_xll.BDP("TMO UN Equity","CLASSIFICATION_DESCRIPTION")</f>
        <v>分析用實驗設備</v>
      </c>
      <c r="G222">
        <f>_xll.BDP("TMO UN Equity","CUR_MKT_CAP")</f>
        <v>180562887987.84</v>
      </c>
      <c r="H222">
        <f>_xll.BDP("TMO UN Equity","CHG_PCT_YTD")</f>
        <v>-8.0560489999999998</v>
      </c>
      <c r="I222" t="str">
        <f>_xll.BDP("TMO UN Equity","CIE_DES")</f>
        <v>賽默飛世爾科技有限公司(Thermo Fisher Scientific, Inc.)製造科學儀器、耗材與化學品。該公司提供製藥與生物科技公司、醫院、臨床實驗室、大學、研院和政府機構等單位，有關的分析儀器、實驗室設備、軟體、服務、耗材、試劑、化學品及用品。</v>
      </c>
      <c r="J222">
        <f>_xll.BDP("TMO UN Equity","ESG_SCORE")</f>
        <v>4.119999885559082</v>
      </c>
      <c r="K222" t="str">
        <f>_xll.BDP("TMO UN Equity","MSCI_ESG_RATING")</f>
        <v>BB</v>
      </c>
      <c r="L222">
        <f>_xll.BDP("TMO UN Equity","EQY_BETA")</f>
        <v>0.85202890634536743</v>
      </c>
      <c r="M222">
        <f>_xll.BDP("TMO UN Equity","VOLATILITY_60D")</f>
        <v>39.155836516421246</v>
      </c>
      <c r="N222">
        <f>_xll.BDP("TMO UN Equity","PCT_INSIDER_SHARES_OUT")</f>
        <v>0.1172405168666301</v>
      </c>
      <c r="O222">
        <f>_xll.BDP("TMO UN Equity","PCT_CHG_INSIDER_HOLDINGS")</f>
        <v>15.410815140401372</v>
      </c>
      <c r="P222">
        <f>_xll.BDP("TMO UN Equity","RISK_PREMIUM")</f>
        <v>4.3890820661240815</v>
      </c>
      <c r="Q222">
        <f>_xll.BDP("TMO UN Equity","HIGH_52WEEK")</f>
        <v>627.88</v>
      </c>
      <c r="R222">
        <f>_xll.BDP("TMO UN Equity","LOW_52WEEK")</f>
        <v>385.54</v>
      </c>
    </row>
    <row r="223" spans="1:18" ht="15.75" x14ac:dyDescent="0.25">
      <c r="A223" t="s">
        <v>239</v>
      </c>
      <c r="B223">
        <f>_xll.BDP("TJX UN Equity","RT_PX_CHG_PCT_1D")</f>
        <v>0.14259999990463257</v>
      </c>
      <c r="C223" t="str">
        <f>_xll.BDP("TJX UN Equity","GICS_SECTOR_NAME")</f>
        <v>非核心消費</v>
      </c>
      <c r="D223" t="str">
        <f>_xll.BDP("TJX UN Equity","NAME_CHINESE_TRADITIONAL")</f>
        <v>TJX公司</v>
      </c>
      <c r="E223" t="str">
        <f>_xll.BDP("TJX UN Equity","CLASSIFICATION_LEVEL_4_NAME")</f>
        <v>特殊服飾商店</v>
      </c>
      <c r="F223" t="str">
        <f>_xll.BDP("TJX UN Equity","CLASSIFICATION_DESCRIPTION")</f>
        <v>廉價服飾</v>
      </c>
      <c r="G223">
        <f>_xll.BDP("TJX UN Equity","CUR_MKT_CAP")</f>
        <v>141058439498.56</v>
      </c>
      <c r="H223">
        <f>_xll.BDP("TJX UN Equity","CHG_PCT_YTD")</f>
        <v>4.6602119999999996</v>
      </c>
      <c r="I223" t="str">
        <f>_xll.BDP("TJX UN Equity","CIE_DES")</f>
        <v>TJX公司(The TJX Companies, Inc.)在美國及全球為折扣服飾及居家生活用品的零售商。該公司於美國、加拿大，及歐洲經營折扣零售概念商店及電子商務網站，提供多樣品牌及設計師商品。</v>
      </c>
      <c r="J223">
        <f>_xll.BDP("TJX UN Equity","ESG_SCORE")</f>
        <v>3.3599998950958252</v>
      </c>
      <c r="K223" t="str">
        <f>_xll.BDP("TJX UN Equity","MSCI_ESG_RATING")</f>
        <v>A</v>
      </c>
      <c r="L223">
        <f>_xll.BDP("TJX UN Equity","EQY_BETA")</f>
        <v>0.67449182271957397</v>
      </c>
      <c r="M223">
        <f>_xll.BDP("TJX UN Equity","VOLATILITY_60D")</f>
        <v>16.901021633278042</v>
      </c>
      <c r="N223">
        <f>_xll.BDP("TJX UN Equity","PCT_INSIDER_SHARES_OUT")</f>
        <v>0.17505180994177208</v>
      </c>
      <c r="O223">
        <f>_xll.BDP("TJX UN Equity","PCT_CHG_INSIDER_HOLDINGS")</f>
        <v>9.0302373880613693</v>
      </c>
      <c r="P223">
        <f>_xll.BDP("TJX UN Equity","RISK_PREMIUM")</f>
        <v>3.4745299611300227</v>
      </c>
      <c r="Q223">
        <f>_xll.BDP("TJX UN Equity","HIGH_52WEEK")</f>
        <v>135.85</v>
      </c>
      <c r="R223">
        <f>_xll.BDP("TJX UN Equity","LOW_52WEEK")</f>
        <v>107.76</v>
      </c>
    </row>
    <row r="224" spans="1:18" ht="15.75" x14ac:dyDescent="0.25">
      <c r="A224" t="s">
        <v>240</v>
      </c>
      <c r="B224">
        <f>_xll.BDP("GL UN Equity","RT_PX_CHG_PCT_1D")</f>
        <v>2.7448000907897949</v>
      </c>
      <c r="C224" t="str">
        <f>_xll.BDP("GL UN Equity","GICS_SECTOR_NAME")</f>
        <v>金融</v>
      </c>
      <c r="D224" t="str">
        <f>_xll.BDP("GL UN Equity","NAME_CHINESE_TRADITIONAL")</f>
        <v>環球人壽公司</v>
      </c>
      <c r="E224" t="str">
        <f>_xll.BDP("GL UN Equity","CLASSIFICATION_LEVEL_4_NAME")</f>
        <v>人壽保險</v>
      </c>
      <c r="F224" t="str">
        <f>_xll.BDP("GL UN Equity","CLASSIFICATION_DESCRIPTION")</f>
        <v>人壽保險</v>
      </c>
      <c r="G224">
        <f>_xll.BDP("GL UN Equity","CUR_MKT_CAP")</f>
        <v>11154018969.009998</v>
      </c>
      <c r="H224">
        <f>_xll.BDP("GL UN Equity","CHG_PCT_YTD")</f>
        <v>21.17109</v>
      </c>
      <c r="I224" t="str">
        <f>_xll.BDP("GL UN Equity","CIE_DES")</f>
        <v>環球人壽公司(Globe Life Inc.)為一家保險公司。該公司提供定期、終身，與兒童的人壽保險，以及意外福利、抵押保護，和醫療輔助計劃。環球人壽於德州經營業務。</v>
      </c>
      <c r="J224">
        <f>_xll.BDP("GL UN Equity","ESG_SCORE")</f>
        <v>2.2300000190734863</v>
      </c>
      <c r="K224" t="str">
        <f>_xll.BDP("GL UN Equity","MSCI_ESG_RATING")</f>
        <v>N.S.</v>
      </c>
      <c r="L224">
        <f>_xll.BDP("GL UN Equity","EQY_BETA")</f>
        <v>0.77891808748245239</v>
      </c>
      <c r="M224">
        <f>_xll.BDP("GL UN Equity","VOLATILITY_60D")</f>
        <v>26.340740844995441</v>
      </c>
      <c r="N224">
        <f>_xll.BDP("GL UN Equity","PCT_INSIDER_SHARES_OUT")</f>
        <v>2.572508091915378</v>
      </c>
      <c r="O224">
        <f>_xll.BDP("GL UN Equity","PCT_CHG_INSIDER_HOLDINGS")</f>
        <v>2.2646907744315778</v>
      </c>
      <c r="P224">
        <f>_xll.BDP("GL UN Equity","RISK_PREMIUM")</f>
        <v>4.0124641115909814</v>
      </c>
      <c r="Q224">
        <f>_xll.BDP("GL UN Equity","HIGH_52WEEK")</f>
        <v>138.36000000000001</v>
      </c>
      <c r="R224">
        <f>_xll.BDP("GL UN Equity","LOW_52WEEK")</f>
        <v>86.69</v>
      </c>
    </row>
    <row r="225" spans="1:18" ht="15.75" x14ac:dyDescent="0.25">
      <c r="A225" t="s">
        <v>241</v>
      </c>
      <c r="B225">
        <f>_xll.BDP("JCI UN Equity","RT_PX_CHG_PCT_1D")</f>
        <v>1.5542999505996704</v>
      </c>
      <c r="C225" t="str">
        <f>_xll.BDP("JCI UN Equity","GICS_SECTOR_NAME")</f>
        <v>工業</v>
      </c>
      <c r="D225" t="str">
        <f>_xll.BDP("JCI UN Equity","NAME_CHINESE_TRADITIONAL")</f>
        <v>江森自控國際公司</v>
      </c>
      <c r="E225" t="str">
        <f>_xll.BDP("JCI UN Equity","CLASSIFICATION_LEVEL_4_NAME")</f>
        <v>商業住宅建築設備及系統</v>
      </c>
      <c r="F225" t="str">
        <f>_xll.BDP("JCI UN Equity","CLASSIFICATION_DESCRIPTION")</f>
        <v>通風/冷暖氣建築物產品</v>
      </c>
      <c r="G225">
        <f>_xll.BDP("JCI UN Equity","CUR_MKT_CAP")</f>
        <v>73523625387.650024</v>
      </c>
      <c r="H225">
        <f>_xll.BDP("JCI UN Equity","CHG_PCT_YTD")</f>
        <v>41.555810000000001</v>
      </c>
      <c r="I225" t="str">
        <f>_xll.BDP("JCI UN Equity","CIE_DES")</f>
        <v>江森自控國際公司(Johnson Controls International plc (JCI))提供建築產品及技術解決方案。該公司提供空調系統、建築管理、冷暖氣控制、保全，以及火災安全解決方案。JCI服務全球客戶。</v>
      </c>
      <c r="J225">
        <f>_xll.BDP("JCI UN Equity","ESG_SCORE")</f>
        <v>6.9699997901916504</v>
      </c>
      <c r="K225" t="str">
        <f>_xll.BDP("JCI UN Equity","MSCI_ESG_RATING")</f>
        <v>AA</v>
      </c>
      <c r="L225">
        <f>_xll.BDP("JCI UN Equity","EQY_BETA")</f>
        <v>1.1273880004882813</v>
      </c>
      <c r="M225">
        <f>_xll.BDP("JCI UN Equity","VOLATILITY_60D")</f>
        <v>17.731536511400819</v>
      </c>
      <c r="N225">
        <f>_xll.BDP("JCI UN Equity","PCT_INSIDER_SHARES_OUT")</f>
        <v>0.34199238525862796</v>
      </c>
      <c r="O225">
        <f>_xll.BDP("JCI UN Equity","PCT_CHG_INSIDER_HOLDINGS")</f>
        <v>-11.68316367079715</v>
      </c>
      <c r="P225">
        <f>_xll.BDP("JCI UN Equity","RISK_PREMIUM")</f>
        <v>5.8075476285552972</v>
      </c>
      <c r="Q225">
        <f>_xll.BDP("JCI UN Equity","HIGH_52WEEK")</f>
        <v>112</v>
      </c>
      <c r="R225">
        <f>_xll.BDP("JCI UN Equity","LOW_52WEEK")</f>
        <v>64.36</v>
      </c>
    </row>
    <row r="226" spans="1:18" ht="15.75" x14ac:dyDescent="0.25">
      <c r="A226" t="s">
        <v>242</v>
      </c>
      <c r="B226">
        <f>_xll.BDP("ULTA UW Equity","RT_PX_CHG_PCT_1D")</f>
        <v>0.27259999513626099</v>
      </c>
      <c r="C226" t="str">
        <f>_xll.BDP("ULTA UW Equity","GICS_SECTOR_NAME")</f>
        <v>非核心消費</v>
      </c>
      <c r="D226" t="str">
        <f>_xll.BDP("ULTA UW Equity","NAME_CHINESE_TRADITIONAL")</f>
        <v>猶他美容公司</v>
      </c>
      <c r="E226" t="str">
        <f>_xll.BDP("ULTA UW Equity","CLASSIFICATION_LEVEL_4_NAME")</f>
        <v>其它特殊品零售-非必需品</v>
      </c>
      <c r="F226" t="str">
        <f>_xll.BDP("ULTA UW Equity","CLASSIFICATION_DESCRIPTION")</f>
        <v>化妝品及美容用品店</v>
      </c>
      <c r="G226">
        <f>_xll.BDP("ULTA UW Equity","CUR_MKT_CAP")</f>
        <v>23144739294.75</v>
      </c>
      <c r="H226">
        <f>_xll.BDP("ULTA UW Equity","CHG_PCT_YTD")</f>
        <v>18.39836</v>
      </c>
      <c r="I226" t="str">
        <f>_xll.BDP("ULTA UW Equity","CIE_DES")</f>
        <v>猶他美容公司(Ulta Beauty, Inc.)經營美容連鎖商店。該公司提供化妝品、香水、護膚與護髮產品，以及美容沙龍服務。猶他美容服務全美各地的客戶。</v>
      </c>
      <c r="J226">
        <f>_xll.BDP("ULTA UW Equity","ESG_SCORE")</f>
        <v>6.7699999809265137</v>
      </c>
      <c r="K226" t="str">
        <f>_xll.BDP("ULTA UW Equity","MSCI_ESG_RATING")</f>
        <v>AA</v>
      </c>
      <c r="L226">
        <f>_xll.BDP("ULTA UW Equity","EQY_BETA")</f>
        <v>0.7888033390045166</v>
      </c>
      <c r="M226">
        <f>_xll.BDP("ULTA UW Equity","VOLATILITY_60D")</f>
        <v>31.062832887854842</v>
      </c>
      <c r="N226">
        <f>_xll.BDP("ULTA UW Equity","PCT_INSIDER_SHARES_OUT")</f>
        <v>0.27003972134319681</v>
      </c>
      <c r="O226">
        <f>_xll.BDP("ULTA UW Equity","PCT_CHG_INSIDER_HOLDINGS")</f>
        <v>30.209629661416987</v>
      </c>
      <c r="P226">
        <f>_xll.BDP("ULTA UW Equity","RISK_PREMIUM")</f>
        <v>4.0633863043141361</v>
      </c>
      <c r="Q226">
        <f>_xll.BDP("ULTA UW Equity","HIGH_52WEEK")</f>
        <v>515.99</v>
      </c>
      <c r="R226">
        <f>_xll.BDP("ULTA UW Equity","LOW_52WEEK")</f>
        <v>309.02</v>
      </c>
    </row>
    <row r="227" spans="1:18" ht="15.75" x14ac:dyDescent="0.25">
      <c r="A227" t="s">
        <v>243</v>
      </c>
      <c r="B227">
        <f>_xll.BDP("UNP UN Equity","RT_PX_CHG_PCT_1D")</f>
        <v>1.9136999845504761</v>
      </c>
      <c r="C227" t="str">
        <f>_xll.BDP("UNP UN Equity","GICS_SECTOR_NAME")</f>
        <v>工業</v>
      </c>
      <c r="D227" t="str">
        <f>_xll.BDP("UNP UN Equity","NAME_CHINESE_TRADITIONAL")</f>
        <v>聯合太平洋公司</v>
      </c>
      <c r="E227" t="str">
        <f>_xll.BDP("UNP UN Equity","CLASSIFICATION_LEVEL_4_NAME")</f>
        <v>鐵路貨運</v>
      </c>
      <c r="F227" t="str">
        <f>_xll.BDP("UNP UN Equity","CLASSIFICATION_DESCRIPTION")</f>
        <v>總商品-鐵路</v>
      </c>
      <c r="G227">
        <f>_xll.BDP("UNP UN Equity","CUR_MKT_CAP")</f>
        <v>133280633496.84</v>
      </c>
      <c r="H227">
        <f>_xll.BDP("UNP UN Equity","CHG_PCT_YTD")</f>
        <v>-1.447112</v>
      </c>
      <c r="I227" t="str">
        <f>_xll.BDP("UNP UN Equity","CIE_DES")</f>
        <v>聯合太平洋公司(Union Pacific Corporation)是一家鐵路運輸公司。該公司的鐵路拖運各種商品，包括農產品、汽車及化工產品。聯合太平洋提供西岸與墨西哥灣主要港口至東閘道之間的長途拖運，以及加拿大鐵路系統的連結，與墨西哥主要閘道的服務。</v>
      </c>
      <c r="J227">
        <f>_xll.BDP("UNP UN Equity","ESG_SCORE")</f>
        <v>5.119999885559082</v>
      </c>
      <c r="K227" t="str">
        <f>_xll.BDP("UNP UN Equity","MSCI_ESG_RATING")</f>
        <v>AA</v>
      </c>
      <c r="L227">
        <f>_xll.BDP("UNP UN Equity","EQY_BETA")</f>
        <v>0.82157820463180542</v>
      </c>
      <c r="M227">
        <f>_xll.BDP("UNP UN Equity","VOLATILITY_60D")</f>
        <v>23.167972953692171</v>
      </c>
      <c r="N227">
        <f>_xll.BDP("UNP UN Equity","PCT_INSIDER_SHARES_OUT")</f>
        <v>0.11097013075090417</v>
      </c>
      <c r="O227">
        <f>_xll.BDP("UNP UN Equity","PCT_CHG_INSIDER_HOLDINGS")</f>
        <v>21.184134761651123</v>
      </c>
      <c r="P227">
        <f>_xll.BDP("UNP UN Equity","RISK_PREMIUM")</f>
        <v>4.2322204528659579</v>
      </c>
      <c r="Q227">
        <f>_xll.BDP("UNP UN Equity","HIGH_52WEEK")</f>
        <v>258</v>
      </c>
      <c r="R227">
        <f>_xll.BDP("UNP UN Equity","LOW_52WEEK")</f>
        <v>204.72</v>
      </c>
    </row>
    <row r="228" spans="1:18" ht="15.75" x14ac:dyDescent="0.25">
      <c r="A228" t="s">
        <v>244</v>
      </c>
      <c r="B228">
        <f>_xll.BDP("KEYS UN Equity","RT_PX_CHG_PCT_1D")</f>
        <v>0.50720000267028809</v>
      </c>
      <c r="C228" t="str">
        <f>_xll.BDP("KEYS UN Equity","GICS_SECTOR_NAME")</f>
        <v>資訊技術</v>
      </c>
      <c r="D228" t="str">
        <f>_xll.BDP("KEYS UN Equity","NAME_CHINESE_TRADITIONAL")</f>
        <v>是德科技公司</v>
      </c>
      <c r="E228" t="str">
        <f>_xll.BDP("KEYS UN Equity","CLASSIFICATION_LEVEL_4_NAME")</f>
        <v>測量儀</v>
      </c>
      <c r="F228" t="str">
        <f>_xll.BDP("KEYS UN Equity","CLASSIFICATION_DESCRIPTION")</f>
        <v>電機檢測儀器</v>
      </c>
      <c r="G228">
        <f>_xll.BDP("KEYS UN Equity","CUR_MKT_CAP")</f>
        <v>28647519580.549995</v>
      </c>
      <c r="H228">
        <f>_xll.BDP("KEYS UN Equity","CHG_PCT_YTD")</f>
        <v>3.62323</v>
      </c>
      <c r="I228" t="str">
        <f>_xll.BDP("KEYS UN Equity","CIE_DES")</f>
        <v>是德科技公司(Keysight Technologies, Inc.)提供利用無線模組及軟體解決方案的電子測量服務。</v>
      </c>
      <c r="J228">
        <f>_xll.BDP("KEYS UN Equity","ESG_SCORE")</f>
        <v>5.1399998664855957</v>
      </c>
      <c r="K228" t="str">
        <f>_xll.BDP("KEYS UN Equity","MSCI_ESG_RATING")</f>
        <v>AAA</v>
      </c>
      <c r="L228">
        <f>_xll.BDP("KEYS UN Equity","EQY_BETA")</f>
        <v>1.4150466918945313</v>
      </c>
      <c r="M228">
        <f>_xll.BDP("KEYS UN Equity","VOLATILITY_60D")</f>
        <v>21.581459634552193</v>
      </c>
      <c r="N228">
        <f>_xll.BDP("KEYS UN Equity","PCT_INSIDER_SHARES_OUT")</f>
        <v>0.77351063251232199</v>
      </c>
      <c r="O228">
        <f>_xll.BDP("KEYS UN Equity","PCT_CHG_INSIDER_HOLDINGS")</f>
        <v>2.2332998272573077</v>
      </c>
      <c r="P228">
        <f>_xll.BDP("KEYS UN Equity","RISK_PREMIUM")</f>
        <v>7.2893724753570552</v>
      </c>
      <c r="Q228">
        <f>_xll.BDP("KEYS UN Equity","HIGH_52WEEK")</f>
        <v>186.13</v>
      </c>
      <c r="R228">
        <f>_xll.BDP("KEYS UN Equity","LOW_52WEEK")</f>
        <v>119.73</v>
      </c>
    </row>
    <row r="229" spans="1:18" ht="15.75" x14ac:dyDescent="0.25">
      <c r="A229" t="s">
        <v>245</v>
      </c>
      <c r="B229">
        <f>_xll.BDP("UNH UN Equity","RT_PX_CHG_PCT_1D")</f>
        <v>0.89020001888275146</v>
      </c>
      <c r="C229" t="str">
        <f>_xll.BDP("UNH UN Equity","GICS_SECTOR_NAME")</f>
        <v>醫療保健</v>
      </c>
      <c r="D229" t="str">
        <f>_xll.BDP("UNH UN Equity","NAME_CHINESE_TRADITIONAL")</f>
        <v>聯合健康集團公司</v>
      </c>
      <c r="E229" t="str">
        <f>_xll.BDP("UNH UN Equity","CLASSIFICATION_LEVEL_4_NAME")</f>
        <v>管理式醫療</v>
      </c>
      <c r="F229" t="str">
        <f>_xll.BDP("UNH UN Equity","CLASSIFICATION_DESCRIPTION")</f>
        <v>管理式醫療</v>
      </c>
      <c r="G229">
        <f>_xll.BDP("UNH UN Equity","CUR_MKT_CAP")</f>
        <v>254960892347.45999</v>
      </c>
      <c r="H229">
        <f>_xll.BDP("UNH UN Equity","CHG_PCT_YTD")</f>
        <v>-44.439169999999997</v>
      </c>
      <c r="I229" t="str">
        <f>_xll.BDP("UNH UN Equity","CIE_DES")</f>
        <v>聯合健康集團公司(UnitedHealth Group Incorporated)擁有並管理團體組織健康保險系統。該公司提供雇主規劃及管理員工福利計劃的產品與資源。聯合健康集團服務全球客戶。</v>
      </c>
      <c r="J229">
        <f>_xll.BDP("UNH UN Equity","ESG_SCORE")</f>
        <v>6.2100000381469727</v>
      </c>
      <c r="K229" t="str">
        <f>_xll.BDP("UNH UN Equity","MSCI_ESG_RATING")</f>
        <v>BBB</v>
      </c>
      <c r="L229">
        <f>_xll.BDP("UNH UN Equity","EQY_BETA")</f>
        <v>0.24680550396442413</v>
      </c>
      <c r="M229">
        <f>_xll.BDP("UNH UN Equity","VOLATILITY_60D")</f>
        <v>60.436059368543347</v>
      </c>
      <c r="N229">
        <f>_xll.BDP("UNH UN Equity","PCT_INSIDER_SHARES_OUT")</f>
        <v>0.19407518743515337</v>
      </c>
      <c r="O229">
        <f>_xll.BDP("UNH UN Equity","PCT_CHG_INSIDER_HOLDINGS")</f>
        <v>10.333427762068395</v>
      </c>
      <c r="P229">
        <f>_xll.BDP("UNH UN Equity","RISK_PREMIUM")</f>
        <v>1.2713765967370569</v>
      </c>
      <c r="Q229">
        <f>_xll.BDP("UNH UN Equity","HIGH_52WEEK")</f>
        <v>630.44500000000005</v>
      </c>
      <c r="R229">
        <f>_xll.BDP("UNH UN Equity","LOW_52WEEK")</f>
        <v>248.92</v>
      </c>
    </row>
    <row r="230" spans="1:18" ht="15.75" x14ac:dyDescent="0.25">
      <c r="A230" t="s">
        <v>246</v>
      </c>
      <c r="B230">
        <f>_xll.BDP("BX UN Equity","RT_PX_CHG_PCT_1D")</f>
        <v>-5.59999980032444E-3</v>
      </c>
      <c r="C230" t="str">
        <f>_xll.BDP("BX UN Equity","GICS_SECTOR_NAME")</f>
        <v>金融</v>
      </c>
      <c r="D230" t="str">
        <f>_xll.BDP("BX UN Equity","NAME_CHINESE_TRADITIONAL")</f>
        <v>黑石公司</v>
      </c>
      <c r="E230" t="str">
        <f>_xll.BDP("BX UN Equity","CLASSIFICATION_LEVEL_4_NAME")</f>
        <v>私募股權</v>
      </c>
      <c r="F230" t="str">
        <f>_xll.BDP("BX UN Equity","CLASSIFICATION_DESCRIPTION")</f>
        <v>私募股權</v>
      </c>
      <c r="G230">
        <f>_xll.BDP("BX UN Equity","CUR_MKT_CAP")</f>
        <v>218667717736</v>
      </c>
      <c r="H230">
        <f>_xll.BDP("BX UN Equity","CHG_PCT_YTD")</f>
        <v>3.2942830000000001</v>
      </c>
      <c r="I230" t="str">
        <f>_xll.BDP("BX UN Equity","CIE_DES")</f>
        <v>黑石公司(Blackstone Inc.)為一家投資公司。該公司著重於不動產、對沖基金、私募股權、槓桿貸款、優先債務，以及救助融資。黑石服務全球客戶。</v>
      </c>
      <c r="J230">
        <f>_xll.BDP("BX UN Equity","ESG_SCORE")</f>
        <v>2.369999885559082</v>
      </c>
      <c r="K230" t="str">
        <f>_xll.BDP("BX UN Equity","MSCI_ESG_RATING")</f>
        <v>BB</v>
      </c>
      <c r="L230">
        <f>_xll.BDP("BX UN Equity","EQY_BETA")</f>
        <v>1.2665832042694092</v>
      </c>
      <c r="M230">
        <f>_xll.BDP("BX UN Equity","VOLATILITY_60D")</f>
        <v>32.0444453351287</v>
      </c>
      <c r="N230">
        <f>_xll.BDP("BX UN Equity","PCT_INSIDER_SHARES_OUT")</f>
        <v>0.98386814614718332</v>
      </c>
      <c r="O230">
        <f>_xll.BDP("BX UN Equity","PCT_CHG_INSIDER_HOLDINGS")</f>
        <v>8.2645151328247586</v>
      </c>
      <c r="P230">
        <f>_xll.BDP("BX UN Equity","RISK_PREMIUM")</f>
        <v>6.5245880576491349</v>
      </c>
      <c r="Q230">
        <f>_xll.BDP("BX UN Equity","HIGH_52WEEK")</f>
        <v>200.76</v>
      </c>
      <c r="R230">
        <f>_xll.BDP("BX UN Equity","LOW_52WEEK")</f>
        <v>115.66</v>
      </c>
    </row>
    <row r="231" spans="1:18" ht="15.75" x14ac:dyDescent="0.25">
      <c r="A231" t="s">
        <v>247</v>
      </c>
      <c r="B231">
        <f>_xll.BDP("VTR UN Equity","RT_PX_CHG_PCT_1D")</f>
        <v>-0.96859997510910034</v>
      </c>
      <c r="C231" t="str">
        <f>_xll.BDP("VTR UN Equity","GICS_SECTOR_NAME")</f>
        <v>房地產</v>
      </c>
      <c r="D231" t="str">
        <f>_xll.BDP("VTR UN Equity","NAME_CHINESE_TRADITIONAL")</f>
        <v>Ventas公司</v>
      </c>
      <c r="E231" t="str">
        <f>_xll.BDP("VTR UN Equity","CLASSIFICATION_LEVEL_4_NAME")</f>
        <v>醫療保健REIT</v>
      </c>
      <c r="F231" t="str">
        <f>_xll.BDP("VTR UN Equity","CLASSIFICATION_DESCRIPTION")</f>
        <v>醫療保健REIT</v>
      </c>
      <c r="G231">
        <f>_xll.BDP("VTR UN Equity","CUR_MKT_CAP")</f>
        <v>29993287676.400002</v>
      </c>
      <c r="H231">
        <f>_xll.BDP("VTR UN Equity","CHG_PCT_YTD")</f>
        <v>12.854480000000001</v>
      </c>
      <c r="I231" t="str">
        <f>_xll.BDP("VTR UN Equity","CIE_DES")</f>
        <v>Ventas公司(Ventas, Inc.)為一家不動產投資信託公司。該信託在美國及加拿大擁有老人住宅社區、專業護理設施、醫院，以及醫療辦公室建築。</v>
      </c>
      <c r="J231">
        <f>_xll.BDP("VTR UN Equity","ESG_SCORE")</f>
        <v>6.4600000381469727</v>
      </c>
      <c r="K231" t="str">
        <f>_xll.BDP("VTR UN Equity","MSCI_ESG_RATING")</f>
        <v>BBB</v>
      </c>
      <c r="L231">
        <f>_xll.BDP("VTR UN Equity","EQY_BETA")</f>
        <v>0.61695152521133423</v>
      </c>
      <c r="M231">
        <f>_xll.BDP("VTR UN Equity","VOLATILITY_60D")</f>
        <v>20.411898744023144</v>
      </c>
      <c r="N231">
        <f>_xll.BDP("VTR UN Equity","PCT_INSIDER_SHARES_OUT")</f>
        <v>0.51578669901925167</v>
      </c>
      <c r="O231">
        <f>_xll.BDP("VTR UN Equity","PCT_CHG_INSIDER_HOLDINGS")</f>
        <v>6.9436979288146583</v>
      </c>
      <c r="P231">
        <f>_xll.BDP("VTR UN Equity","RISK_PREMIUM")</f>
        <v>3.1781209003669022</v>
      </c>
      <c r="Q231">
        <f>_xll.BDP("VTR UN Equity","HIGH_52WEEK")</f>
        <v>71.33</v>
      </c>
      <c r="R231">
        <f>_xll.BDP("VTR UN Equity","LOW_52WEEK")</f>
        <v>53.5</v>
      </c>
    </row>
    <row r="232" spans="1:18" ht="15.75" x14ac:dyDescent="0.25">
      <c r="A232" t="s">
        <v>248</v>
      </c>
      <c r="B232">
        <f>_xll.BDP("LH UN Equity","RT_PX_CHG_PCT_1D")</f>
        <v>-1.0197999477386475</v>
      </c>
      <c r="C232" t="str">
        <f>_xll.BDP("LH UN Equity","GICS_SECTOR_NAME")</f>
        <v>醫療保健</v>
      </c>
      <c r="D232" t="str">
        <f>_xll.BDP("LH UN Equity","NAME_CHINESE_TRADITIONAL")</f>
        <v>徠博科控股公司</v>
      </c>
      <c r="E232" t="str">
        <f>_xll.BDP("LH UN Equity","CLASSIFICATION_LEVEL_4_NAME")</f>
        <v>醫療保健服務</v>
      </c>
      <c r="F232" t="str">
        <f>_xll.BDP("LH UN Equity","CLASSIFICATION_DESCRIPTION")</f>
        <v>臨床實驗室</v>
      </c>
      <c r="G232">
        <f>_xll.BDP("LH UN Equity","CUR_MKT_CAP")</f>
        <v>22177152000</v>
      </c>
      <c r="H232">
        <f>_xll.BDP("LH UN Equity","CHG_PCT_YTD")</f>
        <v>15.541600000000001</v>
      </c>
      <c r="I232" t="str">
        <f>_xll.BDP("LH UN Equity","CIE_DES")</f>
        <v>徠博科控股公司(Labcorp Holdings Inc)為一家控股公司。該公司透過旗下其子公司，專門提供過敏、遺傳學和基因組學、大腸癌、糖尿病、慢性腎臟病和懷孕的臨床實驗室測試，以及腫瘤學和COVID-19的臨床試驗。徠博科控股服務全球各地的病患、生物製藥、健康系統，以及組織。</v>
      </c>
      <c r="J232">
        <f>_xll.BDP("LH UN Equity","ESG_SCORE")</f>
        <v>4.5</v>
      </c>
      <c r="K232" t="str">
        <f>_xll.BDP("LH UN Equity","MSCI_ESG_RATING")</f>
        <v>AA</v>
      </c>
      <c r="L232">
        <f>_xll.BDP("LH UN Equity","EQY_BETA")</f>
        <v>0.61097335815429688</v>
      </c>
      <c r="M232">
        <f>_xll.BDP("LH UN Equity","VOLATILITY_60D")</f>
        <v>25.4754986594236</v>
      </c>
      <c r="N232">
        <f>_xll.BDP("LH UN Equity","PCT_INSIDER_SHARES_OUT")</f>
        <v>0.3881443364396655</v>
      </c>
      <c r="O232">
        <f>_xll.BDP("LH UN Equity","PCT_CHG_INSIDER_HOLDINGS")</f>
        <v>12.22779579995963</v>
      </c>
      <c r="P232">
        <f>_xll.BDP("LH UN Equity","RISK_PREMIUM")</f>
        <v>3.147325389060974</v>
      </c>
      <c r="Q232">
        <f>_xll.BDP("LH UN Equity","HIGH_52WEEK")</f>
        <v>282.74</v>
      </c>
      <c r="R232">
        <f>_xll.BDP("LH UN Equity","LOW_52WEEK")</f>
        <v>209.5</v>
      </c>
    </row>
    <row r="233" spans="1:18" ht="15.75" x14ac:dyDescent="0.25">
      <c r="A233" t="s">
        <v>249</v>
      </c>
      <c r="B233">
        <f>_xll.BDP("VMC UN Equity","RT_PX_CHG_PCT_1D")</f>
        <v>1.2563999891281128</v>
      </c>
      <c r="C233" t="str">
        <f>_xll.BDP("VMC UN Equity","GICS_SECTOR_NAME")</f>
        <v>原材料</v>
      </c>
      <c r="D233" t="str">
        <f>_xll.BDP("VMC UN Equity","NAME_CHINESE_TRADITIONAL")</f>
        <v>瓦爾坎材料公司</v>
      </c>
      <c r="E233" t="str">
        <f>_xll.BDP("VMC UN Equity","CLASSIFICATION_LEVEL_4_NAME")</f>
        <v>水泥及骨材</v>
      </c>
      <c r="F233" t="str">
        <f>_xll.BDP("VMC UN Equity","CLASSIFICATION_DESCRIPTION")</f>
        <v>骨材</v>
      </c>
      <c r="G233">
        <f>_xll.BDP("VMC UN Equity","CUR_MKT_CAP")</f>
        <v>36306009302.279991</v>
      </c>
      <c r="H233">
        <f>_xll.BDP("VMC UN Equity","CHG_PCT_YTD")</f>
        <v>6.8421209999999997</v>
      </c>
      <c r="I233" t="str">
        <f>_xll.BDP("VMC UN Equity","CIE_DES")</f>
        <v>瓦爾坎材料公司(Vulcan Materials Company)生產建築骨料。該公司的主要產品線包括：骨料、瀝青混合、混凝土及水泥。瓦爾坎材料服務美國的客戶。</v>
      </c>
      <c r="J233">
        <f>_xll.BDP("VMC UN Equity","ESG_SCORE")</f>
        <v>4.3400001525878906</v>
      </c>
      <c r="K233" t="str">
        <f>_xll.BDP("VMC UN Equity","MSCI_ESG_RATING")</f>
        <v>A</v>
      </c>
      <c r="L233">
        <f>_xll.BDP("VMC UN Equity","EQY_BETA")</f>
        <v>0.91656118631362915</v>
      </c>
      <c r="M233">
        <f>_xll.BDP("VMC UN Equity","VOLATILITY_60D")</f>
        <v>19.676851742193101</v>
      </c>
      <c r="N233">
        <f>_xll.BDP("VMC UN Equity","PCT_INSIDER_SHARES_OUT")</f>
        <v>0.11857529361447652</v>
      </c>
      <c r="O233">
        <f>_xll.BDP("VMC UN Equity","PCT_CHG_INSIDER_HOLDINGS")</f>
        <v>-7.9329039289579351</v>
      </c>
      <c r="P233">
        <f>_xll.BDP("VMC UN Equity","RISK_PREMIUM")</f>
        <v>4.7215091358929868</v>
      </c>
      <c r="Q233">
        <f>_xll.BDP("VMC UN Equity","HIGH_52WEEK")</f>
        <v>297.75</v>
      </c>
      <c r="R233">
        <f>_xll.BDP("VMC UN Equity","LOW_52WEEK")</f>
        <v>215.2</v>
      </c>
    </row>
    <row r="234" spans="1:18" ht="15.75" x14ac:dyDescent="0.25">
      <c r="A234" t="s">
        <v>250</v>
      </c>
      <c r="B234">
        <f>_xll.BDP("WY UN Equity","RT_PX_CHG_PCT_1D")</f>
        <v>3.0762999057769775</v>
      </c>
      <c r="C234" t="str">
        <f>_xll.BDP("WY UN Equity","GICS_SECTOR_NAME")</f>
        <v>房地產</v>
      </c>
      <c r="D234" t="str">
        <f>_xll.BDP("WY UN Equity","NAME_CHINESE_TRADITIONAL")</f>
        <v>惠好公司</v>
      </c>
      <c r="E234" t="str">
        <f>_xll.BDP("WY UN Equity","CLASSIFICATION_LEVEL_4_NAME")</f>
        <v>木材REIT</v>
      </c>
      <c r="F234" t="str">
        <f>_xll.BDP("WY UN Equity","CLASSIFICATION_DESCRIPTION")</f>
        <v>木材REIT</v>
      </c>
      <c r="G234">
        <f>_xll.BDP("WY UN Equity","CUR_MKT_CAP")</f>
        <v>19098396170</v>
      </c>
      <c r="H234">
        <f>_xll.BDP("WY UN Equity","CHG_PCT_YTD")</f>
        <v>-5.9680270000000002</v>
      </c>
      <c r="I234" t="str">
        <f>_xll.BDP("WY UN Equity","CIE_DES")</f>
        <v>惠好公司(Weyerhaeuser Company)為全球性的整合性森林產品公司，其辦公室及經營據 點遍及全球。該公司主要活動為培育與收成樹木、開發與建造不動產、以及生產多種林木產品。惠好也歸類為不動產投資信託公司。</v>
      </c>
      <c r="J234">
        <f>_xll.BDP("WY UN Equity","ESG_SCORE")</f>
        <v>5</v>
      </c>
      <c r="K234" t="str">
        <f>_xll.BDP("WY UN Equity","MSCI_ESG_RATING")</f>
        <v>AA</v>
      </c>
      <c r="L234">
        <f>_xll.BDP("WY UN Equity","EQY_BETA")</f>
        <v>0.86192846298217773</v>
      </c>
      <c r="M234">
        <f>_xll.BDP("WY UN Equity","VOLATILITY_60D")</f>
        <v>26.571944184681218</v>
      </c>
      <c r="N234">
        <f>_xll.BDP("WY UN Equity","PCT_INSIDER_SHARES_OUT")</f>
        <v>0.3213073330829328</v>
      </c>
      <c r="O234">
        <f>_xll.BDP("WY UN Equity","PCT_CHG_INSIDER_HOLDINGS")</f>
        <v>16.768968310160595</v>
      </c>
      <c r="P234">
        <f>_xll.BDP("WY UN Equity","RISK_PREMIUM")</f>
        <v>4.4400779492139817</v>
      </c>
      <c r="Q234">
        <f>_xll.BDP("WY UN Equity","HIGH_52WEEK")</f>
        <v>34.024999999999999</v>
      </c>
      <c r="R234">
        <f>_xll.BDP("WY UN Equity","LOW_52WEEK")</f>
        <v>24.1</v>
      </c>
    </row>
    <row r="235" spans="1:18" ht="15.75" x14ac:dyDescent="0.25">
      <c r="A235" t="s">
        <v>251</v>
      </c>
      <c r="B235">
        <f>_xll.BDP("WMB UN Equity","RT_PX_CHG_PCT_1D")</f>
        <v>-1.5829999446868896</v>
      </c>
      <c r="C235" t="str">
        <f>_xll.BDP("WMB UN Equity","GICS_SECTOR_NAME")</f>
        <v>能源</v>
      </c>
      <c r="D235" t="str">
        <f>_xll.BDP("WMB UN Equity","NAME_CHINESE_TRADITIONAL")</f>
        <v>威廉斯公司</v>
      </c>
      <c r="E235" t="str">
        <f>_xll.BDP("WMB UN Equity","CLASSIFICATION_LEVEL_4_NAME")</f>
        <v>中游石油及天然氣業</v>
      </c>
      <c r="F235" t="str">
        <f>_xll.BDP("WMB UN Equity","CLASSIFICATION_DESCRIPTION")</f>
        <v>中游石油及天然氣業</v>
      </c>
      <c r="G235">
        <f>_xll.BDP("WMB UN Equity","CUR_MKT_CAP")</f>
        <v>70598588833.779999</v>
      </c>
      <c r="H235">
        <f>_xll.BDP("WMB UN Equity","CHG_PCT_YTD")</f>
        <v>6.8366610000000003</v>
      </c>
      <c r="I235" t="str">
        <f>_xll.BDP("WMB UN Equity","CIE_DES")</f>
        <v>威廉斯公司(The Williams Companies, Inc.)為能源基礎建設公司，致力於連結北美的碳氫化合物資源至天然氣、天然氣凝結油(NGL)及烯烴等成長市場。該公司擁有並經營中游採集與加工處理資產，及跨州天然氣管線。</v>
      </c>
      <c r="J235">
        <f>_xll.BDP("WMB UN Equity","ESG_SCORE")</f>
        <v>6.130000114440918</v>
      </c>
      <c r="K235" t="str">
        <f>_xll.BDP("WMB UN Equity","MSCI_ESG_RATING")</f>
        <v>AA</v>
      </c>
      <c r="L235">
        <f>_xll.BDP("WMB UN Equity","EQY_BETA")</f>
        <v>0.7420428991317749</v>
      </c>
      <c r="M235">
        <f>_xll.BDP("WMB UN Equity","VOLATILITY_60D")</f>
        <v>25.401500138710848</v>
      </c>
      <c r="N235">
        <f>_xll.BDP("WMB UN Equity","PCT_INSIDER_SHARES_OUT")</f>
        <v>0.48533348189935177</v>
      </c>
      <c r="O235">
        <f>_xll.BDP("WMB UN Equity","PCT_CHG_INSIDER_HOLDINGS")</f>
        <v>7.3431005285042374</v>
      </c>
      <c r="P235">
        <f>_xll.BDP("WMB UN Equity","RISK_PREMIUM")</f>
        <v>3.822507847584486</v>
      </c>
      <c r="Q235">
        <f>_xll.BDP("WMB UN Equity","HIGH_52WEEK")</f>
        <v>63.44</v>
      </c>
      <c r="R235">
        <f>_xll.BDP("WMB UN Equity","LOW_52WEEK")</f>
        <v>40.409999999999997</v>
      </c>
    </row>
    <row r="236" spans="1:18" ht="15.75" x14ac:dyDescent="0.25">
      <c r="A236" t="s">
        <v>252</v>
      </c>
      <c r="B236">
        <f>_xll.BDP("CEG UW Equity","RT_PX_CHG_PCT_1D")</f>
        <v>1.7657999992370605</v>
      </c>
      <c r="C236" t="str">
        <f>_xll.BDP("CEG UW Equity","GICS_SECTOR_NAME")</f>
        <v>公用事業</v>
      </c>
      <c r="D236" t="str">
        <f>_xll.BDP("CEG UW Equity","NAME_CHINESE_TRADITIONAL")</f>
        <v>星座能源公司</v>
      </c>
      <c r="E236" t="str">
        <f>_xll.BDP("CEG UW Equity","CLASSIFICATION_LEVEL_4_NAME")</f>
        <v>發電業</v>
      </c>
      <c r="F236" t="str">
        <f>_xll.BDP("CEG UW Equity","CLASSIFICATION_DESCRIPTION")</f>
        <v>核能發電</v>
      </c>
      <c r="G236">
        <f>_xll.BDP("CEG UW Equity","CUR_MKT_CAP")</f>
        <v>103154839381.64999</v>
      </c>
      <c r="H236">
        <f>_xll.BDP("CEG UW Equity","CHG_PCT_YTD")</f>
        <v>46.327829999999999</v>
      </c>
      <c r="I236" t="str">
        <f>_xll.BDP("CEG UW Equity","CIE_DES")</f>
        <v>星座能源公司(Constellation Energy Corporation)生產無碳能源，以及永續解決方案。該公司生產並配送核能、水力、風能，以及太陽能解決方案。星座能源服務美國的房屋、機構客戶、公共部門、社區集合，以及企業。</v>
      </c>
      <c r="J236">
        <f>_xll.BDP("CEG UW Equity","ESG_SCORE")</f>
        <v>5.8000001907348633</v>
      </c>
      <c r="K236" t="str">
        <f>_xll.BDP("CEG UW Equity","MSCI_ESG_RATING")</f>
        <v>BBB</v>
      </c>
      <c r="L236">
        <f>_xll.BDP("CEG UW Equity","EQY_BETA")</f>
        <v>1.4386087656021118</v>
      </c>
      <c r="M236">
        <f>_xll.BDP("CEG UW Equity","VOLATILITY_60D")</f>
        <v>41.924762887043329</v>
      </c>
      <c r="N236">
        <f>_xll.BDP("CEG UW Equity","PCT_INSIDER_SHARES_OUT")</f>
        <v>0.16416651513752339</v>
      </c>
      <c r="O236">
        <f>_xll.BDP("CEG UW Equity","PCT_CHG_INSIDER_HOLDINGS")</f>
        <v>20.597669745387744</v>
      </c>
      <c r="P236">
        <f>_xll.BDP("CEG UW Equity","RISK_PREMIUM")</f>
        <v>7.4107484925091267</v>
      </c>
      <c r="Q236">
        <f>_xll.BDP("CEG UW Equity","HIGH_52WEEK")</f>
        <v>352</v>
      </c>
      <c r="R236">
        <f>_xll.BDP("CEG UW Equity","LOW_52WEEK")</f>
        <v>156.24</v>
      </c>
    </row>
    <row r="237" spans="1:18" ht="15.75" x14ac:dyDescent="0.25">
      <c r="A237" t="s">
        <v>253</v>
      </c>
      <c r="B237">
        <f>_xll.BDP("WEC UN Equity","RT_PX_CHG_PCT_1D")</f>
        <v>-1.8300000578165054E-2</v>
      </c>
      <c r="C237" t="str">
        <f>_xll.BDP("WEC UN Equity","GICS_SECTOR_NAME")</f>
        <v>公用事業</v>
      </c>
      <c r="D237" t="str">
        <f>_xll.BDP("WEC UN Equity","NAME_CHINESE_TRADITIONAL")</f>
        <v>WEC能源集團公司</v>
      </c>
      <c r="E237" t="str">
        <f>_xll.BDP("WEC UN Equity","CLASSIFICATION_LEVEL_4_NAME")</f>
        <v>整合型公用事業</v>
      </c>
      <c r="F237" t="str">
        <f>_xll.BDP("WEC UN Equity","CLASSIFICATION_DESCRIPTION")</f>
        <v>整合型公用事業</v>
      </c>
      <c r="G237">
        <f>_xll.BDP("WEC UN Equity","CUR_MKT_CAP")</f>
        <v>34951501029.519997</v>
      </c>
      <c r="H237">
        <f>_xll.BDP("WEC UN Equity","CHG_PCT_YTD")</f>
        <v>16.461079999999999</v>
      </c>
      <c r="I237" t="str">
        <f>_xll.BDP("WEC UN Equity","CIE_DES")</f>
        <v>WEC能源集團公司(WEC Energy Group, Inc.)為電力與天然氣傳輸公司。該公司管理電力與天然氣配銷及傳輸線，以及電力廠。WEC能源集團服務威斯康辛州、伊利諾州、密西根州及明尼蘇達州的客戶。</v>
      </c>
      <c r="J237">
        <f>_xll.BDP("WEC UN Equity","ESG_SCORE")</f>
        <v>6.309999942779541</v>
      </c>
      <c r="K237" t="str">
        <f>_xll.BDP("WEC UN Equity","MSCI_ESG_RATING")</f>
        <v>A</v>
      </c>
      <c r="L237">
        <f>_xll.BDP("WEC UN Equity","EQY_BETA")</f>
        <v>0.41342440247535706</v>
      </c>
      <c r="M237">
        <f>_xll.BDP("WEC UN Equity","VOLATILITY_60D")</f>
        <v>16.879475022896447</v>
      </c>
      <c r="N237">
        <f>_xll.BDP("WEC UN Equity","PCT_INSIDER_SHARES_OUT")</f>
        <v>0.17448354256134191</v>
      </c>
      <c r="O237">
        <f>_xll.BDP("WEC UN Equity","PCT_CHG_INSIDER_HOLDINGS")</f>
        <v>-0.35146778475731971</v>
      </c>
      <c r="P237">
        <f>_xll.BDP("WEC UN Equity","RISK_PREMIUM")</f>
        <v>2.1296855272033808</v>
      </c>
      <c r="Q237">
        <f>_xll.BDP("WEC UN Equity","HIGH_52WEEK")</f>
        <v>110.94</v>
      </c>
      <c r="R237">
        <f>_xll.BDP("WEC UN Equity","LOW_52WEEK")</f>
        <v>83.13</v>
      </c>
    </row>
    <row r="238" spans="1:18" ht="15.75" x14ac:dyDescent="0.25">
      <c r="A238" t="s">
        <v>254</v>
      </c>
      <c r="B238">
        <f>_xll.BDP("ADBE UW Equity","RT_PX_CHG_PCT_1D")</f>
        <v>-0.25560000538825989</v>
      </c>
      <c r="C238" t="str">
        <f>_xll.BDP("ADBE UW Equity","GICS_SECTOR_NAME")</f>
        <v>資訊技術</v>
      </c>
      <c r="D238" t="str">
        <f>_xll.BDP("ADBE UW Equity","NAME_CHINESE_TRADITIONAL")</f>
        <v>奧多比系統公司</v>
      </c>
      <c r="E238" t="str">
        <f>_xll.BDP("ADBE UW Equity","CLASSIFICATION_LEVEL_4_NAME")</f>
        <v>應用軟體</v>
      </c>
      <c r="F238" t="str">
        <f>_xll.BDP("ADBE UW Equity","CLASSIFICATION_DESCRIPTION")</f>
        <v>內容管理軟體(CMS)</v>
      </c>
      <c r="G238">
        <f>_xll.BDP("ADBE UW Equity","CUR_MKT_CAP")</f>
        <v>157267908000.00003</v>
      </c>
      <c r="H238">
        <f>_xll.BDP("ADBE UW Equity","CHG_PCT_YTD")</f>
        <v>-16.627690000000001</v>
      </c>
      <c r="I238" t="str">
        <f>_xll.BDP("ADBE UW Equity","CIE_DES")</f>
        <v>奧多比系統公司(Adobe Inc.)開發、銷售，並支援電腦軟體產品與技術。該公司的產品允許用戶透過所有列印及電子媒體，來表達及使用資訊。奧多比針對創造、發布、與管理資訊，提供一系列應用軟體產品、字體產品，以及內容。奧多比系統服務全球客戶。</v>
      </c>
      <c r="J238">
        <f>_xll.BDP("ADBE UW Equity","ESG_SCORE")</f>
        <v>6.0100002288818359</v>
      </c>
      <c r="K238" t="str">
        <f>_xll.BDP("ADBE UW Equity","MSCI_ESG_RATING")</f>
        <v>AAA</v>
      </c>
      <c r="L238">
        <f>_xll.BDP("ADBE UW Equity","EQY_BETA")</f>
        <v>1.077907919883728</v>
      </c>
      <c r="M238">
        <f>_xll.BDP("ADBE UW Equity","VOLATILITY_60D")</f>
        <v>25.432691518346939</v>
      </c>
      <c r="N238">
        <f>_xll.BDP("ADBE UW Equity","PCT_INSIDER_SHARES_OUT")</f>
        <v>0.26802034344648751</v>
      </c>
      <c r="O238">
        <f>_xll.BDP("ADBE UW Equity","PCT_CHG_INSIDER_HOLDINGS")</f>
        <v>2.2057608021445589</v>
      </c>
      <c r="P238">
        <f>_xll.BDP("ADBE UW Equity","RISK_PREMIUM")</f>
        <v>5.5526594049346443</v>
      </c>
      <c r="Q238">
        <f>_xll.BDP("ADBE UW Equity","HIGH_52WEEK")</f>
        <v>587.55999999999995</v>
      </c>
      <c r="R238">
        <f>_xll.BDP("ADBE UW Equity","LOW_52WEEK")</f>
        <v>332.01</v>
      </c>
    </row>
    <row r="239" spans="1:18" ht="15.75" x14ac:dyDescent="0.25">
      <c r="A239" t="s">
        <v>255</v>
      </c>
      <c r="B239">
        <f>_xll.BDP("VST UN Equity","RT_PX_CHG_PCT_1D")</f>
        <v>-2.0587000846862793</v>
      </c>
      <c r="C239" t="str">
        <f>_xll.BDP("VST UN Equity","GICS_SECTOR_NAME")</f>
        <v>公用事業</v>
      </c>
      <c r="D239" t="str">
        <f>_xll.BDP("VST UN Equity","NAME_CHINESE_TRADITIONAL")</f>
        <v>維斯達能源公司</v>
      </c>
      <c r="E239" t="str">
        <f>_xll.BDP("VST UN Equity","CLASSIFICATION_LEVEL_4_NAME")</f>
        <v>發電業</v>
      </c>
      <c r="F239" t="str">
        <f>_xll.BDP("VST UN Equity","CLASSIFICATION_DESCRIPTION")</f>
        <v>化石發電-解除管制</v>
      </c>
      <c r="G239">
        <f>_xll.BDP("VST UN Equity","CUR_MKT_CAP")</f>
        <v>65219601558.799995</v>
      </c>
      <c r="H239">
        <f>_xll.BDP("VST UN Equity","CHG_PCT_YTD")</f>
        <v>39.406689999999998</v>
      </c>
      <c r="I239" t="str">
        <f>_xll.BDP("VST UN Equity","CIE_DES")</f>
        <v>維斯達公司(Vistra Corp.)提供公用事業服務。該公司生產電力。維斯達公司服務全球客戶。</v>
      </c>
      <c r="J239">
        <f>_xll.BDP("VST UN Equity","ESG_SCORE")</f>
        <v>5.5300002098083496</v>
      </c>
      <c r="K239" t="str">
        <f>_xll.BDP("VST UN Equity","MSCI_ESG_RATING")</f>
        <v>BB</v>
      </c>
      <c r="L239">
        <f>_xll.BDP("VST UN Equity","EQY_BETA")</f>
        <v>1.6823686361312866</v>
      </c>
      <c r="M239">
        <f>_xll.BDP("VST UN Equity","VOLATILITY_60D")</f>
        <v>44.377516872204708</v>
      </c>
      <c r="N239">
        <f>_xll.BDP("VST UN Equity","PCT_INSIDER_SHARES_OUT")</f>
        <v>0.88036855645798207</v>
      </c>
      <c r="O239">
        <f>_xll.BDP("VST UN Equity","PCT_CHG_INSIDER_HOLDINGS")</f>
        <v>4.0104669748151922</v>
      </c>
      <c r="P239">
        <f>_xll.BDP("VST UN Equity","RISK_PREMIUM")</f>
        <v>8.6664360263621809</v>
      </c>
      <c r="Q239">
        <f>_xll.BDP("VST UN Equity","HIGH_52WEEK")</f>
        <v>207.07</v>
      </c>
      <c r="R239">
        <f>_xll.BDP("VST UN Equity","LOW_52WEEK")</f>
        <v>66.78</v>
      </c>
    </row>
    <row r="240" spans="1:18" ht="15.75" x14ac:dyDescent="0.25">
      <c r="A240" t="s">
        <v>256</v>
      </c>
      <c r="B240">
        <f>_xll.BDP("AES UN Equity","RT_PX_CHG_PCT_1D")</f>
        <v>0</v>
      </c>
      <c r="C240" t="str">
        <f>_xll.BDP("AES UN Equity","GICS_SECTOR_NAME")</f>
        <v>公用事業</v>
      </c>
      <c r="D240" t="str">
        <f>_xll.BDP("AES UN Equity","NAME_CHINESE_TRADITIONAL")</f>
        <v>愛伊斯公司</v>
      </c>
      <c r="E240" t="str">
        <f>_xll.BDP("AES UN Equity","CLASSIFICATION_LEVEL_4_NAME")</f>
        <v>整合型公用事業</v>
      </c>
      <c r="F240" t="str">
        <f>_xll.BDP("AES UN Equity","CLASSIFICATION_DESCRIPTION")</f>
        <v>整合型公用事業</v>
      </c>
      <c r="G240">
        <f>_xll.BDP("AES UN Equity","CUR_MKT_CAP")</f>
        <v>9824534847</v>
      </c>
      <c r="H240">
        <f>_xll.BDP("AES UN Equity","CHG_PCT_YTD")</f>
        <v>7.226108</v>
      </c>
      <c r="I240" t="str">
        <f>_xll.BDP("AES UN Equity","CIE_DES")</f>
        <v>愛伊斯公司(The AES Corporation)為一家電力配送公司。該公司收購、開發、擁有並經營可再生能源發電廠。愛伊斯服務全球客戶。TEST</v>
      </c>
      <c r="J240">
        <f>_xll.BDP("AES UN Equity","ESG_SCORE")</f>
        <v>5.5999999046325684</v>
      </c>
      <c r="K240" t="str">
        <f>_xll.BDP("AES UN Equity","MSCI_ESG_RATING")</f>
        <v>N.S.</v>
      </c>
      <c r="L240">
        <f>_xll.BDP("AES UN Equity","EQY_BETA")</f>
        <v>1.0213278532028198</v>
      </c>
      <c r="M240">
        <f>_xll.BDP("AES UN Equity","VOLATILITY_60D")</f>
        <v>63.639409391718857</v>
      </c>
      <c r="N240">
        <f>_xll.BDP("AES UN Equity","PCT_INSIDER_SHARES_OUT")</f>
        <v>0.50726890612296727</v>
      </c>
      <c r="O240">
        <f>_xll.BDP("AES UN Equity","PCT_CHG_INSIDER_HOLDINGS")</f>
        <v>12.076755705610692</v>
      </c>
      <c r="P240">
        <f>_xll.BDP("AES UN Equity","RISK_PREMIUM")</f>
        <v>5.2611968100392819</v>
      </c>
      <c r="Q240">
        <f>_xll.BDP("AES UN Equity","HIGH_52WEEK")</f>
        <v>20.29</v>
      </c>
      <c r="R240">
        <f>_xll.BDP("AES UN Equity","LOW_52WEEK")</f>
        <v>9.4600000000000009</v>
      </c>
    </row>
    <row r="241" spans="1:18" ht="15.75" x14ac:dyDescent="0.25">
      <c r="A241" t="s">
        <v>257</v>
      </c>
      <c r="B241">
        <f>_xll.BDP("EXPD UN Equity","RT_PX_CHG_PCT_1D")</f>
        <v>-0.11980000138282776</v>
      </c>
      <c r="C241" t="str">
        <f>_xll.BDP("EXPD UN Equity","GICS_SECTOR_NAME")</f>
        <v>工業</v>
      </c>
      <c r="D241" t="str">
        <f>_xll.BDP("EXPD UN Equity","NAME_CHINESE_TRADITIONAL")</f>
        <v>Expeditors International of</v>
      </c>
      <c r="E241" t="str">
        <f>_xll.BDP("EXPD UN Equity","CLASSIFICATION_LEVEL_4_NAME")</f>
        <v>物流服務</v>
      </c>
      <c r="F241" t="str">
        <f>_xll.BDP("EXPD UN Equity","CLASSIFICATION_DESCRIPTION")</f>
        <v>貨運轉運服務</v>
      </c>
      <c r="G241">
        <f>_xll.BDP("EXPD UN Equity","CUR_MKT_CAP")</f>
        <v>15981838018.499998</v>
      </c>
      <c r="H241">
        <f>_xll.BDP("EXPD UN Equity","CHG_PCT_YTD")</f>
        <v>5.3534379999999997</v>
      </c>
      <c r="I241" t="str">
        <f>_xll.BDP("EXPD UN Equity","CIE_DES")</f>
        <v>Expeditors華盛頓國際公司(Expeditors International of Washington, Inc.)為一全球性物流公司。該公司提供空運和海運轉運、供應商整合、報關、海運保險、配送、及其他國際物流服務。</v>
      </c>
      <c r="J241">
        <f>_xll.BDP("EXPD UN Equity","ESG_SCORE")</f>
        <v>4.6700000762939453</v>
      </c>
      <c r="K241" t="str">
        <f>_xll.BDP("EXPD UN Equity","MSCI_ESG_RATING")</f>
        <v>AAA</v>
      </c>
      <c r="L241">
        <f>_xll.BDP("EXPD UN Equity","EQY_BETA")</f>
        <v>0.78431349992752075</v>
      </c>
      <c r="M241">
        <f>_xll.BDP("EXPD UN Equity","VOLATILITY_60D")</f>
        <v>27.0986419650405</v>
      </c>
      <c r="N241">
        <f>_xll.BDP("EXPD UN Equity","PCT_INSIDER_SHARES_OUT")</f>
        <v>0.75360442021466501</v>
      </c>
      <c r="O241">
        <f>_xll.BDP("EXPD UN Equity","PCT_CHG_INSIDER_HOLDINGS")</f>
        <v>2.4198567946731124</v>
      </c>
      <c r="P241">
        <f>_xll.BDP("EXPD UN Equity","RISK_PREMIUM")</f>
        <v>4.0354702440887689</v>
      </c>
      <c r="Q241">
        <f>_xll.BDP("EXPD UN Equity","HIGH_52WEEK")</f>
        <v>131.58000000000001</v>
      </c>
      <c r="R241">
        <f>_xll.BDP("EXPD UN Equity","LOW_52WEEK")</f>
        <v>100.81</v>
      </c>
    </row>
    <row r="242" spans="1:18" ht="15.75" x14ac:dyDescent="0.25">
      <c r="A242" t="s">
        <v>258</v>
      </c>
      <c r="B242">
        <f>_xll.BDP("AMGN UW Equity","RT_PX_CHG_PCT_1D")</f>
        <v>-0.63849997520446777</v>
      </c>
      <c r="C242" t="str">
        <f>_xll.BDP("AMGN UW Equity","GICS_SECTOR_NAME")</f>
        <v>醫療保健</v>
      </c>
      <c r="D242" t="str">
        <f>_xll.BDP("AMGN UW Equity","NAME_CHINESE_TRADITIONAL")</f>
        <v>安進公司</v>
      </c>
      <c r="E242" t="str">
        <f>_xll.BDP("AMGN UW Equity","CLASSIFICATION_LEVEL_4_NAME")</f>
        <v>生物科技</v>
      </c>
      <c r="F242" t="str">
        <f>_xll.BDP("AMGN UW Equity","CLASSIFICATION_DESCRIPTION")</f>
        <v>生物科技</v>
      </c>
      <c r="G242">
        <f>_xll.BDP("AMGN UW Equity","CUR_MKT_CAP")</f>
        <v>164849941656.43997</v>
      </c>
      <c r="H242">
        <f>_xll.BDP("AMGN UW Equity","CHG_PCT_YTD")</f>
        <v>17.62584</v>
      </c>
      <c r="I242" t="str">
        <f>_xll.BDP("AMGN UW Equity","CIE_DES")</f>
        <v>安進公司(Amgen Inc.)為一家探索、開發、製造，並銷售重症藥物的獨立生技醫藥公司。該公司著重於人類治療，並專注於細胞和分子生物為基礎的新藥創新。</v>
      </c>
      <c r="J242">
        <f>_xll.BDP("AMGN UW Equity","ESG_SCORE")</f>
        <v>5.2199997901916504</v>
      </c>
      <c r="K242" t="str">
        <f>_xll.BDP("AMGN UW Equity","MSCI_ESG_RATING")</f>
        <v>A</v>
      </c>
      <c r="L242">
        <f>_xll.BDP("AMGN UW Equity","EQY_BETA")</f>
        <v>0.562813401222229</v>
      </c>
      <c r="M242">
        <f>_xll.BDP("AMGN UW Equity","VOLATILITY_60D")</f>
        <v>29.043125009650922</v>
      </c>
      <c r="N242">
        <f>_xll.BDP("AMGN UW Equity","PCT_INSIDER_SHARES_OUT")</f>
        <v>0.19521697728554691</v>
      </c>
      <c r="O242">
        <f>_xll.BDP("AMGN UW Equity","PCT_CHG_INSIDER_HOLDINGS")</f>
        <v>2.3044706218120532</v>
      </c>
      <c r="P242">
        <f>_xll.BDP("AMGN UW Equity","RISK_PREMIUM")</f>
        <v>2.8992375581181049</v>
      </c>
      <c r="Q242">
        <f>_xll.BDP("AMGN UW Equity","HIGH_52WEEK")</f>
        <v>340.5</v>
      </c>
      <c r="R242">
        <f>_xll.BDP("AMGN UW Equity","LOW_52WEEK")</f>
        <v>253.3</v>
      </c>
    </row>
    <row r="243" spans="1:18" ht="15.75" x14ac:dyDescent="0.25">
      <c r="A243" t="s">
        <v>259</v>
      </c>
      <c r="B243">
        <f>_xll.BDP("AAPL UW Equity","RT_PX_CHG_PCT_1D")</f>
        <v>5.6099999696016312E-2</v>
      </c>
      <c r="C243" t="str">
        <f>_xll.BDP("AAPL UW Equity","GICS_SECTOR_NAME")</f>
        <v>資訊技術</v>
      </c>
      <c r="D243" t="str">
        <f>_xll.BDP("AAPL UW Equity","NAME_CHINESE_TRADITIONAL")</f>
        <v>蘋果公司</v>
      </c>
      <c r="E243" t="str">
        <f>_xll.BDP("AAPL UW Equity","CLASSIFICATION_LEVEL_4_NAME")</f>
        <v>通訊設備</v>
      </c>
      <c r="F243" t="str">
        <f>_xll.BDP("AAPL UW Equity","CLASSIFICATION_DESCRIPTION")</f>
        <v>行動手機</v>
      </c>
      <c r="G243">
        <f>_xll.BDP("AAPL UW Equity","CUR_MKT_CAP")</f>
        <v>3194474464880.0005</v>
      </c>
      <c r="H243">
        <f>_xll.BDP("AAPL UW Equity","CHG_PCT_YTD")</f>
        <v>-14.59149</v>
      </c>
      <c r="I243" t="str">
        <f>_xll.BDP("AAPL UW Equity","CIE_DES")</f>
        <v>蘋果公司(Apple Inc.)設計、製造，並銷售智慧手機、個人電腦、平板電腦、穿戴式裝置與配件，並銷售各種相關配件。該公司亦提供支付、數位內容、雲端，以及廣告服務。蘋果公司的客戶主要為全球各地的消費者、中小型公司、教育、企業，以及政府市場。</v>
      </c>
      <c r="J243">
        <f>_xll.BDP("AAPL UW Equity","ESG_SCORE")</f>
        <v>5.690000057220459</v>
      </c>
      <c r="K243" t="str">
        <f>_xll.BDP("AAPL UW Equity","MSCI_ESG_RATING")</f>
        <v>BBB</v>
      </c>
      <c r="L243">
        <f>_xll.BDP("AAPL UW Equity","EQY_BETA")</f>
        <v>1.0673792362213135</v>
      </c>
      <c r="M243">
        <f>_xll.BDP("AAPL UW Equity","VOLATILITY_60D")</f>
        <v>23.871770835495763</v>
      </c>
      <c r="N243">
        <f>_xll.BDP("AAPL UW Equity","PCT_INSIDER_SHARES_OUT")</f>
        <v>6.8111259970152313E-2</v>
      </c>
      <c r="O243">
        <f>_xll.BDP("AAPL UW Equity","PCT_CHG_INSIDER_HOLDINGS")</f>
        <v>0.47889791254794312</v>
      </c>
      <c r="P243">
        <f>_xll.BDP("AAPL UW Equity","RISK_PREMIUM")</f>
        <v>5.4984226809239383</v>
      </c>
      <c r="Q243">
        <f>_xll.BDP("AAPL UW Equity","HIGH_52WEEK")</f>
        <v>260.08999999999997</v>
      </c>
      <c r="R243">
        <f>_xll.BDP("AAPL UW Equity","LOW_52WEEK")</f>
        <v>169.22</v>
      </c>
    </row>
    <row r="244" spans="1:18" ht="15.75" x14ac:dyDescent="0.25">
      <c r="A244" t="s">
        <v>260</v>
      </c>
      <c r="B244">
        <f>_xll.BDP("ADSK UW Equity","RT_PX_CHG_PCT_1D")</f>
        <v>0.72399997711181641</v>
      </c>
      <c r="C244" t="str">
        <f>_xll.BDP("ADSK UW Equity","GICS_SECTOR_NAME")</f>
        <v>資訊技術</v>
      </c>
      <c r="D244" t="str">
        <f>_xll.BDP("ADSK UW Equity","NAME_CHINESE_TRADITIONAL")</f>
        <v>歐特克</v>
      </c>
      <c r="E244" t="str">
        <f>_xll.BDP("ADSK UW Equity","CLASSIFICATION_LEVEL_4_NAME")</f>
        <v>應用軟體</v>
      </c>
      <c r="F244" t="str">
        <f>_xll.BDP("ADSK UW Equity","CLASSIFICATION_DESCRIPTION")</f>
        <v>工程軟體</v>
      </c>
      <c r="G244">
        <f>_xll.BDP("ADSK UW Equity","CUR_MKT_CAP")</f>
        <v>64901919999.999992</v>
      </c>
      <c r="H244">
        <f>_xll.BDP("ADSK UW Equity","CHG_PCT_YTD")</f>
        <v>2.608517</v>
      </c>
      <c r="I244" t="str">
        <f>_xll.BDP("ADSK UW Equity","CIE_DES")</f>
        <v>歐特克供應個人電腦軟體及多媒體工具。該公司的平面及立體產品均被各行業廣泛地應用於居家建築設計、機械設計、地理資訊系統及地圖與顯像應用工具上。歐特克軟體產品透過批發商及經銷商銷售到全球各地。</v>
      </c>
      <c r="J244">
        <f>_xll.BDP("ADSK UW Equity","ESG_SCORE")</f>
        <v>5.3299999237060547</v>
      </c>
      <c r="K244" t="str">
        <f>_xll.BDP("ADSK UW Equity","MSCI_ESG_RATING")</f>
        <v>AAA</v>
      </c>
      <c r="L244">
        <f>_xll.BDP("ADSK UW Equity","EQY_BETA")</f>
        <v>1.1137958765029907</v>
      </c>
      <c r="M244">
        <f>_xll.BDP("ADSK UW Equity","VOLATILITY_60D")</f>
        <v>25.559619442629067</v>
      </c>
      <c r="N244">
        <f>_xll.BDP("ADSK UW Equity","PCT_INSIDER_SHARES_OUT")</f>
        <v>0.24712850467289721</v>
      </c>
      <c r="O244">
        <f>_xll.BDP("ADSK UW Equity","PCT_CHG_INSIDER_HOLDINGS")</f>
        <v>21.10785676500695</v>
      </c>
      <c r="P244">
        <f>_xll.BDP("ADSK UW Equity","RISK_PREMIUM")</f>
        <v>5.7375301125061506</v>
      </c>
      <c r="Q244">
        <f>_xll.BDP("ADSK UW Equity","HIGH_52WEEK")</f>
        <v>326.55</v>
      </c>
      <c r="R244">
        <f>_xll.BDP("ADSK UW Equity","LOW_52WEEK")</f>
        <v>223.09</v>
      </c>
    </row>
    <row r="245" spans="1:18" ht="15.75" x14ac:dyDescent="0.25">
      <c r="A245" t="s">
        <v>261</v>
      </c>
      <c r="B245">
        <f>_xll.BDP("CTAS UW Equity","RT_PX_CHG_PCT_1D")</f>
        <v>0.30509999394416809</v>
      </c>
      <c r="C245" t="str">
        <f>_xll.BDP("CTAS UW Equity","GICS_SECTOR_NAME")</f>
        <v>工業</v>
      </c>
      <c r="D245" t="str">
        <f>_xll.BDP("CTAS UW Equity","NAME_CHINESE_TRADITIONAL")</f>
        <v>信達思公司</v>
      </c>
      <c r="E245" t="str">
        <f>_xll.BDP("CTAS UW Equity","CLASSIFICATION_LEVEL_4_NAME")</f>
        <v>其它商業服務</v>
      </c>
      <c r="F245" t="str">
        <f>_xll.BDP("CTAS UW Equity","CLASSIFICATION_DESCRIPTION")</f>
        <v>制服出租</v>
      </c>
      <c r="G245">
        <f>_xll.BDP("CTAS UW Equity","CUR_MKT_CAP")</f>
        <v>90270613448.279999</v>
      </c>
      <c r="H245">
        <f>_xll.BDP("CTAS UW Equity","CHG_PCT_YTD")</f>
        <v>22.364529999999998</v>
      </c>
      <c r="I245" t="str">
        <f>_xll.BDP("CTAS UW Equity","CIE_DES")</f>
        <v>信達思公司(Cintas Corporation)設計、製造並執行公司形象統一計畫。該公司提供制服與工作服，以及入口墊、洗手間用品、促銷產品、文件管理、消防，以及急救與安全服務。</v>
      </c>
      <c r="J245">
        <f>_xll.BDP("CTAS UW Equity","ESG_SCORE")</f>
        <v>6.4899997711181641</v>
      </c>
      <c r="K245" t="str">
        <f>_xll.BDP("CTAS UW Equity","MSCI_ESG_RATING")</f>
        <v>A</v>
      </c>
      <c r="L245">
        <f>_xll.BDP("CTAS UW Equity","EQY_BETA")</f>
        <v>0.88275027275085449</v>
      </c>
      <c r="M245">
        <f>_xll.BDP("CTAS UW Equity","VOLATILITY_60D")</f>
        <v>17.286895700792673</v>
      </c>
      <c r="N245">
        <f>_xll.BDP("CTAS UW Equity","PCT_INSIDER_SHARES_OUT")</f>
        <v>1.6007543581145507</v>
      </c>
      <c r="O245">
        <f>_xll.BDP("CTAS UW Equity","PCT_CHG_INSIDER_HOLDINGS")</f>
        <v>-1.2375399067946819E-2</v>
      </c>
      <c r="P245">
        <f>_xll.BDP("CTAS UW Equity","RISK_PREMIUM")</f>
        <v>4.5473379625296593</v>
      </c>
      <c r="Q245">
        <f>_xll.BDP("CTAS UW Equity","HIGH_52WEEK")</f>
        <v>229.185</v>
      </c>
      <c r="R245">
        <f>_xll.BDP("CTAS UW Equity","LOW_52WEEK")</f>
        <v>180.8</v>
      </c>
    </row>
    <row r="246" spans="1:18" ht="15.75" x14ac:dyDescent="0.25">
      <c r="A246" t="s">
        <v>262</v>
      </c>
      <c r="B246">
        <f>_xll.BDP("CMCSA UW Equity","RT_PX_CHG_PCT_1D")</f>
        <v>-4.7781000137329102</v>
      </c>
      <c r="C246" t="str">
        <f>_xll.BDP("CMCSA UW Equity","GICS_SECTOR_NAME")</f>
        <v>通訊服務</v>
      </c>
      <c r="D246" t="str">
        <f>_xll.BDP("CMCSA UW Equity","NAME_CHINESE_TRADITIONAL")</f>
        <v>康卡斯特公司</v>
      </c>
      <c r="E246" t="str">
        <f>_xll.BDP("CMCSA UW Equity","CLASSIFICATION_LEVEL_4_NAME")</f>
        <v>有線及衛星電視</v>
      </c>
      <c r="F246" t="str">
        <f>_xll.BDP("CMCSA UW Equity","CLASSIFICATION_DESCRIPTION")</f>
        <v>有線及衛星電視</v>
      </c>
      <c r="G246">
        <f>_xll.BDP("CMCSA UW Equity","CUR_MKT_CAP")</f>
        <v>125751148262.64479</v>
      </c>
      <c r="H246">
        <f>_xll.BDP("CMCSA UW Equity","CHG_PCT_YTD")</f>
        <v>-10.258459999999999</v>
      </c>
      <c r="I246" t="str">
        <f>_xll.BDP("CMCSA UW Equity","CIE_DES")</f>
        <v>康卡斯特公司(Comcast Corporation)提供媒體及電視傳播服務。該公司提供影音串流、電視節目、高速網路、有線電視，及通訊服務。康卡斯特的服務對象遍及全球各地。</v>
      </c>
      <c r="J246">
        <f>_xll.BDP("CMCSA UW Equity","ESG_SCORE")</f>
        <v>3.6500000953674316</v>
      </c>
      <c r="K246" t="str">
        <f>_xll.BDP("CMCSA UW Equity","MSCI_ESG_RATING")</f>
        <v>BBB</v>
      </c>
      <c r="L246">
        <f>_xll.BDP("CMCSA UW Equity","EQY_BETA")</f>
        <v>0.68581682443618774</v>
      </c>
      <c r="M246">
        <f>_xll.BDP("CMCSA UW Equity","VOLATILITY_60D")</f>
        <v>21.316984403555956</v>
      </c>
      <c r="N246">
        <f>_xll.BDP("CMCSA UW Equity","PCT_INSIDER_SHARES_OUT")</f>
        <v>0.77522747348735022</v>
      </c>
      <c r="O246">
        <f>_xll.BDP("CMCSA UW Equity","PCT_CHG_INSIDER_HOLDINGS")</f>
        <v>0.92099384730066647</v>
      </c>
      <c r="P246">
        <f>_xll.BDP("CMCSA UW Equity","RISK_PREMIUM")</f>
        <v>3.532868782222867</v>
      </c>
      <c r="Q246">
        <f>_xll.BDP("CMCSA UW Equity","HIGH_52WEEK")</f>
        <v>45.31</v>
      </c>
      <c r="R246">
        <f>_xll.BDP("CMCSA UW Equity","LOW_52WEEK")</f>
        <v>31.44</v>
      </c>
    </row>
    <row r="247" spans="1:18" ht="15.75" x14ac:dyDescent="0.25">
      <c r="A247" t="s">
        <v>263</v>
      </c>
      <c r="B247">
        <f>_xll.BDP("TAP UN Equity","RT_PX_CHG_PCT_1D")</f>
        <v>0.62910002470016479</v>
      </c>
      <c r="C247" t="str">
        <f>_xll.BDP("TAP UN Equity","GICS_SECTOR_NAME")</f>
        <v>核心消費</v>
      </c>
      <c r="D247" t="str">
        <f>_xll.BDP("TAP UN Equity","NAME_CHINESE_TRADITIONAL")</f>
        <v>摩紳庫爾斯飲料公司</v>
      </c>
      <c r="E247" t="str">
        <f>_xll.BDP("TAP UN Equity","CLASSIFICATION_LEVEL_4_NAME")</f>
        <v>酒精飲料</v>
      </c>
      <c r="F247" t="str">
        <f>_xll.BDP("TAP UN Equity","CLASSIFICATION_DESCRIPTION")</f>
        <v>釀酒商</v>
      </c>
      <c r="G247">
        <f>_xll.BDP("TAP UN Equity","CUR_MKT_CAP")</f>
        <v>10376004565.625</v>
      </c>
      <c r="H247">
        <f>_xll.BDP("TAP UN Equity","CHG_PCT_YTD")</f>
        <v>-10.69435</v>
      </c>
      <c r="I247" t="str">
        <f>_xll.BDP("TAP UN Equity","CIE_DES")</f>
        <v>摩紳庫爾斯飲料公司(Molson Coors Beverage Company)為一家飲料公司。該公司釀造並生產啤酒。摩紳庫爾斯服務全球客戶。</v>
      </c>
      <c r="J247">
        <f>_xll.BDP("TAP UN Equity","ESG_SCORE")</f>
        <v>4.1100001335144043</v>
      </c>
      <c r="K247" t="str">
        <f>_xll.BDP("TAP UN Equity","MSCI_ESG_RATING")</f>
        <v>AAA</v>
      </c>
      <c r="L247">
        <f>_xll.BDP("TAP UN Equity","EQY_BETA")</f>
        <v>0.49143072962760925</v>
      </c>
      <c r="M247">
        <f>_xll.BDP("TAP UN Equity","VOLATILITY_60D")</f>
        <v>20.960889496171202</v>
      </c>
      <c r="N247">
        <f>_xll.BDP("TAP UN Equity","PCT_INSIDER_SHARES_OUT")</f>
        <v>0.92892246105221554</v>
      </c>
      <c r="O247">
        <f>_xll.BDP("TAP UN Equity","PCT_CHG_INSIDER_HOLDINGS")</f>
        <v>16.870058966446614</v>
      </c>
      <c r="P247">
        <f>_xll.BDP("TAP UN Equity","RISK_PREMIUM")</f>
        <v>2.5315218604525924</v>
      </c>
      <c r="Q247">
        <f>_xll.BDP("TAP UN Equity","HIGH_52WEEK")</f>
        <v>64.66</v>
      </c>
      <c r="R247">
        <f>_xll.BDP("TAP UN Equity","LOW_52WEEK")</f>
        <v>46.98</v>
      </c>
    </row>
    <row r="248" spans="1:18" ht="15.75" x14ac:dyDescent="0.25">
      <c r="A248" t="s">
        <v>264</v>
      </c>
      <c r="B248">
        <f>_xll.BDP("KLAC UW Equity","RT_PX_CHG_PCT_1D")</f>
        <v>-0.23109999299049377</v>
      </c>
      <c r="C248" t="str">
        <f>_xll.BDP("KLAC UW Equity","GICS_SECTOR_NAME")</f>
        <v>資訊技術</v>
      </c>
      <c r="D248" t="str">
        <f>_xll.BDP("KLAC UW Equity","NAME_CHINESE_TRADITIONAL")</f>
        <v>科磊公司</v>
      </c>
      <c r="E248" t="str">
        <f>_xll.BDP("KLAC UW Equity","CLASSIFICATION_LEVEL_4_NAME")</f>
        <v>半導體製造</v>
      </c>
      <c r="F248" t="str">
        <f>_xll.BDP("KLAC UW Equity","CLASSIFICATION_DESCRIPTION")</f>
        <v>前端資本設備</v>
      </c>
      <c r="G248">
        <f>_xll.BDP("KLAC UW Equity","CUR_MKT_CAP")</f>
        <v>119293671588.70001</v>
      </c>
      <c r="H248">
        <f>_xll.BDP("KLAC UW Equity","CHG_PCT_YTD")</f>
        <v>43.161619999999999</v>
      </c>
      <c r="I248" t="str">
        <f>_xll.BDP("KLAC UW Equity","CIE_DES")</f>
        <v>科磊公司(KLA Corporation)生產並經銷半導體。該公司提供表面輪廓儀、奈米機械測試儀、晶片及半導體組裝解決方案。科磊於美國行銷其產品。</v>
      </c>
      <c r="J248">
        <f>_xll.BDP("KLAC UW Equity","ESG_SCORE")</f>
        <v>5.5100002288818359</v>
      </c>
      <c r="K248" t="str">
        <f>_xll.BDP("KLAC UW Equity","MSCI_ESG_RATING")</f>
        <v>A</v>
      </c>
      <c r="L248">
        <f>_xll.BDP("KLAC UW Equity","EQY_BETA")</f>
        <v>1.5536699295043945</v>
      </c>
      <c r="M248">
        <f>_xll.BDP("KLAC UW Equity","VOLATILITY_60D")</f>
        <v>33.867938695527194</v>
      </c>
      <c r="N248">
        <f>_xll.BDP("KLAC UW Equity","PCT_INSIDER_SHARES_OUT")</f>
        <v>0.18711383273316826</v>
      </c>
      <c r="O248">
        <f>_xll.BDP("KLAC UW Equity","PCT_CHG_INSIDER_HOLDINGS")</f>
        <v>-11.680709093516821</v>
      </c>
      <c r="P248">
        <f>_xll.BDP("KLAC UW Equity","RISK_PREMIUM")</f>
        <v>8.0034665179538731</v>
      </c>
      <c r="Q248">
        <f>_xll.BDP("KLAC UW Equity","HIGH_52WEEK")</f>
        <v>945.87</v>
      </c>
      <c r="R248">
        <f>_xll.BDP("KLAC UW Equity","LOW_52WEEK")</f>
        <v>553.74</v>
      </c>
    </row>
    <row r="249" spans="1:18" ht="15.75" x14ac:dyDescent="0.25">
      <c r="A249" t="s">
        <v>265</v>
      </c>
      <c r="B249">
        <f>_xll.BDP("MAR UW Equity","RT_PX_CHG_PCT_1D")</f>
        <v>2.283099889755249</v>
      </c>
      <c r="C249" t="str">
        <f>_xll.BDP("MAR UW Equity","GICS_SECTOR_NAME")</f>
        <v>非核心消費</v>
      </c>
      <c r="D249" t="str">
        <f>_xll.BDP("MAR UW Equity","NAME_CHINESE_TRADITIONAL")</f>
        <v>萬豪國際集團(馬里蘭)</v>
      </c>
      <c r="E249" t="str">
        <f>_xll.BDP("MAR UW Equity","CLASSIFICATION_LEVEL_4_NAME")</f>
        <v>住宿</v>
      </c>
      <c r="F249" t="str">
        <f>_xll.BDP("MAR UW Equity","CLASSIFICATION_DESCRIPTION")</f>
        <v>房租收入-飯店</v>
      </c>
      <c r="G249">
        <f>_xll.BDP("MAR UW Equity","CUR_MKT_CAP")</f>
        <v>76447145774.090012</v>
      </c>
      <c r="H249">
        <f>_xll.BDP("MAR UW Equity","CHG_PCT_YTD")</f>
        <v>6.0944129999999999E-2</v>
      </c>
      <c r="I249" t="str">
        <f>_xll.BDP("MAR UW Equity","CIE_DES")</f>
        <v>萬豪國際集團(馬里蘭)(Marriott International, Inc. of Maryland)為一家飯店。該公司提供住宿、住宿、餐飲、水療、婚禮、會議、活動，以及娛樂設施。萬豪國際服務全球客戶。</v>
      </c>
      <c r="J249">
        <f>_xll.BDP("MAR UW Equity","ESG_SCORE")</f>
        <v>5.2399997711181641</v>
      </c>
      <c r="K249" t="str">
        <f>_xll.BDP("MAR UW Equity","MSCI_ESG_RATING")</f>
        <v>BBB</v>
      </c>
      <c r="L249">
        <f>_xll.BDP("MAR UW Equity","EQY_BETA")</f>
        <v>1.0639337301254272</v>
      </c>
      <c r="M249">
        <f>_xll.BDP("MAR UW Equity","VOLATILITY_60D")</f>
        <v>23.433167545298346</v>
      </c>
      <c r="N249">
        <f>_xll.BDP("MAR UW Equity","PCT_INSIDER_SHARES_OUT")</f>
        <v>1.3556476932311192</v>
      </c>
      <c r="O249">
        <f>_xll.BDP("MAR UW Equity","PCT_CHG_INSIDER_HOLDINGS")</f>
        <v>0.9282669130275244</v>
      </c>
      <c r="P249">
        <f>_xll.BDP("MAR UW Equity","RISK_PREMIUM")</f>
        <v>5.4806737420070171</v>
      </c>
      <c r="Q249">
        <f>_xll.BDP("MAR UW Equity","HIGH_52WEEK")</f>
        <v>307.33999999999997</v>
      </c>
      <c r="R249">
        <f>_xll.BDP("MAR UW Equity","LOW_52WEEK")</f>
        <v>204.69</v>
      </c>
    </row>
    <row r="250" spans="1:18" ht="15.75" x14ac:dyDescent="0.25">
      <c r="A250" t="s">
        <v>266</v>
      </c>
      <c r="B250">
        <f>_xll.BDP("FI UN Equity","RT_PX_CHG_PCT_1D")</f>
        <v>1.3920999765396118</v>
      </c>
      <c r="C250" t="str">
        <f>_xll.BDP("FI UN Equity","GICS_SECTOR_NAME")</f>
        <v>金融</v>
      </c>
      <c r="D250" t="str">
        <f>_xll.BDP("FI UN Equity","NAME_CHINESE_TRADITIONAL")</f>
        <v>Fiserv公司</v>
      </c>
      <c r="E250" t="str">
        <f>_xll.BDP("FI UN Equity","CLASSIFICATION_LEVEL_4_NAME")</f>
        <v>其它金融服務</v>
      </c>
      <c r="F250" t="str">
        <f>_xll.BDP("FI UN Equity","CLASSIFICATION_DESCRIPTION")</f>
        <v>金融交易處理服務</v>
      </c>
      <c r="G250">
        <f>_xll.BDP("FI UN Equity","CUR_MKT_CAP")</f>
        <v>77206539355.400024</v>
      </c>
      <c r="H250">
        <f>_xll.BDP("FI UN Equity","CHG_PCT_YTD")</f>
        <v>-30.858730000000001</v>
      </c>
      <c r="I250" t="str">
        <f>_xll.BDP("FI UN Equity","CIE_DES")</f>
        <v>Fiserv公司（Fiserv, Inc.）提供金融科技解決方案。該公司提供平台，使企業接受支付、追蹤績效表現，並推動銷售。Fiserv服務全球各地的企業與公共部門、商人、銀行、信用合作社，以及其他金融機構。</v>
      </c>
      <c r="J250">
        <f>_xll.BDP("FI UN Equity","ESG_SCORE")</f>
        <v>4.1500000953674316</v>
      </c>
      <c r="K250" t="str">
        <f>_xll.BDP("FI UN Equity","MSCI_ESG_RATING")</f>
        <v>AA</v>
      </c>
      <c r="L250">
        <f>_xll.BDP("FI UN Equity","EQY_BETA")</f>
        <v>0.67730593681335449</v>
      </c>
      <c r="M250">
        <f>_xll.BDP("FI UN Equity","VOLATILITY_60D")</f>
        <v>53.675910964149196</v>
      </c>
      <c r="N250">
        <f>_xll.BDP("FI UN Equity","PCT_INSIDER_SHARES_OUT")</f>
        <v>0.78859025462422994</v>
      </c>
      <c r="O250">
        <f>_xll.BDP("FI UN Equity","PCT_CHG_INSIDER_HOLDINGS")</f>
        <v>6.7897456286740159</v>
      </c>
      <c r="P250">
        <f>_xll.BDP("FI UN Equity","RISK_PREMIUM")</f>
        <v>3.489026391484737</v>
      </c>
      <c r="Q250">
        <f>_xll.BDP("FI UN Equity","HIGH_52WEEK")</f>
        <v>238.48</v>
      </c>
      <c r="R250">
        <f>_xll.BDP("FI UN Equity","LOW_52WEEK")</f>
        <v>128.47</v>
      </c>
    </row>
    <row r="251" spans="1:18" ht="15.75" x14ac:dyDescent="0.25">
      <c r="A251" t="s">
        <v>267</v>
      </c>
      <c r="B251">
        <f>_xll.BDP("MKC UN Equity","RT_PX_CHG_PCT_1D")</f>
        <v>0.16789999604225159</v>
      </c>
      <c r="C251" t="str">
        <f>_xll.BDP("MKC UN Equity","GICS_SECTOR_NAME")</f>
        <v>核心消費</v>
      </c>
      <c r="D251" t="str">
        <f>_xll.BDP("MKC UN Equity","NAME_CHINESE_TRADITIONAL")</f>
        <v>麥科明克公司(馬里蘭州)</v>
      </c>
      <c r="E251" t="str">
        <f>_xll.BDP("MKC UN Equity","CLASSIFICATION_LEVEL_4_NAME")</f>
        <v>包裝食品製造業</v>
      </c>
      <c r="F251" t="str">
        <f>_xll.BDP("MKC UN Equity","CLASSIFICATION_DESCRIPTION")</f>
        <v>香料與香精</v>
      </c>
      <c r="G251">
        <f>_xll.BDP("MKC UN Equity","CUR_MKT_CAP")</f>
        <v>19207622218.859997</v>
      </c>
      <c r="H251">
        <f>_xll.BDP("MKC UN Equity","CHG_PCT_YTD")</f>
        <v>-6.1253909999999996</v>
      </c>
      <c r="I251" t="str">
        <f>_xll.BDP("MKC UN Equity","CIE_DES")</f>
        <v>麥科明克公司(馬里蘭州)(McCormick &amp; Company, Incorporated of Maryland)為食品業製造、銷售，並經銷香料產品，包括：香料、草本香料、萃取物、調味料與醬料，以及其他專用食物產品。該公司銷售其產品予零售商店、食品製造商，以及食品服務業。</v>
      </c>
      <c r="J251">
        <f>_xll.BDP("MKC UN Equity","ESG_SCORE")</f>
        <v>5.1500000953674316</v>
      </c>
      <c r="K251" t="str">
        <f>_xll.BDP("MKC UN Equity","MSCI_ESG_RATING")</f>
        <v>AA</v>
      </c>
      <c r="L251">
        <f>_xll.BDP("MKC UN Equity","EQY_BETA")</f>
        <v>0.4916401207447052</v>
      </c>
      <c r="M251">
        <f>_xll.BDP("MKC UN Equity","VOLATILITY_60D")</f>
        <v>22.65835734114324</v>
      </c>
      <c r="N251">
        <f>_xll.BDP("MKC UN Equity","PCT_INSIDER_SHARES_OUT")</f>
        <v>0.13924916811965801</v>
      </c>
      <c r="O251">
        <f>_xll.BDP("MKC UN Equity","PCT_CHG_INSIDER_HOLDINGS")</f>
        <v>-6.3270295822184659</v>
      </c>
      <c r="P251">
        <f>_xll.BDP("MKC UN Equity","RISK_PREMIUM")</f>
        <v>2.5326005031958223</v>
      </c>
      <c r="Q251">
        <f>_xll.BDP("MKC UN Equity","HIGH_52WEEK")</f>
        <v>86.22</v>
      </c>
      <c r="R251">
        <f>_xll.BDP("MKC UN Equity","LOW_52WEEK")</f>
        <v>69.98</v>
      </c>
    </row>
    <row r="252" spans="1:18" ht="15.75" x14ac:dyDescent="0.25">
      <c r="A252" t="s">
        <v>268</v>
      </c>
      <c r="B252">
        <f>_xll.BDP("PCAR UW Equity","RT_PX_CHG_PCT_1D")</f>
        <v>0.1379999965429306</v>
      </c>
      <c r="C252" t="str">
        <f>_xll.BDP("PCAR UW Equity","GICS_SECTOR_NAME")</f>
        <v>工業</v>
      </c>
      <c r="D252" t="str">
        <f>_xll.BDP("PCAR UW Equity","NAME_CHINESE_TRADITIONAL")</f>
        <v>帕卡公司</v>
      </c>
      <c r="E252" t="str">
        <f>_xll.BDP("PCAR UW Equity","CLASSIFICATION_LEVEL_4_NAME")</f>
        <v>商用車</v>
      </c>
      <c r="F252" t="str">
        <f>_xll.BDP("PCAR UW Equity","CLASSIFICATION_DESCRIPTION")</f>
        <v>商用車</v>
      </c>
      <c r="G252">
        <f>_xll.BDP("PCAR UW Equity","CUR_MKT_CAP")</f>
        <v>53320128797.25</v>
      </c>
      <c r="H252">
        <f>_xll.BDP("PCAR UW Equity","CHG_PCT_YTD")</f>
        <v>-2.3553130000000002</v>
      </c>
      <c r="I252" t="str">
        <f>_xll.BDP("PCAR UW Equity","CIE_DES")</f>
        <v>帕卡公司(PACCAR Inc)設計、開發、製造及經銷輕型、中型及重型卡車，並且經銷相關售後市場零件。該公司亦提供金融服務與租賃服務予其客戶及經銷商。</v>
      </c>
      <c r="J252">
        <f>_xll.BDP("PCAR UW Equity","ESG_SCORE")</f>
        <v>4.380000114440918</v>
      </c>
      <c r="K252" t="str">
        <f>_xll.BDP("PCAR UW Equity","MSCI_ESG_RATING")</f>
        <v>BBB</v>
      </c>
      <c r="L252">
        <f>_xll.BDP("PCAR UW Equity","EQY_BETA")</f>
        <v>0.87963205575942993</v>
      </c>
      <c r="M252">
        <f>_xll.BDP("PCAR UW Equity","VOLATILITY_60D")</f>
        <v>26.474199083540352</v>
      </c>
      <c r="N252">
        <f>_xll.BDP("PCAR UW Equity","PCT_INSIDER_SHARES_OUT")</f>
        <v>1.9250091953777761</v>
      </c>
      <c r="O252">
        <f>_xll.BDP("PCAR UW Equity","PCT_CHG_INSIDER_HOLDINGS")</f>
        <v>3.4581325383747599</v>
      </c>
      <c r="P252">
        <f>_xll.BDP("PCAR UW Equity","RISK_PREMIUM")</f>
        <v>4.531274997795224</v>
      </c>
      <c r="Q252">
        <f>_xll.BDP("PCAR UW Equity","HIGH_52WEEK")</f>
        <v>115.4753</v>
      </c>
      <c r="R252">
        <f>_xll.BDP("PCAR UW Equity","LOW_52WEEK")</f>
        <v>84.73</v>
      </c>
    </row>
    <row r="253" spans="1:18" ht="15.75" x14ac:dyDescent="0.25">
      <c r="A253" t="s">
        <v>269</v>
      </c>
      <c r="B253">
        <f>_xll.BDP("COST UW Equity","RT_PX_CHG_PCT_1D")</f>
        <v>0.17990000545978546</v>
      </c>
      <c r="C253" t="str">
        <f>_xll.BDP("COST UW Equity","GICS_SECTOR_NAME")</f>
        <v>核心消費</v>
      </c>
      <c r="D253" t="str">
        <f>_xll.BDP("COST UW Equity","NAME_CHINESE_TRADITIONAL")</f>
        <v>好市多公司</v>
      </c>
      <c r="E253" t="str">
        <f>_xll.BDP("COST UW Equity","CLASSIFICATION_LEVEL_4_NAME")</f>
        <v>量販店</v>
      </c>
      <c r="F253" t="str">
        <f>_xll.BDP("COST UW Equity","CLASSIFICATION_DESCRIPTION")</f>
        <v>倉儲式俱樂部</v>
      </c>
      <c r="G253">
        <f>_xll.BDP("COST UW Equity","CUR_MKT_CAP")</f>
        <v>414863944411.27997</v>
      </c>
      <c r="H253">
        <f>_xll.BDP("COST UW Equity","CHG_PCT_YTD")</f>
        <v>2.0965410000000002</v>
      </c>
      <c r="I253" t="str">
        <f>_xll.BDP("COST UW Equity","CIE_DES")</f>
        <v>好市多公司(Costco Wholesale Corporation)為一家會員制倉儲俱樂部。該公司銷售多種食品、汽車用品、玩具、五金、體育用品、珠寶、電子產品、服飾、健康及美容保養品，及其它用品。好市多服務全球的客戶。</v>
      </c>
      <c r="J253">
        <f>_xll.BDP("COST UW Equity","ESG_SCORE")</f>
        <v>3.8599998950958252</v>
      </c>
      <c r="K253" t="str">
        <f>_xll.BDP("COST UW Equity","MSCI_ESG_RATING")</f>
        <v>BBB</v>
      </c>
      <c r="L253">
        <f>_xll.BDP("COST UW Equity","EQY_BETA")</f>
        <v>0.75415670871734619</v>
      </c>
      <c r="M253">
        <f>_xll.BDP("COST UW Equity","VOLATILITY_60D")</f>
        <v>17.407985283218405</v>
      </c>
      <c r="N253">
        <f>_xll.BDP("COST UW Equity","PCT_INSIDER_SHARES_OUT")</f>
        <v>0.23453665566948104</v>
      </c>
      <c r="O253">
        <f>_xll.BDP("COST UW Equity","PCT_CHG_INSIDER_HOLDINGS")</f>
        <v>-2.5956529778242836</v>
      </c>
      <c r="P253">
        <f>_xll.BDP("COST UW Equity","RISK_PREMIUM")</f>
        <v>3.8849100783169268</v>
      </c>
      <c r="Q253">
        <f>_xll.BDP("COST UW Equity","HIGH_52WEEK")</f>
        <v>1078.01</v>
      </c>
      <c r="R253">
        <f>_xll.BDP("COST UW Equity","LOW_52WEEK")</f>
        <v>793.34</v>
      </c>
    </row>
    <row r="254" spans="1:18" ht="15.75" x14ac:dyDescent="0.25">
      <c r="A254" t="s">
        <v>270</v>
      </c>
      <c r="B254">
        <f>_xll.BDP("SYK UN Equity","RT_PX_CHG_PCT_1D")</f>
        <v>1.7319999933242798</v>
      </c>
      <c r="C254" t="str">
        <f>_xll.BDP("SYK UN Equity","GICS_SECTOR_NAME")</f>
        <v>醫療保健</v>
      </c>
      <c r="D254" t="str">
        <f>_xll.BDP("SYK UN Equity","NAME_CHINESE_TRADITIONAL")</f>
        <v>史賽克</v>
      </c>
      <c r="E254" t="str">
        <f>_xll.BDP("SYK UN Equity","CLASSIFICATION_LEVEL_4_NAME")</f>
        <v>醫療裝置</v>
      </c>
      <c r="F254" t="str">
        <f>_xll.BDP("SYK UN Equity","CLASSIFICATION_DESCRIPTION")</f>
        <v>醫療裝置</v>
      </c>
      <c r="G254">
        <f>_xll.BDP("SYK UN Equity","CUR_MKT_CAP")</f>
        <v>154214987973.44998</v>
      </c>
      <c r="H254">
        <f>_xll.BDP("SYK UN Equity","CHG_PCT_YTD")</f>
        <v>12.0761</v>
      </c>
      <c r="I254" t="str">
        <f>_xll.BDP("SYK UN Equity","CIE_DES")</f>
        <v>史賽克公司(Stryker Corporation)開發、製造及行銷專門用於手術與醫療的產品。該公司的產品包括植入物、生物製品、手術、神經、耳鼻喉產品與及介入性疼痛設備、內視鏡、手術導航、通訊及數位影像系統，以及病人處理與緊急醫療設備。</v>
      </c>
      <c r="J254">
        <f>_xll.BDP("SYK UN Equity","ESG_SCORE")</f>
        <v>5.940000057220459</v>
      </c>
      <c r="K254" t="str">
        <f>_xll.BDP("SYK UN Equity","MSCI_ESG_RATING")</f>
        <v>A</v>
      </c>
      <c r="L254">
        <f>_xll.BDP("SYK UN Equity","EQY_BETA")</f>
        <v>0.78331416845321655</v>
      </c>
      <c r="M254">
        <f>_xll.BDP("SYK UN Equity","VOLATILITY_60D")</f>
        <v>15.575986593846666</v>
      </c>
      <c r="N254">
        <f>_xll.BDP("SYK UN Equity","PCT_INSIDER_SHARES_OUT")</f>
        <v>4.5758817725018703</v>
      </c>
      <c r="O254">
        <f>_xll.BDP("SYK UN Equity","PCT_CHG_INSIDER_HOLDINGS")</f>
        <v>-5.7764505864222375</v>
      </c>
      <c r="P254">
        <f>_xll.BDP("SYK UN Equity","RISK_PREMIUM")</f>
        <v>4.0351097753781078</v>
      </c>
      <c r="Q254">
        <f>_xll.BDP("SYK UN Equity","HIGH_52WEEK")</f>
        <v>405.59</v>
      </c>
      <c r="R254">
        <f>_xll.BDP("SYK UN Equity","LOW_52WEEK")</f>
        <v>314.99</v>
      </c>
    </row>
    <row r="255" spans="1:18" ht="15.75" x14ac:dyDescent="0.25">
      <c r="A255" t="s">
        <v>271</v>
      </c>
      <c r="B255">
        <f>_xll.BDP("TSN UN Equity","RT_PX_CHG_PCT_1D")</f>
        <v>-0.11110000312328339</v>
      </c>
      <c r="C255" t="str">
        <f>_xll.BDP("TSN UN Equity","GICS_SECTOR_NAME")</f>
        <v>核心消費</v>
      </c>
      <c r="D255" t="str">
        <f>_xll.BDP("TSN UN Equity","NAME_CHINESE_TRADITIONAL")</f>
        <v>泰森食品</v>
      </c>
      <c r="E255" t="str">
        <f>_xll.BDP("TSN UN Equity","CLASSIFICATION_LEVEL_4_NAME")</f>
        <v>包裝食品製造業</v>
      </c>
      <c r="F255" t="str">
        <f>_xll.BDP("TSN UN Equity","CLASSIFICATION_DESCRIPTION")</f>
        <v>肉類產品</v>
      </c>
      <c r="G255">
        <f>_xll.BDP("TSN UN Equity","CUR_MKT_CAP")</f>
        <v>19215282619.02</v>
      </c>
      <c r="H255">
        <f>_xll.BDP("TSN UN Equity","CHG_PCT_YTD")</f>
        <v>-6.0933130000000002</v>
      </c>
      <c r="I255" t="str">
        <f>_xll.BDP("TSN UN Equity","CIE_DES")</f>
        <v>泰森食品公司(Tyson Foods, Inc.)生產、經銷並銷售雞肉、牛肉、豬肉、調理食品及相關產品。該公司產品的行銷及銷售對象，為全國及地方的雜貨零售商、區域雜貨批發商、肉品經銷商、大賣場、軍營超市，以及工業食品加工公司。</v>
      </c>
      <c r="J255">
        <f>_xll.BDP("TSN UN Equity","ESG_SCORE")</f>
        <v>2.9500000476837158</v>
      </c>
      <c r="K255" t="str">
        <f>_xll.BDP("TSN UN Equity","MSCI_ESG_RATING")</f>
        <v>BBB</v>
      </c>
      <c r="L255">
        <f>_xll.BDP("TSN UN Equity","EQY_BETA")</f>
        <v>0.42487508058547974</v>
      </c>
      <c r="M255">
        <f>_xll.BDP("TSN UN Equity","VOLATILITY_60D")</f>
        <v>24.780183123950923</v>
      </c>
      <c r="N255">
        <f>_xll.BDP("TSN UN Equity","PCT_INSIDER_SHARES_OUT")</f>
        <v>1.6541961968784042</v>
      </c>
      <c r="O255">
        <f>_xll.BDP("TSN UN Equity","PCT_CHG_INSIDER_HOLDINGS")</f>
        <v>0.72442005165476808</v>
      </c>
      <c r="P255">
        <f>_xll.BDP("TSN UN Equity","RISK_PREMIUM")</f>
        <v>2.188671748872399</v>
      </c>
      <c r="Q255">
        <f>_xll.BDP("TSN UN Equity","HIGH_52WEEK")</f>
        <v>66.86</v>
      </c>
      <c r="R255">
        <f>_xll.BDP("TSN UN Equity","LOW_52WEEK")</f>
        <v>52.71</v>
      </c>
    </row>
    <row r="256" spans="1:18" ht="15.75" x14ac:dyDescent="0.25">
      <c r="A256" t="s">
        <v>272</v>
      </c>
      <c r="B256">
        <f>_xll.BDP("LW UN Equity","RT_PX_CHG_PCT_1D")</f>
        <v>3.838900089263916</v>
      </c>
      <c r="C256" t="str">
        <f>_xll.BDP("LW UN Equity","GICS_SECTOR_NAME")</f>
        <v>核心消費</v>
      </c>
      <c r="D256" t="str">
        <f>_xll.BDP("LW UN Equity","NAME_CHINESE_TRADITIONAL")</f>
        <v>藍威斯頓控股公司</v>
      </c>
      <c r="E256" t="str">
        <f>_xll.BDP("LW UN Equity","CLASSIFICATION_LEVEL_4_NAME")</f>
        <v>包裝食品製造業</v>
      </c>
      <c r="F256" t="str">
        <f>_xll.BDP("LW UN Equity","CLASSIFICATION_DESCRIPTION")</f>
        <v>冷凍食品</v>
      </c>
      <c r="G256">
        <f>_xll.BDP("LW UN Equity","CUR_MKT_CAP")</f>
        <v>8477847479.1800003</v>
      </c>
      <c r="H256">
        <f>_xll.BDP("LW UN Equity","CHG_PCT_YTD")</f>
        <v>-8.9331160000000001</v>
      </c>
      <c r="I256" t="str">
        <f>_xll.BDP("LW UN Equity","CIE_DES")</f>
        <v>藍威斯頓控股公司(Lamb Weston Holdings, Inc.)為一家控股公司。該公司透過旗下子公司生產及供應冷凍馬鈴薯產品。藍威斯頓提供薯條、烤馬鈴薯、薯球、薯片，以及馬鈴薯調理產品。</v>
      </c>
      <c r="J256">
        <f>_xll.BDP("LW UN Equity","ESG_SCORE")</f>
        <v>4.820000171661377</v>
      </c>
      <c r="K256" t="str">
        <f>_xll.BDP("LW UN Equity","MSCI_ESG_RATING")</f>
        <v>N.S.</v>
      </c>
      <c r="L256">
        <f>_xll.BDP("LW UN Equity","EQY_BETA")</f>
        <v>0.64651620388031006</v>
      </c>
      <c r="M256">
        <f>_xll.BDP("LW UN Equity","VOLATILITY_60D")</f>
        <v>43.04258639223535</v>
      </c>
      <c r="N256">
        <f>_xll.BDP("LW UN Equity","PCT_INSIDER_SHARES_OUT")</f>
        <v>0.79207678635011425</v>
      </c>
      <c r="O256">
        <f>_xll.BDP("LW UN Equity","PCT_CHG_INSIDER_HOLDINGS")</f>
        <v>1.8655560667131785</v>
      </c>
      <c r="P256">
        <f>_xll.BDP("LW UN Equity","RISK_PREMIUM")</f>
        <v>3.3304183165347574</v>
      </c>
      <c r="Q256">
        <f>_xll.BDP("LW UN Equity","HIGH_52WEEK")</f>
        <v>83.95</v>
      </c>
      <c r="R256">
        <f>_xll.BDP("LW UN Equity","LOW_52WEEK")</f>
        <v>47.87</v>
      </c>
    </row>
    <row r="257" spans="1:18" ht="15.75" x14ac:dyDescent="0.25">
      <c r="A257" t="s">
        <v>273</v>
      </c>
      <c r="B257">
        <f>_xll.BDP("AMAT UW Equity","RT_PX_CHG_PCT_1D")</f>
        <v>-1.291700005531311</v>
      </c>
      <c r="C257" t="str">
        <f>_xll.BDP("AMAT UW Equity","GICS_SECTOR_NAME")</f>
        <v>資訊技術</v>
      </c>
      <c r="D257" t="str">
        <f>_xll.BDP("AMAT UW Equity","NAME_CHINESE_TRADITIONAL")</f>
        <v>應用材料</v>
      </c>
      <c r="E257" t="str">
        <f>_xll.BDP("AMAT UW Equity","CLASSIFICATION_LEVEL_4_NAME")</f>
        <v>半導體製造</v>
      </c>
      <c r="F257" t="str">
        <f>_xll.BDP("AMAT UW Equity","CLASSIFICATION_DESCRIPTION")</f>
        <v>前端資本設備</v>
      </c>
      <c r="G257">
        <f>_xll.BDP("AMAT UW Equity","CUR_MKT_CAP")</f>
        <v>149015893914.73001</v>
      </c>
      <c r="H257">
        <f>_xll.BDP("AMAT UW Equity","CHG_PCT_YTD")</f>
        <v>14.17942</v>
      </c>
      <c r="I257" t="str">
        <f>_xll.BDP("AMAT UW Equity","CIE_DES")</f>
        <v>應用材料公司(Applied Materials, Inc.)開發、製造、行銷，及服務全球半導體產業，所需的半導體晶圓製程設備及相關備用零件。該公司客戶包括半導體晶圓與積體電路製造商、平面液晶顯示器、太陽能電池與模組，及其他電子設備製造商。</v>
      </c>
      <c r="J257">
        <f>_xll.BDP("AMAT UW Equity","ESG_SCORE")</f>
        <v>6.7199997901916504</v>
      </c>
      <c r="K257" t="str">
        <f>_xll.BDP("AMAT UW Equity","MSCI_ESG_RATING")</f>
        <v>AAA</v>
      </c>
      <c r="L257">
        <f>_xll.BDP("AMAT UW Equity","EQY_BETA")</f>
        <v>1.4982515573501587</v>
      </c>
      <c r="M257">
        <f>_xll.BDP("AMAT UW Equity","VOLATILITY_60D")</f>
        <v>33.228407668636223</v>
      </c>
      <c r="N257">
        <f>_xll.BDP("AMAT UW Equity","PCT_INSIDER_SHARES_OUT")</f>
        <v>0.3942916009032793</v>
      </c>
      <c r="O257">
        <f>_xll.BDP("AMAT UW Equity","PCT_CHG_INSIDER_HOLDINGS")</f>
        <v>1.6219714293055163</v>
      </c>
      <c r="P257">
        <f>_xll.BDP("AMAT UW Equity","RISK_PREMIUM")</f>
        <v>7.717988194924593</v>
      </c>
      <c r="Q257">
        <f>_xll.BDP("AMAT UW Equity","HIGH_52WEEK")</f>
        <v>215.7</v>
      </c>
      <c r="R257">
        <f>_xll.BDP("AMAT UW Equity","LOW_52WEEK")</f>
        <v>123.93</v>
      </c>
    </row>
    <row r="258" spans="1:18" ht="15.75" x14ac:dyDescent="0.25">
      <c r="A258" t="s">
        <v>274</v>
      </c>
      <c r="B258">
        <f>_xll.BDP("CAH UN Equity","RT_PX_CHG_PCT_1D")</f>
        <v>-0.72020000219345093</v>
      </c>
      <c r="C258" t="str">
        <f>_xll.BDP("CAH UN Equity","GICS_SECTOR_NAME")</f>
        <v>醫療保健</v>
      </c>
      <c r="D258" t="str">
        <f>_xll.BDP("CAH UN Equity","NAME_CHINESE_TRADITIONAL")</f>
        <v>嘉德諾健康集團</v>
      </c>
      <c r="E258" t="str">
        <f>_xll.BDP("CAH UN Equity","CLASSIFICATION_LEVEL_4_NAME")</f>
        <v>醫療保健供應鏈</v>
      </c>
      <c r="F258" t="str">
        <f>_xll.BDP("CAH UN Equity","CLASSIFICATION_DESCRIPTION")</f>
        <v>製藥/專門品經銷</v>
      </c>
      <c r="G258">
        <f>_xll.BDP("CAH UN Equity","CUR_MKT_CAP")</f>
        <v>37505704565.699989</v>
      </c>
      <c r="H258">
        <f>_xll.BDP("CAH UN Equity","CHG_PCT_YTD")</f>
        <v>32.865479999999998</v>
      </c>
      <c r="I258" t="str">
        <f>_xll.BDP("CAH UN Equity","CIE_DES")</f>
        <v>嘉德諾健康集團(Cardinal Health, Inc.)提供輔助產品及服務予醫療業者及製造商。該公司 服務包括藥品經銷、醫療產品製造、經銷及諮詢服務、給藥系統開發、藥品包裝、自動處方箋系統製造，及零售特約藥局加盟。</v>
      </c>
      <c r="J258">
        <f>_xll.BDP("CAH UN Equity","ESG_SCORE")</f>
        <v>4.5199999809265137</v>
      </c>
      <c r="K258" t="str">
        <f>_xll.BDP("CAH UN Equity","MSCI_ESG_RATING")</f>
        <v>AAA</v>
      </c>
      <c r="L258">
        <f>_xll.BDP("CAH UN Equity","EQY_BETA")</f>
        <v>0.63286757469177246</v>
      </c>
      <c r="M258">
        <f>_xll.BDP("CAH UN Equity","VOLATILITY_60D")</f>
        <v>21.118358751798961</v>
      </c>
      <c r="N258">
        <f>_xll.BDP("CAH UN Equity","PCT_INSIDER_SHARES_OUT")</f>
        <v>0.70714103160338027</v>
      </c>
      <c r="O258">
        <f>_xll.BDP("CAH UN Equity","PCT_CHG_INSIDER_HOLDINGS")</f>
        <v>-1.2157063809513777</v>
      </c>
      <c r="P258">
        <f>_xll.BDP("CAH UN Equity","RISK_PREMIUM")</f>
        <v>3.260109723536968</v>
      </c>
      <c r="Q258">
        <f>_xll.BDP("CAH UN Equity","HIGH_52WEEK")</f>
        <v>168.41</v>
      </c>
      <c r="R258">
        <f>_xll.BDP("CAH UN Equity","LOW_52WEEK")</f>
        <v>96.31</v>
      </c>
    </row>
    <row r="259" spans="1:18" ht="15.75" x14ac:dyDescent="0.25">
      <c r="A259" t="s">
        <v>275</v>
      </c>
      <c r="B259">
        <f>_xll.BDP("CINF UW Equity","RT_PX_CHG_PCT_1D")</f>
        <v>1.0347000360488892</v>
      </c>
      <c r="C259" t="str">
        <f>_xll.BDP("CINF UW Equity","GICS_SECTOR_NAME")</f>
        <v>金融</v>
      </c>
      <c r="D259" t="str">
        <f>_xll.BDP("CINF UW Equity","NAME_CHINESE_TRADITIONAL")</f>
        <v>辛辛那提金融公司</v>
      </c>
      <c r="E259" t="str">
        <f>_xll.BDP("CINF UW Equity","CLASSIFICATION_LEVEL_4_NAME")</f>
        <v>產物及意外保險</v>
      </c>
      <c r="F259" t="str">
        <f>_xll.BDP("CINF UW Equity","CLASSIFICATION_DESCRIPTION")</f>
        <v>產物意外險保費</v>
      </c>
      <c r="G259">
        <f>_xll.BDP("CINF UW Equity","CUR_MKT_CAP")</f>
        <v>23351759334.000004</v>
      </c>
      <c r="H259">
        <f>_xll.BDP("CINF UW Equity","CHG_PCT_YTD")</f>
        <v>3.966599</v>
      </c>
      <c r="I259" t="str">
        <f>_xll.BDP("CINF UW Equity","CIE_DES")</f>
        <v>辛辛那提金融公司(Cincinnati Financial Corporation)透過子公司，提供產險、意外險及壽險。該公司行銷各式保險產品，並提供租賃及融資服務。</v>
      </c>
      <c r="J259">
        <f>_xll.BDP("CINF UW Equity","ESG_SCORE")</f>
        <v>1.9500000476837158</v>
      </c>
      <c r="K259" t="str">
        <f>_xll.BDP("CINF UW Equity","MSCI_ESG_RATING")</f>
        <v>BBB</v>
      </c>
      <c r="L259">
        <f>_xll.BDP("CINF UW Equity","EQY_BETA")</f>
        <v>0.64183354377746582</v>
      </c>
      <c r="M259">
        <f>_xll.BDP("CINF UW Equity","VOLATILITY_60D")</f>
        <v>19.755221437222595</v>
      </c>
      <c r="N259">
        <f>_xll.BDP("CINF UW Equity","PCT_INSIDER_SHARES_OUT")</f>
        <v>1.7859919454830213</v>
      </c>
      <c r="O259">
        <f>_xll.BDP("CINF UW Equity","PCT_CHG_INSIDER_HOLDINGS")</f>
        <v>2.2929314198244963</v>
      </c>
      <c r="P259">
        <f>_xll.BDP("CINF UW Equity","RISK_PREMIUM")</f>
        <v>3.3062963890671728</v>
      </c>
      <c r="Q259">
        <f>_xll.BDP("CINF UW Equity","HIGH_52WEEK")</f>
        <v>161.64500000000001</v>
      </c>
      <c r="R259">
        <f>_xll.BDP("CINF UW Equity","LOW_52WEEK")</f>
        <v>123.15</v>
      </c>
    </row>
    <row r="260" spans="1:18" ht="15.75" x14ac:dyDescent="0.25">
      <c r="A260" t="s">
        <v>276</v>
      </c>
      <c r="B260">
        <f>_xll.BDP("PARA UW Equity","RT_PX_CHG_PCT_1D")</f>
        <v>-1.5836999416351318</v>
      </c>
      <c r="C260" t="str">
        <f>_xll.BDP("PARA UW Equity","GICS_SECTOR_NAME")</f>
        <v>通訊服務</v>
      </c>
      <c r="D260" t="str">
        <f>_xll.BDP("PARA UW Equity","NAME_CHINESE_TRADITIONAL")</f>
        <v>派拉蒙全球</v>
      </c>
      <c r="E260" t="str">
        <f>_xll.BDP("PARA UW Equity","CLASSIFICATION_LEVEL_4_NAME")</f>
        <v>影片及電視</v>
      </c>
      <c r="F260" t="str">
        <f>_xll.BDP("PARA UW Equity","CLASSIFICATION_DESCRIPTION")</f>
        <v>其它收入-有線網路</v>
      </c>
      <c r="G260">
        <f>_xll.BDP("PARA UW Equity","CUR_MKT_CAP")</f>
        <v>9210891104.8500023</v>
      </c>
      <c r="H260">
        <f>_xll.BDP("PARA UW Equity","CHG_PCT_YTD")</f>
        <v>24.76099</v>
      </c>
      <c r="I260" t="str">
        <f>_xll.BDP("PARA UW Equity","CIE_DES")</f>
        <v>派拉蒙全球(Paramount Global)為一家媒體公司。該公司透過工作室、網路、串流服務、現場活動，以及商品，生產並配送娛樂內容。派拉蒙全球服務全球客戶。</v>
      </c>
      <c r="J260">
        <f>_xll.BDP("PARA UW Equity","ESG_SCORE")</f>
        <v>3.9100000858306885</v>
      </c>
      <c r="K260" t="str">
        <f>_xll.BDP("PARA UW Equity","MSCI_ESG_RATING")</f>
        <v>N.S.</v>
      </c>
      <c r="L260">
        <f>_xll.BDP("PARA UW Equity","EQY_BETA")</f>
        <v>0.69573020935058594</v>
      </c>
      <c r="M260">
        <f>_xll.BDP("PARA UW Equity","VOLATILITY_60D")</f>
        <v>19.636298627127001</v>
      </c>
      <c r="N260">
        <f>_xll.BDP("PARA UW Equity","PCT_INSIDER_SHARES_OUT")</f>
        <v>0.67416301486877295</v>
      </c>
      <c r="O260">
        <f>_xll.BDP("PARA UW Equity","PCT_CHG_INSIDER_HOLDINGS")</f>
        <v>2.450819398799672</v>
      </c>
      <c r="P260">
        <f>_xll.BDP("PARA UW Equity","RISK_PREMIUM")</f>
        <v>3.5839358993339538</v>
      </c>
      <c r="Q260">
        <f>_xll.BDP("PARA UW Equity","HIGH_52WEEK")</f>
        <v>13.585000000000001</v>
      </c>
      <c r="R260">
        <f>_xll.BDP("PARA UW Equity","LOW_52WEEK")</f>
        <v>9.9499999999999993</v>
      </c>
    </row>
    <row r="261" spans="1:18" ht="15.75" x14ac:dyDescent="0.25">
      <c r="A261" t="s">
        <v>277</v>
      </c>
      <c r="B261">
        <f>_xll.BDP("DHI UN Equity","RT_PX_CHG_PCT_1D")</f>
        <v>0.42849999666213989</v>
      </c>
      <c r="C261" t="str">
        <f>_xll.BDP("DHI UN Equity","GICS_SECTOR_NAME")</f>
        <v>非核心消費</v>
      </c>
      <c r="D261" t="str">
        <f>_xll.BDP("DHI UN Equity","NAME_CHINESE_TRADITIONAL")</f>
        <v>D.R. Horton公司</v>
      </c>
      <c r="E261" t="str">
        <f>_xll.BDP("DHI UN Equity","CLASSIFICATION_LEVEL_4_NAME")</f>
        <v>住宅營建</v>
      </c>
      <c r="F261" t="str">
        <f>_xll.BDP("DHI UN Equity","CLASSIFICATION_DESCRIPTION")</f>
        <v>單戶住宅建築</v>
      </c>
      <c r="G261">
        <f>_xll.BDP("DHI UN Equity","CUR_MKT_CAP")</f>
        <v>43323311234.279991</v>
      </c>
      <c r="H261">
        <f>_xll.BDP("DHI UN Equity","CHG_PCT_YTD")</f>
        <v>3.933624</v>
      </c>
      <c r="I261" t="str">
        <f>_xll.BDP("DHI UN Equity","CIE_DES")</f>
        <v>D.R. Horton公司(D.R. Horton, Inc.)主要建造並銷售單戶住宅予入門及高級市場。該公司的經營據點位於美國中西部、大西洋中部、東南部、西南部及西部。D.R. Horton亦透過其金融服務業務，提供抵押貸款融資及仲介服務予購屋者。</v>
      </c>
      <c r="J261">
        <f>_xll.BDP("DHI UN Equity","ESG_SCORE")</f>
        <v>4.7699999809265137</v>
      </c>
      <c r="K261" t="str">
        <f>_xll.BDP("DHI UN Equity","MSCI_ESG_RATING")</f>
        <v>A</v>
      </c>
      <c r="L261">
        <f>_xll.BDP("DHI UN Equity","EQY_BETA")</f>
        <v>0.841258704662323</v>
      </c>
      <c r="M261">
        <f>_xll.BDP("DHI UN Equity","VOLATILITY_60D")</f>
        <v>47.250020409051437</v>
      </c>
      <c r="N261">
        <f>_xll.BDP("DHI UN Equity","PCT_INSIDER_SHARES_OUT")</f>
        <v>2.1242206669383661</v>
      </c>
      <c r="O261">
        <f>_xll.BDP("DHI UN Equity","PCT_CHG_INSIDER_HOLDINGS")</f>
        <v>0.8985720005550949</v>
      </c>
      <c r="P261">
        <f>_xll.BDP("DHI UN Equity","RISK_PREMIUM")</f>
        <v>4.3336012030881639</v>
      </c>
      <c r="Q261">
        <f>_xll.BDP("DHI UN Equity","HIGH_52WEEK")</f>
        <v>199.6</v>
      </c>
      <c r="R261">
        <f>_xll.BDP("DHI UN Equity","LOW_52WEEK")</f>
        <v>110.66</v>
      </c>
    </row>
    <row r="262" spans="1:18" ht="15.75" x14ac:dyDescent="0.25">
      <c r="A262" t="s">
        <v>278</v>
      </c>
      <c r="B262">
        <f>_xll.BDP("EA UW Equity","RT_PX_CHG_PCT_1D")</f>
        <v>-0.62889999151229858</v>
      </c>
      <c r="C262" t="str">
        <f>_xll.BDP("EA UW Equity","GICS_SECTOR_NAME")</f>
        <v>通訊服務</v>
      </c>
      <c r="D262" t="str">
        <f>_xll.BDP("EA UW Equity","NAME_CHINESE_TRADITIONAL")</f>
        <v>美商藝電公司</v>
      </c>
      <c r="E262" t="str">
        <f>_xll.BDP("EA UW Equity","CLASSIFICATION_LEVEL_4_NAME")</f>
        <v>電玩遊戲軟體</v>
      </c>
      <c r="F262" t="str">
        <f>_xll.BDP("EA UW Equity","CLASSIFICATION_DESCRIPTION")</f>
        <v>套裝遊戲</v>
      </c>
      <c r="G262">
        <f>_xll.BDP("EA UW Equity","CUR_MKT_CAP")</f>
        <v>38112917848.32</v>
      </c>
      <c r="H262">
        <f>_xll.BDP("EA UW Equity","CHG_PCT_YTD")</f>
        <v>3.6773729999999998</v>
      </c>
      <c r="I262" t="str">
        <f>_xll.BDP("EA UW Equity","CIE_DES")</f>
        <v>美商藝電公司(Electronic Arts Inc.)於全球開發、出品並配銷品牌互動式娛樂軟體，用於電玩主機、個人電腦、掌機及手機。該公司亦提供線上遊戲相關服務。</v>
      </c>
      <c r="J262">
        <f>_xll.BDP("EA UW Equity","ESG_SCORE")</f>
        <v>4.9899997711181641</v>
      </c>
      <c r="K262" t="str">
        <f>_xll.BDP("EA UW Equity","MSCI_ESG_RATING")</f>
        <v>AA</v>
      </c>
      <c r="L262">
        <f>_xll.BDP("EA UW Equity","EQY_BETA")</f>
        <v>0.66360372304916382</v>
      </c>
      <c r="M262">
        <f>_xll.BDP("EA UW Equity","VOLATILITY_60D")</f>
        <v>22.060367961820461</v>
      </c>
      <c r="N262">
        <f>_xll.BDP("EA UW Equity","PCT_INSIDER_SHARES_OUT")</f>
        <v>0.33339143772144836</v>
      </c>
      <c r="O262">
        <f>_xll.BDP("EA UW Equity","PCT_CHG_INSIDER_HOLDINGS")</f>
        <v>6.2855091108861201</v>
      </c>
      <c r="P262">
        <f>_xll.BDP("EA UW Equity","RISK_PREMIUM")</f>
        <v>3.418441766654849</v>
      </c>
      <c r="Q262">
        <f>_xll.BDP("EA UW Equity","HIGH_52WEEK")</f>
        <v>168.5</v>
      </c>
      <c r="R262">
        <f>_xll.BDP("EA UW Equity","LOW_52WEEK")</f>
        <v>115.22</v>
      </c>
    </row>
    <row r="263" spans="1:18" ht="15.75" x14ac:dyDescent="0.25">
      <c r="A263" t="s">
        <v>279</v>
      </c>
      <c r="B263">
        <f>_xll.BDP("ERIE UW Equity","RT_PX_CHG_PCT_1D")</f>
        <v>-3.0631999969482422</v>
      </c>
      <c r="C263" t="str">
        <f>_xll.BDP("ERIE UW Equity","GICS_SECTOR_NAME")</f>
        <v>金融</v>
      </c>
      <c r="D263" t="str">
        <f>_xll.BDP("ERIE UW Equity","NAME_CHINESE_TRADITIONAL")</f>
        <v>伊利賠償公司</v>
      </c>
      <c r="E263" t="str">
        <f>_xll.BDP("ERIE UW Equity","CLASSIFICATION_LEVEL_4_NAME")</f>
        <v>產物及意外保險</v>
      </c>
      <c r="F263" t="str">
        <f>_xll.BDP("ERIE UW Equity","CLASSIFICATION_DESCRIPTION")</f>
        <v>產物及意外保險</v>
      </c>
      <c r="G263">
        <f>_xll.BDP("ERIE UW Equity","CUR_MKT_CAP")</f>
        <v>18599506047.599998</v>
      </c>
      <c r="H263">
        <f>_xll.BDP("ERIE UW Equity","CHG_PCT_YTD")</f>
        <v>-13.71322</v>
      </c>
      <c r="I263" t="str">
        <f>_xll.BDP("ERIE UW Equity","CIE_DES")</f>
        <v>伊利賠償公司(Erie Indemnity Company)為「伊利保險交換」(Erie Insurance Exchange)的管理公司。該公司亦透過旗下完全控股子公司，以及透過其「旗艦城市保險公司」(Flagship City Insurance Company)的管理，從事產物和意外保險業務。伊利賠償公司於美國銷售汽車、住宅、人壽，以及商業保險。</v>
      </c>
      <c r="J263">
        <f>_xll.BDP("ERIE UW Equity","ESG_SCORE")</f>
        <v>1.6100000143051147</v>
      </c>
      <c r="K263" t="str">
        <f>_xll.BDP("ERIE UW Equity","MSCI_ESG_RATING")</f>
        <v>B</v>
      </c>
      <c r="L263">
        <f>_xll.BDP("ERIE UW Equity","EQY_BETA")</f>
        <v>0.52846348285675049</v>
      </c>
      <c r="M263">
        <f>_xll.BDP("ERIE UW Equity","VOLATILITY_60D")</f>
        <v>26.262395839713221</v>
      </c>
      <c r="N263">
        <f>_xll.BDP("ERIE UW Equity","PCT_INSIDER_SHARES_OUT")</f>
        <v>9.2499788066743935</v>
      </c>
      <c r="O263">
        <f>_xll.BDP("ERIE UW Equity","PCT_CHG_INSIDER_HOLDINGS")</f>
        <v>1.8394810653406166E-3</v>
      </c>
      <c r="P263">
        <f>_xll.BDP("ERIE UW Equity","RISK_PREMIUM")</f>
        <v>2.7222897931444643</v>
      </c>
      <c r="Q263">
        <f>_xll.BDP("ERIE UW Equity","HIGH_52WEEK")</f>
        <v>545.82000000000005</v>
      </c>
      <c r="R263">
        <f>_xll.BDP("ERIE UW Equity","LOW_52WEEK")</f>
        <v>332.76</v>
      </c>
    </row>
    <row r="264" spans="1:18" ht="15.75" x14ac:dyDescent="0.25">
      <c r="A264" t="s">
        <v>280</v>
      </c>
      <c r="B264">
        <f>_xll.BDP("FICO UN Equity","RT_PX_CHG_PCT_1D")</f>
        <v>-0.21359999477863312</v>
      </c>
      <c r="C264" t="str">
        <f>_xll.BDP("FICO UN Equity","GICS_SECTOR_NAME")</f>
        <v>資訊技術</v>
      </c>
      <c r="D264" t="str">
        <f>_xll.BDP("FICO UN Equity","NAME_CHINESE_TRADITIONAL")</f>
        <v>Fair Isaac公司</v>
      </c>
      <c r="E264" t="str">
        <f>_xll.BDP("FICO UN Equity","CLASSIFICATION_LEVEL_4_NAME")</f>
        <v>其它金融服務</v>
      </c>
      <c r="F264" t="str">
        <f>_xll.BDP("FICO UN Equity","CLASSIFICATION_DESCRIPTION")</f>
        <v>信用機構</v>
      </c>
      <c r="G264">
        <f>_xll.BDP("FICO UN Equity","CUR_MKT_CAP")</f>
        <v>37304126758.800003</v>
      </c>
      <c r="H264">
        <f>_xll.BDP("FICO UN Equity","CHG_PCT_YTD")</f>
        <v>-23.024920000000002</v>
      </c>
      <c r="I264" t="str">
        <f>_xll.BDP("FICO UN Equity","CIE_DES")</f>
        <v>Fair Isaac公司(Fair Isaac Corporation)提供分析軟體、解決方案，以及服務。該公司提供用於管理風險、打擊詐欺、建立更有經濟效益的客戶關係、優化營運，以及符合嚴格政府法規的工具。Fair Isaac服務全球銀行、收款機構、能源、政府、保險、醫療保健，以及運輸產業。</v>
      </c>
      <c r="J264">
        <f>_xll.BDP("FICO UN Equity","ESG_SCORE")</f>
        <v>2.2799999713897705</v>
      </c>
      <c r="K264" t="str">
        <f>_xll.BDP("FICO UN Equity","MSCI_ESG_RATING")</f>
        <v>AA</v>
      </c>
      <c r="L264">
        <f>_xll.BDP("FICO UN Equity","EQY_BETA")</f>
        <v>1.2220737934112549</v>
      </c>
      <c r="M264">
        <f>_xll.BDP("FICO UN Equity","VOLATILITY_60D")</f>
        <v>60.656712222599751</v>
      </c>
      <c r="N264">
        <f>_xll.BDP("FICO UN Equity","PCT_INSIDER_SHARES_OUT")</f>
        <v>2.9239498625608986</v>
      </c>
      <c r="O264">
        <f>_xll.BDP("FICO UN Equity","PCT_CHG_INSIDER_HOLDINGS")</f>
        <v>0.1483076580843202</v>
      </c>
      <c r="P264">
        <f>_xll.BDP("FICO UN Equity","RISK_PREMIUM")</f>
        <v>6.2953053942131989</v>
      </c>
      <c r="Q264">
        <f>_xll.BDP("FICO UN Equity","HIGH_52WEEK")</f>
        <v>2400</v>
      </c>
      <c r="R264">
        <f>_xll.BDP("FICO UN Equity","LOW_52WEEK")</f>
        <v>1478.4599609375</v>
      </c>
    </row>
    <row r="265" spans="1:18" ht="15.75" x14ac:dyDescent="0.25">
      <c r="A265" t="s">
        <v>281</v>
      </c>
      <c r="B265">
        <f>_xll.BDP("FAST UW Equity","RT_PX_CHG_PCT_1D")</f>
        <v>-0.37549999356269836</v>
      </c>
      <c r="C265" t="str">
        <f>_xll.BDP("FAST UW Equity","GICS_SECTOR_NAME")</f>
        <v>工業</v>
      </c>
      <c r="D265" t="str">
        <f>_xll.BDP("FAST UW Equity","NAME_CHINESE_TRADITIONAL")</f>
        <v>快扣有限公司</v>
      </c>
      <c r="E265" t="str">
        <f>_xll.BDP("FAST UW Equity","CLASSIFICATION_LEVEL_4_NAME")</f>
        <v>工業經銷及出租</v>
      </c>
      <c r="F265" t="str">
        <f>_xll.BDP("FAST UW Equity","CLASSIFICATION_DESCRIPTION")</f>
        <v>工業設備/用品經銷商</v>
      </c>
      <c r="G265">
        <f>_xll.BDP("FAST UW Equity","CUR_MKT_CAP")</f>
        <v>54799648461.749992</v>
      </c>
      <c r="H265">
        <f>_xll.BDP("FAST UW Equity","CHG_PCT_YTD")</f>
        <v>32.80489</v>
      </c>
      <c r="I265" t="str">
        <f>_xll.BDP("FAST UW Equity","CIE_DES")</f>
        <v>快扣有限公司(Fastenal Company)銷售工業及建築材料產品。該公司提供緊固件、切割工具、金屬加工、升降、五金、管道、潤滑劑，以及其它相關產品。快扣有限公司服務全球焊接到長度的帶鋸條、訂製吊索製造、檢查、訂製包裝、校準、工具維修，以及訂製徽標計劃。</v>
      </c>
      <c r="J265">
        <f>_xll.BDP("FAST UW Equity","ESG_SCORE")</f>
        <v>4.1700000762939453</v>
      </c>
      <c r="K265" t="str">
        <f>_xll.BDP("FAST UW Equity","MSCI_ESG_RATING")</f>
        <v>BBB</v>
      </c>
      <c r="L265">
        <f>_xll.BDP("FAST UW Equity","EQY_BETA")</f>
        <v>0.82892793416976929</v>
      </c>
      <c r="M265">
        <f>_xll.BDP("FAST UW Equity","VOLATILITY_60D")</f>
        <v>21.056232515870896</v>
      </c>
      <c r="N265">
        <f>_xll.BDP("FAST UW Equity","PCT_INSIDER_SHARES_OUT")</f>
        <v>0.18111266890140351</v>
      </c>
      <c r="O265">
        <f>_xll.BDP("FAST UW Equity","PCT_CHG_INSIDER_HOLDINGS")</f>
        <v>-8.6599497530471007E-4</v>
      </c>
      <c r="P265">
        <f>_xll.BDP("FAST UW Equity","RISK_PREMIUM")</f>
        <v>4.2700813351267577</v>
      </c>
      <c r="Q265">
        <f>_xll.BDP("FAST UW Equity","HIGH_52WEEK")</f>
        <v>48.06</v>
      </c>
      <c r="R265">
        <f>_xll.BDP("FAST UW Equity","LOW_52WEEK")</f>
        <v>32.049999999999997</v>
      </c>
    </row>
    <row r="266" spans="1:18" ht="15.75" x14ac:dyDescent="0.25">
      <c r="A266" t="s">
        <v>282</v>
      </c>
      <c r="B266">
        <f>_xll.BDP("MTB UN Equity","RT_PX_CHG_PCT_1D")</f>
        <v>5.1600001752376556E-2</v>
      </c>
      <c r="C266" t="str">
        <f>_xll.BDP("MTB UN Equity","GICS_SECTOR_NAME")</f>
        <v>金融</v>
      </c>
      <c r="D266" t="str">
        <f>_xll.BDP("MTB UN Equity","NAME_CHINESE_TRADITIONAL")</f>
        <v>M&amp;T銀行公司</v>
      </c>
      <c r="E266" t="str">
        <f>_xll.BDP("MTB UN Equity","CLASSIFICATION_LEVEL_4_NAME")</f>
        <v>銀行</v>
      </c>
      <c r="F266" t="str">
        <f>_xll.BDP("MTB UN Equity","CLASSIFICATION_DESCRIPTION")</f>
        <v>銀行</v>
      </c>
      <c r="G266">
        <f>_xll.BDP("MTB UN Equity","CUR_MKT_CAP")</f>
        <v>31103193264.570004</v>
      </c>
      <c r="H266">
        <f>_xll.BDP("MTB UN Equity","CHG_PCT_YTD")</f>
        <v>3.0636700000000001</v>
      </c>
      <c r="I266" t="str">
        <f>_xll.BDP("MTB UN Equity","CIE_DES")</f>
        <v>M&amp;T銀行公司(M&amp;T Bank Corporation)為銀行控股公司。該公司透過旗下銀行子公司，為其客戶提供各種商業銀行、抵押融資、信託、財富管理，以及投資服務。M&amp;T銀行於美國經營分支機構。</v>
      </c>
      <c r="J266">
        <f>_xll.BDP("MTB UN Equity","ESG_SCORE")</f>
        <v>3.809999942779541</v>
      </c>
      <c r="K266" t="str">
        <f>_xll.BDP("MTB UN Equity","MSCI_ESG_RATING")</f>
        <v>BBB</v>
      </c>
      <c r="L266">
        <f>_xll.BDP("MTB UN Equity","EQY_BETA")</f>
        <v>0.97967594861984253</v>
      </c>
      <c r="M266">
        <f>_xll.BDP("MTB UN Equity","VOLATILITY_60D")</f>
        <v>23.606974297593023</v>
      </c>
      <c r="N266">
        <f>_xll.BDP("MTB UN Equity","PCT_INSIDER_SHARES_OUT")</f>
        <v>0.52462354805751443</v>
      </c>
      <c r="O266">
        <f>_xll.BDP("MTB UN Equity","PCT_CHG_INSIDER_HOLDINGS")</f>
        <v>4.3178760789147921</v>
      </c>
      <c r="P266">
        <f>_xll.BDP("MTB UN Equity","RISK_PREMIUM")</f>
        <v>5.0466341044038527</v>
      </c>
      <c r="Q266">
        <f>_xll.BDP("MTB UN Equity","HIGH_52WEEK")</f>
        <v>225.46</v>
      </c>
      <c r="R266">
        <f>_xll.BDP("MTB UN Equity","LOW_52WEEK")</f>
        <v>150.82</v>
      </c>
    </row>
    <row r="267" spans="1:18" ht="15.75" x14ac:dyDescent="0.25">
      <c r="A267" t="s">
        <v>283</v>
      </c>
      <c r="B267">
        <f>_xll.BDP("XEL UW Equity","RT_PX_CHG_PCT_1D")</f>
        <v>-0.16490000486373901</v>
      </c>
      <c r="C267" t="str">
        <f>_xll.BDP("XEL UW Equity","GICS_SECTOR_NAME")</f>
        <v>公用事業</v>
      </c>
      <c r="D267" t="str">
        <f>_xll.BDP("XEL UW Equity","NAME_CHINESE_TRADITIONAL")</f>
        <v>Xcel 能源</v>
      </c>
      <c r="E267" t="str">
        <f>_xll.BDP("XEL UW Equity","CLASSIFICATION_LEVEL_4_NAME")</f>
        <v>整合型公用事業</v>
      </c>
      <c r="F267" t="str">
        <f>_xll.BDP("XEL UW Equity","CLASSIFICATION_DESCRIPTION")</f>
        <v>整合型公用事業</v>
      </c>
      <c r="G267">
        <f>_xll.BDP("XEL UW Equity","CUR_MKT_CAP")</f>
        <v>41907426140.579994</v>
      </c>
      <c r="H267">
        <f>_xll.BDP("XEL UW Equity","CHG_PCT_YTD")</f>
        <v>7.612565</v>
      </c>
      <c r="I267" t="str">
        <f>_xll.BDP("XEL UW Equity","CIE_DES")</f>
        <v>Xcel能源公司(Xcel Energy, Inc.)提供電力及天然氣服務。 該公司於全美各地提供多樣化能源相關服務，包括發電、傳輸及配送電力及天然氣。 Xcel能源為科羅拉多州、密西根州、明尼蘇達州、新墨西哥州、北達科達州、南達科達州、德州及威斯康辛州部分地區的客戶，提供服務。</v>
      </c>
      <c r="J267">
        <f>_xll.BDP("XEL UW Equity","ESG_SCORE")</f>
        <v>6.1999998092651367</v>
      </c>
      <c r="K267" t="str">
        <f>_xll.BDP("XEL UW Equity","MSCI_ESG_RATING")</f>
        <v>AA</v>
      </c>
      <c r="L267">
        <f>_xll.BDP("XEL UW Equity","EQY_BETA")</f>
        <v>0.44837653636932373</v>
      </c>
      <c r="M267">
        <f>_xll.BDP("XEL UW Equity","VOLATILITY_60D")</f>
        <v>20.440701414259639</v>
      </c>
      <c r="N267">
        <f>_xll.BDP("XEL UW Equity","PCT_INSIDER_SHARES_OUT")</f>
        <v>0.2159272412158528</v>
      </c>
      <c r="O267">
        <f>_xll.BDP("XEL UW Equity","PCT_CHG_INSIDER_HOLDINGS")</f>
        <v>13.188442217271183</v>
      </c>
      <c r="P267">
        <f>_xll.BDP("XEL UW Equity","RISK_PREMIUM")</f>
        <v>2.3097355030953883</v>
      </c>
      <c r="Q267">
        <f>_xll.BDP("XEL UW Equity","HIGH_52WEEK")</f>
        <v>73.545000000000002</v>
      </c>
      <c r="R267">
        <f>_xll.BDP("XEL UW Equity","LOW_52WEEK")</f>
        <v>56.87</v>
      </c>
    </row>
    <row r="268" spans="1:18" ht="15.75" x14ac:dyDescent="0.25">
      <c r="A268" t="s">
        <v>284</v>
      </c>
      <c r="B268">
        <f>_xll.BDP("FITB UW Equity","RT_PX_CHG_PCT_1D")</f>
        <v>0.3513999879360199</v>
      </c>
      <c r="C268" t="str">
        <f>_xll.BDP("FITB UW Equity","GICS_SECTOR_NAME")</f>
        <v>金融</v>
      </c>
      <c r="D268" t="str">
        <f>_xll.BDP("FITB UW Equity","NAME_CHINESE_TRADITIONAL")</f>
        <v>五三銀行</v>
      </c>
      <c r="E268" t="str">
        <f>_xll.BDP("FITB UW Equity","CLASSIFICATION_LEVEL_4_NAME")</f>
        <v>銀行</v>
      </c>
      <c r="F268" t="str">
        <f>_xll.BDP("FITB UW Equity","CLASSIFICATION_DESCRIPTION")</f>
        <v>銀行</v>
      </c>
      <c r="G268">
        <f>_xll.BDP("FITB UW Equity","CUR_MKT_CAP")</f>
        <v>28595365034.040001</v>
      </c>
      <c r="H268">
        <f>_xll.BDP("FITB UW Equity","CHG_PCT_YTD")</f>
        <v>1.324506</v>
      </c>
      <c r="I268" t="str">
        <f>_xll.BDP("FITB UW Equity","CIE_DES")</f>
        <v>五三銀行公司(Fifth Third Bancorp)為多元化的金融服務公司，於美國中西部及東南部經營銀行中心。該公司主要業務包括零售銀行、商業銀行、投資諮詢及資料處理。</v>
      </c>
      <c r="J268">
        <f>_xll.BDP("FITB UW Equity","ESG_SCORE")</f>
        <v>3.440000057220459</v>
      </c>
      <c r="K268" t="str">
        <f>_xll.BDP("FITB UW Equity","MSCI_ESG_RATING")</f>
        <v>A</v>
      </c>
      <c r="L268">
        <f>_xll.BDP("FITB UW Equity","EQY_BETA")</f>
        <v>1.1603590250015259</v>
      </c>
      <c r="M268">
        <f>_xll.BDP("FITB UW Equity","VOLATILITY_60D")</f>
        <v>23.568223682282316</v>
      </c>
      <c r="N268">
        <f>_xll.BDP("FITB UW Equity","PCT_INSIDER_SHARES_OUT")</f>
        <v>0.68796886104436872</v>
      </c>
      <c r="O268">
        <f>_xll.BDP("FITB UW Equity","PCT_CHG_INSIDER_HOLDINGS")</f>
        <v>6.7473842147505971</v>
      </c>
      <c r="P268">
        <f>_xll.BDP("FITB UW Equity","RISK_PREMIUM")</f>
        <v>5.9773922562611101</v>
      </c>
      <c r="Q268">
        <f>_xll.BDP("FITB UW Equity","HIGH_52WEEK")</f>
        <v>49.07</v>
      </c>
      <c r="R268">
        <f>_xll.BDP("FITB UW Equity","LOW_52WEEK")</f>
        <v>32.270000000000003</v>
      </c>
    </row>
    <row r="269" spans="1:18" ht="15.75" x14ac:dyDescent="0.25">
      <c r="A269" t="s">
        <v>285</v>
      </c>
      <c r="B269">
        <f>_xll.BDP("GILD UW Equity","RT_PX_CHG_PCT_1D")</f>
        <v>2.6501998901367188</v>
      </c>
      <c r="C269" t="str">
        <f>_xll.BDP("GILD UW Equity","GICS_SECTOR_NAME")</f>
        <v>醫療保健</v>
      </c>
      <c r="D269" t="str">
        <f>_xll.BDP("GILD UW Equity","NAME_CHINESE_TRADITIONAL")</f>
        <v>吉利德科學公司</v>
      </c>
      <c r="E269" t="str">
        <f>_xll.BDP("GILD UW Equity","CLASSIFICATION_LEVEL_4_NAME")</f>
        <v>生物科技</v>
      </c>
      <c r="F269" t="str">
        <f>_xll.BDP("GILD UW Equity","CLASSIFICATION_DESCRIPTION")</f>
        <v>生物科技</v>
      </c>
      <c r="G269">
        <f>_xll.BDP("GILD UW Equity","CUR_MKT_CAP")</f>
        <v>144544563860.19998</v>
      </c>
      <c r="H269">
        <f>_xll.BDP("GILD UW Equity","CHG_PCT_YTD")</f>
        <v>25.79842</v>
      </c>
      <c r="I269" t="str">
        <f>_xll.BDP("GILD UW Equity","CIE_DES")</f>
        <v>吉利德科學公司(Gilead Sciences, Inc.)為以研究為主的生物製藥公司，致力於加強照護重症疾病患者療法的探索、開發並商業化。該公司主要的專精領域包括人類免疫不全病毒(HIV)、愛滋病、肝臟疾病，及心血管與呼吸系統重症。</v>
      </c>
      <c r="J269">
        <f>_xll.BDP("GILD UW Equity","ESG_SCORE")</f>
        <v>6.380000114440918</v>
      </c>
      <c r="K269" t="str">
        <f>_xll.BDP("GILD UW Equity","MSCI_ESG_RATING")</f>
        <v>AAA</v>
      </c>
      <c r="L269">
        <f>_xll.BDP("GILD UW Equity","EQY_BETA")</f>
        <v>0.58404654264450073</v>
      </c>
      <c r="M269">
        <f>_xll.BDP("GILD UW Equity","VOLATILITY_60D")</f>
        <v>33.252151594313226</v>
      </c>
      <c r="N269">
        <f>_xll.BDP("GILD UW Equity","PCT_INSIDER_SHARES_OUT")</f>
        <v>9.9935124914685647E-2</v>
      </c>
      <c r="O269">
        <f>_xll.BDP("GILD UW Equity","PCT_CHG_INSIDER_HOLDINGS")</f>
        <v>21.013610991591207</v>
      </c>
      <c r="P269">
        <f>_xll.BDP("GILD UW Equity","RISK_PREMIUM")</f>
        <v>3.0086164765208956</v>
      </c>
      <c r="Q269">
        <f>_xll.BDP("GILD UW Equity","HIGH_52WEEK")</f>
        <v>119.95</v>
      </c>
      <c r="R269">
        <f>_xll.BDP("GILD UW Equity","LOW_52WEEK")</f>
        <v>72.430000000000007</v>
      </c>
    </row>
    <row r="270" spans="1:18" ht="15.75" x14ac:dyDescent="0.25">
      <c r="A270" t="s">
        <v>286</v>
      </c>
      <c r="B270">
        <f>_xll.BDP("HAS UW Equity","RT_PX_CHG_PCT_1D")</f>
        <v>-9.3299999833106995E-2</v>
      </c>
      <c r="C270" t="str">
        <f>_xll.BDP("HAS UW Equity","GICS_SECTOR_NAME")</f>
        <v>非核心消費</v>
      </c>
      <c r="D270" t="str">
        <f>_xll.BDP("HAS UW Equity","NAME_CHINESE_TRADITIONAL")</f>
        <v>孩之寶公司</v>
      </c>
      <c r="E270" t="str">
        <f>_xll.BDP("HAS UW Equity","CLASSIFICATION_LEVEL_4_NAME")</f>
        <v>玩具及遊戲</v>
      </c>
      <c r="F270" t="str">
        <f>_xll.BDP("HAS UW Equity","CLASSIFICATION_DESCRIPTION")</f>
        <v>玩具及遊戲</v>
      </c>
      <c r="G270">
        <f>_xll.BDP("HAS UW Equity","CUR_MKT_CAP")</f>
        <v>10506901137.339998</v>
      </c>
      <c r="H270">
        <f>_xll.BDP("HAS UW Equity","CHG_PCT_YTD")</f>
        <v>34.10839</v>
      </c>
      <c r="I270" t="str">
        <f>_xll.BDP("HAS UW Equity","CIE_DES")</f>
        <v>孩之寶公司(Hasbro, Inc.)設計、製造，並銷售玩具、遊戲、互動式軟體、拼圖，以及嬰兒產品。該公司的產品包含各式遊戲，包括：傳統紙板、紙牌、手持電子、集換式卡片、角色扮演，和DVD遊戲、以及電子學習輔助與拼圖。孩之寶服務美國的客戶。</v>
      </c>
      <c r="J270">
        <f>_xll.BDP("HAS UW Equity","ESG_SCORE")</f>
        <v>6.9499998092651367</v>
      </c>
      <c r="K270" t="str">
        <f>_xll.BDP("HAS UW Equity","MSCI_ESG_RATING")</f>
        <v>N.S.</v>
      </c>
      <c r="L270">
        <f>_xll.BDP("HAS UW Equity","EQY_BETA")</f>
        <v>0.99033641815185547</v>
      </c>
      <c r="M270">
        <f>_xll.BDP("HAS UW Equity","VOLATILITY_60D")</f>
        <v>27.848095124288214</v>
      </c>
      <c r="N270">
        <f>_xll.BDP("HAS UW Equity","PCT_INSIDER_SHARES_OUT")</f>
        <v>0.81469767943058347</v>
      </c>
      <c r="O270">
        <f>_xll.BDP("HAS UW Equity","PCT_CHG_INSIDER_HOLDINGS")</f>
        <v>13.974131309512765</v>
      </c>
      <c r="P270">
        <f>_xll.BDP("HAS UW Equity","RISK_PREMIUM")</f>
        <v>5.1015497009181976</v>
      </c>
      <c r="Q270">
        <f>_xll.BDP("HAS UW Equity","HIGH_52WEEK")</f>
        <v>78.805000000000007</v>
      </c>
      <c r="R270">
        <f>_xll.BDP("HAS UW Equity","LOW_52WEEK")</f>
        <v>49</v>
      </c>
    </row>
    <row r="271" spans="1:18" ht="15.75" x14ac:dyDescent="0.25">
      <c r="A271" t="s">
        <v>287</v>
      </c>
      <c r="B271">
        <f>_xll.BDP("HBAN UW Equity","RT_PX_CHG_PCT_1D")</f>
        <v>1.2019000053405762</v>
      </c>
      <c r="C271" t="str">
        <f>_xll.BDP("HBAN UW Equity","GICS_SECTOR_NAME")</f>
        <v>金融</v>
      </c>
      <c r="D271" t="str">
        <f>_xll.BDP("HBAN UW Equity","NAME_CHINESE_TRADITIONAL")</f>
        <v>杭庭頓銀行公司(俄亥俄州)</v>
      </c>
      <c r="E271" t="str">
        <f>_xll.BDP("HBAN UW Equity","CLASSIFICATION_LEVEL_4_NAME")</f>
        <v>銀行</v>
      </c>
      <c r="F271" t="str">
        <f>_xll.BDP("HBAN UW Equity","CLASSIFICATION_DESCRIPTION")</f>
        <v>銀行</v>
      </c>
      <c r="G271">
        <f>_xll.BDP("HBAN UW Equity","CUR_MKT_CAP")</f>
        <v>24532707697.639999</v>
      </c>
      <c r="H271">
        <f>_xll.BDP("HBAN UW Equity","CHG_PCT_YTD")</f>
        <v>3.5033780000000001</v>
      </c>
      <c r="I271" t="str">
        <f>_xll.BDP("HBAN UW Equity","CIE_DES")</f>
        <v>杭庭頓銀行公司(俄亥俄州)(Huntington Bancshares Incorporated of Ohio)為一家跨州的銀行控股公司。該公司透過旗下子公司，提供商業和消費性銀行、抵押銀行、汽車融資、設備租賃、投資管理、信託、經紀、客製化保險計劃，以及其它金融產品與服務。</v>
      </c>
      <c r="J271">
        <f>_xll.BDP("HBAN UW Equity","ESG_SCORE")</f>
        <v>3.8599998950958252</v>
      </c>
      <c r="K271" t="str">
        <f>_xll.BDP("HBAN UW Equity","MSCI_ESG_RATING")</f>
        <v>A</v>
      </c>
      <c r="L271">
        <f>_xll.BDP("HBAN UW Equity","EQY_BETA")</f>
        <v>1.1082476377487183</v>
      </c>
      <c r="M271">
        <f>_xll.BDP("HBAN UW Equity","VOLATILITY_60D")</f>
        <v>24.844374018420488</v>
      </c>
      <c r="N271">
        <f>_xll.BDP("HBAN UW Equity","PCT_INSIDER_SHARES_OUT")</f>
        <v>1.444681934717726</v>
      </c>
      <c r="O271">
        <f>_xll.BDP("HBAN UW Equity","PCT_CHG_INSIDER_HOLDINGS")</f>
        <v>4.0319908548517915</v>
      </c>
      <c r="P271">
        <f>_xll.BDP("HBAN UW Equity","RISK_PREMIUM")</f>
        <v>5.7089493037641041</v>
      </c>
      <c r="Q271">
        <f>_xll.BDP("HBAN UW Equity","HIGH_52WEEK")</f>
        <v>18.445</v>
      </c>
      <c r="R271">
        <f>_xll.BDP("HBAN UW Equity","LOW_52WEEK")</f>
        <v>11.914999999999999</v>
      </c>
    </row>
    <row r="272" spans="1:18" ht="15.75" x14ac:dyDescent="0.25">
      <c r="A272" t="s">
        <v>288</v>
      </c>
      <c r="B272">
        <f>_xll.BDP("WELL UN Equity","RT_PX_CHG_PCT_1D")</f>
        <v>9.9100001156330109E-2</v>
      </c>
      <c r="C272" t="str">
        <f>_xll.BDP("WELL UN Equity","GICS_SECTOR_NAME")</f>
        <v>房地產</v>
      </c>
      <c r="D272" t="str">
        <f>_xll.BDP("WELL UN Equity","NAME_CHINESE_TRADITIONAL")</f>
        <v>威爾塔公司</v>
      </c>
      <c r="E272" t="str">
        <f>_xll.BDP("WELL UN Equity","CLASSIFICATION_LEVEL_4_NAME")</f>
        <v>醫療保健REIT</v>
      </c>
      <c r="F272" t="str">
        <f>_xll.BDP("WELL UN Equity","CLASSIFICATION_DESCRIPTION")</f>
        <v>醫療保健REIT</v>
      </c>
      <c r="G272">
        <f>_xll.BDP("WELL UN Equity","CUR_MKT_CAP")</f>
        <v>105652416456.99998</v>
      </c>
      <c r="H272">
        <f>_xll.BDP("WELL UN Equity","CHG_PCT_YTD")</f>
        <v>28.191700000000001</v>
      </c>
      <c r="I272" t="str">
        <f>_xll.BDP("WELL UN Equity","CIE_DES")</f>
        <v>威爾塔公司（Welltower Inc.）為一家不動產投資信託。該公司投資於老年住房、急性後期社區及門診醫療房地產，以擴大護理服務模式，並改善人們的健康及整體醫療保健。威爾塔於美國、加拿大及英國經營業務。</v>
      </c>
      <c r="J272">
        <f>_xll.BDP("WELL UN Equity","ESG_SCORE")</f>
        <v>5.6500000953674316</v>
      </c>
      <c r="K272" t="str">
        <f>_xll.BDP("WELL UN Equity","MSCI_ESG_RATING")</f>
        <v>AA</v>
      </c>
      <c r="L272">
        <f>_xll.BDP("WELL UN Equity","EQY_BETA")</f>
        <v>0.61370223760604858</v>
      </c>
      <c r="M272">
        <f>_xll.BDP("WELL UN Equity","VOLATILITY_60D")</f>
        <v>18.755502039139664</v>
      </c>
      <c r="N272">
        <f>_xll.BDP("WELL UN Equity","PCT_INSIDER_SHARES_OUT")</f>
        <v>4.2355146772329946E-2</v>
      </c>
      <c r="O272">
        <f>_xll.BDP("WELL UN Equity","PCT_CHG_INSIDER_HOLDINGS")</f>
        <v>13.054791921702607</v>
      </c>
      <c r="P272">
        <f>_xll.BDP("WELL UN Equity","RISK_PREMIUM")</f>
        <v>3.1613827476471661</v>
      </c>
      <c r="Q272">
        <f>_xll.BDP("WELL UN Equity","HIGH_52WEEK")</f>
        <v>162.22</v>
      </c>
      <c r="R272">
        <f>_xll.BDP("WELL UN Equity","LOW_52WEEK")</f>
        <v>109.37</v>
      </c>
    </row>
    <row r="273" spans="1:18" ht="15.75" x14ac:dyDescent="0.25">
      <c r="A273" t="s">
        <v>289</v>
      </c>
      <c r="B273">
        <f>_xll.BDP("BIIB UW Equity","RT_PX_CHG_PCT_1D")</f>
        <v>-0.80699998140335083</v>
      </c>
      <c r="C273" t="str">
        <f>_xll.BDP("BIIB UW Equity","GICS_SECTOR_NAME")</f>
        <v>醫療保健</v>
      </c>
      <c r="D273" t="str">
        <f>_xll.BDP("BIIB UW Equity","NAME_CHINESE_TRADITIONAL")</f>
        <v>百健公司</v>
      </c>
      <c r="E273" t="str">
        <f>_xll.BDP("BIIB UW Equity","CLASSIFICATION_LEVEL_4_NAME")</f>
        <v>生物科技</v>
      </c>
      <c r="F273" t="str">
        <f>_xll.BDP("BIIB UW Equity","CLASSIFICATION_DESCRIPTION")</f>
        <v>生物科技</v>
      </c>
      <c r="G273">
        <f>_xll.BDP("BIIB UW Equity","CUR_MKT_CAP")</f>
        <v>19271340464.640003</v>
      </c>
      <c r="H273">
        <f>_xll.BDP("BIIB UW Equity","CHG_PCT_YTD")</f>
        <v>-13.99424</v>
      </c>
      <c r="I273" t="str">
        <f>_xll.BDP("BIIB UW Equity","CIE_DES")</f>
        <v>百健公司(Biogen Inc.)開發、製造、並商業推廣用於精神、腫瘤及免疫系統疾病的治療。該公司產品針對的疾病包括多發性硬化症、非何杰金氏淋巴瘤、類風濕性關節炎、克隆氏症，及乾癬症。</v>
      </c>
      <c r="J273">
        <f>_xll.BDP("BIIB UW Equity","ESG_SCORE")</f>
        <v>6.6700000762939453</v>
      </c>
      <c r="K273" t="str">
        <f>_xll.BDP("BIIB UW Equity","MSCI_ESG_RATING")</f>
        <v>AA</v>
      </c>
      <c r="L273">
        <f>_xll.BDP("BIIB UW Equity","EQY_BETA")</f>
        <v>0.7557070255279541</v>
      </c>
      <c r="M273">
        <f>_xll.BDP("BIIB UW Equity","VOLATILITY_60D")</f>
        <v>32.638597349474971</v>
      </c>
      <c r="N273">
        <f>_xll.BDP("BIIB UW Equity","PCT_INSIDER_SHARES_OUT")</f>
        <v>0.17394796925907577</v>
      </c>
      <c r="O273">
        <f>_xll.BDP("BIIB UW Equity","PCT_CHG_INSIDER_HOLDINGS")</f>
        <v>20.848117156641788</v>
      </c>
      <c r="P273">
        <f>_xll.BDP("BIIB UW Equity","RISK_PREMIUM")</f>
        <v>3.8928962718129156</v>
      </c>
      <c r="Q273">
        <f>_xll.BDP("BIIB UW Equity","HIGH_52WEEK")</f>
        <v>217.77</v>
      </c>
      <c r="R273">
        <f>_xll.BDP("BIIB UW Equity","LOW_52WEEK")</f>
        <v>110.06</v>
      </c>
    </row>
    <row r="274" spans="1:18" ht="15.75" x14ac:dyDescent="0.25">
      <c r="A274" t="s">
        <v>290</v>
      </c>
      <c r="B274">
        <f>_xll.BDP("NTRS UW Equity","RT_PX_CHG_PCT_1D")</f>
        <v>0.98629999160766602</v>
      </c>
      <c r="C274" t="str">
        <f>_xll.BDP("NTRS UW Equity","GICS_SECTOR_NAME")</f>
        <v>金融</v>
      </c>
      <c r="D274" t="str">
        <f>_xll.BDP("NTRS UW Equity","NAME_CHINESE_TRADITIONAL")</f>
        <v>北方信託公司</v>
      </c>
      <c r="E274" t="str">
        <f>_xll.BDP("NTRS UW Equity","CLASSIFICATION_LEVEL_4_NAME")</f>
        <v>機構信託活動</v>
      </c>
      <c r="F274" t="str">
        <f>_xll.BDP("NTRS UW Equity","CLASSIFICATION_DESCRIPTION")</f>
        <v>機構信託活動</v>
      </c>
      <c r="G274">
        <f>_xll.BDP("NTRS UW Equity","CUR_MKT_CAP")</f>
        <v>25295850907.25</v>
      </c>
      <c r="H274">
        <f>_xll.BDP("NTRS UW Equity","CHG_PCT_YTD")</f>
        <v>26.858540000000001</v>
      </c>
      <c r="I274" t="str">
        <f>_xll.BDP("NTRS UW Equity","CIE_DES")</f>
        <v>北方信託公司(Northern Trust Corporation)為金融控股公司，提供投資管理、資產及基金管理、信託及銀行解決方案，予公司、機構和富豪。北方信託的銀行業務為其主要業務。</v>
      </c>
      <c r="J274">
        <f>_xll.BDP("NTRS UW Equity","ESG_SCORE")</f>
        <v>4.2399997711181641</v>
      </c>
      <c r="K274" t="str">
        <f>_xll.BDP("NTRS UW Equity","MSCI_ESG_RATING")</f>
        <v>A</v>
      </c>
      <c r="L274">
        <f>_xll.BDP("NTRS UW Equity","EQY_BETA")</f>
        <v>1.1376016139984131</v>
      </c>
      <c r="M274">
        <f>_xll.BDP("NTRS UW Equity","VOLATILITY_60D")</f>
        <v>30.651357948776713</v>
      </c>
      <c r="N274">
        <f>_xll.BDP("NTRS UW Equity","PCT_INSIDER_SHARES_OUT")</f>
        <v>1.6808570258036191</v>
      </c>
      <c r="O274">
        <f>_xll.BDP("NTRS UW Equity","PCT_CHG_INSIDER_HOLDINGS")</f>
        <v>6.9443041877172389</v>
      </c>
      <c r="P274">
        <f>_xll.BDP("NTRS UW Equity","RISK_PREMIUM")</f>
        <v>5.8601613222384445</v>
      </c>
      <c r="Q274">
        <f>_xll.BDP("NTRS UW Equity","HIGH_52WEEK")</f>
        <v>133</v>
      </c>
      <c r="R274">
        <f>_xll.BDP("NTRS UW Equity","LOW_52WEEK")</f>
        <v>80.930000000000007</v>
      </c>
    </row>
    <row r="275" spans="1:18" ht="15.75" x14ac:dyDescent="0.25">
      <c r="A275" t="s">
        <v>291</v>
      </c>
      <c r="B275">
        <f>_xll.BDP("PKG UN Equity","RT_PX_CHG_PCT_1D")</f>
        <v>0.29139998555183411</v>
      </c>
      <c r="C275" t="str">
        <f>_xll.BDP("PKG UN Equity","GICS_SECTOR_NAME")</f>
        <v>原材料</v>
      </c>
      <c r="D275" t="str">
        <f>_xll.BDP("PKG UN Equity","NAME_CHINESE_TRADITIONAL")</f>
        <v>美國包裝公司</v>
      </c>
      <c r="E275" t="str">
        <f>_xll.BDP("PKG UN Equity","CLASSIFICATION_LEVEL_4_NAME")</f>
        <v>容器與包裝</v>
      </c>
      <c r="F275" t="str">
        <f>_xll.BDP("PKG UN Equity","CLASSIFICATION_DESCRIPTION")</f>
        <v>瓦楞紙包裝材料</v>
      </c>
      <c r="G275">
        <f>_xll.BDP("PKG UN Equity","CUR_MKT_CAP")</f>
        <v>18583570226.119999</v>
      </c>
      <c r="H275">
        <f>_xll.BDP("PKG UN Equity","CHG_PCT_YTD")</f>
        <v>-8.2618950000000009</v>
      </c>
      <c r="I275" t="str">
        <f>_xll.BDP("PKG UN Equity","CIE_DES")</f>
        <v>美國包裝公司(Packaging Corporation of America)生產專門用於保護運送中產品的容器用紙及瓦楞紙等包裝產品。 該公司亦生產多重顏色箱子及陳列品，及盛裝肉類和塗蠟箱子供農業使用。</v>
      </c>
      <c r="J275">
        <f>_xll.BDP("PKG UN Equity","ESG_SCORE")</f>
        <v>5.5199999809265137</v>
      </c>
      <c r="K275" t="str">
        <f>_xll.BDP("PKG UN Equity","MSCI_ESG_RATING")</f>
        <v>BB</v>
      </c>
      <c r="L275">
        <f>_xll.BDP("PKG UN Equity","EQY_BETA")</f>
        <v>0.76943844556808472</v>
      </c>
      <c r="M275">
        <f>_xll.BDP("PKG UN Equity","VOLATILITY_60D")</f>
        <v>25.917314796694519</v>
      </c>
      <c r="N275">
        <f>_xll.BDP("PKG UN Equity","PCT_INSIDER_SHARES_OUT")</f>
        <v>1.7705735563458544</v>
      </c>
      <c r="O275">
        <f>_xll.BDP("PKG UN Equity","PCT_CHG_INSIDER_HOLDINGS")</f>
        <v>7.2237061970489682</v>
      </c>
      <c r="P275">
        <f>_xll.BDP("PKG UN Equity","RISK_PREMIUM")</f>
        <v>3.9636313478082417</v>
      </c>
      <c r="Q275">
        <f>_xll.BDP("PKG UN Equity","HIGH_52WEEK")</f>
        <v>250.71</v>
      </c>
      <c r="R275">
        <f>_xll.BDP("PKG UN Equity","LOW_52WEEK")</f>
        <v>173.03</v>
      </c>
    </row>
    <row r="276" spans="1:18" ht="15.75" x14ac:dyDescent="0.25">
      <c r="A276" t="s">
        <v>292</v>
      </c>
      <c r="B276">
        <f>_xll.BDP("PAYX UW Equity","RT_PX_CHG_PCT_1D")</f>
        <v>1.0860999822616577</v>
      </c>
      <c r="C276" t="str">
        <f>_xll.BDP("PAYX UW Equity","GICS_SECTOR_NAME")</f>
        <v>工業</v>
      </c>
      <c r="D276" t="str">
        <f>_xll.BDP("PAYX UW Equity","NAME_CHINESE_TRADITIONAL")</f>
        <v>Paychex公司</v>
      </c>
      <c r="E276" t="str">
        <f>_xll.BDP("PAYX UW Equity","CLASSIFICATION_LEVEL_4_NAME")</f>
        <v>專業服務</v>
      </c>
      <c r="F276" t="str">
        <f>_xll.BDP("PAYX UW Equity","CLASSIFICATION_DESCRIPTION")</f>
        <v>其它專業服務</v>
      </c>
      <c r="G276">
        <f>_xll.BDP("PAYX UW Equity","CUR_MKT_CAP")</f>
        <v>53312491357.230003</v>
      </c>
      <c r="H276">
        <f>_xll.BDP("PAYX UW Equity","CHG_PCT_YTD")</f>
        <v>5.5412910000000002</v>
      </c>
      <c r="I276" t="str">
        <f>_xll.BDP("PAYX UW Equity","CIE_DES")</f>
        <v>Paychex公司(Paychex, Inc.)為美國中小型企業提供綜合薪資、整合性人力資源、及員工福利外包解決方案等服務。該公司的服務範圍包括：計算薪資與申報稅款，以及管理退休計畫與員工報酬。</v>
      </c>
      <c r="J276">
        <f>_xll.BDP("PAYX UW Equity","ESG_SCORE")</f>
        <v>6.6399998664855957</v>
      </c>
      <c r="K276" t="str">
        <f>_xll.BDP("PAYX UW Equity","MSCI_ESG_RATING")</f>
        <v>AA</v>
      </c>
      <c r="L276">
        <f>_xll.BDP("PAYX UW Equity","EQY_BETA")</f>
        <v>0.68604671955108643</v>
      </c>
      <c r="M276">
        <f>_xll.BDP("PAYX UW Equity","VOLATILITY_60D")</f>
        <v>26.583639767999678</v>
      </c>
      <c r="N276">
        <f>_xll.BDP("PAYX UW Equity","PCT_INSIDER_SHARES_OUT")</f>
        <v>10.60282469732312</v>
      </c>
      <c r="O276">
        <f>_xll.BDP("PAYX UW Equity","PCT_CHG_INSIDER_HOLDINGS")</f>
        <v>0.36297863639872779</v>
      </c>
      <c r="P276">
        <f>_xll.BDP("PAYX UW Equity","RISK_PREMIUM")</f>
        <v>3.5340530478250978</v>
      </c>
      <c r="Q276">
        <f>_xll.BDP("PAYX UW Equity","HIGH_52WEEK")</f>
        <v>161.22</v>
      </c>
      <c r="R276">
        <f>_xll.BDP("PAYX UW Equity","LOW_52WEEK")</f>
        <v>122.55</v>
      </c>
    </row>
    <row r="277" spans="1:18" ht="15.75" x14ac:dyDescent="0.25">
      <c r="A277" t="s">
        <v>293</v>
      </c>
      <c r="B277">
        <f>_xll.BDP("QCOM UW Equity","RT_PX_CHG_PCT_1D")</f>
        <v>-0.27700001001358032</v>
      </c>
      <c r="C277" t="str">
        <f>_xll.BDP("QCOM UW Equity","GICS_SECTOR_NAME")</f>
        <v>資訊技術</v>
      </c>
      <c r="D277" t="str">
        <f>_xll.BDP("QCOM UW Equity","NAME_CHINESE_TRADITIONAL")</f>
        <v>高通公司</v>
      </c>
      <c r="E277" t="str">
        <f>_xll.BDP("QCOM UW Equity","CLASSIFICATION_LEVEL_4_NAME")</f>
        <v>半導體元件</v>
      </c>
      <c r="F277" t="str">
        <f>_xll.BDP("QCOM UW Equity","CLASSIFICATION_DESCRIPTION")</f>
        <v>特殊用途通訊</v>
      </c>
      <c r="G277">
        <f>_xll.BDP("QCOM UW Equity","CUR_MKT_CAP")</f>
        <v>173923200000</v>
      </c>
      <c r="H277">
        <f>_xll.BDP("QCOM UW Equity","CHG_PCT_YTD")</f>
        <v>3.111577</v>
      </c>
      <c r="I277" t="str">
        <f>_xll.BDP("QCOM UW Equity","CIE_DES")</f>
        <v>高通公司(Qualcomm Incorporated)為一家跨國的半導體與電信設備公司。該公司開發並提供以「分碼多重進接」(CDMA)數位科技為基礎的數位無線通訊產品與服務。高通服務全球客戶。</v>
      </c>
      <c r="J277">
        <f>_xll.BDP("QCOM UW Equity","ESG_SCORE")</f>
        <v>7.5500001907348633</v>
      </c>
      <c r="K277" t="str">
        <f>_xll.BDP("QCOM UW Equity","MSCI_ESG_RATING")</f>
        <v>A</v>
      </c>
      <c r="L277">
        <f>_xll.BDP("QCOM UW Equity","EQY_BETA")</f>
        <v>1.3854905366897583</v>
      </c>
      <c r="M277">
        <f>_xll.BDP("QCOM UW Equity","VOLATILITY_60D")</f>
        <v>32.086996528481855</v>
      </c>
      <c r="N277">
        <f>_xll.BDP("QCOM UW Equity","PCT_INSIDER_SHARES_OUT")</f>
        <v>9.0627716785063733E-2</v>
      </c>
      <c r="O277">
        <f>_xll.BDP("QCOM UW Equity","PCT_CHG_INSIDER_HOLDINGS")</f>
        <v>-0.27459523176365858</v>
      </c>
      <c r="P277">
        <f>_xll.BDP("QCOM UW Equity","RISK_PREMIUM")</f>
        <v>7.1371189663660521</v>
      </c>
      <c r="Q277">
        <f>_xll.BDP("QCOM UW Equity","HIGH_52WEEK")</f>
        <v>182.52</v>
      </c>
      <c r="R277">
        <f>_xll.BDP("QCOM UW Equity","LOW_52WEEK")</f>
        <v>120.88</v>
      </c>
    </row>
    <row r="278" spans="1:18" ht="15.75" x14ac:dyDescent="0.25">
      <c r="A278" t="s">
        <v>294</v>
      </c>
      <c r="B278">
        <f>_xll.BDP("ROST UW Equity","RT_PX_CHG_PCT_1D")</f>
        <v>1.385200023651123</v>
      </c>
      <c r="C278" t="str">
        <f>_xll.BDP("ROST UW Equity","GICS_SECTOR_NAME")</f>
        <v>非核心消費</v>
      </c>
      <c r="D278" t="str">
        <f>_xll.BDP("ROST UW Equity","NAME_CHINESE_TRADITIONAL")</f>
        <v>羅斯百貨公司</v>
      </c>
      <c r="E278" t="str">
        <f>_xll.BDP("ROST UW Equity","CLASSIFICATION_LEVEL_4_NAME")</f>
        <v>特殊服飾商店</v>
      </c>
      <c r="F278" t="str">
        <f>_xll.BDP("ROST UW Equity","CLASSIFICATION_DESCRIPTION")</f>
        <v>廉價服飾</v>
      </c>
      <c r="G278">
        <f>_xll.BDP("ROST UW Equity","CUR_MKT_CAP")</f>
        <v>45243665169.930008</v>
      </c>
      <c r="H278">
        <f>_xll.BDP("ROST UW Equity","CHG_PCT_YTD")</f>
        <v>-8.5542429999999996</v>
      </c>
      <c r="I278" t="str">
        <f>_xll.BDP("ROST UW Equity","CIE_DES")</f>
        <v>羅斯百貨公司(Ross Stores, Inc.)經營兩種品牌的折扣零售服裝，以及家居飾品商店。羅斯百貨以折扣價格提供名牌與設計師服裝、飾品、鞋類，以及家居時裝。羅斯百貨服務美國的客戶。</v>
      </c>
      <c r="J278">
        <f>_xll.BDP("ROST UW Equity","ESG_SCORE")</f>
        <v>2.2899999618530273</v>
      </c>
      <c r="K278" t="str">
        <f>_xll.BDP("ROST UW Equity","MSCI_ESG_RATING")</f>
        <v>BBB</v>
      </c>
      <c r="L278">
        <f>_xll.BDP("ROST UW Equity","EQY_BETA")</f>
        <v>0.82063502073287964</v>
      </c>
      <c r="M278">
        <f>_xll.BDP("ROST UW Equity","VOLATILITY_60D")</f>
        <v>30.508425627190395</v>
      </c>
      <c r="N278">
        <f>_xll.BDP("ROST UW Equity","PCT_INSIDER_SHARES_OUT")</f>
        <v>2.2093718342069981</v>
      </c>
      <c r="O278">
        <f>_xll.BDP("ROST UW Equity","PCT_CHG_INSIDER_HOLDINGS")</f>
        <v>2.1102280366143544</v>
      </c>
      <c r="P278">
        <f>_xll.BDP("ROST UW Equity","RISK_PREMIUM")</f>
        <v>4.227361801351905</v>
      </c>
      <c r="Q278">
        <f>_xll.BDP("ROST UW Equity","HIGH_52WEEK")</f>
        <v>163.55500000000001</v>
      </c>
      <c r="R278">
        <f>_xll.BDP("ROST UW Equity","LOW_52WEEK")</f>
        <v>122.36</v>
      </c>
    </row>
    <row r="279" spans="1:18" ht="15.75" x14ac:dyDescent="0.25">
      <c r="A279" t="s">
        <v>295</v>
      </c>
      <c r="B279">
        <f>_xll.BDP("IDXX UW Equity","RT_PX_CHG_PCT_1D")</f>
        <v>2.7674000263214111</v>
      </c>
      <c r="C279" t="str">
        <f>_xll.BDP("IDXX UW Equity","GICS_SECTOR_NAME")</f>
        <v>醫療保健</v>
      </c>
      <c r="D279" t="str">
        <f>_xll.BDP("IDXX UW Equity","NAME_CHINESE_TRADITIONAL")</f>
        <v>IDEXX實驗室公司</v>
      </c>
      <c r="E279" t="str">
        <f>_xll.BDP("IDXX UW Equity","CLASSIFICATION_LEVEL_4_NAME")</f>
        <v>生命科學設備</v>
      </c>
      <c r="F279" t="str">
        <f>_xll.BDP("IDXX UW Equity","CLASSIFICATION_DESCRIPTION")</f>
        <v>體外診斷</v>
      </c>
      <c r="G279">
        <f>_xll.BDP("IDXX UW Equity","CUR_MKT_CAP")</f>
        <v>45453663269.229996</v>
      </c>
      <c r="H279">
        <f>_xll.BDP("IDXX UW Equity","CHG_PCT_YTD")</f>
        <v>36.704239999999999</v>
      </c>
      <c r="I279" t="str">
        <f>_xll.BDP("IDXX UW Equity","CIE_DES")</f>
        <v>IDEXX實驗室公司(IDEXX Laboratories, Inc,)提供診斷、偵測及資訊系統予獸醫、食品及水測試行業。該公司亦經營國際級的獸醫實驗室網絡。IDEXX向全球客戶提供產品。</v>
      </c>
      <c r="J279">
        <f>_xll.BDP("IDXX UW Equity","ESG_SCORE")</f>
        <v>4.7399997711181641</v>
      </c>
      <c r="K279" t="str">
        <f>_xll.BDP("IDXX UW Equity","MSCI_ESG_RATING")</f>
        <v>AAA</v>
      </c>
      <c r="L279">
        <f>_xll.BDP("IDXX UW Equity","EQY_BETA")</f>
        <v>1.0434454679489136</v>
      </c>
      <c r="M279">
        <f>_xll.BDP("IDXX UW Equity","VOLATILITY_60D")</f>
        <v>25.948731099376349</v>
      </c>
      <c r="N279">
        <f>_xll.BDP("IDXX UW Equity","PCT_INSIDER_SHARES_OUT")</f>
        <v>0.9991981623915468</v>
      </c>
      <c r="O279">
        <f>_xll.BDP("IDXX UW Equity","PCT_CHG_INSIDER_HOLDINGS")</f>
        <v>1.0436649985501583</v>
      </c>
      <c r="P279">
        <f>_xll.BDP("IDXX UW Equity","RISK_PREMIUM")</f>
        <v>5.3751319424092765</v>
      </c>
      <c r="Q279">
        <f>_xll.BDP("IDXX UW Equity","HIGH_52WEEK")</f>
        <v>568.38</v>
      </c>
      <c r="R279">
        <f>_xll.BDP("IDXX UW Equity","LOW_52WEEK")</f>
        <v>356.98</v>
      </c>
    </row>
    <row r="280" spans="1:18" ht="15.75" x14ac:dyDescent="0.25">
      <c r="A280" t="s">
        <v>296</v>
      </c>
      <c r="B280">
        <f>_xll.BDP("SBUX UW Equity","RT_PX_CHG_PCT_1D")</f>
        <v>0.76840001344680786</v>
      </c>
      <c r="C280" t="str">
        <f>_xll.BDP("SBUX UW Equity","GICS_SECTOR_NAME")</f>
        <v>非核心消費</v>
      </c>
      <c r="D280" t="str">
        <f>_xll.BDP("SBUX UW Equity","NAME_CHINESE_TRADITIONAL")</f>
        <v>星巴克</v>
      </c>
      <c r="E280" t="str">
        <f>_xll.BDP("SBUX UW Equity","CLASSIFICATION_LEVEL_4_NAME")</f>
        <v>餐廳</v>
      </c>
      <c r="F280" t="str">
        <f>_xll.BDP("SBUX UW Equity","CLASSIFICATION_DESCRIPTION")</f>
        <v>咖啡及零食</v>
      </c>
      <c r="G280">
        <f>_xll.BDP("SBUX UW Equity","CUR_MKT_CAP")</f>
        <v>107298888000</v>
      </c>
      <c r="H280">
        <f>_xll.BDP("SBUX UW Equity","CHG_PCT_YTD")</f>
        <v>3.473973</v>
      </c>
      <c r="I280" t="str">
        <f>_xll.BDP("SBUX UW Equity","CIE_DES")</f>
        <v>星巴克公司(Starbucks Corporation)為一家專業咖啡的主要烘培商、銷售商，以及零售商。該公司提供包裝和單杯的咖啡與茶、飲料相關配料，與即飲飲料，並生產且銷售瓶裝咖啡飲料，以及一系列的冰淇淋。星巴克服務全球客戶。</v>
      </c>
      <c r="J280">
        <f>_xll.BDP("SBUX UW Equity","ESG_SCORE")</f>
        <v>3.9800000190734863</v>
      </c>
      <c r="K280" t="str">
        <f>_xll.BDP("SBUX UW Equity","MSCI_ESG_RATING")</f>
        <v>A</v>
      </c>
      <c r="L280">
        <f>_xll.BDP("SBUX UW Equity","EQY_BETA")</f>
        <v>1.0830591917037964</v>
      </c>
      <c r="M280">
        <f>_xll.BDP("SBUX UW Equity","VOLATILITY_60D")</f>
        <v>30.666571619694061</v>
      </c>
      <c r="N280">
        <f>_xll.BDP("SBUX UW Equity","PCT_INSIDER_SHARES_OUT")</f>
        <v>2.0717208828141502</v>
      </c>
      <c r="O280">
        <f>_xll.BDP("SBUX UW Equity","PCT_CHG_INSIDER_HOLDINGS")</f>
        <v>0.3154282544738175</v>
      </c>
      <c r="P280">
        <f>_xll.BDP("SBUX UW Equity","RISK_PREMIUM")</f>
        <v>5.5791953059995167</v>
      </c>
      <c r="Q280">
        <f>_xll.BDP("SBUX UW Equity","HIGH_52WEEK")</f>
        <v>117.44</v>
      </c>
      <c r="R280">
        <f>_xll.BDP("SBUX UW Equity","LOW_52WEEK")</f>
        <v>72.73</v>
      </c>
    </row>
    <row r="281" spans="1:18" ht="15.75" x14ac:dyDescent="0.25">
      <c r="A281" t="s">
        <v>297</v>
      </c>
      <c r="B281">
        <f>_xll.BDP("KEY UN Equity","RT_PX_CHG_PCT_1D")</f>
        <v>0.37839999794960022</v>
      </c>
      <c r="C281" t="str">
        <f>_xll.BDP("KEY UN Equity","GICS_SECTOR_NAME")</f>
        <v>金融</v>
      </c>
      <c r="D281" t="str">
        <f>_xll.BDP("KEY UN Equity","NAME_CHINESE_TRADITIONAL")</f>
        <v>科凱國際集團</v>
      </c>
      <c r="E281" t="str">
        <f>_xll.BDP("KEY UN Equity","CLASSIFICATION_LEVEL_4_NAME")</f>
        <v>銀行</v>
      </c>
      <c r="F281" t="str">
        <f>_xll.BDP("KEY UN Equity","CLASSIFICATION_DESCRIPTION")</f>
        <v>銀行</v>
      </c>
      <c r="G281">
        <f>_xll.BDP("KEY UN Equity","CUR_MKT_CAP")</f>
        <v>20351650999.380001</v>
      </c>
      <c r="H281">
        <f>_xll.BDP("KEY UN Equity","CHG_PCT_YTD")</f>
        <v>8.3430610000000005</v>
      </c>
      <c r="I281" t="str">
        <f>_xll.BDP("KEY UN Equity","CIE_DES")</f>
        <v>科凱國際集團(KeyCorp)為一家控股公司。該公司透過旗下子公司，為個人、企業和機構客戶提供零售與商業銀行、商業租賃、投資管理、消費金融，以及投資銀行產品和服務。</v>
      </c>
      <c r="J281">
        <f>_xll.BDP("KEY UN Equity","ESG_SCORE")</f>
        <v>3.6500000953674316</v>
      </c>
      <c r="K281" t="str">
        <f>_xll.BDP("KEY UN Equity","MSCI_ESG_RATING")</f>
        <v>BBB</v>
      </c>
      <c r="L281">
        <f>_xll.BDP("KEY UN Equity","EQY_BETA")</f>
        <v>1.3375786542892456</v>
      </c>
      <c r="M281">
        <f>_xll.BDP("KEY UN Equity","VOLATILITY_60D")</f>
        <v>26.101334476167448</v>
      </c>
      <c r="N281">
        <f>_xll.BDP("KEY UN Equity","PCT_INSIDER_SHARES_OUT")</f>
        <v>0.34164107224652401</v>
      </c>
      <c r="O281">
        <f>_xll.BDP("KEY UN Equity","PCT_CHG_INSIDER_HOLDINGS")</f>
        <v>6.747323753166051</v>
      </c>
      <c r="P281">
        <f>_xll.BDP("KEY UN Equity","RISK_PREMIUM")</f>
        <v>6.8903090491998196</v>
      </c>
      <c r="Q281">
        <f>_xll.BDP("KEY UN Equity","HIGH_52WEEK")</f>
        <v>20.03</v>
      </c>
      <c r="R281">
        <f>_xll.BDP("KEY UN Equity","LOW_52WEEK")</f>
        <v>12.73</v>
      </c>
    </row>
    <row r="282" spans="1:18" ht="15.75" x14ac:dyDescent="0.25">
      <c r="A282" t="s">
        <v>298</v>
      </c>
      <c r="B282">
        <f>_xll.BDP("FOXA UW Equity","RT_PX_CHG_PCT_1D")</f>
        <v>0.71090000867843628</v>
      </c>
      <c r="C282" t="str">
        <f>_xll.BDP("FOXA UW Equity","GICS_SECTOR_NAME")</f>
        <v>通訊服務</v>
      </c>
      <c r="D282" t="str">
        <f>_xll.BDP("FOXA UW Equity","NAME_CHINESE_TRADITIONAL")</f>
        <v>福斯公司</v>
      </c>
      <c r="E282" t="str">
        <f>_xll.BDP("FOXA UW Equity","CLASSIFICATION_LEVEL_4_NAME")</f>
        <v>影片及電視</v>
      </c>
      <c r="F282" t="str">
        <f>_xll.BDP("FOXA UW Equity","CLASSIFICATION_DESCRIPTION")</f>
        <v>電視媒體網路</v>
      </c>
      <c r="G282">
        <f>_xll.BDP("FOXA UW Equity","CUR_MKT_CAP")</f>
        <v>24407968936.869999</v>
      </c>
      <c r="H282">
        <f>_xll.BDP("FOXA UW Equity","CHG_PCT_YTD")</f>
        <v>16.652940000000001</v>
      </c>
      <c r="I282" t="str">
        <f>_xll.BDP("FOXA UW Equity","CIE_DES")</f>
        <v>福斯公司(Fox Corporation)為一家娛樂公司。該司製作及授權新聞、體育及娛樂內容，並透過有線電視系統、直接廣播衛星營運商、電信公司及線上視頻播放商進行播放。福斯亦管理廣播工作室、劇場、編輯室、錄音棚及其他製作設備。</v>
      </c>
      <c r="J282">
        <f>_xll.BDP("FOXA UW Equity","ESG_SCORE")</f>
        <v>3.3299999237060547</v>
      </c>
      <c r="K282" t="str">
        <f>_xll.BDP("FOXA UW Equity","MSCI_ESG_RATING")</f>
        <v>BBB</v>
      </c>
      <c r="L282">
        <f>_xll.BDP("FOXA UW Equity","EQY_BETA")</f>
        <v>0.67380815744400024</v>
      </c>
      <c r="M282">
        <f>_xll.BDP("FOXA UW Equity","VOLATILITY_60D")</f>
        <v>25.312935393863444</v>
      </c>
      <c r="N282">
        <f>_xll.BDP("FOXA UW Equity","PCT_INSIDER_SHARES_OUT")</f>
        <v>0.91592769854959788</v>
      </c>
      <c r="O282">
        <f>_xll.BDP("FOXA UW Equity","PCT_CHG_INSIDER_HOLDINGS")</f>
        <v>0</v>
      </c>
      <c r="P282">
        <f>_xll.BDP("FOXA UW Equity","RISK_PREMIUM")</f>
        <v>3.4710081756860016</v>
      </c>
      <c r="Q282">
        <f>_xll.BDP("FOXA UW Equity","HIGH_52WEEK")</f>
        <v>58.74</v>
      </c>
      <c r="R282">
        <f>_xll.BDP("FOXA UW Equity","LOW_52WEEK")</f>
        <v>36.1</v>
      </c>
    </row>
    <row r="283" spans="1:18" ht="15.75" x14ac:dyDescent="0.25">
      <c r="A283" t="s">
        <v>299</v>
      </c>
      <c r="B283">
        <f>_xll.BDP("FOX UW Equity","RT_PX_CHG_PCT_1D")</f>
        <v>0.83190000057220459</v>
      </c>
      <c r="C283" t="str">
        <f>_xll.BDP("FOX UW Equity","GICS_SECTOR_NAME")</f>
        <v>通訊服務</v>
      </c>
      <c r="D283" t="str">
        <f>_xll.BDP("FOX UW Equity","NAME_CHINESE_TRADITIONAL")</f>
        <v>福斯公司</v>
      </c>
      <c r="E283" t="str">
        <f>_xll.BDP("FOX UW Equity","CLASSIFICATION_LEVEL_4_NAME")</f>
        <v>影片及電視</v>
      </c>
      <c r="F283" t="str">
        <f>_xll.BDP("FOX UW Equity","CLASSIFICATION_DESCRIPTION")</f>
        <v>電視媒體網路</v>
      </c>
      <c r="G283">
        <f>_xll.BDP("FOX UW Equity","CUR_MKT_CAP")</f>
        <v>24407968936.869999</v>
      </c>
      <c r="H283">
        <f>_xll.BDP("FOX UW Equity","CHG_PCT_YTD")</f>
        <v>13.948399999999999</v>
      </c>
      <c r="I283" t="str">
        <f>_xll.BDP("FOX UW Equity","CIE_DES")</f>
        <v>福斯公司(Fox Corporation)為一家娛樂公司。該司製作及授權新聞、體育及娛樂內容，並透過有線電視系統、直接廣播衛星營運商、電信公司及線上視頻播放商進行播放。福斯亦管理廣播工作室、劇場、編輯室、錄音棚及其他製作設備。</v>
      </c>
      <c r="J283">
        <f>_xll.BDP("FOX UW Equity","ESG_SCORE")</f>
        <v>3.3299999237060547</v>
      </c>
      <c r="K283" t="str">
        <f>_xll.BDP("FOX UW Equity","MSCI_ESG_RATING")</f>
        <v>BBB</v>
      </c>
      <c r="L283">
        <f>_xll.BDP("FOX UW Equity","EQY_BETA")</f>
        <v>0.70213931798934937</v>
      </c>
      <c r="M283">
        <f>_xll.BDP("FOX UW Equity","VOLATILITY_60D")</f>
        <v>24.990249366869062</v>
      </c>
      <c r="N283">
        <f>_xll.BDP("FOX UW Equity","PCT_INSIDER_SHARES_OUT")</f>
        <v>0.14354256073282651</v>
      </c>
      <c r="O283">
        <f>_xll.BDP("FOX UW Equity","PCT_CHG_INSIDER_HOLDINGS")</f>
        <v>4.5190982203017889</v>
      </c>
      <c r="P283">
        <f>_xll.BDP("FOX UW Equity","RISK_PREMIUM")</f>
        <v>3.4710081756860016</v>
      </c>
      <c r="Q283">
        <f>_xll.BDP("FOX UW Equity","HIGH_52WEEK")</f>
        <v>55</v>
      </c>
      <c r="R283">
        <f>_xll.BDP("FOX UW Equity","LOW_52WEEK")</f>
        <v>33.72</v>
      </c>
    </row>
    <row r="284" spans="1:18" ht="15.75" x14ac:dyDescent="0.25">
      <c r="A284" t="s">
        <v>300</v>
      </c>
      <c r="B284">
        <f>_xll.BDP("STT UN Equity","RT_PX_CHG_PCT_1D")</f>
        <v>1.757099986076355</v>
      </c>
      <c r="C284" t="str">
        <f>_xll.BDP("STT UN Equity","GICS_SECTOR_NAME")</f>
        <v>金融</v>
      </c>
      <c r="D284" t="str">
        <f>_xll.BDP("STT UN Equity","NAME_CHINESE_TRADITIONAL")</f>
        <v>道富銀行</v>
      </c>
      <c r="E284" t="str">
        <f>_xll.BDP("STT UN Equity","CLASSIFICATION_LEVEL_4_NAME")</f>
        <v>機構信託活動</v>
      </c>
      <c r="F284" t="str">
        <f>_xll.BDP("STT UN Equity","CLASSIFICATION_DESCRIPTION")</f>
        <v>機構信託活動</v>
      </c>
      <c r="G284">
        <f>_xll.BDP("STT UN Equity","CUR_MKT_CAP")</f>
        <v>32205559443.16</v>
      </c>
      <c r="H284">
        <f>_xll.BDP("STT UN Equity","CHG_PCT_YTD")</f>
        <v>15.058579999999999</v>
      </c>
      <c r="I284" t="str">
        <f>_xll.BDP("STT UN Equity","CIE_DES")</f>
        <v>道富集團(State Street Corporation)在全球為機構投資者提供服務並管理金融資產。該公司的產品與服務包括：託管、會計、管理、每日定價、外匯服務、現金管理、金融資產管理、證券拆借，以及投資諮詢服務。</v>
      </c>
      <c r="J284">
        <f>_xll.BDP("STT UN Equity","ESG_SCORE")</f>
        <v>6.070000171661377</v>
      </c>
      <c r="K284" t="str">
        <f>_xll.BDP("STT UN Equity","MSCI_ESG_RATING")</f>
        <v>AA</v>
      </c>
      <c r="L284">
        <f>_xll.BDP("STT UN Equity","EQY_BETA")</f>
        <v>1.0191217660903931</v>
      </c>
      <c r="M284">
        <f>_xll.BDP("STT UN Equity","VOLATILITY_60D")</f>
        <v>25.034903019316019</v>
      </c>
      <c r="N284">
        <f>_xll.BDP("STT UN Equity","PCT_INSIDER_SHARES_OUT")</f>
        <v>0.67589002937075882</v>
      </c>
      <c r="O284">
        <f>_xll.BDP("STT UN Equity","PCT_CHG_INSIDER_HOLDINGS")</f>
        <v>3.6976344199403584</v>
      </c>
      <c r="P284">
        <f>_xll.BDP("STT UN Equity","RISK_PREMIUM")</f>
        <v>5.2498325273144246</v>
      </c>
      <c r="Q284">
        <f>_xll.BDP("STT UN Equity","HIGH_52WEEK")</f>
        <v>113.69</v>
      </c>
      <c r="R284">
        <f>_xll.BDP("STT UN Equity","LOW_52WEEK")</f>
        <v>73.010000000000005</v>
      </c>
    </row>
    <row r="285" spans="1:18" ht="15.75" x14ac:dyDescent="0.25">
      <c r="A285" t="s">
        <v>301</v>
      </c>
      <c r="B285">
        <f>_xll.BDP("NCLH UN Equity","RT_PX_CHG_PCT_1D")</f>
        <v>1.3617000579833984</v>
      </c>
      <c r="C285" t="str">
        <f>_xll.BDP("NCLH UN Equity","GICS_SECTOR_NAME")</f>
        <v>非核心消費</v>
      </c>
      <c r="D285" t="str">
        <f>_xll.BDP("NCLH UN Equity","NAME_CHINESE_TRADITIONAL")</f>
        <v>挪威郵輪控股有限公司</v>
      </c>
      <c r="E285" t="str">
        <f>_xll.BDP("NCLH UN Equity","CLASSIFICATION_LEVEL_4_NAME")</f>
        <v>郵輪</v>
      </c>
      <c r="F285" t="str">
        <f>_xll.BDP("NCLH UN Equity","CLASSIFICATION_DESCRIPTION")</f>
        <v>郵輪</v>
      </c>
      <c r="G285">
        <f>_xll.BDP("NCLH UN Equity","CUR_MKT_CAP")</f>
        <v>10642936237.139999</v>
      </c>
      <c r="H285">
        <f>_xll.BDP("NCLH UN Equity","CHG_PCT_YTD")</f>
        <v>-7.4232399999999998</v>
      </c>
      <c r="I285" t="str">
        <f>_xll.BDP("NCLH UN Equity","CIE_DES")</f>
        <v>挪威郵輪控股有限公司(Norwegian Cruise Line Holdings Ltd)為經營旅客郵輪船隊。該公司提供一系列的郵輪行程及主題郵輪，並透過各種經銷管道銷售其服務，包括零售與旅行社、國際銷售與獎勵銷售，以及消費者直接服務。挪威郵輪控股服務全球各地的客戶。</v>
      </c>
      <c r="J285">
        <f>_xll.BDP("NCLH UN Equity","ESG_SCORE")</f>
        <v>5.1500000953674316</v>
      </c>
      <c r="K285" t="str">
        <f>_xll.BDP("NCLH UN Equity","MSCI_ESG_RATING")</f>
        <v>N.S.</v>
      </c>
      <c r="L285">
        <f>_xll.BDP("NCLH UN Equity","EQY_BETA")</f>
        <v>1.4688524007797241</v>
      </c>
      <c r="M285">
        <f>_xll.BDP("NCLH UN Equity","VOLATILITY_60D")</f>
        <v>44.733570663128987</v>
      </c>
      <c r="N285">
        <f>_xll.BDP("NCLH UN Equity","PCT_INSIDER_SHARES_OUT")</f>
        <v>0.82793342176829487</v>
      </c>
      <c r="O285">
        <f>_xll.BDP("NCLH UN Equity","PCT_CHG_INSIDER_HOLDINGS")</f>
        <v>9.4641460034064941</v>
      </c>
      <c r="P285">
        <f>_xll.BDP("NCLH UN Equity","RISK_PREMIUM")</f>
        <v>7.5665434377086163</v>
      </c>
      <c r="Q285">
        <f>_xll.BDP("NCLH UN Equity","HIGH_52WEEK")</f>
        <v>29.29</v>
      </c>
      <c r="R285">
        <f>_xll.BDP("NCLH UN Equity","LOW_52WEEK")</f>
        <v>14.21</v>
      </c>
    </row>
    <row r="286" spans="1:18" ht="15.75" x14ac:dyDescent="0.25">
      <c r="A286" t="s">
        <v>302</v>
      </c>
      <c r="B286">
        <f>_xll.BDP("USB UN Equity","RT_PX_CHG_PCT_1D")</f>
        <v>0.56449997425079346</v>
      </c>
      <c r="C286" t="str">
        <f>_xll.BDP("USB UN Equity","GICS_SECTOR_NAME")</f>
        <v>金融</v>
      </c>
      <c r="D286" t="str">
        <f>_xll.BDP("USB UN Equity","NAME_CHINESE_TRADITIONAL")</f>
        <v>美國合眾銀行</v>
      </c>
      <c r="E286" t="str">
        <f>_xll.BDP("USB UN Equity","CLASSIFICATION_LEVEL_4_NAME")</f>
        <v>銀行</v>
      </c>
      <c r="F286" t="str">
        <f>_xll.BDP("USB UN Equity","CLASSIFICATION_DESCRIPTION")</f>
        <v>零售銀行</v>
      </c>
      <c r="G286">
        <f>_xll.BDP("USB UN Equity","CUR_MKT_CAP")</f>
        <v>72167837644.559982</v>
      </c>
      <c r="H286">
        <f>_xll.BDP("USB UN Equity","CHG_PCT_YTD")</f>
        <v>-3.1570179999999999</v>
      </c>
      <c r="I286" t="str">
        <f>_xll.BDP("USB UN Equity","CIE_DES")</f>
        <v>美國合眾銀行(U.S. Bancorp )為一家多元化金融服務公司，提供存/放款業務、現金管理、外幣兌換、信託及投資理財等服務。該公司亦提供信用卡服務、抵押貸款銀行業務、保險、經紀，及租賃業務等。美國合眾銀行主要據點集中在美國中西部及西部。</v>
      </c>
      <c r="J286">
        <f>_xll.BDP("USB UN Equity","ESG_SCORE")</f>
        <v>5.1999998092651367</v>
      </c>
      <c r="K286" t="str">
        <f>_xll.BDP("USB UN Equity","MSCI_ESG_RATING")</f>
        <v>AA</v>
      </c>
      <c r="L286">
        <f>_xll.BDP("USB UN Equity","EQY_BETA")</f>
        <v>1.1663459539413452</v>
      </c>
      <c r="M286">
        <f>_xll.BDP("USB UN Equity","VOLATILITY_60D")</f>
        <v>22.695847175792956</v>
      </c>
      <c r="N286">
        <f>_xll.BDP("USB UN Equity","PCT_INSIDER_SHARES_OUT")</f>
        <v>0.24366019095934094</v>
      </c>
      <c r="O286">
        <f>_xll.BDP("USB UN Equity","PCT_CHG_INSIDER_HOLDINGS")</f>
        <v>14.118723580525327</v>
      </c>
      <c r="P286">
        <f>_xll.BDP("USB UN Equity","RISK_PREMIUM")</f>
        <v>6.0082329029166699</v>
      </c>
      <c r="Q286">
        <f>_xll.BDP("USB UN Equity","HIGH_52WEEK")</f>
        <v>53.97</v>
      </c>
      <c r="R286">
        <f>_xll.BDP("USB UN Equity","LOW_52WEEK")</f>
        <v>35.18</v>
      </c>
    </row>
    <row r="287" spans="1:18" ht="15.75" x14ac:dyDescent="0.25">
      <c r="A287" t="s">
        <v>303</v>
      </c>
      <c r="B287">
        <f>_xll.BDP("AOS UN Equity","RT_PX_CHG_PCT_1D")</f>
        <v>-2.5425999164581299</v>
      </c>
      <c r="C287" t="str">
        <f>_xll.BDP("AOS UN Equity","GICS_SECTOR_NAME")</f>
        <v>工業</v>
      </c>
      <c r="D287" t="str">
        <f>_xll.BDP("AOS UN Equity","NAME_CHINESE_TRADITIONAL")</f>
        <v>A.O.史密斯公司</v>
      </c>
      <c r="E287" t="str">
        <f>_xll.BDP("AOS UN Equity","CLASSIFICATION_LEVEL_4_NAME")</f>
        <v>商業住宅建築設備及系統</v>
      </c>
      <c r="F287" t="str">
        <f>_xll.BDP("AOS UN Equity","CLASSIFICATION_DESCRIPTION")</f>
        <v>通風/冷暖氣建築物產品</v>
      </c>
      <c r="G287">
        <f>_xll.BDP("AOS UN Equity","CUR_MKT_CAP")</f>
        <v>10097737534.800001</v>
      </c>
      <c r="H287">
        <f>_xll.BDP("AOS UN Equity","CHG_PCT_YTD")</f>
        <v>5.6443349999999999</v>
      </c>
      <c r="I287" t="str">
        <f>_xll.BDP("AOS UN Equity","CIE_DES")</f>
        <v>A.O.史密斯公司(A.O. Smith Corporation)製造住用及商業用熱水，及水處理設備。該公司在全球各地配銷其產品。</v>
      </c>
      <c r="J287">
        <f>_xll.BDP("AOS UN Equity","ESG_SCORE")</f>
        <v>2.869999885559082</v>
      </c>
      <c r="K287" t="str">
        <f>_xll.BDP("AOS UN Equity","MSCI_ESG_RATING")</f>
        <v>N.S.</v>
      </c>
      <c r="L287">
        <f>_xll.BDP("AOS UN Equity","EQY_BETA")</f>
        <v>0.86362123489379883</v>
      </c>
      <c r="M287">
        <f>_xll.BDP("AOS UN Equity","VOLATILITY_60D")</f>
        <v>29.467519122063145</v>
      </c>
      <c r="N287">
        <f>_xll.BDP("AOS UN Equity","PCT_INSIDER_SHARES_OUT")</f>
        <v>0.79313930132724197</v>
      </c>
      <c r="O287">
        <f>_xll.BDP("AOS UN Equity","PCT_CHG_INSIDER_HOLDINGS")</f>
        <v>3.231302891138768</v>
      </c>
      <c r="P287">
        <f>_xll.BDP("AOS UN Equity","RISK_PREMIUM")</f>
        <v>4.4487979759454728</v>
      </c>
      <c r="Q287">
        <f>_xll.BDP("AOS UN Equity","HIGH_52WEEK")</f>
        <v>92.05</v>
      </c>
      <c r="R287">
        <f>_xll.BDP("AOS UN Equity","LOW_52WEEK")</f>
        <v>58.86</v>
      </c>
    </row>
    <row r="288" spans="1:18" ht="15.75" x14ac:dyDescent="0.25">
      <c r="A288" t="s">
        <v>304</v>
      </c>
      <c r="B288">
        <f>_xll.BDP("GEN UW Equity","RT_PX_CHG_PCT_1D")</f>
        <v>0.29490000009536743</v>
      </c>
      <c r="C288" t="str">
        <f>_xll.BDP("GEN UW Equity","GICS_SECTOR_NAME")</f>
        <v>資訊技術</v>
      </c>
      <c r="D288" t="str">
        <f>_xll.BDP("GEN UW Equity","NAME_CHINESE_TRADITIONAL")</f>
        <v>數位世代公司</v>
      </c>
      <c r="E288" t="str">
        <f>_xll.BDP("GEN UW Equity","CLASSIFICATION_LEVEL_4_NAME")</f>
        <v>基礎建設軟體</v>
      </c>
      <c r="F288" t="str">
        <f>_xll.BDP("GEN UW Equity","CLASSIFICATION_DESCRIPTION")</f>
        <v>安全軟體</v>
      </c>
      <c r="G288">
        <f>_xll.BDP("GEN UW Equity","CUR_MKT_CAP")</f>
        <v>18985231331.27</v>
      </c>
      <c r="H288">
        <f>_xll.BDP("GEN UW Equity","CHG_PCT_YTD")</f>
        <v>11.796939999999999</v>
      </c>
      <c r="I288" t="str">
        <f>_xll.BDP("GEN UW Equity","CIE_DES")</f>
        <v>數位世代公司(Gen Digital Inc.)提供消費性網路安全解決方案。該公司提供解決方案使消 費者能夠保護其設備、網路隱私、身份，以及家庭網路。數位世代服務全球客戶。</v>
      </c>
      <c r="J288">
        <f>_xll.BDP("GEN UW Equity","ESG_SCORE")</f>
        <v>6.1100001335144043</v>
      </c>
      <c r="K288" t="str">
        <f>_xll.BDP("GEN UW Equity","MSCI_ESG_RATING")</f>
        <v>A</v>
      </c>
      <c r="L288">
        <f>_xll.BDP("GEN UW Equity","EQY_BETA")</f>
        <v>0.91484290361404419</v>
      </c>
      <c r="M288">
        <f>_xll.BDP("GEN UW Equity","VOLATILITY_60D")</f>
        <v>26.622128776185477</v>
      </c>
      <c r="N288">
        <f>_xll.BDP("GEN UW Equity","PCT_INSIDER_SHARES_OUT")</f>
        <v>9.4634961853648747</v>
      </c>
      <c r="O288">
        <f>_xll.BDP("GEN UW Equity","PCT_CHG_INSIDER_HOLDINGS")</f>
        <v>1.1345425397884383</v>
      </c>
      <c r="P288">
        <f>_xll.BDP("GEN UW Equity","RISK_PREMIUM")</f>
        <v>4.7126576946741343</v>
      </c>
      <c r="Q288">
        <f>_xll.BDP("GEN UW Equity","HIGH_52WEEK")</f>
        <v>31.715</v>
      </c>
      <c r="R288">
        <f>_xll.BDP("GEN UW Equity","LOW_52WEEK")</f>
        <v>22.74</v>
      </c>
    </row>
    <row r="289" spans="1:18" ht="15.75" x14ac:dyDescent="0.25">
      <c r="A289" t="s">
        <v>305</v>
      </c>
      <c r="B289">
        <f>_xll.BDP("TROW UW Equity","RT_PX_CHG_PCT_1D")</f>
        <v>-0.58569997549057007</v>
      </c>
      <c r="C289" t="str">
        <f>_xll.BDP("TROW UW Equity","GICS_SECTOR_NAME")</f>
        <v>金融</v>
      </c>
      <c r="D289" t="str">
        <f>_xll.BDP("TROW UW Equity","NAME_CHINESE_TRADITIONAL")</f>
        <v>普徠仕集團公司</v>
      </c>
      <c r="E289" t="str">
        <f>_xll.BDP("TROW UW Equity","CLASSIFICATION_LEVEL_4_NAME")</f>
        <v>投資管理</v>
      </c>
      <c r="F289" t="str">
        <f>_xll.BDP("TROW UW Equity","CLASSIFICATION_DESCRIPTION")</f>
        <v>投資管理</v>
      </c>
      <c r="G289">
        <f>_xll.BDP("TROW UW Equity","CUR_MKT_CAP")</f>
        <v>23558399289.84</v>
      </c>
      <c r="H289">
        <f>_xll.BDP("TROW UW Equity","CHG_PCT_YTD")</f>
        <v>-5.4469859999999999</v>
      </c>
      <c r="I289" t="str">
        <f>_xll.BDP("TROW UW Equity","CIE_DES")</f>
        <v>普徠仕集團公司(T. Rowe Price Group Inc.) 為一家金融服務控股公司。該公司透過旗下子公司，提供投資顧問服務予個人及機構投資者。普萊斯管理多種美國及國際股票、混合資產、債券、及貨幣市場共同基金與其他投資組合。</v>
      </c>
      <c r="J289">
        <f>_xll.BDP("TROW UW Equity","ESG_SCORE")</f>
        <v>6.5900001525878906</v>
      </c>
      <c r="K289" t="str">
        <f>_xll.BDP("TROW UW Equity","MSCI_ESG_RATING")</f>
        <v>AA</v>
      </c>
      <c r="L289">
        <f>_xll.BDP("TROW UW Equity","EQY_BETA")</f>
        <v>1.185950756072998</v>
      </c>
      <c r="M289">
        <f>_xll.BDP("TROW UW Equity","VOLATILITY_60D")</f>
        <v>23.868337211578467</v>
      </c>
      <c r="N289">
        <f>_xll.BDP("TROW UW Equity","PCT_INSIDER_SHARES_OUT")</f>
        <v>2.271965998399573</v>
      </c>
      <c r="O289">
        <f>_xll.BDP("TROW UW Equity","PCT_CHG_INSIDER_HOLDINGS")</f>
        <v>1.3007740616021759</v>
      </c>
      <c r="P289">
        <f>_xll.BDP("TROW UW Equity","RISK_PREMIUM")</f>
        <v>6.1092237082815171</v>
      </c>
      <c r="Q289">
        <f>_xll.BDP("TROW UW Equity","HIGH_52WEEK")</f>
        <v>125.71</v>
      </c>
      <c r="R289">
        <f>_xll.BDP("TROW UW Equity","LOW_52WEEK")</f>
        <v>77.87</v>
      </c>
    </row>
    <row r="290" spans="1:18" ht="15.75" x14ac:dyDescent="0.25">
      <c r="A290" t="s">
        <v>306</v>
      </c>
      <c r="B290">
        <f>_xll.BDP("WM UN Equity","RT_PX_CHG_PCT_1D")</f>
        <v>-0.40759998559951782</v>
      </c>
      <c r="C290" t="str">
        <f>_xll.BDP("WM UN Equity","GICS_SECTOR_NAME")</f>
        <v>工業</v>
      </c>
      <c r="D290" t="str">
        <f>_xll.BDP("WM UN Equity","NAME_CHINESE_TRADITIONAL")</f>
        <v>廢棄物管理</v>
      </c>
      <c r="E290" t="str">
        <f>_xll.BDP("WM UN Equity","CLASSIFICATION_LEVEL_4_NAME")</f>
        <v>廢棄物管理</v>
      </c>
      <c r="F290" t="str">
        <f>_xll.BDP("WM UN Equity","CLASSIFICATION_DESCRIPTION")</f>
        <v>固態廢棄物收集/處理</v>
      </c>
      <c r="G290">
        <f>_xll.BDP("WM UN Equity","CUR_MKT_CAP")</f>
        <v>92421039847.919983</v>
      </c>
      <c r="H290">
        <f>_xll.BDP("WM UN Equity","CHG_PCT_YTD")</f>
        <v>13.81635</v>
      </c>
      <c r="I290" t="str">
        <f>_xll.BDP("WM UN Equity","CIE_DES")</f>
        <v>廢棄物管理公司(Waste Management, Inc.)提供廢棄物管理服務，包括收集、運送、再利用、資源回收與清除服務，及經營垃圾變能源設備。該公司在北美各地提供地方政府、商業、工業及住宅民眾服務。</v>
      </c>
      <c r="J290">
        <f>_xll.BDP("WM UN Equity","ESG_SCORE")</f>
        <v>4.380000114440918</v>
      </c>
      <c r="K290" t="str">
        <f>_xll.BDP("WM UN Equity","MSCI_ESG_RATING")</f>
        <v>BBB</v>
      </c>
      <c r="L290">
        <f>_xll.BDP("WM UN Equity","EQY_BETA")</f>
        <v>0.47748315334320068</v>
      </c>
      <c r="M290">
        <f>_xll.BDP("WM UN Equity","VOLATILITY_60D")</f>
        <v>16.112551731873264</v>
      </c>
      <c r="N290">
        <f>_xll.BDP("WM UN Equity","PCT_INSIDER_SHARES_OUT")</f>
        <v>0.23155589950995004</v>
      </c>
      <c r="O290">
        <f>_xll.BDP("WM UN Equity","PCT_CHG_INSIDER_HOLDINGS")</f>
        <v>8.0106182534114971</v>
      </c>
      <c r="P290">
        <f>_xll.BDP("WM UN Equity","RISK_PREMIUM")</f>
        <v>2.4596732923114297</v>
      </c>
      <c r="Q290">
        <f>_xll.BDP("WM UN Equity","HIGH_52WEEK")</f>
        <v>242.58</v>
      </c>
      <c r="R290">
        <f>_xll.BDP("WM UN Equity","LOW_52WEEK")</f>
        <v>197.5</v>
      </c>
    </row>
    <row r="291" spans="1:18" ht="15.75" x14ac:dyDescent="0.25">
      <c r="A291" t="s">
        <v>307</v>
      </c>
      <c r="B291">
        <f>_xll.BDP("STZ UN Equity","RT_PX_CHG_PCT_1D")</f>
        <v>-6.8300001323223114E-2</v>
      </c>
      <c r="C291" t="str">
        <f>_xll.BDP("STZ UN Equity","GICS_SECTOR_NAME")</f>
        <v>核心消費</v>
      </c>
      <c r="D291" t="str">
        <f>_xll.BDP("STZ UN Equity","NAME_CHINESE_TRADITIONAL")</f>
        <v>星座品牌公司</v>
      </c>
      <c r="E291" t="str">
        <f>_xll.BDP("STZ UN Equity","CLASSIFICATION_LEVEL_4_NAME")</f>
        <v>酒精飲料</v>
      </c>
      <c r="F291" t="str">
        <f>_xll.BDP("STZ UN Equity","CLASSIFICATION_DESCRIPTION")</f>
        <v>釀酒商</v>
      </c>
      <c r="G291">
        <f>_xll.BDP("STZ UN Equity","CUR_MKT_CAP")</f>
        <v>30943018621.120003</v>
      </c>
      <c r="H291">
        <f>_xll.BDP("STZ UN Equity","CHG_PCT_YTD")</f>
        <v>-20.579190000000001</v>
      </c>
      <c r="I291" t="str">
        <f>_xll.BDP("STZ UN Equity","CIE_DES")</f>
        <v>星座品牌公司(Constellation Brands, Inc.)為一家飲料公司。該公司生產並銷售啤酒、紅酒，以及烈酒。星座品牌服務全球客戶。</v>
      </c>
      <c r="J291">
        <f>_xll.BDP("STZ UN Equity","ESG_SCORE")</f>
        <v>4.0100002288818359</v>
      </c>
      <c r="K291" t="str">
        <f>_xll.BDP("STZ UN Equity","MSCI_ESG_RATING")</f>
        <v>A</v>
      </c>
      <c r="L291">
        <f>_xll.BDP("STZ UN Equity","EQY_BETA")</f>
        <v>0.63254678249359131</v>
      </c>
      <c r="M291">
        <f>_xll.BDP("STZ UN Equity","VOLATILITY_60D")</f>
        <v>27.296773823394275</v>
      </c>
      <c r="N291">
        <f>_xll.BDP("STZ UN Equity","PCT_INSIDER_SHARES_OUT")</f>
        <v>0.13165882057932832</v>
      </c>
      <c r="O291">
        <f>_xll.BDP("STZ UN Equity","PCT_CHG_INSIDER_HOLDINGS")</f>
        <v>9.8431420808996855</v>
      </c>
      <c r="P291">
        <f>_xll.BDP("STZ UN Equity","RISK_PREMIUM")</f>
        <v>3.2584572170627117</v>
      </c>
      <c r="Q291">
        <f>_xll.BDP("STZ UN Equity","HIGH_52WEEK")</f>
        <v>260.33999999999997</v>
      </c>
      <c r="R291">
        <f>_xll.BDP("STZ UN Equity","LOW_52WEEK")</f>
        <v>159.35</v>
      </c>
    </row>
    <row r="292" spans="1:18" ht="15.75" x14ac:dyDescent="0.25">
      <c r="A292" t="s">
        <v>308</v>
      </c>
      <c r="B292">
        <f>_xll.BDP("IVZ UN Equity","RT_PX_CHG_PCT_1D")</f>
        <v>1.7732000350952148</v>
      </c>
      <c r="C292" t="str">
        <f>_xll.BDP("IVZ UN Equity","GICS_SECTOR_NAME")</f>
        <v>金融</v>
      </c>
      <c r="D292" t="str">
        <f>_xll.BDP("IVZ UN Equity","NAME_CHINESE_TRADITIONAL")</f>
        <v>景順有限公司</v>
      </c>
      <c r="E292" t="str">
        <f>_xll.BDP("IVZ UN Equity","CLASSIFICATION_LEVEL_4_NAME")</f>
        <v>投資管理</v>
      </c>
      <c r="F292" t="str">
        <f>_xll.BDP("IVZ UN Equity","CLASSIFICATION_DESCRIPTION")</f>
        <v>投資管理</v>
      </c>
      <c r="G292">
        <f>_xll.BDP("IVZ UN Equity","CUR_MKT_CAP")</f>
        <v>9761202597.6599998</v>
      </c>
      <c r="H292">
        <f>_xll.BDP("IVZ UN Equity","CHG_PCT_YTD")</f>
        <v>24.771170000000001</v>
      </c>
      <c r="I292" t="str">
        <f>_xll.BDP("IVZ UN Equity","CIE_DES")</f>
        <v>景順有限公司(Invesco Limited)提供投資管理服務。該公司提供股票、固定收益、分離帳戶、交易所交易、集體，以及平衡型共同基金。景順服務全球客戶。</v>
      </c>
      <c r="J292">
        <f>_xll.BDP("IVZ UN Equity","ESG_SCORE")</f>
        <v>6.2199997901916504</v>
      </c>
      <c r="K292" t="str">
        <f>_xll.BDP("IVZ UN Equity","MSCI_ESG_RATING")</f>
        <v>N.S.</v>
      </c>
      <c r="L292">
        <f>_xll.BDP("IVZ UN Equity","EQY_BETA")</f>
        <v>1.1747803688049316</v>
      </c>
      <c r="M292">
        <f>_xll.BDP("IVZ UN Equity","VOLATILITY_60D")</f>
        <v>40.611602719238086</v>
      </c>
      <c r="N292">
        <f>_xll.BDP("IVZ UN Equity","PCT_INSIDER_SHARES_OUT")</f>
        <v>0.7861040052391175</v>
      </c>
      <c r="O292">
        <f>_xll.BDP("IVZ UN Equity","PCT_CHG_INSIDER_HOLDINGS")</f>
        <v>6.7576133564068233</v>
      </c>
      <c r="P292">
        <f>_xll.BDP("IVZ UN Equity","RISK_PREMIUM")</f>
        <v>6.0516813572359078</v>
      </c>
      <c r="Q292">
        <f>_xll.BDP("IVZ UN Equity","HIGH_52WEEK")</f>
        <v>21.83</v>
      </c>
      <c r="R292">
        <f>_xll.BDP("IVZ UN Equity","LOW_52WEEK")</f>
        <v>11.6</v>
      </c>
    </row>
    <row r="293" spans="1:18" ht="15.75" x14ac:dyDescent="0.25">
      <c r="A293" t="s">
        <v>309</v>
      </c>
      <c r="B293">
        <f>_xll.BDP("INTU UW Equity","RT_PX_CHG_PCT_1D")</f>
        <v>0.60680001974105835</v>
      </c>
      <c r="C293" t="str">
        <f>_xll.BDP("INTU UW Equity","GICS_SECTOR_NAME")</f>
        <v>資訊技術</v>
      </c>
      <c r="D293" t="str">
        <f>_xll.BDP("INTU UW Equity","NAME_CHINESE_TRADITIONAL")</f>
        <v>直覺公司</v>
      </c>
      <c r="E293" t="str">
        <f>_xll.BDP("INTU UW Equity","CLASSIFICATION_LEVEL_4_NAME")</f>
        <v>應用軟體</v>
      </c>
      <c r="F293" t="str">
        <f>_xll.BDP("INTU UW Equity","CLASSIFICATION_DESCRIPTION")</f>
        <v>企業軟體</v>
      </c>
      <c r="G293">
        <f>_xll.BDP("INTU UW Equity","CUR_MKT_CAP")</f>
        <v>219238394650</v>
      </c>
      <c r="H293">
        <f>_xll.BDP("INTU UW Equity","CHG_PCT_YTD")</f>
        <v>25.05171</v>
      </c>
      <c r="I293" t="str">
        <f>_xll.BDP("INTU UW Equity","CIE_DES")</f>
        <v>直覺電腦軟體公司(Intuit Inc.)針對中小型企業、金融機構、消費者，及會計專業人員，開發並銷售企業和金融管理軟體解決方案。該公司提供商業管理與薪資處理、個人金融，以及稅務準備與歸檔軟體解決方案。直覺電腦軟體公司服務全球客戶。</v>
      </c>
      <c r="J293">
        <f>_xll.BDP("INTU UW Equity","ESG_SCORE")</f>
        <v>4.6599998474121094</v>
      </c>
      <c r="K293" t="str">
        <f>_xll.BDP("INTU UW Equity","MSCI_ESG_RATING")</f>
        <v>AAA</v>
      </c>
      <c r="L293">
        <f>_xll.BDP("INTU UW Equity","EQY_BETA")</f>
        <v>0.91534715890884399</v>
      </c>
      <c r="M293">
        <f>_xll.BDP("INTU UW Equity","VOLATILITY_60D")</f>
        <v>24.504040405521671</v>
      </c>
      <c r="N293">
        <f>_xll.BDP("INTU UW Equity","PCT_INSIDER_SHARES_OUT")</f>
        <v>2.4666558554850924</v>
      </c>
      <c r="O293">
        <f>_xll.BDP("INTU UW Equity","PCT_CHG_INSIDER_HOLDINGS")</f>
        <v>-4.2452338353964034</v>
      </c>
      <c r="P293">
        <f>_xll.BDP("INTU UW Equity","RISK_PREMIUM")</f>
        <v>4.7152552801018954</v>
      </c>
      <c r="Q293">
        <f>_xll.BDP("INTU UW Equity","HIGH_52WEEK")</f>
        <v>790.5</v>
      </c>
      <c r="R293">
        <f>_xll.BDP("INTU UW Equity","LOW_52WEEK")</f>
        <v>533.28</v>
      </c>
    </row>
    <row r="294" spans="1:18" ht="15.75" x14ac:dyDescent="0.25">
      <c r="A294" t="s">
        <v>310</v>
      </c>
      <c r="B294">
        <f>_xll.BDP("MS UN Equity","RT_PX_CHG_PCT_1D")</f>
        <v>0.3578999936580658</v>
      </c>
      <c r="C294" t="str">
        <f>_xll.BDP("MS UN Equity","GICS_SECTOR_NAME")</f>
        <v>金融</v>
      </c>
      <c r="D294" t="str">
        <f>_xll.BDP("MS UN Equity","NAME_CHINESE_TRADITIONAL")</f>
        <v>摩根士丹利</v>
      </c>
      <c r="E294" t="str">
        <f>_xll.BDP("MS UN Equity","CLASSIFICATION_LEVEL_4_NAME")</f>
        <v>機構經紀</v>
      </c>
      <c r="F294" t="str">
        <f>_xll.BDP("MS UN Equity","CLASSIFICATION_DESCRIPTION")</f>
        <v>機構經紀</v>
      </c>
      <c r="G294">
        <f>_xll.BDP("MS UN Equity","CUR_MKT_CAP")</f>
        <v>229433682785.57999</v>
      </c>
      <c r="H294">
        <f>_xll.BDP("MS UN Equity","CHG_PCT_YTD")</f>
        <v>13.75278</v>
      </c>
      <c r="I294" t="str">
        <f>_xll.BDP("MS UN Equity","CIE_DES")</f>
        <v>摩根士丹利（Morgan Stanley）為一家銀行控股公司，於全球各地提供多元化金融服務。該公司全球證券業務的服務對象包括個人、機構投資者及投資銀行客戶。摩根士丹利亦從事全球資產管理業務。</v>
      </c>
      <c r="J294">
        <f>_xll.BDP("MS UN Equity","ESG_SCORE")</f>
        <v>5.75</v>
      </c>
      <c r="K294" t="str">
        <f>_xll.BDP("MS UN Equity","MSCI_ESG_RATING")</f>
        <v>AA</v>
      </c>
      <c r="L294">
        <f>_xll.BDP("MS UN Equity","EQY_BETA")</f>
        <v>1.2978363037109375</v>
      </c>
      <c r="M294">
        <f>_xll.BDP("MS UN Equity","VOLATILITY_60D")</f>
        <v>20.264006980000413</v>
      </c>
      <c r="N294">
        <f>_xll.BDP("MS UN Equity","PCT_INSIDER_SHARES_OUT")</f>
        <v>0.27530390651734477</v>
      </c>
      <c r="O294">
        <f>_xll.BDP("MS UN Equity","PCT_CHG_INSIDER_HOLDINGS")</f>
        <v>-0.52029347008494287</v>
      </c>
      <c r="P294">
        <f>_xll.BDP("MS UN Equity","RISK_PREMIUM")</f>
        <v>6.6855830863952637</v>
      </c>
      <c r="Q294">
        <f>_xll.BDP("MS UN Equity","HIGH_52WEEK")</f>
        <v>145.1</v>
      </c>
      <c r="R294">
        <f>_xll.BDP("MS UN Equity","LOW_52WEEK")</f>
        <v>90.94</v>
      </c>
    </row>
    <row r="295" spans="1:18" ht="15.75" x14ac:dyDescent="0.25">
      <c r="A295" t="s">
        <v>311</v>
      </c>
      <c r="B295">
        <f>_xll.BDP("MCHP UW Equity","RT_PX_CHG_PCT_1D")</f>
        <v>2.0645999908447266</v>
      </c>
      <c r="C295" t="str">
        <f>_xll.BDP("MCHP UW Equity","GICS_SECTOR_NAME")</f>
        <v>資訊技術</v>
      </c>
      <c r="D295" t="str">
        <f>_xll.BDP("MCHP UW Equity","NAME_CHINESE_TRADITIONAL")</f>
        <v>超捷國際股份有限公司</v>
      </c>
      <c r="E295" t="str">
        <f>_xll.BDP("MCHP UW Equity","CLASSIFICATION_LEVEL_4_NAME")</f>
        <v>半導體元件</v>
      </c>
      <c r="F295" t="str">
        <f>_xll.BDP("MCHP UW Equity","CLASSIFICATION_DESCRIPTION")</f>
        <v>半導體元件</v>
      </c>
      <c r="G295">
        <f>_xll.BDP("MCHP UW Equity","CUR_MKT_CAP")</f>
        <v>37350875882.339989</v>
      </c>
      <c r="H295">
        <f>_xll.BDP("MCHP UW Equity","CHG_PCT_YTD")</f>
        <v>20.680040000000002</v>
      </c>
      <c r="I295" t="str">
        <f>_xll.BDP("MCHP UW Equity","CIE_DES")</f>
        <v>超捷國際股份有限公司（Microchip Technology Incorporated）為一家半導體製造公司。該公司提供用於各種應用的混合訊號微控制器、微處理器、類比、快閃IP積體電路，以及記憶體產品。超捷國際服務美國的工業、汽車、消費者、航太與國防、通訊，以及計算市場。</v>
      </c>
      <c r="J295">
        <f>_xll.BDP("MCHP UW Equity","ESG_SCORE")</f>
        <v>4.9699997901916504</v>
      </c>
      <c r="K295" t="str">
        <f>_xll.BDP("MCHP UW Equity","MSCI_ESG_RATING")</f>
        <v>A</v>
      </c>
      <c r="L295">
        <f>_xll.BDP("MCHP UW Equity","EQY_BETA")</f>
        <v>1.5791860818862915</v>
      </c>
      <c r="M295">
        <f>_xll.BDP("MCHP UW Equity","VOLATILITY_60D")</f>
        <v>48.23103079634096</v>
      </c>
      <c r="N295">
        <f>_xll.BDP("MCHP UW Equity","PCT_INSIDER_SHARES_OUT")</f>
        <v>2.1136279157848081</v>
      </c>
      <c r="O295">
        <f>_xll.BDP("MCHP UW Equity","PCT_CHG_INSIDER_HOLDINGS")</f>
        <v>0.30621116575950297</v>
      </c>
      <c r="P295">
        <f>_xll.BDP("MCHP UW Equity","RISK_PREMIUM")</f>
        <v>8.1349086392033101</v>
      </c>
      <c r="Q295">
        <f>_xll.BDP("MCHP UW Equity","HIGH_52WEEK")</f>
        <v>89.57</v>
      </c>
      <c r="R295">
        <f>_xll.BDP("MCHP UW Equity","LOW_52WEEK")</f>
        <v>34.15</v>
      </c>
    </row>
    <row r="296" spans="1:18" ht="15.75" x14ac:dyDescent="0.25">
      <c r="A296" t="s">
        <v>312</v>
      </c>
      <c r="B296">
        <f>_xll.BDP("CRWD UW Equity","RT_PX_CHG_PCT_1D")</f>
        <v>1.2747999429702759</v>
      </c>
      <c r="C296" t="str">
        <f>_xll.BDP("CRWD UW Equity","GICS_SECTOR_NAME")</f>
        <v>資訊技術</v>
      </c>
      <c r="D296" t="str">
        <f>_xll.BDP("CRWD UW Equity","NAME_CHINESE_TRADITIONAL")</f>
        <v>Crowdstrike控股公司</v>
      </c>
      <c r="E296" t="str">
        <f>_xll.BDP("CRWD UW Equity","CLASSIFICATION_LEVEL_4_NAME")</f>
        <v>基礎建設軟體</v>
      </c>
      <c r="F296" t="str">
        <f>_xll.BDP("CRWD UW Equity","CLASSIFICATION_DESCRIPTION")</f>
        <v>基礎建設軟體</v>
      </c>
      <c r="G296">
        <f>_xll.BDP("CRWD UW Equity","CUR_MKT_CAP")</f>
        <v>116628205578.08</v>
      </c>
      <c r="H296">
        <f>_xll.BDP("CRWD UW Equity","CHG_PCT_YTD")</f>
        <v>36.754730000000002</v>
      </c>
      <c r="I296" t="str">
        <f>_xll.BDP("CRWD UW Equity","CIE_DES")</f>
        <v>CrowdStrike控股公司(CrowdStrike Holdings, Inc.)提供網路安全產品與服務，以杜絕違規行為。該公司提供跨端點、雲端工作負載、身份與資料的雲端傳遞保護，以及領先威脅情報、受控安全服務、IT營運服務、威脅搜捕、零信任保護，以及日誌管理。Crowdstrike服務全球客戶。</v>
      </c>
      <c r="J296">
        <f>_xll.BDP("CRWD UW Equity","ESG_SCORE")</f>
        <v>1.6299999952316284</v>
      </c>
      <c r="K296" t="str">
        <f>_xll.BDP("CRWD UW Equity","MSCI_ESG_RATING")</f>
        <v>BB</v>
      </c>
      <c r="L296">
        <f>_xll.BDP("CRWD UW Equity","EQY_BETA")</f>
        <v>1.6163774728775024</v>
      </c>
      <c r="M296">
        <f>_xll.BDP("CRWD UW Equity","VOLATILITY_60D")</f>
        <v>35.539163663423835</v>
      </c>
      <c r="N296">
        <f>_xll.BDP("CRWD UW Equity","PCT_INSIDER_SHARES_OUT")</f>
        <v>1.5140550663956651</v>
      </c>
      <c r="O296">
        <f>_xll.BDP("CRWD UW Equity","PCT_CHG_INSIDER_HOLDINGS")</f>
        <v>-46.603823748352127</v>
      </c>
      <c r="P296">
        <f>_xll.BDP("CRWD UW Equity","RISK_PREMIUM")</f>
        <v>8.3264937673580643</v>
      </c>
      <c r="Q296">
        <f>_xll.BDP("CRWD UW Equity","HIGH_52WEEK")</f>
        <v>517.69000000000005</v>
      </c>
      <c r="R296">
        <f>_xll.BDP("CRWD UW Equity","LOW_52WEEK")</f>
        <v>201</v>
      </c>
    </row>
    <row r="297" spans="1:18" ht="15.75" x14ac:dyDescent="0.25">
      <c r="A297" t="s">
        <v>313</v>
      </c>
      <c r="B297">
        <f>_xll.BDP("CB UN Equity","RT_PX_CHG_PCT_1D")</f>
        <v>-0.38119998574256897</v>
      </c>
      <c r="C297" t="str">
        <f>_xll.BDP("CB UN Equity","GICS_SECTOR_NAME")</f>
        <v>金融</v>
      </c>
      <c r="D297" t="str">
        <f>_xll.BDP("CB UN Equity","NAME_CHINESE_TRADITIONAL")</f>
        <v>丘博有限公司</v>
      </c>
      <c r="E297" t="str">
        <f>_xll.BDP("CB UN Equity","CLASSIFICATION_LEVEL_4_NAME")</f>
        <v>產物及意外保險</v>
      </c>
      <c r="F297" t="str">
        <f>_xll.BDP("CB UN Equity","CLASSIFICATION_DESCRIPTION")</f>
        <v>產物意外商業保險</v>
      </c>
      <c r="G297">
        <f>_xll.BDP("CB UN Equity","CUR_MKT_CAP")</f>
        <v>107855324039.04999</v>
      </c>
      <c r="H297">
        <f>_xll.BDP("CB UN Equity","CHG_PCT_YTD")</f>
        <v>-2.5877629999999998</v>
      </c>
      <c r="I297" t="str">
        <f>_xll.BDP("CB UN Equity","CIE_DES")</f>
        <v>丘博有限公司(Chubb Limited)經營產險和意外保險的公司。該公司提供商業及個人產險、意外險及個人意外與補充健康保險、再保險及壽險予客戶。</v>
      </c>
      <c r="J297">
        <f>_xll.BDP("CB UN Equity","ESG_SCORE")</f>
        <v>2.309999942779541</v>
      </c>
      <c r="K297" t="str">
        <f>_xll.BDP("CB UN Equity","MSCI_ESG_RATING")</f>
        <v>A</v>
      </c>
      <c r="L297">
        <f>_xll.BDP("CB UN Equity","EQY_BETA")</f>
        <v>0.51999866962432861</v>
      </c>
      <c r="M297">
        <f>_xll.BDP("CB UN Equity","VOLATILITY_60D")</f>
        <v>19.321948116425027</v>
      </c>
      <c r="N297">
        <f>_xll.BDP("CB UN Equity","PCT_INSIDER_SHARES_OUT")</f>
        <v>0.45707459741164597</v>
      </c>
      <c r="O297">
        <f>_xll.BDP("CB UN Equity","PCT_CHG_INSIDER_HOLDINGS")</f>
        <v>-4.59404267410756</v>
      </c>
      <c r="P297">
        <f>_xll.BDP("CB UN Equity","RISK_PREMIUM")</f>
        <v>2.6786847467958927</v>
      </c>
      <c r="Q297">
        <f>_xll.BDP("CB UN Equity","HIGH_52WEEK")</f>
        <v>306.91000000000003</v>
      </c>
      <c r="R297">
        <f>_xll.BDP("CB UN Equity","LOW_52WEEK")</f>
        <v>252.17</v>
      </c>
    </row>
    <row r="298" spans="1:18" ht="15.75" x14ac:dyDescent="0.25">
      <c r="A298" t="s">
        <v>314</v>
      </c>
      <c r="B298">
        <f>_xll.BDP("HOLX UW Equity","RT_PX_CHG_PCT_1D")</f>
        <v>0.60509997606277466</v>
      </c>
      <c r="C298" t="str">
        <f>_xll.BDP("HOLX UW Equity","GICS_SECTOR_NAME")</f>
        <v>醫療保健</v>
      </c>
      <c r="D298" t="str">
        <f>_xll.BDP("HOLX UW Equity","NAME_CHINESE_TRADITIONAL")</f>
        <v>Hologic公司</v>
      </c>
      <c r="E298" t="str">
        <f>_xll.BDP("HOLX UW Equity","CLASSIFICATION_LEVEL_4_NAME")</f>
        <v>生命科學設備</v>
      </c>
      <c r="F298" t="str">
        <f>_xll.BDP("HOLX UW Equity","CLASSIFICATION_DESCRIPTION")</f>
        <v>體外診斷</v>
      </c>
      <c r="G298">
        <f>_xll.BDP("HOLX UW Equity","CUR_MKT_CAP")</f>
        <v>14819208859</v>
      </c>
      <c r="H298">
        <f>_xll.BDP("HOLX UW Equity","CHG_PCT_YTD")</f>
        <v>-7.7541909999999996</v>
      </c>
      <c r="I298" t="str">
        <f>_xll.BDP("HOLX UW Equity","CIE_DES")</f>
        <v>Hologic公司(Hologic, Inc.)開發、製造並供應高級診斷產品、醫療影像系統及外科產品。該公司的核心事業單位致力於診斷、乳房健康、婦科外科及骨骼健康。</v>
      </c>
      <c r="J298">
        <f>_xll.BDP("HOLX UW Equity","ESG_SCORE")</f>
        <v>4.369999885559082</v>
      </c>
      <c r="K298" t="str">
        <f>_xll.BDP("HOLX UW Equity","MSCI_ESG_RATING")</f>
        <v>AA</v>
      </c>
      <c r="L298">
        <f>_xll.BDP("HOLX UW Equity","EQY_BETA")</f>
        <v>0.43395611643791199</v>
      </c>
      <c r="M298">
        <f>_xll.BDP("HOLX UW Equity","VOLATILITY_60D")</f>
        <v>39.086452630055234</v>
      </c>
      <c r="N298">
        <f>_xll.BDP("HOLX UW Equity","PCT_INSIDER_SHARES_OUT")</f>
        <v>1.4805788951254055</v>
      </c>
      <c r="O298">
        <f>_xll.BDP("HOLX UW Equity","PCT_CHG_INSIDER_HOLDINGS")</f>
        <v>0.64436327031746876</v>
      </c>
      <c r="P298">
        <f>_xll.BDP("HOLX UW Equity","RISK_PREMIUM")</f>
        <v>2.2354511612901091</v>
      </c>
      <c r="Q298">
        <f>_xll.BDP("HOLX UW Equity","HIGH_52WEEK")</f>
        <v>84.67</v>
      </c>
      <c r="R298">
        <f>_xll.BDP("HOLX UW Equity","LOW_52WEEK")</f>
        <v>51.9</v>
      </c>
    </row>
    <row r="299" spans="1:18" ht="15.75" x14ac:dyDescent="0.25">
      <c r="A299" t="s">
        <v>315</v>
      </c>
      <c r="B299">
        <f>_xll.BDP("CFG UN Equity","RT_PX_CHG_PCT_1D")</f>
        <v>0.4260999858379364</v>
      </c>
      <c r="C299" t="str">
        <f>_xll.BDP("CFG UN Equity","GICS_SECTOR_NAME")</f>
        <v>金融</v>
      </c>
      <c r="D299" t="str">
        <f>_xll.BDP("CFG UN Equity","NAME_CHINESE_TRADITIONAL")</f>
        <v>公民金融集團公司</v>
      </c>
      <c r="E299" t="str">
        <f>_xll.BDP("CFG UN Equity","CLASSIFICATION_LEVEL_4_NAME")</f>
        <v>銀行</v>
      </c>
      <c r="F299" t="str">
        <f>_xll.BDP("CFG UN Equity","CLASSIFICATION_DESCRIPTION")</f>
        <v>零售銀行</v>
      </c>
      <c r="G299">
        <f>_xll.BDP("CFG UN Equity","CUR_MKT_CAP")</f>
        <v>21461294849.82</v>
      </c>
      <c r="H299">
        <f>_xll.BDP("CFG UN Equity","CHG_PCT_YTD")</f>
        <v>13.094150000000001</v>
      </c>
      <c r="I299" t="str">
        <f>_xll.BDP("CFG UN Equity","CIE_DES")</f>
        <v>公民金融集團公司（Citizens Financial Group, Inc.）提供全方位的商業銀行服務。該銀行提供消費與商業貸款、抵押融資、存款產品、零售與商業銀行、資產管理，以及信託服務。公民金融集團服務美國的個人、小型企業、中間市場公司、公司企業，以及機構。</v>
      </c>
      <c r="J299">
        <f>_xll.BDP("CFG UN Equity","ESG_SCORE")</f>
        <v>3.5699999332427979</v>
      </c>
      <c r="K299" t="str">
        <f>_xll.BDP("CFG UN Equity","MSCI_ESG_RATING")</f>
        <v>A</v>
      </c>
      <c r="L299">
        <f>_xll.BDP("CFG UN Equity","EQY_BETA")</f>
        <v>1.252483606338501</v>
      </c>
      <c r="M299">
        <f>_xll.BDP("CFG UN Equity","VOLATILITY_60D")</f>
        <v>27.051459703764948</v>
      </c>
      <c r="N299">
        <f>_xll.BDP("CFG UN Equity","PCT_INSIDER_SHARES_OUT")</f>
        <v>0.77305509085571711</v>
      </c>
      <c r="O299">
        <f>_xll.BDP("CFG UN Equity","PCT_CHG_INSIDER_HOLDINGS")</f>
        <v>9.2510668330656429</v>
      </c>
      <c r="P299">
        <f>_xll.BDP("CFG UN Equity","RISK_PREMIUM")</f>
        <v>6.4519563758397096</v>
      </c>
      <c r="Q299">
        <f>_xll.BDP("CFG UN Equity","HIGH_52WEEK")</f>
        <v>49.98</v>
      </c>
      <c r="R299">
        <f>_xll.BDP("CFG UN Equity","LOW_52WEEK")</f>
        <v>32.625</v>
      </c>
    </row>
    <row r="300" spans="1:18" ht="15.75" x14ac:dyDescent="0.25">
      <c r="A300" t="s">
        <v>316</v>
      </c>
      <c r="B300">
        <f>_xll.BDP("JBL UN Equity","RT_PX_CHG_PCT_1D")</f>
        <v>1.8954999446868896</v>
      </c>
      <c r="C300" t="str">
        <f>_xll.BDP("JBL UN Equity","GICS_SECTOR_NAME")</f>
        <v>資訊技術</v>
      </c>
      <c r="D300" t="str">
        <f>_xll.BDP("JBL UN Equity","NAME_CHINESE_TRADITIONAL")</f>
        <v>捷普公司</v>
      </c>
      <c r="E300" t="str">
        <f>_xll.BDP("JBL UN Equity","CLASSIFICATION_LEVEL_4_NAME")</f>
        <v>EMS/ODM</v>
      </c>
      <c r="F300" t="str">
        <f>_xll.BDP("JBL UN Equity","CLASSIFICATION_DESCRIPTION")</f>
        <v>EMS/ODM</v>
      </c>
      <c r="G300">
        <f>_xll.BDP("JBL UN Equity","CUR_MKT_CAP")</f>
        <v>23883807174.350002</v>
      </c>
      <c r="H300">
        <f>_xll.BDP("JBL UN Equity","CHG_PCT_YTD")</f>
        <v>54.656019999999998</v>
      </c>
      <c r="I300" t="str">
        <f>_xll.BDP("JBL UN Equity","CIE_DES")</f>
        <v>捷普公司(Jabil Inc.)為一家製造服務公司。該公司提供數位原型設計、印刷電子、裝置整合、電路設計，以及音量面板組裝服務。捷普服務全球各地的汽車、消費性醫療保健、資料中心、能源，以及國防與航太產業。</v>
      </c>
      <c r="J300">
        <f>_xll.BDP("JBL UN Equity","ESG_SCORE")</f>
        <v>4.7399997711181641</v>
      </c>
      <c r="K300" t="str">
        <f>_xll.BDP("JBL UN Equity","MSCI_ESG_RATING")</f>
        <v>A</v>
      </c>
      <c r="L300">
        <f>_xll.BDP("JBL UN Equity","EQY_BETA")</f>
        <v>1.3379478454589844</v>
      </c>
      <c r="M300">
        <f>_xll.BDP("JBL UN Equity","VOLATILITY_60D")</f>
        <v>30.131456422420783</v>
      </c>
      <c r="N300">
        <f>_xll.BDP("JBL UN Equity","PCT_INSIDER_SHARES_OUT")</f>
        <v>3.1076074275895742</v>
      </c>
      <c r="O300">
        <f>_xll.BDP("JBL UN Equity","PCT_CHG_INSIDER_HOLDINGS")</f>
        <v>-12.004083375153892</v>
      </c>
      <c r="P300">
        <f>_xll.BDP("JBL UN Equity","RISK_PREMIUM")</f>
        <v>6.8922108747482298</v>
      </c>
      <c r="Q300">
        <f>_xll.BDP("JBL UN Equity","HIGH_52WEEK")</f>
        <v>229.16</v>
      </c>
      <c r="R300">
        <f>_xll.BDP("JBL UN Equity","LOW_52WEEK")</f>
        <v>96.08</v>
      </c>
    </row>
    <row r="301" spans="1:18" ht="15.75" x14ac:dyDescent="0.25">
      <c r="A301" t="s">
        <v>317</v>
      </c>
      <c r="B301">
        <f>_xll.BDP("ORLY UW Equity","RT_PX_CHG_PCT_1D")</f>
        <v>-0.50940001010894775</v>
      </c>
      <c r="C301" t="str">
        <f>_xll.BDP("ORLY UW Equity","GICS_SECTOR_NAME")</f>
        <v>非核心消費</v>
      </c>
      <c r="D301" t="str">
        <f>_xll.BDP("ORLY UW Equity","NAME_CHINESE_TRADITIONAL")</f>
        <v>奧賴利汽車公司</v>
      </c>
      <c r="E301" t="str">
        <f>_xll.BDP("ORLY UW Equity","CLASSIFICATION_LEVEL_4_NAME")</f>
        <v>汽車零售商</v>
      </c>
      <c r="F301" t="str">
        <f>_xll.BDP("ORLY UW Equity","CLASSIFICATION_DESCRIPTION")</f>
        <v>汽車零件及配件店</v>
      </c>
      <c r="G301">
        <f>_xll.BDP("ORLY UW Equity","CUR_MKT_CAP")</f>
        <v>83483852629.499985</v>
      </c>
      <c r="H301">
        <f>_xll.BDP("ORLY UW Equity","CHG_PCT_YTD")</f>
        <v>23.536850000000001</v>
      </c>
      <c r="I301" t="str">
        <f>_xll.BDP("ORLY UW Equity","CIE_DES")</f>
        <v>奧賴利汽車公司(O'Reilly Automotive, Inc.)零售及供應汽車售後市場零件、工具、供應、設備，及配件。該公司銷售其產品予自助式客戶、專業技師，以及服務技師。奧賴利汽車經營據點遍及全美。</v>
      </c>
      <c r="J301">
        <f>_xll.BDP("ORLY UW Equity","ESG_SCORE")</f>
        <v>3.9000000953674316</v>
      </c>
      <c r="K301" t="str">
        <f>_xll.BDP("ORLY UW Equity","MSCI_ESG_RATING")</f>
        <v>A</v>
      </c>
      <c r="L301">
        <f>_xll.BDP("ORLY UW Equity","EQY_BETA")</f>
        <v>0.50606876611709595</v>
      </c>
      <c r="M301">
        <f>_xll.BDP("ORLY UW Equity","VOLATILITY_60D")</f>
        <v>20.640878305334542</v>
      </c>
      <c r="N301">
        <f>_xll.BDP("ORLY UW Equity","PCT_INSIDER_SHARES_OUT")</f>
        <v>0.78896177047027893</v>
      </c>
      <c r="O301">
        <f>_xll.BDP("ORLY UW Equity","PCT_CHG_INSIDER_HOLDINGS")</f>
        <v>-2.2426838283254336</v>
      </c>
      <c r="P301">
        <f>_xll.BDP("ORLY UW Equity","RISK_PREMIUM")</f>
        <v>2.6069272169619797</v>
      </c>
      <c r="Q301">
        <f>_xll.BDP("ORLY UW Equity","HIGH_52WEEK")</f>
        <v>100.08</v>
      </c>
      <c r="R301">
        <f>_xll.BDP("ORLY UW Equity","LOW_52WEEK")</f>
        <v>73.111999999999995</v>
      </c>
    </row>
    <row r="302" spans="1:18" ht="15.75" x14ac:dyDescent="0.25">
      <c r="A302" t="s">
        <v>318</v>
      </c>
      <c r="B302">
        <f>_xll.BDP("ALL UN Equity","RT_PX_CHG_PCT_1D")</f>
        <v>0.90750002861022949</v>
      </c>
      <c r="C302" t="str">
        <f>_xll.BDP("ALL UN Equity","GICS_SECTOR_NAME")</f>
        <v>金融</v>
      </c>
      <c r="D302" t="str">
        <f>_xll.BDP("ALL UN Equity","NAME_CHINESE_TRADITIONAL")</f>
        <v>好事達保險公司</v>
      </c>
      <c r="E302" t="str">
        <f>_xll.BDP("ALL UN Equity","CLASSIFICATION_LEVEL_4_NAME")</f>
        <v>產物及意外保險</v>
      </c>
      <c r="F302" t="str">
        <f>_xll.BDP("ALL UN Equity","CLASSIFICATION_DESCRIPTION")</f>
        <v>產物及意外保險</v>
      </c>
      <c r="G302">
        <f>_xll.BDP("ALL UN Equity","CUR_MKT_CAP")</f>
        <v>51824785728.499992</v>
      </c>
      <c r="H302">
        <f>_xll.BDP("ALL UN Equity","CHG_PCT_YTD")</f>
        <v>1.5094179999999999</v>
      </c>
      <c r="I302" t="str">
        <f>_xll.BDP("ALL UN Equity","CIE_DES")</f>
        <v>好事達保險公司(Allstate Corporation)提供房地產責任保險解決方案。該公司透過獨立和專業經紀人，銷售個人載客用汽車和自有住宅保險，並透過代理商，銷售人壽保險、年金，以及團體退休金產品。好事達保險服務美國及加拿大的客戶。</v>
      </c>
      <c r="J302">
        <f>_xll.BDP("ALL UN Equity","ESG_SCORE")</f>
        <v>4.5900001525878906</v>
      </c>
      <c r="K302" t="str">
        <f>_xll.BDP("ALL UN Equity","MSCI_ESG_RATING")</f>
        <v>A</v>
      </c>
      <c r="L302">
        <f>_xll.BDP("ALL UN Equity","EQY_BETA")</f>
        <v>0.65787011384963989</v>
      </c>
      <c r="M302">
        <f>_xll.BDP("ALL UN Equity","VOLATILITY_60D")</f>
        <v>22.802155645789682</v>
      </c>
      <c r="N302">
        <f>_xll.BDP("ALL UN Equity","PCT_INSIDER_SHARES_OUT")</f>
        <v>0.42439912770115262</v>
      </c>
      <c r="O302">
        <f>_xll.BDP("ALL UN Equity","PCT_CHG_INSIDER_HOLDINGS")</f>
        <v>-5.5130938669638727</v>
      </c>
      <c r="P302">
        <f>_xll.BDP("ALL UN Equity","RISK_PREMIUM")</f>
        <v>3.3889060535770654</v>
      </c>
      <c r="Q302">
        <f>_xll.BDP("ALL UN Equity","HIGH_52WEEK")</f>
        <v>213.06</v>
      </c>
      <c r="R302">
        <f>_xll.BDP("ALL UN Equity","LOW_52WEEK")</f>
        <v>168.36</v>
      </c>
    </row>
    <row r="303" spans="1:18" ht="15.75" x14ac:dyDescent="0.25">
      <c r="A303" t="s">
        <v>319</v>
      </c>
      <c r="B303">
        <f>_xll.BDP("EQR UN Equity","RT_PX_CHG_PCT_1D")</f>
        <v>-0.4138999879360199</v>
      </c>
      <c r="C303" t="str">
        <f>_xll.BDP("EQR UN Equity","GICS_SECTOR_NAME")</f>
        <v>房地產</v>
      </c>
      <c r="D303" t="str">
        <f>_xll.BDP("EQR UN Equity","NAME_CHINESE_TRADITIONAL")</f>
        <v>公平住屋公司</v>
      </c>
      <c r="E303" t="str">
        <f>_xll.BDP("EQR UN Equity","CLASSIFICATION_LEVEL_4_NAME")</f>
        <v>住宅不動產投資信託</v>
      </c>
      <c r="F303" t="str">
        <f>_xll.BDP("EQR UN Equity","CLASSIFICATION_DESCRIPTION")</f>
        <v>公寓REIT</v>
      </c>
      <c r="G303">
        <f>_xll.BDP("EQR UN Equity","CUR_MKT_CAP")</f>
        <v>25596805047.900009</v>
      </c>
      <c r="H303">
        <f>_xll.BDP("EQR UN Equity","CHG_PCT_YTD")</f>
        <v>-6.1176170000000001</v>
      </c>
      <c r="I303" t="str">
        <f>_xll.BDP("EQR UN Equity","CIE_DES")</f>
        <v>公平住屋公司(Equity Residential)為一家不動產投資信託公司。該信託收購、開發並管理美國的複合式公寓。</v>
      </c>
      <c r="J303">
        <f>_xll.BDP("EQR UN Equity","ESG_SCORE")</f>
        <v>5.809999942779541</v>
      </c>
      <c r="K303" t="str">
        <f>_xll.BDP("EQR UN Equity","MSCI_ESG_RATING")</f>
        <v>BBB</v>
      </c>
      <c r="L303">
        <f>_xll.BDP("EQR UN Equity","EQY_BETA")</f>
        <v>0.78426313400268555</v>
      </c>
      <c r="M303">
        <f>_xll.BDP("EQR UN Equity","VOLATILITY_60D")</f>
        <v>18.830489632662083</v>
      </c>
      <c r="N303">
        <f>_xll.BDP("EQR UN Equity","PCT_INSIDER_SHARES_OUT")</f>
        <v>1.6268128672748092</v>
      </c>
      <c r="O303">
        <f>_xll.BDP("EQR UN Equity","PCT_CHG_INSIDER_HOLDINGS")</f>
        <v>0.2935640003433459</v>
      </c>
      <c r="P303">
        <f>_xll.BDP("EQR UN Equity","RISK_PREMIUM")</f>
        <v>4.0399982100820537</v>
      </c>
      <c r="Q303">
        <f>_xll.BDP("EQR UN Equity","HIGH_52WEEK")</f>
        <v>78.81</v>
      </c>
      <c r="R303">
        <f>_xll.BDP("EQR UN Equity","LOW_52WEEK")</f>
        <v>59.61</v>
      </c>
    </row>
    <row r="304" spans="1:18" ht="15.75" x14ac:dyDescent="0.25">
      <c r="A304" t="s">
        <v>320</v>
      </c>
      <c r="B304">
        <f>_xll.BDP("KDP UW Equity","RT_PX_CHG_PCT_1D")</f>
        <v>-0.8937000036239624</v>
      </c>
      <c r="C304" t="str">
        <f>_xll.BDP("KDP UW Equity","GICS_SECTOR_NAME")</f>
        <v>核心消費</v>
      </c>
      <c r="D304" t="str">
        <f>_xll.BDP("KDP UW Equity","NAME_CHINESE_TRADITIONAL")</f>
        <v>克里格胡椒博士公司</v>
      </c>
      <c r="E304" t="str">
        <f>_xll.BDP("KDP UW Equity","CLASSIFICATION_LEVEL_4_NAME")</f>
        <v>非酒精飲料</v>
      </c>
      <c r="F304" t="str">
        <f>_xll.BDP("KDP UW Equity","CLASSIFICATION_DESCRIPTION")</f>
        <v>非酒精飲料</v>
      </c>
      <c r="G304">
        <f>_xll.BDP("KDP UW Equity","CUR_MKT_CAP")</f>
        <v>45195141732.330002</v>
      </c>
      <c r="H304">
        <f>_xll.BDP("KDP UW Equity","CHG_PCT_YTD")</f>
        <v>3.580327</v>
      </c>
      <c r="I304" t="str">
        <f>_xll.BDP("KDP UW Equity","CIE_DES")</f>
        <v>克里格胡椒博士公司(Keurig Dr Pepper Inc.)製造並經銷非酒精性飲料。該公司提供軟性飲料、果汁、茶飲、混合飲料、水，以及其它飲料。克里格胡椒博士服務美國、加拿大及墨西哥的客戶。</v>
      </c>
      <c r="J304">
        <f>_xll.BDP("KDP UW Equity","ESG_SCORE")</f>
        <v>6.4899997711181641</v>
      </c>
      <c r="K304" t="str">
        <f>_xll.BDP("KDP UW Equity","MSCI_ESG_RATING")</f>
        <v>AA</v>
      </c>
      <c r="L304">
        <f>_xll.BDP("KDP UW Equity","EQY_BETA")</f>
        <v>0.45387673377990723</v>
      </c>
      <c r="M304">
        <f>_xll.BDP("KDP UW Equity","VOLATILITY_60D")</f>
        <v>16.316145284329505</v>
      </c>
      <c r="N304">
        <f>_xll.BDP("KDP UW Equity","PCT_INSIDER_SHARES_OUT")</f>
        <v>1.0188726733336524</v>
      </c>
      <c r="O304">
        <f>_xll.BDP("KDP UW Equity","PCT_CHG_INSIDER_HOLDINGS")</f>
        <v>-6.368820064546667</v>
      </c>
      <c r="P304">
        <f>_xll.BDP("KDP UW Equity","RISK_PREMIUM")</f>
        <v>2.3380688350224492</v>
      </c>
      <c r="Q304">
        <f>_xll.BDP("KDP UW Equity","HIGH_52WEEK")</f>
        <v>38.274999999999999</v>
      </c>
      <c r="R304">
        <f>_xll.BDP("KDP UW Equity","LOW_52WEEK")</f>
        <v>30.12</v>
      </c>
    </row>
    <row r="305" spans="1:18" ht="15.75" x14ac:dyDescent="0.25">
      <c r="A305" t="s">
        <v>321</v>
      </c>
      <c r="B305">
        <f>_xll.BDP("HST UW Equity","RT_PX_CHG_PCT_1D")</f>
        <v>0.73040002584457397</v>
      </c>
      <c r="C305" t="str">
        <f>_xll.BDP("HST UW Equity","GICS_SECTOR_NAME")</f>
        <v>房地產</v>
      </c>
      <c r="D305" t="str">
        <f>_xll.BDP("HST UW Equity","NAME_CHINESE_TRADITIONAL")</f>
        <v>Host旅館及度假村公司</v>
      </c>
      <c r="E305" t="str">
        <f>_xll.BDP("HST UW Equity","CLASSIFICATION_LEVEL_4_NAME")</f>
        <v>飯店所有權REIT</v>
      </c>
      <c r="F305" t="str">
        <f>_xll.BDP("HST UW Equity","CLASSIFICATION_DESCRIPTION")</f>
        <v>飯店所有權REIT</v>
      </c>
      <c r="G305">
        <f>_xll.BDP("HST UW Equity","CUR_MKT_CAP")</f>
        <v>11480973700.65</v>
      </c>
      <c r="H305">
        <f>_xll.BDP("HST UW Equity","CHG_PCT_YTD")</f>
        <v>-5.5365320000000002</v>
      </c>
      <c r="I305" t="str">
        <f>_xll.BDP("HST UW Equity","CIE_DES")</f>
        <v>Host旅館及度假村公司(Host Hotels &amp; Resorts Inc.)為不動產信託公司。該信託公司擁有或持有高級豪華全方位服務的飯店主要股權，地點位於華盛頓特區、加拿大多倫多與卡加利、墨西哥市、智利聖地牙哥，以及義大利、西班牙、波蘭、比利時、荷蘭及英國。</v>
      </c>
      <c r="J305">
        <f>_xll.BDP("HST UW Equity","ESG_SCORE")</f>
        <v>5.8600001335144043</v>
      </c>
      <c r="K305" t="str">
        <f>_xll.BDP("HST UW Equity","MSCI_ESG_RATING")</f>
        <v>N.S.</v>
      </c>
      <c r="L305">
        <f>_xll.BDP("HST UW Equity","EQY_BETA")</f>
        <v>1.0411719083786011</v>
      </c>
      <c r="M305">
        <f>_xll.BDP("HST UW Equity","VOLATILITY_60D")</f>
        <v>27.897549244089454</v>
      </c>
      <c r="N305">
        <f>_xll.BDP("HST UW Equity","PCT_INSIDER_SHARES_OUT")</f>
        <v>1.4788212705257378</v>
      </c>
      <c r="O305">
        <f>_xll.BDP("HST UW Equity","PCT_CHG_INSIDER_HOLDINGS")</f>
        <v>7.7649900408859134</v>
      </c>
      <c r="P305">
        <f>_xll.BDP("HST UW Equity","RISK_PREMIUM")</f>
        <v>5.3634200867879391</v>
      </c>
      <c r="Q305">
        <f>_xll.BDP("HST UW Equity","HIGH_52WEEK")</f>
        <v>19.251100000000001</v>
      </c>
      <c r="R305">
        <f>_xll.BDP("HST UW Equity","LOW_52WEEK")</f>
        <v>12.22</v>
      </c>
    </row>
    <row r="306" spans="1:18" ht="15.75" x14ac:dyDescent="0.25">
      <c r="A306" t="s">
        <v>322</v>
      </c>
      <c r="B306">
        <f>_xll.BDP("INCY UW Equity","RT_PX_CHG_PCT_1D")</f>
        <v>-0.41139999032020569</v>
      </c>
      <c r="C306" t="str">
        <f>_xll.BDP("INCY UW Equity","GICS_SECTOR_NAME")</f>
        <v>醫療保健</v>
      </c>
      <c r="D306" t="str">
        <f>_xll.BDP("INCY UW Equity","NAME_CHINESE_TRADITIONAL")</f>
        <v>英賽德公司</v>
      </c>
      <c r="E306" t="str">
        <f>_xll.BDP("INCY UW Equity","CLASSIFICATION_LEVEL_4_NAME")</f>
        <v>生物科技</v>
      </c>
      <c r="F306" t="str">
        <f>_xll.BDP("INCY UW Equity","CLASSIFICATION_DESCRIPTION")</f>
        <v>生物科技</v>
      </c>
      <c r="G306">
        <f>_xll.BDP("INCY UW Equity","CUR_MKT_CAP")</f>
        <v>13588609366.799999</v>
      </c>
      <c r="H306">
        <f>_xll.BDP("INCY UW Equity","CHG_PCT_YTD")</f>
        <v>1.6360220000000001</v>
      </c>
      <c r="I306" t="str">
        <f>_xll.BDP("INCY UW Equity","CIE_DES")</f>
        <v>英賽德公司(Incyte Corporation)為生物製藥公司。該公司研發、開發及商業化專屬的小分子藥物，主要用於腫瘤科。</v>
      </c>
      <c r="J306">
        <f>_xll.BDP("INCY UW Equity","ESG_SCORE")</f>
        <v>4.5300002098083496</v>
      </c>
      <c r="K306" t="str">
        <f>_xll.BDP("INCY UW Equity","MSCI_ESG_RATING")</f>
        <v>AA</v>
      </c>
      <c r="L306">
        <f>_xll.BDP("INCY UW Equity","EQY_BETA")</f>
        <v>0.70737409591674805</v>
      </c>
      <c r="M306">
        <f>_xll.BDP("INCY UW Equity","VOLATILITY_60D")</f>
        <v>30.52739658362033</v>
      </c>
      <c r="N306">
        <f>_xll.BDP("INCY UW Equity","PCT_INSIDER_SHARES_OUT")</f>
        <v>1.0525277948689338</v>
      </c>
      <c r="O306">
        <f>_xll.BDP("INCY UW Equity","PCT_CHG_INSIDER_HOLDINGS")</f>
        <v>13.147695118666469</v>
      </c>
      <c r="P306">
        <f>_xll.BDP("INCY UW Equity","RISK_PREMIUM")</f>
        <v>3.6439174015188214</v>
      </c>
      <c r="Q306">
        <f>_xll.BDP("INCY UW Equity","HIGH_52WEEK")</f>
        <v>83.94</v>
      </c>
      <c r="R306">
        <f>_xll.BDP("INCY UW Equity","LOW_52WEEK")</f>
        <v>53.56</v>
      </c>
    </row>
    <row r="307" spans="1:18" ht="15.75" x14ac:dyDescent="0.25">
      <c r="A307" t="s">
        <v>323</v>
      </c>
      <c r="B307">
        <f>_xll.BDP("SPG UN Equity","RT_PX_CHG_PCT_1D")</f>
        <v>1.3033000230789185</v>
      </c>
      <c r="C307" t="str">
        <f>_xll.BDP("SPG UN Equity","GICS_SECTOR_NAME")</f>
        <v>房地產</v>
      </c>
      <c r="D307" t="str">
        <f>_xll.BDP("SPG UN Equity","NAME_CHINESE_TRADITIONAL")</f>
        <v>賽門物業集團</v>
      </c>
      <c r="E307" t="str">
        <f>_xll.BDP("SPG UN Equity","CLASSIFICATION_LEVEL_4_NAME")</f>
        <v>零售不動產投資信託</v>
      </c>
      <c r="F307" t="str">
        <f>_xll.BDP("SPG UN Equity","CLASSIFICATION_DESCRIPTION")</f>
        <v>地區購物中心REIT</v>
      </c>
      <c r="G307">
        <f>_xll.BDP("SPG UN Equity","CUR_MKT_CAP")</f>
        <v>54548888267.290009</v>
      </c>
      <c r="H307">
        <f>_xll.BDP("SPG UN Equity","CHG_PCT_YTD")</f>
        <v>-2.9615040000000001</v>
      </c>
      <c r="I307" t="str">
        <f>_xll.BDP("SPG UN Equity","CIE_DES")</f>
        <v>賽門物業集團公司(Simon Property Group, Inc.)為自行管理的不動產投資信託。該公司擁有、開發並管理零售不動產物業，包括地區購物中心、暢貨中心、社區/生活時尚中心，以及國際物業。賽門物業集團服務印第安那州的客戶。</v>
      </c>
      <c r="J307">
        <f>_xll.BDP("SPG UN Equity","ESG_SCORE")</f>
        <v>3.9800000190734863</v>
      </c>
      <c r="K307" t="str">
        <f>_xll.BDP("SPG UN Equity","MSCI_ESG_RATING")</f>
        <v>BBB</v>
      </c>
      <c r="L307">
        <f>_xll.BDP("SPG UN Equity","EQY_BETA")</f>
        <v>0.97890830039978027</v>
      </c>
      <c r="M307">
        <f>_xll.BDP("SPG UN Equity","VOLATILITY_60D")</f>
        <v>23.349093350365596</v>
      </c>
      <c r="N307">
        <f>_xll.BDP("SPG UN Equity","PCT_INSIDER_SHARES_OUT")</f>
        <v>0.52496653054222053</v>
      </c>
      <c r="O307">
        <f>_xll.BDP("SPG UN Equity","PCT_CHG_INSIDER_HOLDINGS")</f>
        <v>0.82153802886179661</v>
      </c>
      <c r="P307">
        <f>_xll.BDP("SPG UN Equity","RISK_PREMIUM")</f>
        <v>5.0426796950983999</v>
      </c>
      <c r="Q307">
        <f>_xll.BDP("SPG UN Equity","HIGH_52WEEK")</f>
        <v>190.13499999999999</v>
      </c>
      <c r="R307">
        <f>_xll.BDP("SPG UN Equity","LOW_52WEEK")</f>
        <v>136.34</v>
      </c>
    </row>
    <row r="308" spans="1:18" ht="15.75" x14ac:dyDescent="0.25">
      <c r="A308" t="s">
        <v>324</v>
      </c>
      <c r="B308">
        <f>_xll.BDP("EMN UN Equity","RT_PX_CHG_PCT_1D")</f>
        <v>1.267300009727478</v>
      </c>
      <c r="C308" t="str">
        <f>_xll.BDP("EMN UN Equity","GICS_SECTOR_NAME")</f>
        <v>原材料</v>
      </c>
      <c r="D308" t="str">
        <f>_xll.BDP("EMN UN Equity","NAME_CHINESE_TRADITIONAL")</f>
        <v>伊士曼化學有限公司</v>
      </c>
      <c r="E308" t="str">
        <f>_xll.BDP("EMN UN Equity","CLASSIFICATION_LEVEL_4_NAME")</f>
        <v>基本及多元化學品</v>
      </c>
      <c r="F308" t="str">
        <f>_xll.BDP("EMN UN Equity","CLASSIFICATION_DESCRIPTION")</f>
        <v>基本及多元化學品</v>
      </c>
      <c r="G308">
        <f>_xll.BDP("EMN UN Equity","CUR_MKT_CAP")</f>
        <v>9041665395.4799995</v>
      </c>
      <c r="H308">
        <f>_xll.BDP("EMN UN Equity","CHG_PCT_YTD")</f>
        <v>-14.24661</v>
      </c>
      <c r="I308" t="str">
        <f>_xll.BDP("EMN UN Equity","CIE_DES")</f>
        <v>伊士曼化學有限公司(Eastman Chemical Company)為國際級化學公司，生產化學品、纖維及塑膠。該公司業務包括塗料、接著劑、特殊聚合體、墨水、纖維、高效能化學品和中間物、高效能聚合體以及特殊塑膠。</v>
      </c>
      <c r="J308">
        <f>_xll.BDP("EMN UN Equity","ESG_SCORE")</f>
        <v>4.1399998664855957</v>
      </c>
      <c r="K308" t="str">
        <f>_xll.BDP("EMN UN Equity","MSCI_ESG_RATING")</f>
        <v>N.S.</v>
      </c>
      <c r="L308">
        <f>_xll.BDP("EMN UN Equity","EQY_BETA")</f>
        <v>0.95564240217208862</v>
      </c>
      <c r="M308">
        <f>_xll.BDP("EMN UN Equity","VOLATILITY_60D")</f>
        <v>31.383072660457717</v>
      </c>
      <c r="N308">
        <f>_xll.BDP("EMN UN Equity","PCT_INSIDER_SHARES_OUT")</f>
        <v>0.75510805050065</v>
      </c>
      <c r="O308">
        <f>_xll.BDP("EMN UN Equity","PCT_CHG_INSIDER_HOLDINGS")</f>
        <v>15.456696802797932</v>
      </c>
      <c r="P308">
        <f>_xll.BDP("EMN UN Equity","RISK_PREMIUM")</f>
        <v>4.922829375581145</v>
      </c>
      <c r="Q308">
        <f>_xll.BDP("EMN UN Equity","HIGH_52WEEK")</f>
        <v>114.49</v>
      </c>
      <c r="R308">
        <f>_xll.BDP("EMN UN Equity","LOW_52WEEK")</f>
        <v>70.959999999999994</v>
      </c>
    </row>
    <row r="309" spans="1:18" ht="15.75" x14ac:dyDescent="0.25">
      <c r="A309" t="s">
        <v>325</v>
      </c>
      <c r="B309">
        <f>_xll.BDP("AVB UN Equity","RT_PX_CHG_PCT_1D")</f>
        <v>7.9400002956390381E-2</v>
      </c>
      <c r="C309" t="str">
        <f>_xll.BDP("AVB UN Equity","GICS_SECTOR_NAME")</f>
        <v>房地產</v>
      </c>
      <c r="D309" t="str">
        <f>_xll.BDP("AVB UN Equity","NAME_CHINESE_TRADITIONAL")</f>
        <v>AvalonBay Communities Inc</v>
      </c>
      <c r="E309" t="str">
        <f>_xll.BDP("AVB UN Equity","CLASSIFICATION_LEVEL_4_NAME")</f>
        <v>住宅不動產投資信託</v>
      </c>
      <c r="F309" t="str">
        <f>_xll.BDP("AVB UN Equity","CLASSIFICATION_DESCRIPTION")</f>
        <v>公寓REIT</v>
      </c>
      <c r="G309">
        <f>_xll.BDP("AVB UN Equity","CUR_MKT_CAP")</f>
        <v>28722779709.75</v>
      </c>
      <c r="H309">
        <f>_xll.BDP("AVB UN Equity","CHG_PCT_YTD")</f>
        <v>-8.2829479999999993</v>
      </c>
      <c r="I309" t="str">
        <f>_xll.BDP("AVB UN Equity","CIE_DES")</f>
        <v>AvalonBay社區公司(AvalonBay Communities, Inc.)為不動產投資信託公司。該公司於美國開發、再開發、收購、擁有並經營集合式住宅社區。</v>
      </c>
      <c r="J309">
        <f>_xll.BDP("AVB UN Equity","ESG_SCORE")</f>
        <v>6.2899999618530273</v>
      </c>
      <c r="K309" t="str">
        <f>_xll.BDP("AVB UN Equity","MSCI_ESG_RATING")</f>
        <v>A</v>
      </c>
      <c r="L309">
        <f>_xll.BDP("AVB UN Equity","EQY_BETA")</f>
        <v>0.79551023244857788</v>
      </c>
      <c r="M309">
        <f>_xll.BDP("AVB UN Equity","VOLATILITY_60D")</f>
        <v>17.796864185464745</v>
      </c>
      <c r="N309">
        <f>_xll.BDP("AVB UN Equity","PCT_INSIDER_SHARES_OUT")</f>
        <v>0.38129122760560297</v>
      </c>
      <c r="O309">
        <f>_xll.BDP("AVB UN Equity","PCT_CHG_INSIDER_HOLDINGS")</f>
        <v>11.600696311098545</v>
      </c>
      <c r="P309">
        <f>_xll.BDP("AVB UN Equity","RISK_PREMIUM")</f>
        <v>4.0979357257193323</v>
      </c>
      <c r="Q309">
        <f>_xll.BDP("AVB UN Equity","HIGH_52WEEK")</f>
        <v>239.01</v>
      </c>
      <c r="R309">
        <f>_xll.BDP("AVB UN Equity","LOW_52WEEK")</f>
        <v>180.67</v>
      </c>
    </row>
    <row r="310" spans="1:18" ht="15.75" x14ac:dyDescent="0.25">
      <c r="A310" t="s">
        <v>326</v>
      </c>
      <c r="B310">
        <f>_xll.BDP("PRU UN Equity","RT_PX_CHG_PCT_1D")</f>
        <v>0.8628000020980835</v>
      </c>
      <c r="C310" t="str">
        <f>_xll.BDP("PRU UN Equity","GICS_SECTOR_NAME")</f>
        <v>金融</v>
      </c>
      <c r="D310" t="str">
        <f>_xll.BDP("PRU UN Equity","NAME_CHINESE_TRADITIONAL")</f>
        <v>保德信金融</v>
      </c>
      <c r="E310" t="str">
        <f>_xll.BDP("PRU UN Equity","CLASSIFICATION_LEVEL_4_NAME")</f>
        <v>人壽保險</v>
      </c>
      <c r="F310" t="str">
        <f>_xll.BDP("PRU UN Equity","CLASSIFICATION_DESCRIPTION")</f>
        <v>人壽保險</v>
      </c>
      <c r="G310">
        <f>_xll.BDP("PRU UN Equity","CUR_MKT_CAP")</f>
        <v>37244340000</v>
      </c>
      <c r="H310">
        <f>_xll.BDP("PRU UN Equity","CHG_PCT_YTD")</f>
        <v>-11.23766</v>
      </c>
      <c r="I310" t="str">
        <f>_xll.BDP("PRU UN Equity","CIE_DES")</f>
        <v>保德信金融公司(Prudential Financial, Inc.)提供金融服務遍及全美和全球多個國家。該公司提供多種產品及服務，包括人壽保險、共同基金、年金、退休金與退休相關服務，以及管理與資產管理。</v>
      </c>
      <c r="J310">
        <f>_xll.BDP("PRU UN Equity","ESG_SCORE")</f>
        <v>3.6700000762939453</v>
      </c>
      <c r="K310" t="str">
        <f>_xll.BDP("PRU UN Equity","MSCI_ESG_RATING")</f>
        <v>AAA</v>
      </c>
      <c r="L310">
        <f>_xll.BDP("PRU UN Equity","EQY_BETA")</f>
        <v>0.92482119798660278</v>
      </c>
      <c r="M310">
        <f>_xll.BDP("PRU UN Equity","VOLATILITY_60D")</f>
        <v>21.650317038220852</v>
      </c>
      <c r="N310">
        <f>_xll.BDP("PRU UN Equity","PCT_INSIDER_SHARES_OUT")</f>
        <v>0.2096358757062147</v>
      </c>
      <c r="O310">
        <f>_xll.BDP("PRU UN Equity","PCT_CHG_INSIDER_HOLDINGS")</f>
        <v>23.311532722517438</v>
      </c>
      <c r="P310">
        <f>_xll.BDP("PRU UN Equity","RISK_PREMIUM")</f>
        <v>4.7640591818243259</v>
      </c>
      <c r="Q310">
        <f>_xll.BDP("PRU UN Equity","HIGH_52WEEK")</f>
        <v>130.44999999999999</v>
      </c>
      <c r="R310">
        <f>_xll.BDP("PRU UN Equity","LOW_52WEEK")</f>
        <v>90.45</v>
      </c>
    </row>
    <row r="311" spans="1:18" ht="15.75" x14ac:dyDescent="0.25">
      <c r="A311" t="s">
        <v>327</v>
      </c>
      <c r="B311">
        <f>_xll.BDP("UPS UN Equity","RT_PX_CHG_PCT_1D")</f>
        <v>1.0046000480651855</v>
      </c>
      <c r="C311" t="str">
        <f>_xll.BDP("UPS UN Equity","GICS_SECTOR_NAME")</f>
        <v>工業</v>
      </c>
      <c r="D311" t="str">
        <f>_xll.BDP("UPS UN Equity","NAME_CHINESE_TRADITIONAL")</f>
        <v>聯合包裹服務公司</v>
      </c>
      <c r="E311" t="str">
        <f>_xll.BDP("UPS UN Equity","CLASSIFICATION_LEVEL_4_NAME")</f>
        <v>快遞服務</v>
      </c>
      <c r="F311" t="str">
        <f>_xll.BDP("UPS UN Equity","CLASSIFICATION_DESCRIPTION")</f>
        <v>快遞服務</v>
      </c>
      <c r="G311">
        <f>_xll.BDP("UPS UN Equity","CUR_MKT_CAP")</f>
        <v>87694380789.360001</v>
      </c>
      <c r="H311">
        <f>_xll.BDP("UPS UN Equity","CHG_PCT_YTD")</f>
        <v>-17.874700000000001</v>
      </c>
      <c r="I311" t="str">
        <f>_xll.BDP("UPS UN Equity","CIE_DES")</f>
        <v>聯合包裹服務公司(United Parcel Service, Inc. (UPS))運送包裹與文件。該公司提供全球供應鏈服務與散裝貨運，主要的事業包括整合型空運及陸運取貨與運送網。聯合包裹服務公司服務全球客戶。</v>
      </c>
      <c r="J311">
        <f>_xll.BDP("UPS UN Equity","ESG_SCORE")</f>
        <v>3.8399999141693115</v>
      </c>
      <c r="K311" t="str">
        <f>_xll.BDP("UPS UN Equity","MSCI_ESG_RATING")</f>
        <v>BBB</v>
      </c>
      <c r="L311">
        <f>_xll.BDP("UPS UN Equity","EQY_BETA")</f>
        <v>0.8599972128868103</v>
      </c>
      <c r="M311">
        <f>_xll.BDP("UPS UN Equity","VOLATILITY_60D")</f>
        <v>25.531527762539323</v>
      </c>
      <c r="N311">
        <f>_xll.BDP("UPS UN Equity","PCT_INSIDER_SHARES_OUT")</f>
        <v>4.1881011441447367E-2</v>
      </c>
      <c r="O311">
        <f>_xll.BDP("UPS UN Equity","PCT_CHG_INSIDER_HOLDINGS")</f>
        <v>5.6172434672825098</v>
      </c>
      <c r="P311">
        <f>_xll.BDP("UPS UN Equity","RISK_PREMIUM")</f>
        <v>4.4301294426602125</v>
      </c>
      <c r="Q311">
        <f>_xll.BDP("UPS UN Equity","HIGH_52WEEK")</f>
        <v>145</v>
      </c>
      <c r="R311">
        <f>_xll.BDP("UPS UN Equity","LOW_52WEEK")</f>
        <v>90.6</v>
      </c>
    </row>
    <row r="312" spans="1:18" ht="15.75" x14ac:dyDescent="0.25">
      <c r="A312" t="s">
        <v>328</v>
      </c>
      <c r="B312">
        <f>_xll.BDP("WBA UW Equity","RT_PX_CHG_PCT_1D")</f>
        <v>0.17260000109672546</v>
      </c>
      <c r="C312" t="str">
        <f>_xll.BDP("WBA UW Equity","GICS_SECTOR_NAME")</f>
        <v>核心消費</v>
      </c>
      <c r="D312" t="str">
        <f>_xll.BDP("WBA UW Equity","NAME_CHINESE_TRADITIONAL")</f>
        <v>沃博聯公司</v>
      </c>
      <c r="E312" t="str">
        <f>_xll.BDP("WBA UW Equity","CLASSIFICATION_LEVEL_4_NAME")</f>
        <v>食品及藥品商店</v>
      </c>
      <c r="F312" t="str">
        <f>_xll.BDP("WBA UW Equity","CLASSIFICATION_DESCRIPTION")</f>
        <v>美妝藥局</v>
      </c>
      <c r="G312">
        <f>_xll.BDP("WBA UW Equity","CUR_MKT_CAP")</f>
        <v>10049159436.749998</v>
      </c>
      <c r="H312">
        <f>_xll.BDP("WBA UW Equity","CHG_PCT_YTD")</f>
        <v>24.4373</v>
      </c>
      <c r="I312" t="str">
        <f>_xll.BDP("WBA UW Equity","CIE_DES")</f>
        <v>沃博聯公司(Walgreens Boots Alliance, Inc.)經營零售藥店。該公司提供各種處方藥與非處方藥，以及初級與急症護理、健康、配藥，和疾病管理服務，及健康與健身。沃博聯服務美國的客戶。</v>
      </c>
      <c r="J312">
        <f>_xll.BDP("WBA UW Equity","ESG_SCORE")</f>
        <v>6.7800002098083496</v>
      </c>
      <c r="K312" t="str">
        <f>_xll.BDP("WBA UW Equity","MSCI_ESG_RATING")</f>
        <v>N.S.</v>
      </c>
      <c r="L312">
        <f>_xll.BDP("WBA UW Equity","EQY_BETA")</f>
        <v>0.57203555107116699</v>
      </c>
      <c r="M312">
        <f>_xll.BDP("WBA UW Equity","VOLATILITY_60D")</f>
        <v>8.2232635842062454</v>
      </c>
      <c r="N312">
        <f>_xll.BDP("WBA UW Equity","PCT_INSIDER_SHARES_OUT")</f>
        <v>17.715183810910084</v>
      </c>
      <c r="O312">
        <f>_xll.BDP("WBA UW Equity","PCT_CHG_INSIDER_HOLDINGS")</f>
        <v>-5.9494111428885936E-2</v>
      </c>
      <c r="P312">
        <f>_xll.BDP("WBA UW Equity","RISK_PREMIUM")</f>
        <v>2.9467438952994347</v>
      </c>
      <c r="Q312">
        <f>_xll.BDP("WBA UW Equity","HIGH_52WEEK")</f>
        <v>13.24</v>
      </c>
      <c r="R312">
        <f>_xll.BDP("WBA UW Equity","LOW_52WEEK")</f>
        <v>8.0850000000000009</v>
      </c>
    </row>
    <row r="313" spans="1:18" ht="15.75" x14ac:dyDescent="0.25">
      <c r="A313" t="s">
        <v>329</v>
      </c>
      <c r="B313">
        <f>_xll.BDP("STE UN Equity","RT_PX_CHG_PCT_1D")</f>
        <v>1.4125000238418579</v>
      </c>
      <c r="C313" t="str">
        <f>_xll.BDP("STE UN Equity","GICS_SECTOR_NAME")</f>
        <v>醫療保健</v>
      </c>
      <c r="D313" t="str">
        <f>_xll.BDP("STE UN Equity","NAME_CHINESE_TRADITIONAL")</f>
        <v>STERIS公開有限公司</v>
      </c>
      <c r="E313" t="str">
        <f>_xll.BDP("STE UN Equity","CLASSIFICATION_LEVEL_4_NAME")</f>
        <v>醫療設備</v>
      </c>
      <c r="F313" t="str">
        <f>_xll.BDP("STE UN Equity","CLASSIFICATION_DESCRIPTION")</f>
        <v>醫療設備</v>
      </c>
      <c r="G313">
        <f>_xll.BDP("STE UN Equity","CUR_MKT_CAP")</f>
        <v>22670575820.340004</v>
      </c>
      <c r="H313">
        <f>_xll.BDP("STE UN Equity","CHG_PCT_YTD")</f>
        <v>12.113250000000001</v>
      </c>
      <c r="I313" t="str">
        <f>_xll.BDP("STE UN Equity","CIE_DES")</f>
        <v>STERIS公開有限公司(STERIS Public Limited Company)為提供感染預防及其它程序性產品和服務的公司。該公司提供消毒器及洗滌器、手術台、照明及設備管理系統，以及內視鏡配件。STERIS服務醫療、醫藥，以及醫療設備產業。</v>
      </c>
      <c r="J313">
        <f>_xll.BDP("STE UN Equity","ESG_SCORE")</f>
        <v>6.1399998664855957</v>
      </c>
      <c r="K313" t="str">
        <f>_xll.BDP("STE UN Equity","MSCI_ESG_RATING")</f>
        <v>AAA</v>
      </c>
      <c r="L313">
        <f>_xll.BDP("STE UN Equity","EQY_BETA")</f>
        <v>0.66377079486846924</v>
      </c>
      <c r="M313">
        <f>_xll.BDP("STE UN Equity","VOLATILITY_60D")</f>
        <v>23.466993872030763</v>
      </c>
      <c r="N313">
        <f>_xll.BDP("STE UN Equity","PCT_INSIDER_SHARES_OUT")</f>
        <v>0.3208791861176945</v>
      </c>
      <c r="O313">
        <f>_xll.BDP("STE UN Equity","PCT_CHG_INSIDER_HOLDINGS")</f>
        <v>1.9666369474486696</v>
      </c>
      <c r="P313">
        <f>_xll.BDP("STE UN Equity","RISK_PREMIUM")</f>
        <v>3.4193024087297914</v>
      </c>
      <c r="Q313">
        <f>_xll.BDP("STE UN Equity","HIGH_52WEEK")</f>
        <v>252.72</v>
      </c>
      <c r="R313">
        <f>_xll.BDP("STE UN Equity","LOW_52WEEK")</f>
        <v>201.37</v>
      </c>
    </row>
    <row r="314" spans="1:18" ht="15.75" x14ac:dyDescent="0.25">
      <c r="A314" t="s">
        <v>330</v>
      </c>
      <c r="B314">
        <f>_xll.BDP("MCK UN Equity","RT_PX_CHG_PCT_1D")</f>
        <v>0.22949999570846558</v>
      </c>
      <c r="C314" t="str">
        <f>_xll.BDP("MCK UN Equity","GICS_SECTOR_NAME")</f>
        <v>醫療保健</v>
      </c>
      <c r="D314" t="str">
        <f>_xll.BDP("MCK UN Equity","NAME_CHINESE_TRADITIONAL")</f>
        <v>麥卡遜</v>
      </c>
      <c r="E314" t="str">
        <f>_xll.BDP("MCK UN Equity","CLASSIFICATION_LEVEL_4_NAME")</f>
        <v>醫療保健供應鏈</v>
      </c>
      <c r="F314" t="str">
        <f>_xll.BDP("MCK UN Equity","CLASSIFICATION_DESCRIPTION")</f>
        <v>製藥/專門品經銷</v>
      </c>
      <c r="G314">
        <f>_xll.BDP("MCK UN Equity","CUR_MKT_CAP")</f>
        <v>89052043214.040009</v>
      </c>
      <c r="H314">
        <f>_xll.BDP("MCK UN Equity","CHG_PCT_YTD")</f>
        <v>24.90043</v>
      </c>
      <c r="I314" t="str">
        <f>_xll.BDP("MCK UN Equity","CIE_DES")</f>
        <v>麥卡遜公司(McKesson Corporation)在北美各地配銷藥品、醫療手術用品、及保健和美容保養產品。該公司亦開發、安裝、及支援輔助整合健保機構資料的軟體。此外，麥卡遜提供分析、照護管理與病人的解決方案。</v>
      </c>
      <c r="J314">
        <f>_xll.BDP("MCK UN Equity","ESG_SCORE")</f>
        <v>4.820000171661377</v>
      </c>
      <c r="K314" t="str">
        <f>_xll.BDP("MCK UN Equity","MSCI_ESG_RATING")</f>
        <v>AA</v>
      </c>
      <c r="L314">
        <f>_xll.BDP("MCK UN Equity","EQY_BETA")</f>
        <v>0.50700145959854126</v>
      </c>
      <c r="M314">
        <f>_xll.BDP("MCK UN Equity","VOLATILITY_60D")</f>
        <v>20.292016467281719</v>
      </c>
      <c r="N314">
        <f>_xll.BDP("MCK UN Equity","PCT_INSIDER_SHARES_OUT")</f>
        <v>5.1670108637005635E-2</v>
      </c>
      <c r="O314">
        <f>_xll.BDP("MCK UN Equity","PCT_CHG_INSIDER_HOLDINGS")</f>
        <v>-41.847363818132855</v>
      </c>
      <c r="P314">
        <f>_xll.BDP("MCK UN Equity","RISK_PREMIUM")</f>
        <v>2.6117318288737534</v>
      </c>
      <c r="Q314">
        <f>_xll.BDP("MCK UN Equity","HIGH_52WEEK")</f>
        <v>737.89</v>
      </c>
      <c r="R314">
        <f>_xll.BDP("MCK UN Equity","LOW_52WEEK")</f>
        <v>467.58</v>
      </c>
    </row>
    <row r="315" spans="1:18" ht="15.75" x14ac:dyDescent="0.25">
      <c r="A315" t="s">
        <v>331</v>
      </c>
      <c r="B315">
        <f>_xll.BDP("LMT UN Equity","RT_PX_CHG_PCT_1D")</f>
        <v>0.14740000665187836</v>
      </c>
      <c r="C315" t="str">
        <f>_xll.BDP("LMT UN Equity","GICS_SECTOR_NAME")</f>
        <v>工業</v>
      </c>
      <c r="D315" t="str">
        <f>_xll.BDP("LMT UN Equity","NAME_CHINESE_TRADITIONAL")</f>
        <v>洛克希德馬丁</v>
      </c>
      <c r="E315" t="str">
        <f>_xll.BDP("LMT UN Equity","CLASSIFICATION_LEVEL_4_NAME")</f>
        <v>國防</v>
      </c>
      <c r="F315" t="str">
        <f>_xll.BDP("LMT UN Equity","CLASSIFICATION_DESCRIPTION")</f>
        <v>國防</v>
      </c>
      <c r="G315">
        <f>_xll.BDP("LMT UN Equity","CUR_MKT_CAP")</f>
        <v>98328477635.519989</v>
      </c>
      <c r="H315">
        <f>_xll.BDP("LMT UN Equity","CHG_PCT_YTD")</f>
        <v>-13.328810000000001</v>
      </c>
      <c r="I315" t="str">
        <f>_xll.BDP("LMT UN Equity","CIE_DES")</f>
        <v>洛克希德馬丁公司(Lockheed Martin Corporation)為全球性保全公司，其主要從事研發、設計、開發、製造及整合先進科技產品及服務。該公司的業務範圍跨足太空、電信、電子、資訊及服務、航空、能源，及系統整合等領域。洛克希德馬丁經營範圍遍及全球各地。</v>
      </c>
      <c r="J315">
        <f>_xll.BDP("LMT UN Equity","ESG_SCORE")</f>
        <v>7.3299999237060547</v>
      </c>
      <c r="K315" t="str">
        <f>_xll.BDP("LMT UN Equity","MSCI_ESG_RATING")</f>
        <v>A</v>
      </c>
      <c r="L315">
        <f>_xll.BDP("LMT UN Equity","EQY_BETA")</f>
        <v>0.48952111601829529</v>
      </c>
      <c r="M315">
        <f>_xll.BDP("LMT UN Equity","VOLATILITY_60D")</f>
        <v>34.25257604542454</v>
      </c>
      <c r="N315">
        <f>_xll.BDP("LMT UN Equity","PCT_INSIDER_SHARES_OUT")</f>
        <v>7.4818528122618744E-2</v>
      </c>
      <c r="O315">
        <f>_xll.BDP("LMT UN Equity","PCT_CHG_INSIDER_HOLDINGS")</f>
        <v>36.104337186614487</v>
      </c>
      <c r="P315">
        <f>_xll.BDP("LMT UN Equity","RISK_PREMIUM")</f>
        <v>2.5216848105785248</v>
      </c>
      <c r="Q315">
        <f>_xll.BDP("LMT UN Equity","HIGH_52WEEK")</f>
        <v>617.245</v>
      </c>
      <c r="R315">
        <f>_xll.BDP("LMT UN Equity","LOW_52WEEK")</f>
        <v>410.11</v>
      </c>
    </row>
    <row r="316" spans="1:18" ht="15.75" x14ac:dyDescent="0.25">
      <c r="A316" t="s">
        <v>332</v>
      </c>
      <c r="B316">
        <f>_xll.BDP("COR UN Equity","RT_PX_CHG_PCT_1D")</f>
        <v>-3.0999999493360519E-2</v>
      </c>
      <c r="C316" t="str">
        <f>_xll.BDP("COR UN Equity","GICS_SECTOR_NAME")</f>
        <v>醫療保健</v>
      </c>
      <c r="D316" t="str">
        <f>_xll.BDP("COR UN Equity","NAME_CHINESE_TRADITIONAL")</f>
        <v>森科拉公司</v>
      </c>
      <c r="E316" t="str">
        <f>_xll.BDP("COR UN Equity","CLASSIFICATION_LEVEL_4_NAME")</f>
        <v>醫療保健供應鏈</v>
      </c>
      <c r="F316" t="str">
        <f>_xll.BDP("COR UN Equity","CLASSIFICATION_DESCRIPTION")</f>
        <v>藥物經銷</v>
      </c>
      <c r="G316">
        <f>_xll.BDP("COR UN Equity","CUR_MKT_CAP")</f>
        <v>56278587685.32</v>
      </c>
      <c r="H316">
        <f>_xll.BDP("COR UN Equity","CHG_PCT_YTD")</f>
        <v>29.232690000000002</v>
      </c>
      <c r="I316" t="str">
        <f>_xll.BDP("COR UN Equity","CIE_DES")</f>
        <v>森科拉公司(Cencora, Inc.)為一家製藥公司。該公司為醫療保健提供商提供端到端藥品商業化解決方案、非處方醫療保健產品、家庭醫療保健用品和設備，以及相關服務。森科拉在全球各地經銷其產品。</v>
      </c>
      <c r="J316">
        <f>_xll.BDP("COR UN Equity","ESG_SCORE")</f>
        <v>4.2600002288818359</v>
      </c>
      <c r="K316" t="str">
        <f>_xll.BDP("COR UN Equity","MSCI_ESG_RATING")</f>
        <v>AA</v>
      </c>
      <c r="L316">
        <f>_xll.BDP("COR UN Equity","EQY_BETA")</f>
        <v>0.42799338698387146</v>
      </c>
      <c r="M316">
        <f>_xll.BDP("COR UN Equity","VOLATILITY_60D")</f>
        <v>24.018315805050584</v>
      </c>
      <c r="N316">
        <f>_xll.BDP("COR UN Equity","PCT_INSIDER_SHARES_OUT")</f>
        <v>0.36703365015078138</v>
      </c>
      <c r="O316">
        <f>_xll.BDP("COR UN Equity","PCT_CHG_INSIDER_HOLDINGS")</f>
        <v>-9.0598883442767431</v>
      </c>
      <c r="P316">
        <f>_xll.BDP("COR UN Equity","RISK_PREMIUM")</f>
        <v>2.2047351741716263</v>
      </c>
      <c r="Q316">
        <f>_xll.BDP("COR UN Equity","HIGH_52WEEK")</f>
        <v>309.06</v>
      </c>
      <c r="R316">
        <f>_xll.BDP("COR UN Equity","LOW_52WEEK")</f>
        <v>218.75</v>
      </c>
    </row>
    <row r="317" spans="1:18" ht="15.75" x14ac:dyDescent="0.25">
      <c r="A317" t="s">
        <v>333</v>
      </c>
      <c r="B317">
        <f>_xll.BDP("COF UN Equity","RT_PX_CHG_PCT_1D")</f>
        <v>0.71929997205734253</v>
      </c>
      <c r="C317" t="str">
        <f>_xll.BDP("COF UN Equity","GICS_SECTOR_NAME")</f>
        <v>金融</v>
      </c>
      <c r="D317" t="str">
        <f>_xll.BDP("COF UN Equity","NAME_CHINESE_TRADITIONAL")</f>
        <v>第一資本金融公司</v>
      </c>
      <c r="E317" t="str">
        <f>_xll.BDP("COF UN Equity","CLASSIFICATION_LEVEL_4_NAME")</f>
        <v>消費金融</v>
      </c>
      <c r="F317" t="str">
        <f>_xll.BDP("COF UN Equity","CLASSIFICATION_DESCRIPTION")</f>
        <v>信用卡借貸</v>
      </c>
      <c r="G317">
        <f>_xll.BDP("COF UN Equity","CUR_MKT_CAP")</f>
        <v>136143687225.14998</v>
      </c>
      <c r="H317">
        <f>_xll.BDP("COF UN Equity","CHG_PCT_YTD")</f>
        <v>19.364059999999998</v>
      </c>
      <c r="I317" t="str">
        <f>_xll.BDP("COF UN Equity","CIE_DES")</f>
        <v>第一資本金融公司(Capital One Financial Corporation)提供商業銀行服務。該銀行承做存款，並提供個人信用卡、投資產品、貸款及網路銀行服務。第一資本服務維吉尼亞州的客戶。</v>
      </c>
      <c r="J317">
        <f>_xll.BDP("COF UN Equity","ESG_SCORE")</f>
        <v>5.0300002098083496</v>
      </c>
      <c r="K317" t="str">
        <f>_xll.BDP("COF UN Equity","MSCI_ESG_RATING")</f>
        <v>A</v>
      </c>
      <c r="L317">
        <f>_xll.BDP("COF UN Equity","EQY_BETA")</f>
        <v>1.1884647607803345</v>
      </c>
      <c r="M317">
        <f>_xll.BDP("COF UN Equity","VOLATILITY_60D")</f>
        <v>28.949892862524624</v>
      </c>
      <c r="N317">
        <f>_xll.BDP("COF UN Equity","PCT_INSIDER_SHARES_OUT")</f>
        <v>0.87538966331244961</v>
      </c>
      <c r="O317">
        <f>_xll.BDP("COF UN Equity","PCT_CHG_INSIDER_HOLDINGS")</f>
        <v>10.501988336408759</v>
      </c>
      <c r="P317">
        <f>_xll.BDP("COF UN Equity","RISK_PREMIUM")</f>
        <v>6.1221741761505601</v>
      </c>
      <c r="Q317">
        <f>_xll.BDP("COF UN Equity","HIGH_52WEEK")</f>
        <v>232.39</v>
      </c>
      <c r="R317">
        <f>_xll.BDP("COF UN Equity","LOW_52WEEK")</f>
        <v>128.24</v>
      </c>
    </row>
    <row r="318" spans="1:18" ht="15.75" x14ac:dyDescent="0.25">
      <c r="A318" t="s">
        <v>334</v>
      </c>
      <c r="B318">
        <f>_xll.BDP("CPB UW Equity","RT_PX_CHG_PCT_1D")</f>
        <v>-0.30529999732971191</v>
      </c>
      <c r="C318" t="str">
        <f>_xll.BDP("CPB UW Equity","GICS_SECTOR_NAME")</f>
        <v>核心消費</v>
      </c>
      <c r="D318" t="str">
        <f>_xll.BDP("CPB UW Equity","NAME_CHINESE_TRADITIONAL")</f>
        <v>金寶公司</v>
      </c>
      <c r="E318" t="str">
        <f>_xll.BDP("CPB UW Equity","CLASSIFICATION_LEVEL_4_NAME")</f>
        <v>包裝食品製造業</v>
      </c>
      <c r="F318" t="str">
        <f>_xll.BDP("CPB UW Equity","CLASSIFICATION_DESCRIPTION")</f>
        <v>包裝食品製造業</v>
      </c>
      <c r="G318">
        <f>_xll.BDP("CPB UW Equity","CUR_MKT_CAP")</f>
        <v>9736924885.5199986</v>
      </c>
      <c r="H318">
        <f>_xll.BDP("CPB UW Equity","CHG_PCT_YTD")</f>
        <v>-22.015280000000001</v>
      </c>
      <c r="I318" t="str">
        <f>_xll.BDP("CPB UW Equity","CIE_DES")</f>
        <v>金寶公司（The Campbell's Company）生產並銷售品牌便利食品。該公司提供湯品、餐食、罐頭食品、烘焙食品、飲料，以及零食。金寶服務全球客戶。</v>
      </c>
      <c r="J318">
        <f>_xll.BDP("CPB UW Equity","ESG_SCORE")</f>
        <v>5.8499999046325684</v>
      </c>
      <c r="K318" t="str">
        <f>_xll.BDP("CPB UW Equity","MSCI_ESG_RATING")</f>
        <v>AA</v>
      </c>
      <c r="L318" t="str">
        <f>_xll.BDP("CPB UW Equity","EQY_BETA")</f>
        <v>#N/A N/A</v>
      </c>
      <c r="M318">
        <f>_xll.BDP("CPB UW Equity","VOLATILITY_60D")</f>
        <v>25.909206671829043</v>
      </c>
      <c r="N318">
        <f>_xll.BDP("CPB UW Equity","PCT_INSIDER_SHARES_OUT")</f>
        <v>19.031328199107772</v>
      </c>
      <c r="O318">
        <f>_xll.BDP("CPB UW Equity","PCT_CHG_INSIDER_HOLDINGS")</f>
        <v>3.5507271568331181E-2</v>
      </c>
      <c r="P318">
        <f>_xll.BDP("CPB UW Equity","RISK_PREMIUM")</f>
        <v>2.1283033722621201</v>
      </c>
      <c r="Q318">
        <f>_xll.BDP("CPB UW Equity","HIGH_52WEEK")</f>
        <v>52.8</v>
      </c>
      <c r="R318">
        <f>_xll.BDP("CPB UW Equity","LOW_52WEEK")</f>
        <v>29.39</v>
      </c>
    </row>
    <row r="319" spans="1:18" ht="15.75" x14ac:dyDescent="0.25">
      <c r="A319" t="s">
        <v>335</v>
      </c>
      <c r="B319">
        <f>_xll.BDP("WAT UN Equity","RT_PX_CHG_PCT_1D")</f>
        <v>1.5010000467300415</v>
      </c>
      <c r="C319" t="str">
        <f>_xll.BDP("WAT UN Equity","GICS_SECTOR_NAME")</f>
        <v>醫療保健</v>
      </c>
      <c r="D319" t="str">
        <f>_xll.BDP("WAT UN Equity","NAME_CHINESE_TRADITIONAL")</f>
        <v>沃特斯公司</v>
      </c>
      <c r="E319" t="str">
        <f>_xll.BDP("WAT UN Equity","CLASSIFICATION_LEVEL_4_NAME")</f>
        <v>生命科學設備</v>
      </c>
      <c r="F319" t="str">
        <f>_xll.BDP("WAT UN Equity","CLASSIFICATION_DESCRIPTION")</f>
        <v>分析用實驗設備</v>
      </c>
      <c r="G319">
        <f>_xll.BDP("WAT UN Equity","CUR_MKT_CAP")</f>
        <v>18028278512.549999</v>
      </c>
      <c r="H319">
        <f>_xll.BDP("WAT UN Equity","CHG_PCT_YTD")</f>
        <v>-18.33792</v>
      </c>
      <c r="I319" t="str">
        <f>_xll.BDP("WAT UN Equity","CIE_DES")</f>
        <v>沃特斯公司(Waters Corporation)提供高效液相色譜儀產品及服務。該公司經銷產品遍及全球，並廣泛應用於各工業，例如：製藥業、化工業及環保檢測。沃特斯亦設計、製造、銷售及服務熱分析、測定器與熱量計工具與相關軟體產品。</v>
      </c>
      <c r="J319">
        <f>_xll.BDP("WAT UN Equity","ESG_SCORE")</f>
        <v>5.570000171661377</v>
      </c>
      <c r="K319" t="str">
        <f>_xll.BDP("WAT UN Equity","MSCI_ESG_RATING")</f>
        <v>AAA</v>
      </c>
      <c r="L319">
        <f>_xll.BDP("WAT UN Equity","EQY_BETA")</f>
        <v>0.86799192428588867</v>
      </c>
      <c r="M319">
        <f>_xll.BDP("WAT UN Equity","VOLATILITY_60D")</f>
        <v>44.908314982225804</v>
      </c>
      <c r="N319">
        <f>_xll.BDP("WAT UN Equity","PCT_INSIDER_SHARES_OUT")</f>
        <v>0.2676175354050952</v>
      </c>
      <c r="O319">
        <f>_xll.BDP("WAT UN Equity","PCT_CHG_INSIDER_HOLDINGS")</f>
        <v>10.87897640038555</v>
      </c>
      <c r="P319">
        <f>_xll.BDP("WAT UN Equity","RISK_PREMIUM")</f>
        <v>4.4713128393316266</v>
      </c>
      <c r="Q319">
        <f>_xll.BDP("WAT UN Equity","HIGH_52WEEK")</f>
        <v>422.46</v>
      </c>
      <c r="R319">
        <f>_xll.BDP("WAT UN Equity","LOW_52WEEK")</f>
        <v>280</v>
      </c>
    </row>
    <row r="320" spans="1:18" ht="15.75" x14ac:dyDescent="0.25">
      <c r="A320" t="s">
        <v>336</v>
      </c>
      <c r="B320">
        <f>_xll.BDP("NDSN UW Equity","RT_PX_CHG_PCT_1D")</f>
        <v>0.77120000123977661</v>
      </c>
      <c r="C320" t="str">
        <f>_xll.BDP("NDSN UW Equity","GICS_SECTOR_NAME")</f>
        <v>工業</v>
      </c>
      <c r="D320" t="str">
        <f>_xll.BDP("NDSN UW Equity","NAME_CHINESE_TRADITIONAL")</f>
        <v>諾信公司</v>
      </c>
      <c r="E320" t="str">
        <f>_xll.BDP("NDSN UW Equity","CLASSIFICATION_LEVEL_4_NAME")</f>
        <v>工業機械</v>
      </c>
      <c r="F320" t="str">
        <f>_xll.BDP("NDSN UW Equity","CLASSIFICATION_DESCRIPTION")</f>
        <v>通用機械</v>
      </c>
      <c r="G320">
        <f>_xll.BDP("NDSN UW Equity","CUR_MKT_CAP")</f>
        <v>12479435634.639997</v>
      </c>
      <c r="H320">
        <f>_xll.BDP("NDSN UW Equity","CHG_PCT_YTD")</f>
        <v>5.5438700000000001</v>
      </c>
      <c r="I320" t="str">
        <f>_xll.BDP("NDSN UW Equity","CIE_DES")</f>
        <v>諾信公司(Nordson Corporation)設計、製造及行銷用黏著劑、密封劑，及塗料加工系統，可用於消費性及工業產品的製造過程。該公司的產品包括客製化的精密材料應用及熟化材料的電子控制系統，以符合客戶的需求。諾信業務遍及全球。</v>
      </c>
      <c r="J320">
        <f>_xll.BDP("NDSN UW Equity","ESG_SCORE")</f>
        <v>3.8900001049041748</v>
      </c>
      <c r="K320" t="str">
        <f>_xll.BDP("NDSN UW Equity","MSCI_ESG_RATING")</f>
        <v>BBB</v>
      </c>
      <c r="L320">
        <f>_xll.BDP("NDSN UW Equity","EQY_BETA")</f>
        <v>1.0985994338989258</v>
      </c>
      <c r="M320">
        <f>_xll.BDP("NDSN UW Equity","VOLATILITY_60D")</f>
        <v>27.161736596509879</v>
      </c>
      <c r="N320">
        <f>_xll.BDP("NDSN UW Equity","PCT_INSIDER_SHARES_OUT")</f>
        <v>0.58644161677044071</v>
      </c>
      <c r="O320">
        <f>_xll.BDP("NDSN UW Equity","PCT_CHG_INSIDER_HOLDINGS")</f>
        <v>-1.0722900198218424</v>
      </c>
      <c r="P320">
        <f>_xll.BDP("NDSN UW Equity","RISK_PREMIUM")</f>
        <v>5.6592482218265534</v>
      </c>
      <c r="Q320">
        <f>_xll.BDP("NDSN UW Equity","HIGH_52WEEK")</f>
        <v>266.52999999999997</v>
      </c>
      <c r="R320">
        <f>_xll.BDP("NDSN UW Equity","LOW_52WEEK")</f>
        <v>165.03</v>
      </c>
    </row>
    <row r="321" spans="1:18" ht="15.75" x14ac:dyDescent="0.25">
      <c r="A321" t="s">
        <v>337</v>
      </c>
      <c r="B321">
        <f>_xll.BDP("DLTR UW Equity","RT_PX_CHG_PCT_1D")</f>
        <v>0.17509999871253967</v>
      </c>
      <c r="C321" t="str">
        <f>_xll.BDP("DLTR UW Equity","GICS_SECTOR_NAME")</f>
        <v>核心消費</v>
      </c>
      <c r="D321" t="str">
        <f>_xll.BDP("DLTR UW Equity","NAME_CHINESE_TRADITIONAL")</f>
        <v>錢樹商店公司</v>
      </c>
      <c r="E321" t="str">
        <f>_xll.BDP("DLTR UW Equity","CLASSIFICATION_LEVEL_4_NAME")</f>
        <v>量販店</v>
      </c>
      <c r="F321" t="str">
        <f>_xll.BDP("DLTR UW Equity","CLASSIFICATION_DESCRIPTION")</f>
        <v>一元商店</v>
      </c>
      <c r="G321">
        <f>_xll.BDP("DLTR UW Equity","CUR_MKT_CAP")</f>
        <v>23876888537.380001</v>
      </c>
      <c r="H321">
        <f>_xll.BDP("DLTR UW Equity","CHG_PCT_YTD")</f>
        <v>52.668799999999997</v>
      </c>
      <c r="I321" t="str">
        <f>_xll.BDP("DLTR UW Equity","CIE_DES")</f>
        <v>錢樹商店公司(Dollar Tree, Inc.)經營不同類型的折扣連鎖店。該公司銷售各式各樣日用產品，並提供廚房與餐飲用品、玩具、書籍、工藝品、清潔、個人保健、眼鏡、食品容器、禮品，以及其它家用產品。錢樹商店服務美國的客戶。</v>
      </c>
      <c r="J321">
        <f>_xll.BDP("DLTR UW Equity","ESG_SCORE")</f>
        <v>3.0099999904632568</v>
      </c>
      <c r="K321" t="str">
        <f>_xll.BDP("DLTR UW Equity","MSCI_ESG_RATING")</f>
        <v>A</v>
      </c>
      <c r="L321">
        <f>_xll.BDP("DLTR UW Equity","EQY_BETA")</f>
        <v>0.80047774314880371</v>
      </c>
      <c r="M321">
        <f>_xll.BDP("DLTR UW Equity","VOLATILITY_60D")</f>
        <v>38.900319583459705</v>
      </c>
      <c r="N321">
        <f>_xll.BDP("DLTR UW Equity","PCT_INSIDER_SHARES_OUT")</f>
        <v>0.20058621208476646</v>
      </c>
      <c r="O321">
        <f>_xll.BDP("DLTR UW Equity","PCT_CHG_INSIDER_HOLDINGS")</f>
        <v>72.191600510057171</v>
      </c>
      <c r="P321">
        <f>_xll.BDP("DLTR UW Equity","RISK_PREMIUM")</f>
        <v>4.1235250126147269</v>
      </c>
      <c r="Q321">
        <f>_xll.BDP("DLTR UW Equity","HIGH_52WEEK")</f>
        <v>115.98</v>
      </c>
      <c r="R321">
        <f>_xll.BDP("DLTR UW Equity","LOW_52WEEK")</f>
        <v>60.49</v>
      </c>
    </row>
    <row r="322" spans="1:18" ht="15.75" x14ac:dyDescent="0.25">
      <c r="A322" t="s">
        <v>338</v>
      </c>
      <c r="B322">
        <f>_xll.BDP("DRI UN Equity","RT_PX_CHG_PCT_1D")</f>
        <v>0.82840001583099365</v>
      </c>
      <c r="C322" t="str">
        <f>_xll.BDP("DRI UN Equity","GICS_SECTOR_NAME")</f>
        <v>非核心消費</v>
      </c>
      <c r="D322" t="str">
        <f>_xll.BDP("DRI UN Equity","NAME_CHINESE_TRADITIONAL")</f>
        <v>達登餐廳公司</v>
      </c>
      <c r="E322" t="str">
        <f>_xll.BDP("DRI UN Equity","CLASSIFICATION_LEVEL_4_NAME")</f>
        <v>餐廳</v>
      </c>
      <c r="F322" t="str">
        <f>_xll.BDP("DRI UN Equity","CLASSIFICATION_DESCRIPTION")</f>
        <v>休閒家庭式餐廳-直營</v>
      </c>
      <c r="G322">
        <f>_xll.BDP("DRI UN Equity","CUR_MKT_CAP")</f>
        <v>23931077558.400002</v>
      </c>
      <c r="H322">
        <f>_xll.BDP("DRI UN Equity","CHG_PCT_YTD")</f>
        <v>9.5291650000000008</v>
      </c>
      <c r="I322" t="str">
        <f>_xll.BDP("DRI UN Equity","CIE_DES")</f>
        <v>達登餐廳公司(Darden Restaurants, Inc.)為一家全方位服務餐廳公司。該公司以各種不同品牌名稱擁有並經營各種海鮮及義大利餐廳。達登餐廳服務美國及加拿大的客戶。</v>
      </c>
      <c r="J322">
        <f>_xll.BDP("DRI UN Equity","ESG_SCORE")</f>
        <v>3.4800000190734863</v>
      </c>
      <c r="K322" t="str">
        <f>_xll.BDP("DRI UN Equity","MSCI_ESG_RATING")</f>
        <v>BBB</v>
      </c>
      <c r="L322">
        <f>_xll.BDP("DRI UN Equity","EQY_BETA")</f>
        <v>0.64415490627288818</v>
      </c>
      <c r="M322">
        <f>_xll.BDP("DRI UN Equity","VOLATILITY_60D")</f>
        <v>21.617793710967849</v>
      </c>
      <c r="N322">
        <f>_xll.BDP("DRI UN Equity","PCT_INSIDER_SHARES_OUT")</f>
        <v>0.42377546845441216</v>
      </c>
      <c r="O322">
        <f>_xll.BDP("DRI UN Equity","PCT_CHG_INSIDER_HOLDINGS")</f>
        <v>-2.8083946214132594</v>
      </c>
      <c r="P322">
        <f>_xll.BDP("DRI UN Equity","RISK_PREMIUM")</f>
        <v>3.3182544933307168</v>
      </c>
      <c r="Q322">
        <f>_xll.BDP("DRI UN Equity","HIGH_52WEEK")</f>
        <v>228</v>
      </c>
      <c r="R322">
        <f>_xll.BDP("DRI UN Equity","LOW_52WEEK")</f>
        <v>140.1</v>
      </c>
    </row>
    <row r="323" spans="1:18" ht="15.75" x14ac:dyDescent="0.25">
      <c r="A323" t="s">
        <v>339</v>
      </c>
      <c r="B323">
        <f>_xll.BDP("EVRG UW Equity","RT_PX_CHG_PCT_1D")</f>
        <v>4.3000001460313797E-2</v>
      </c>
      <c r="C323" t="str">
        <f>_xll.BDP("EVRG UW Equity","GICS_SECTOR_NAME")</f>
        <v>公用事業</v>
      </c>
      <c r="D323" t="str">
        <f>_xll.BDP("EVRG UW Equity","NAME_CHINESE_TRADITIONAL")</f>
        <v>Evergy公司</v>
      </c>
      <c r="E323" t="str">
        <f>_xll.BDP("EVRG UW Equity","CLASSIFICATION_LEVEL_4_NAME")</f>
        <v>整合型公用事業</v>
      </c>
      <c r="F323" t="str">
        <f>_xll.BDP("EVRG UW Equity","CLASSIFICATION_DESCRIPTION")</f>
        <v>整合型公用事業</v>
      </c>
      <c r="G323">
        <f>_xll.BDP("EVRG UW Equity","CUR_MKT_CAP")</f>
        <v>16036266821.399998</v>
      </c>
      <c r="H323">
        <f>_xll.BDP("EVRG UW Equity","CHG_PCT_YTD")</f>
        <v>13.403740000000001</v>
      </c>
      <c r="I323" t="str">
        <f>_xll.BDP("EVRG UW Equity","CIE_DES")</f>
        <v>Evergy公司(Evergy, Inc.)提供發電、輸電，以及配電服務。該公司於美國提供其服務。</v>
      </c>
      <c r="J323">
        <f>_xll.BDP("EVRG UW Equity","ESG_SCORE")</f>
        <v>5.1100001335144043</v>
      </c>
      <c r="K323" t="str">
        <f>_xll.BDP("EVRG UW Equity","MSCI_ESG_RATING")</f>
        <v>A</v>
      </c>
      <c r="L323">
        <f>_xll.BDP("EVRG UW Equity","EQY_BETA")</f>
        <v>0.5003548264503479</v>
      </c>
      <c r="M323">
        <f>_xll.BDP("EVRG UW Equity","VOLATILITY_60D")</f>
        <v>18.85122300607317</v>
      </c>
      <c r="N323">
        <f>_xll.BDP("EVRG UW Equity","PCT_INSIDER_SHARES_OUT")</f>
        <v>1.3312041694759298</v>
      </c>
      <c r="O323">
        <f>_xll.BDP("EVRG UW Equity","PCT_CHG_INSIDER_HOLDINGS")</f>
        <v>1.5036436126343766</v>
      </c>
      <c r="P323">
        <f>_xll.BDP("EVRG UW Equity","RISK_PREMIUM")</f>
        <v>2.5774928281384706</v>
      </c>
      <c r="Q323">
        <f>_xll.BDP("EVRG UW Equity","HIGH_52WEEK")</f>
        <v>70.349999999999994</v>
      </c>
      <c r="R323">
        <f>_xll.BDP("EVRG UW Equity","LOW_52WEEK")</f>
        <v>56.55</v>
      </c>
    </row>
    <row r="324" spans="1:18" ht="15.75" x14ac:dyDescent="0.25">
      <c r="A324" t="s">
        <v>340</v>
      </c>
      <c r="B324">
        <f>_xll.BDP("MTCH UW Equity","RT_PX_CHG_PCT_1D")</f>
        <v>1.3935999870300293</v>
      </c>
      <c r="C324" t="str">
        <f>_xll.BDP("MTCH UW Equity","GICS_SECTOR_NAME")</f>
        <v>通訊服務</v>
      </c>
      <c r="D324" t="str">
        <f>_xll.BDP("MTCH UW Equity","NAME_CHINESE_TRADITIONAL")</f>
        <v>Match Group Inc</v>
      </c>
      <c r="E324" t="str">
        <f>_xll.BDP("MTCH UW Equity","CLASSIFICATION_LEVEL_4_NAME")</f>
        <v>網路媒體及服務</v>
      </c>
      <c r="F324" t="str">
        <f>_xll.BDP("MTCH UW Equity","CLASSIFICATION_DESCRIPTION")</f>
        <v>交友服務網站</v>
      </c>
      <c r="G324">
        <f>_xll.BDP("MTCH UW Equity","CUR_MKT_CAP")</f>
        <v>8474987128.3199987</v>
      </c>
      <c r="H324">
        <f>_xll.BDP("MTCH UW Equity","CHG_PCT_YTD")</f>
        <v>5.6557659999999998</v>
      </c>
      <c r="I324" t="str">
        <f>_xll.BDP("MTCH UW Equity","CIE_DES")</f>
        <v>配對集團公司(Match Group, Inc.)為一家約會服務供應商。該公司提供應用程式與服務的各種組合，其連結橫跨各年齡、種族、性別、性取向，以及背景的交友平台。配對集團服務全球客戶。</v>
      </c>
      <c r="J324">
        <f>_xll.BDP("MTCH UW Equity","ESG_SCORE")</f>
        <v>5.0500001907348633</v>
      </c>
      <c r="K324" t="str">
        <f>_xll.BDP("MTCH UW Equity","MSCI_ESG_RATING")</f>
        <v>N.S.</v>
      </c>
      <c r="L324">
        <f>_xll.BDP("MTCH UW Equity","EQY_BETA")</f>
        <v>0.58990520238876343</v>
      </c>
      <c r="M324">
        <f>_xll.BDP("MTCH UW Equity","VOLATILITY_60D")</f>
        <v>35.298706814053205</v>
      </c>
      <c r="N324">
        <f>_xll.BDP("MTCH UW Equity","PCT_INSIDER_SHARES_OUT")</f>
        <v>0.66470180686903024</v>
      </c>
      <c r="O324">
        <f>_xll.BDP("MTCH UW Equity","PCT_CHG_INSIDER_HOLDINGS")</f>
        <v>0.76026847695333799</v>
      </c>
      <c r="P324">
        <f>_xll.BDP("MTCH UW Equity","RISK_PREMIUM")</f>
        <v>3.0387963662213084</v>
      </c>
      <c r="Q324">
        <f>_xll.BDP("MTCH UW Equity","HIGH_52WEEK")</f>
        <v>38.83</v>
      </c>
      <c r="R324">
        <f>_xll.BDP("MTCH UW Equity","LOW_52WEEK")</f>
        <v>26.405000000000001</v>
      </c>
    </row>
    <row r="325" spans="1:18" ht="15.75" x14ac:dyDescent="0.25">
      <c r="A325" t="s">
        <v>341</v>
      </c>
      <c r="B325">
        <f>_xll.BDP("NVR UN Equity","RT_PX_CHG_PCT_1D")</f>
        <v>4.5400001108646393E-2</v>
      </c>
      <c r="C325" t="str">
        <f>_xll.BDP("NVR UN Equity","GICS_SECTOR_NAME")</f>
        <v>非核心消費</v>
      </c>
      <c r="D325" t="str">
        <f>_xll.BDP("NVR UN Equity","NAME_CHINESE_TRADITIONAL")</f>
        <v>NVR Inc</v>
      </c>
      <c r="E325" t="str">
        <f>_xll.BDP("NVR UN Equity","CLASSIFICATION_LEVEL_4_NAME")</f>
        <v>住宅營建</v>
      </c>
      <c r="F325" t="str">
        <f>_xll.BDP("NVR UN Equity","CLASSIFICATION_DESCRIPTION")</f>
        <v>單戶住宅建築</v>
      </c>
      <c r="G325">
        <f>_xll.BDP("NVR UN Equity","CUR_MKT_CAP")</f>
        <v>22785210314.830002</v>
      </c>
      <c r="H325">
        <f>_xll.BDP("NVR UN Equity","CHG_PCT_YTD")</f>
        <v>-4.719093</v>
      </c>
      <c r="I325" t="str">
        <f>_xll.BDP("NVR UN Equity","CIE_DES")</f>
        <v>NVR公司(NVR, Inc.)建造及銷售房屋，並從事抵押貸款銀行業務。該公司建造單一獨棟住屋、連棟屋及公寓住宅，旗下品牌計有：Ryan Homes、NVHomes、及其他品牌名稱。NVR透過其抵押貸款銀行業務，提供多種抵押貸款相關的服務予其建商客戶。</v>
      </c>
      <c r="J325">
        <f>_xll.BDP("NVR UN Equity","ESG_SCORE")</f>
        <v>4.880000114440918</v>
      </c>
      <c r="K325" t="str">
        <f>_xll.BDP("NVR UN Equity","MSCI_ESG_RATING")</f>
        <v>A</v>
      </c>
      <c r="L325">
        <f>_xll.BDP("NVR UN Equity","EQY_BETA")</f>
        <v>0.69434618949890137</v>
      </c>
      <c r="M325">
        <f>_xll.BDP("NVR UN Equity","VOLATILITY_60D")</f>
        <v>30.663821167774962</v>
      </c>
      <c r="N325">
        <f>_xll.BDP("NVR UN Equity","PCT_INSIDER_SHARES_OUT")</f>
        <v>4.6942195681691476</v>
      </c>
      <c r="O325">
        <f>_xll.BDP("NVR UN Equity","PCT_CHG_INSIDER_HOLDINGS")</f>
        <v>-0.36514366189003583</v>
      </c>
      <c r="P325">
        <f>_xll.BDP("NVR UN Equity","RISK_PREMIUM")</f>
        <v>3.5768063563513754</v>
      </c>
      <c r="Q325">
        <f>_xll.BDP("NVR UN Equity","HIGH_52WEEK")</f>
        <v>9944</v>
      </c>
      <c r="R325">
        <f>_xll.BDP("NVR UN Equity","LOW_52WEEK")</f>
        <v>6569.99</v>
      </c>
    </row>
    <row r="326" spans="1:18" ht="15.75" x14ac:dyDescent="0.25">
      <c r="A326" t="s">
        <v>342</v>
      </c>
      <c r="B326">
        <f>_xll.BDP("NTAP UW Equity","RT_PX_CHG_PCT_1D")</f>
        <v>0.26750001311302185</v>
      </c>
      <c r="C326" t="str">
        <f>_xll.BDP("NTAP UW Equity","GICS_SECTOR_NAME")</f>
        <v>資訊技術</v>
      </c>
      <c r="D326" t="str">
        <f>_xll.BDP("NTAP UW Equity","NAME_CHINESE_TRADITIONAL")</f>
        <v>網路應用公司</v>
      </c>
      <c r="E326" t="str">
        <f>_xll.BDP("NTAP UW Equity","CLASSIFICATION_LEVEL_4_NAME")</f>
        <v>電腦硬體及儲存體</v>
      </c>
      <c r="F326" t="str">
        <f>_xll.BDP("NTAP UW Equity","CLASSIFICATION_DESCRIPTION")</f>
        <v>網路儲存及光纖</v>
      </c>
      <c r="G326">
        <f>_xll.BDP("NTAP UW Equity","CUR_MKT_CAP")</f>
        <v>20998376782.02</v>
      </c>
      <c r="H326">
        <f>_xll.BDP("NTAP UW Equity","CHG_PCT_YTD")</f>
        <v>-9.5968309999999999</v>
      </c>
      <c r="I326" t="str">
        <f>_xll.BDP("NTAP UW Equity","CIE_DES")</f>
        <v>網路應用公司(NetApp, Inc.)提供儲存和資料管理解決方案。該公司的儲存解決方案包括專用硬體、軟體及服務，為公共網路環境提供儲存管理。網路應用公司為全球企業、政府機構及大學提供服務。</v>
      </c>
      <c r="J326">
        <f>_xll.BDP("NTAP UW Equity","ESG_SCORE")</f>
        <v>4.9899997711181641</v>
      </c>
      <c r="K326" t="str">
        <f>_xll.BDP("NTAP UW Equity","MSCI_ESG_RATING")</f>
        <v>AAA</v>
      </c>
      <c r="L326">
        <f>_xll.BDP("NTAP UW Equity","EQY_BETA")</f>
        <v>1.2504880428314209</v>
      </c>
      <c r="M326">
        <f>_xll.BDP("NTAP UW Equity","VOLATILITY_60D")</f>
        <v>25.222369792225646</v>
      </c>
      <c r="N326">
        <f>_xll.BDP("NTAP UW Equity","PCT_INSIDER_SHARES_OUT")</f>
        <v>0.41382236484058638</v>
      </c>
      <c r="O326">
        <f>_xll.BDP("NTAP UW Equity","PCT_CHG_INSIDER_HOLDINGS")</f>
        <v>5.6625297634998049</v>
      </c>
      <c r="P326">
        <f>_xll.BDP("NTAP UW Equity","RISK_PREMIUM")</f>
        <v>6.4416765696787834</v>
      </c>
      <c r="Q326">
        <f>_xll.BDP("NTAP UW Equity","HIGH_52WEEK")</f>
        <v>135.1</v>
      </c>
      <c r="R326">
        <f>_xll.BDP("NTAP UW Equity","LOW_52WEEK")</f>
        <v>71.92</v>
      </c>
    </row>
    <row r="327" spans="1:18" ht="15.75" x14ac:dyDescent="0.25">
      <c r="A327" t="s">
        <v>343</v>
      </c>
      <c r="B327">
        <f>_xll.BDP("ODFL UW Equity","RT_PX_CHG_PCT_1D")</f>
        <v>-0.4171999990940094</v>
      </c>
      <c r="C327" t="str">
        <f>_xll.BDP("ODFL UW Equity","GICS_SECTOR_NAME")</f>
        <v>工業</v>
      </c>
      <c r="D327" t="str">
        <f>_xll.BDP("ODFL UW Equity","NAME_CHINESE_TRADITIONAL")</f>
        <v>Old Dominion Freight Line公</v>
      </c>
      <c r="E327" t="str">
        <f>_xll.BDP("ODFL UW Equity","CLASSIFICATION_LEVEL_4_NAME")</f>
        <v>卡車運輸</v>
      </c>
      <c r="F327" t="str">
        <f>_xll.BDP("ODFL UW Equity","CLASSIFICATION_DESCRIPTION")</f>
        <v>零擔貨運運輸</v>
      </c>
      <c r="G327">
        <f>_xll.BDP("ODFL UW Equity","CUR_MKT_CAP")</f>
        <v>35310360083.459999</v>
      </c>
      <c r="H327">
        <f>_xll.BDP("ODFL UW Equity","CHG_PCT_YTD")</f>
        <v>-5.2777750000000001</v>
      </c>
      <c r="I327" t="str">
        <f>_xll.BDP("ODFL UW Equity","CIE_DES")</f>
        <v>Old Dominion Freight Line公司(Old Dominion Freight Line, Inc.)為一家區域內和跨區域的運輸公司。該公司主要從事一般商品的零擔貨運，如消費品、紡織品和資本財的運輸。Old Dominion Freight Line服務全美各地的區域市場。</v>
      </c>
      <c r="J327">
        <f>_xll.BDP("ODFL UW Equity","ESG_SCORE")</f>
        <v>4.6500000953674316</v>
      </c>
      <c r="K327" t="str">
        <f>_xll.BDP("ODFL UW Equity","MSCI_ESG_RATING")</f>
        <v>A</v>
      </c>
      <c r="L327">
        <f>_xll.BDP("ODFL UW Equity","EQY_BETA")</f>
        <v>1.0744532346725464</v>
      </c>
      <c r="M327">
        <f>_xll.BDP("ODFL UW Equity","VOLATILITY_60D")</f>
        <v>36.221729657689011</v>
      </c>
      <c r="N327">
        <f>_xll.BDP("ODFL UW Equity","PCT_INSIDER_SHARES_OUT")</f>
        <v>9.7297490031960177</v>
      </c>
      <c r="O327">
        <f>_xll.BDP("ODFL UW Equity","PCT_CHG_INSIDER_HOLDINGS")</f>
        <v>6.8628337910177127E-3</v>
      </c>
      <c r="P327">
        <f>_xll.BDP("ODFL UW Equity","RISK_PREMIUM")</f>
        <v>5.5348631813657283</v>
      </c>
      <c r="Q327">
        <f>_xll.BDP("ODFL UW Equity","HIGH_52WEEK")</f>
        <v>233.23</v>
      </c>
      <c r="R327">
        <f>_xll.BDP("ODFL UW Equity","LOW_52WEEK")</f>
        <v>144.91</v>
      </c>
    </row>
    <row r="328" spans="1:18" ht="15.75" x14ac:dyDescent="0.25">
      <c r="A328" t="s">
        <v>344</v>
      </c>
      <c r="B328">
        <f>_xll.BDP("DVA UN Equity","RT_PX_CHG_PCT_1D")</f>
        <v>0.27630001306533813</v>
      </c>
      <c r="C328" t="str">
        <f>_xll.BDP("DVA UN Equity","GICS_SECTOR_NAME")</f>
        <v>醫療保健</v>
      </c>
      <c r="D328" t="str">
        <f>_xll.BDP("DVA UN Equity","NAME_CHINESE_TRADITIONAL")</f>
        <v>德維特公司</v>
      </c>
      <c r="E328" t="str">
        <f>_xll.BDP("DVA UN Equity","CLASSIFICATION_LEVEL_4_NAME")</f>
        <v>醫療保健設施</v>
      </c>
      <c r="F328" t="str">
        <f>_xll.BDP("DVA UN Equity","CLASSIFICATION_DESCRIPTION")</f>
        <v>腎透析中心</v>
      </c>
      <c r="G328">
        <f>_xll.BDP("DVA UN Equity","CUR_MKT_CAP")</f>
        <v>10960335000</v>
      </c>
      <c r="H328">
        <f>_xll.BDP("DVA UN Equity","CHG_PCT_YTD")</f>
        <v>-2.9287879999999999</v>
      </c>
      <c r="I328" t="str">
        <f>_xll.BDP("DVA UN Equity","CIE_DES")</f>
        <v>德維特公司(DaVita Inc.)提供多種醫療保健服務，遍及全美及海外地區。該公司管理腎臟保健及洗腎服務。此外，德維特保健亦管理及經營醫療團隊，一般醫療科醫師、急診救護中心及門診手術中心網絡。</v>
      </c>
      <c r="J328">
        <f>_xll.BDP("DVA UN Equity","ESG_SCORE")</f>
        <v>3.9900000095367432</v>
      </c>
      <c r="K328" t="str">
        <f>_xll.BDP("DVA UN Equity","MSCI_ESG_RATING")</f>
        <v>AA</v>
      </c>
      <c r="L328">
        <f>_xll.BDP("DVA UN Equity","EQY_BETA")</f>
        <v>0.71376824378967285</v>
      </c>
      <c r="M328">
        <f>_xll.BDP("DVA UN Equity","VOLATILITY_60D")</f>
        <v>26.089034578666077</v>
      </c>
      <c r="N328">
        <f>_xll.BDP("DVA UN Equity","PCT_INSIDER_SHARES_OUT")</f>
        <v>2.2612754966887416</v>
      </c>
      <c r="O328">
        <f>_xll.BDP("DVA UN Equity","PCT_CHG_INSIDER_HOLDINGS")</f>
        <v>2.8751184809848942</v>
      </c>
      <c r="P328">
        <f>_xll.BDP("DVA UN Equity","RISK_PREMIUM")</f>
        <v>3.6768557672810553</v>
      </c>
      <c r="Q328">
        <f>_xll.BDP("DVA UN Equity","HIGH_52WEEK")</f>
        <v>179.27</v>
      </c>
      <c r="R328">
        <f>_xll.BDP("DVA UN Equity","LOW_52WEEK")</f>
        <v>131.91</v>
      </c>
    </row>
    <row r="329" spans="1:18" ht="15.75" x14ac:dyDescent="0.25">
      <c r="A329" t="s">
        <v>345</v>
      </c>
      <c r="B329">
        <f>_xll.BDP("HIG UN Equity","RT_PX_CHG_PCT_1D")</f>
        <v>0.25200000405311584</v>
      </c>
      <c r="C329" t="str">
        <f>_xll.BDP("HIG UN Equity","GICS_SECTOR_NAME")</f>
        <v>金融</v>
      </c>
      <c r="D329" t="str">
        <f>_xll.BDP("HIG UN Equity","NAME_CHINESE_TRADITIONAL")</f>
        <v>哈特福德保險集團公司</v>
      </c>
      <c r="E329" t="str">
        <f>_xll.BDP("HIG UN Equity","CLASSIFICATION_LEVEL_4_NAME")</f>
        <v>產物及意外保險</v>
      </c>
      <c r="F329" t="str">
        <f>_xll.BDP("HIG UN Equity","CLASSIFICATION_DESCRIPTION")</f>
        <v>產物意外險保費</v>
      </c>
      <c r="G329">
        <f>_xll.BDP("HIG UN Equity","CUR_MKT_CAP")</f>
        <v>35044103323.099998</v>
      </c>
      <c r="H329">
        <f>_xll.BDP("HIG UN Equity","CHG_PCT_YTD")</f>
        <v>12.75137</v>
      </c>
      <c r="I329" t="str">
        <f>_xll.BDP("HIG UN Equity","CIE_DES")</f>
        <v>哈特福德保險集團公司（The Hartford Insurance Group, Inc.）提供一系列保險產品，包括財產與意外傷害保險、團體福利及共同基金，於美國經營業務。</v>
      </c>
      <c r="J329">
        <f>_xll.BDP("HIG UN Equity","ESG_SCORE")</f>
        <v>2.7599999904632568</v>
      </c>
      <c r="K329" t="str">
        <f>_xll.BDP("HIG UN Equity","MSCI_ESG_RATING")</f>
        <v>AA</v>
      </c>
      <c r="L329">
        <f>_xll.BDP("HIG UN Equity","EQY_BETA")</f>
        <v>0.67373096942901611</v>
      </c>
      <c r="M329">
        <f>_xll.BDP("HIG UN Equity","VOLATILITY_60D")</f>
        <v>19.431792615328884</v>
      </c>
      <c r="N329">
        <f>_xll.BDP("HIG UN Equity","PCT_INSIDER_SHARES_OUT")</f>
        <v>0.38930245748900916</v>
      </c>
      <c r="O329">
        <f>_xll.BDP("HIG UN Equity","PCT_CHG_INSIDER_HOLDINGS")</f>
        <v>11.601682345342414</v>
      </c>
      <c r="P329">
        <f>_xll.BDP("HIG UN Equity","RISK_PREMIUM")</f>
        <v>3.4706105547487733</v>
      </c>
      <c r="Q329">
        <f>_xll.BDP("HIG UN Equity","HIGH_52WEEK")</f>
        <v>132.03</v>
      </c>
      <c r="R329">
        <f>_xll.BDP("HIG UN Equity","LOW_52WEEK")</f>
        <v>104</v>
      </c>
    </row>
    <row r="330" spans="1:18" ht="15.75" x14ac:dyDescent="0.25">
      <c r="A330" t="s">
        <v>346</v>
      </c>
      <c r="B330">
        <f>_xll.BDP("IRM UN Equity","RT_PX_CHG_PCT_1D")</f>
        <v>0.57709997892379761</v>
      </c>
      <c r="C330" t="str">
        <f>_xll.BDP("IRM UN Equity","GICS_SECTOR_NAME")</f>
        <v>房地產</v>
      </c>
      <c r="D330" t="str">
        <f>_xll.BDP("IRM UN Equity","NAME_CHINESE_TRADITIONAL")</f>
        <v>鐵山公司</v>
      </c>
      <c r="E330" t="str">
        <f>_xll.BDP("IRM UN Equity","CLASSIFICATION_LEVEL_4_NAME")</f>
        <v>特殊及其它REIT</v>
      </c>
      <c r="F330" t="str">
        <f>_xll.BDP("IRM UN Equity","CLASSIFICATION_DESCRIPTION")</f>
        <v>特殊及其它REIT</v>
      </c>
      <c r="G330">
        <f>_xll.BDP("IRM UN Equity","CUR_MKT_CAP")</f>
        <v>29309660628.639999</v>
      </c>
      <c r="H330">
        <f>_xll.BDP("IRM UN Equity","CHG_PCT_YTD")</f>
        <v>-5.4894879999999997</v>
      </c>
      <c r="I330" t="str">
        <f>_xll.BDP("IRM UN Equity","CIE_DES")</f>
        <v>鐵山公司(Iron Mountain Incorporated)為資料儲存及資訊管理公司。該公司提供紀錄管理、資料管理解決方案，以及資訊銷毀服務。鐵山服務全球各地的銀行、能源、娛樂、醫療保健、保險、律師公司、生命科學、零售，以及製藥產業。</v>
      </c>
      <c r="J330">
        <f>_xll.BDP("IRM UN Equity","ESG_SCORE")</f>
        <v>5</v>
      </c>
      <c r="K330" t="str">
        <f>_xll.BDP("IRM UN Equity","MSCI_ESG_RATING")</f>
        <v>AA</v>
      </c>
      <c r="L330">
        <f>_xll.BDP("IRM UN Equity","EQY_BETA")</f>
        <v>1.0315089225769043</v>
      </c>
      <c r="M330">
        <f>_xll.BDP("IRM UN Equity","VOLATILITY_60D")</f>
        <v>20.96164397981827</v>
      </c>
      <c r="N330">
        <f>_xll.BDP("IRM UN Equity","PCT_INSIDER_SHARES_OUT")</f>
        <v>0.80852815089551089</v>
      </c>
      <c r="O330">
        <f>_xll.BDP("IRM UN Equity","PCT_CHG_INSIDER_HOLDINGS")</f>
        <v>11.258630670463107</v>
      </c>
      <c r="P330">
        <f>_xll.BDP("IRM UN Equity","RISK_PREMIUM")</f>
        <v>5.3136428581380839</v>
      </c>
      <c r="Q330">
        <f>_xll.BDP("IRM UN Equity","HIGH_52WEEK")</f>
        <v>130.22999999999999</v>
      </c>
      <c r="R330">
        <f>_xll.BDP("IRM UN Equity","LOW_52WEEK")</f>
        <v>72.62</v>
      </c>
    </row>
    <row r="331" spans="1:18" ht="15.75" x14ac:dyDescent="0.25">
      <c r="A331" t="s">
        <v>347</v>
      </c>
      <c r="B331">
        <f>_xll.BDP("EL UN Equity","RT_PX_CHG_PCT_1D")</f>
        <v>4.183499813079834</v>
      </c>
      <c r="C331" t="str">
        <f>_xll.BDP("EL UN Equity","GICS_SECTOR_NAME")</f>
        <v>核心消費</v>
      </c>
      <c r="D331" t="str">
        <f>_xll.BDP("EL UN Equity","NAME_CHINESE_TRADITIONAL")</f>
        <v>雅詩蘭黛</v>
      </c>
      <c r="E331" t="str">
        <f>_xll.BDP("EL UN Equity","CLASSIFICATION_LEVEL_4_NAME")</f>
        <v>個人保健用品</v>
      </c>
      <c r="F331" t="str">
        <f>_xll.BDP("EL UN Equity","CLASSIFICATION_DESCRIPTION")</f>
        <v>化妝品</v>
      </c>
      <c r="G331">
        <f>_xll.BDP("EL UN Equity","CUR_MKT_CAP")</f>
        <v>32521578992.000004</v>
      </c>
      <c r="H331">
        <f>_xll.BDP("EL UN Equity","CHG_PCT_YTD")</f>
        <v>20.565480000000001</v>
      </c>
      <c r="I331" t="str">
        <f>_xll.BDP("EL UN Equity","CIE_DES")</f>
        <v>雅詩蘭黛公司(The Estee Lauder Companies Inc.)製造及行銷保養品、彩妝、香水及護髮等各類產品。該公司的產品行銷世界各地。</v>
      </c>
      <c r="J331">
        <f>_xll.BDP("EL UN Equity","ESG_SCORE")</f>
        <v>4.7300000190734863</v>
      </c>
      <c r="K331" t="str">
        <f>_xll.BDP("EL UN Equity","MSCI_ESG_RATING")</f>
        <v>A</v>
      </c>
      <c r="L331">
        <f>_xll.BDP("EL UN Equity","EQY_BETA")</f>
        <v>1.1375534534454346</v>
      </c>
      <c r="M331">
        <f>_xll.BDP("EL UN Equity","VOLATILITY_60D")</f>
        <v>45.217729764290098</v>
      </c>
      <c r="N331">
        <f>_xll.BDP("EL UN Equity","PCT_INSIDER_SHARES_OUT")</f>
        <v>3.9889535404124508</v>
      </c>
      <c r="O331">
        <f>_xll.BDP("EL UN Equity","PCT_CHG_INSIDER_HOLDINGS")</f>
        <v>7.4931800658386482E-3</v>
      </c>
      <c r="P331">
        <f>_xll.BDP("EL UN Equity","RISK_PREMIUM")</f>
        <v>5.8599132313370701</v>
      </c>
      <c r="Q331">
        <f>_xll.BDP("EL UN Equity","HIGH_52WEEK")</f>
        <v>103.31</v>
      </c>
      <c r="R331">
        <f>_xll.BDP("EL UN Equity","LOW_52WEEK")</f>
        <v>48.43</v>
      </c>
    </row>
    <row r="332" spans="1:18" ht="15.75" x14ac:dyDescent="0.25">
      <c r="A332" t="s">
        <v>348</v>
      </c>
      <c r="B332">
        <f>_xll.BDP("CDNS UW Equity","RT_PX_CHG_PCT_1D")</f>
        <v>2.325700044631958</v>
      </c>
      <c r="C332" t="str">
        <f>_xll.BDP("CDNS UW Equity","GICS_SECTOR_NAME")</f>
        <v>資訊技術</v>
      </c>
      <c r="D332" t="str">
        <f>_xll.BDP("CDNS UW Equity","NAME_CHINESE_TRADITIONAL")</f>
        <v>Cadence設計系統公司</v>
      </c>
      <c r="E332" t="str">
        <f>_xll.BDP("CDNS UW Equity","CLASSIFICATION_LEVEL_4_NAME")</f>
        <v>應用軟體</v>
      </c>
      <c r="F332" t="str">
        <f>_xll.BDP("CDNS UW Equity","CLASSIFICATION_DESCRIPTION")</f>
        <v>工程軟體</v>
      </c>
      <c r="G332">
        <f>_xll.BDP("CDNS UW Equity","CUR_MKT_CAP")</f>
        <v>90701821980.000015</v>
      </c>
      <c r="H332">
        <f>_xll.BDP("CDNS UW Equity","CHG_PCT_YTD")</f>
        <v>10.56048</v>
      </c>
      <c r="I332" t="str">
        <f>_xll.BDP("CDNS UW Equity","CIE_DES")</f>
        <v>Cadence設計系統公司(Cadence Design Systems, Inc.)提供軟體科技、設計與顧問服務和技術 。該公司從事電子設計自動化軟體科技的授權許可，並提供多種專業服務。Cadence的設計實踐解決方案主要用於設計和開發複雜晶片、及電子化系統，包括半導體等。</v>
      </c>
      <c r="J332">
        <f>_xll.BDP("CDNS UW Equity","ESG_SCORE")</f>
        <v>5.869999885559082</v>
      </c>
      <c r="K332" t="str">
        <f>_xll.BDP("CDNS UW Equity","MSCI_ESG_RATING")</f>
        <v>AA</v>
      </c>
      <c r="L332">
        <f>_xll.BDP("CDNS UW Equity","EQY_BETA")</f>
        <v>1.3434646129608154</v>
      </c>
      <c r="M332">
        <f>_xll.BDP("CDNS UW Equity","VOLATILITY_60D")</f>
        <v>32.036892263017201</v>
      </c>
      <c r="N332">
        <f>_xll.BDP("CDNS UW Equity","PCT_INSIDER_SHARES_OUT")</f>
        <v>0.39680049223196434</v>
      </c>
      <c r="O332">
        <f>_xll.BDP("CDNS UW Equity","PCT_CHG_INSIDER_HOLDINGS")</f>
        <v>43.193298635249832</v>
      </c>
      <c r="P332">
        <f>_xll.BDP("CDNS UW Equity","RISK_PREMIUM")</f>
        <v>6.9206295646834368</v>
      </c>
      <c r="Q332">
        <f>_xll.BDP("CDNS UW Equity","HIGH_52WEEK")</f>
        <v>335.16</v>
      </c>
      <c r="R332">
        <f>_xll.BDP("CDNS UW Equity","LOW_52WEEK")</f>
        <v>222.2</v>
      </c>
    </row>
    <row r="333" spans="1:18" ht="15.75" x14ac:dyDescent="0.25">
      <c r="A333" t="s">
        <v>349</v>
      </c>
      <c r="B333">
        <f>_xll.BDP("TYL UN Equity","RT_PX_CHG_PCT_1D")</f>
        <v>-0.61790001392364502</v>
      </c>
      <c r="C333" t="str">
        <f>_xll.BDP("TYL UN Equity","GICS_SECTOR_NAME")</f>
        <v>資訊技術</v>
      </c>
      <c r="D333" t="str">
        <f>_xll.BDP("TYL UN Equity","NAME_CHINESE_TRADITIONAL")</f>
        <v>Tyler Technologies Inc</v>
      </c>
      <c r="E333" t="str">
        <f>_xll.BDP("TYL UN Equity","CLASSIFICATION_LEVEL_4_NAME")</f>
        <v>應用軟體</v>
      </c>
      <c r="F333" t="str">
        <f>_xll.BDP("TYL UN Equity","CLASSIFICATION_DESCRIPTION")</f>
        <v>企業軟體</v>
      </c>
      <c r="G333">
        <f>_xll.BDP("TYL UN Equity","CUR_MKT_CAP")</f>
        <v>23996528407.16</v>
      </c>
      <c r="H333">
        <f>_xll.BDP("TYL UN Equity","CHG_PCT_YTD")</f>
        <v>-3.4995859999999999</v>
      </c>
      <c r="I333" t="str">
        <f>_xll.BDP("TYL UN Equity","CIE_DES")</f>
        <v>Tyler Technologies, Inc.為地方政府提供端對端資訊管理解決方案與服務。該公司的客戶為美國、加拿大、波多黎各及英國等地的政府機關。</v>
      </c>
      <c r="J333">
        <f>_xll.BDP("TYL UN Equity","ESG_SCORE")</f>
        <v>5.190000057220459</v>
      </c>
      <c r="K333" t="str">
        <f>_xll.BDP("TYL UN Equity","MSCI_ESG_RATING")</f>
        <v>AA</v>
      </c>
      <c r="L333">
        <f>_xll.BDP("TYL UN Equity","EQY_BETA")</f>
        <v>0.85890030860900879</v>
      </c>
      <c r="M333">
        <f>_xll.BDP("TYL UN Equity","VOLATILITY_60D")</f>
        <v>18.979260856741707</v>
      </c>
      <c r="N333">
        <f>_xll.BDP("TYL UN Equity","PCT_INSIDER_SHARES_OUT")</f>
        <v>0.43698985473134738</v>
      </c>
      <c r="O333">
        <f>_xll.BDP("TYL UN Equity","PCT_CHG_INSIDER_HOLDINGS")</f>
        <v>3.35642097672135</v>
      </c>
      <c r="P333">
        <f>_xll.BDP("TYL UN Equity","RISK_PREMIUM")</f>
        <v>4.4244789267468452</v>
      </c>
      <c r="Q333">
        <f>_xll.BDP("TYL UN Equity","HIGH_52WEEK")</f>
        <v>656.95</v>
      </c>
      <c r="R333">
        <f>_xll.BDP("TYL UN Equity","LOW_52WEEK")</f>
        <v>513.63</v>
      </c>
    </row>
    <row r="334" spans="1:18" ht="15.75" x14ac:dyDescent="0.25">
      <c r="A334" t="s">
        <v>350</v>
      </c>
      <c r="B334">
        <f>_xll.BDP("UHS UN Equity","RT_PX_CHG_PCT_1D")</f>
        <v>9.0099997818470001E-2</v>
      </c>
      <c r="C334" t="str">
        <f>_xll.BDP("UHS UN Equity","GICS_SECTOR_NAME")</f>
        <v>醫療保健</v>
      </c>
      <c r="D334" t="str">
        <f>_xll.BDP("UHS UN Equity","NAME_CHINESE_TRADITIONAL")</f>
        <v>環球健康服務公司</v>
      </c>
      <c r="E334" t="str">
        <f>_xll.BDP("UHS UN Equity","CLASSIFICATION_LEVEL_4_NAME")</f>
        <v>醫療保健設施</v>
      </c>
      <c r="F334" t="str">
        <f>_xll.BDP("UHS UN Equity","CLASSIFICATION_DESCRIPTION")</f>
        <v>醫療保健設施</v>
      </c>
      <c r="G334">
        <f>_xll.BDP("UHS UN Equity","CUR_MKT_CAP")</f>
        <v>10026925306.399998</v>
      </c>
      <c r="H334">
        <f>_xll.BDP("UHS UN Equity","CHG_PCT_YTD")</f>
        <v>-13.276109999999999</v>
      </c>
      <c r="I334" t="str">
        <f>_xll.BDP("UHS UN Equity","CIE_DES")</f>
        <v>環球健康服務公司(Universal Health Services, Inc.)為一家醫療保健管理公司。該公司提供急症照護醫院、行為健康中心及手術中心。環球健康提供的服務遍及美國、英國及波多黎各，服務包括：一般手術、內科、放射科及兒科。</v>
      </c>
      <c r="J334">
        <f>_xll.BDP("UHS UN Equity","ESG_SCORE")</f>
        <v>1.9600000381469727</v>
      </c>
      <c r="K334" t="str">
        <f>_xll.BDP("UHS UN Equity","MSCI_ESG_RATING")</f>
        <v>CCC</v>
      </c>
      <c r="L334">
        <f>_xll.BDP("UHS UN Equity","EQY_BETA")</f>
        <v>0.82363015413284302</v>
      </c>
      <c r="M334">
        <f>_xll.BDP("UHS UN Equity","VOLATILITY_60D")</f>
        <v>34.463210258566669</v>
      </c>
      <c r="N334">
        <f>_xll.BDP("UHS UN Equity","PCT_INSIDER_SHARES_OUT")</f>
        <v>5.8630754243944541</v>
      </c>
      <c r="O334">
        <f>_xll.BDP("UHS UN Equity","PCT_CHG_INSIDER_HOLDINGS")</f>
        <v>9.1427156530021296</v>
      </c>
      <c r="P334">
        <f>_xll.BDP("UHS UN Equity","RISK_PREMIUM")</f>
        <v>4.2427907218891381</v>
      </c>
      <c r="Q334">
        <f>_xll.BDP("UHS UN Equity","HIGH_52WEEK")</f>
        <v>242.63</v>
      </c>
      <c r="R334">
        <f>_xll.BDP("UHS UN Equity","LOW_52WEEK")</f>
        <v>152.99</v>
      </c>
    </row>
    <row r="335" spans="1:18" ht="15.75" x14ac:dyDescent="0.25">
      <c r="A335" t="s">
        <v>351</v>
      </c>
      <c r="B335">
        <f>_xll.BDP("SWKS UW Equity","RT_PX_CHG_PCT_1D")</f>
        <v>-1.1196999549865723</v>
      </c>
      <c r="C335" t="str">
        <f>_xll.BDP("SWKS UW Equity","GICS_SECTOR_NAME")</f>
        <v>資訊技術</v>
      </c>
      <c r="D335" t="str">
        <f>_xll.BDP("SWKS UW Equity","NAME_CHINESE_TRADITIONAL")</f>
        <v>思佳訊半導體有限公司</v>
      </c>
      <c r="E335" t="str">
        <f>_xll.BDP("SWKS UW Equity","CLASSIFICATION_LEVEL_4_NAME")</f>
        <v>半導體元件</v>
      </c>
      <c r="F335" t="str">
        <f>_xll.BDP("SWKS UW Equity","CLASSIFICATION_DESCRIPTION")</f>
        <v>類比IC</v>
      </c>
      <c r="G335">
        <f>_xll.BDP("SWKS UW Equity","CUR_MKT_CAP")</f>
        <v>10738737813.379999</v>
      </c>
      <c r="H335">
        <f>_xll.BDP("SWKS UW Equity","CHG_PCT_YTD")</f>
        <v>-19.339200000000002</v>
      </c>
      <c r="I335" t="str">
        <f>_xll.BDP("SWKS UW Equity","CIE_DES")</f>
        <v>思佳訊半導體有限公司(Skyworks Solutions, Inc.)為無線半導體公司，設計並製造行動通訊用的無線射頻及完整半導體系統解決方案。該公司提供前端模組、無線射頻子系統以及系統解決方案，予全球的無線手機及基礎設施客戶。</v>
      </c>
      <c r="J335">
        <f>_xll.BDP("SWKS UW Equity","ESG_SCORE")</f>
        <v>5.8499999046325684</v>
      </c>
      <c r="K335" t="str">
        <f>_xll.BDP("SWKS UW Equity","MSCI_ESG_RATING")</f>
        <v>N.S.</v>
      </c>
      <c r="L335">
        <f>_xll.BDP("SWKS UW Equity","EQY_BETA")</f>
        <v>1.2788691520690918</v>
      </c>
      <c r="M335">
        <f>_xll.BDP("SWKS UW Equity","VOLATILITY_60D")</f>
        <v>27.485634041399777</v>
      </c>
      <c r="N335">
        <f>_xll.BDP("SWKS UW Equity","PCT_INSIDER_SHARES_OUT")</f>
        <v>0.45484253219395843</v>
      </c>
      <c r="O335">
        <f>_xll.BDP("SWKS UW Equity","PCT_CHG_INSIDER_HOLDINGS")</f>
        <v>4.5572725268264005</v>
      </c>
      <c r="P335">
        <f>_xll.BDP("SWKS UW Equity","RISK_PREMIUM")</f>
        <v>6.5878770291280739</v>
      </c>
      <c r="Q335">
        <f>_xll.BDP("SWKS UW Equity","HIGH_52WEEK")</f>
        <v>120.06</v>
      </c>
      <c r="R335">
        <f>_xll.BDP("SWKS UW Equity","LOW_52WEEK")</f>
        <v>47.94</v>
      </c>
    </row>
    <row r="336" spans="1:18" ht="15.75" x14ac:dyDescent="0.25">
      <c r="A336" t="s">
        <v>352</v>
      </c>
      <c r="B336">
        <f>_xll.BDP("DGX UN Equity","RT_PX_CHG_PCT_1D")</f>
        <v>-1.9487999677658081</v>
      </c>
      <c r="C336" t="str">
        <f>_xll.BDP("DGX UN Equity","GICS_SECTOR_NAME")</f>
        <v>醫療保健</v>
      </c>
      <c r="D336" t="str">
        <f>_xll.BDP("DGX UN Equity","NAME_CHINESE_TRADITIONAL")</f>
        <v>奎斯特診斷公司</v>
      </c>
      <c r="E336" t="str">
        <f>_xll.BDP("DGX UN Equity","CLASSIFICATION_LEVEL_4_NAME")</f>
        <v>醫療保健服務</v>
      </c>
      <c r="F336" t="str">
        <f>_xll.BDP("DGX UN Equity","CLASSIFICATION_DESCRIPTION")</f>
        <v>臨床實驗室</v>
      </c>
      <c r="G336">
        <f>_xll.BDP("DGX UN Equity","CUR_MKT_CAP")</f>
        <v>18847840980.549999</v>
      </c>
      <c r="H336">
        <f>_xll.BDP("DGX UN Equity","CHG_PCT_YTD")</f>
        <v>11.726100000000001</v>
      </c>
      <c r="I336" t="str">
        <f>_xll.BDP("DGX UN Equity","CIE_DES")</f>
        <v>奎斯特診斷公司(Quest Diagnostics Incorporated)提供診斷測試、資訊及服務。該公司經營全方位實驗室全國性網絡、緊急應變實驗室及病人服務中心。奎斯特診斷提供隱密的檢驗、一般醫療檢驗、濫用藥物檢查及非醫院體系的解剖病理學檢驗。</v>
      </c>
      <c r="J336">
        <f>_xll.BDP("DGX UN Equity","ESG_SCORE")</f>
        <v>5.5199999809265137</v>
      </c>
      <c r="K336" t="str">
        <f>_xll.BDP("DGX UN Equity","MSCI_ESG_RATING")</f>
        <v>AAA</v>
      </c>
      <c r="L336">
        <f>_xll.BDP("DGX UN Equity","EQY_BETA")</f>
        <v>0.50250768661499023</v>
      </c>
      <c r="M336">
        <f>_xll.BDP("DGX UN Equity","VOLATILITY_60D")</f>
        <v>24.284995765128329</v>
      </c>
      <c r="N336">
        <f>_xll.BDP("DGX UN Equity","PCT_INSIDER_SHARES_OUT")</f>
        <v>0.43670644963397637</v>
      </c>
      <c r="O336">
        <f>_xll.BDP("DGX UN Equity","PCT_CHG_INSIDER_HOLDINGS")</f>
        <v>5.7379178936428206</v>
      </c>
      <c r="P336">
        <f>_xll.BDP("DGX UN Equity","RISK_PREMIUM")</f>
        <v>2.5885829212903975</v>
      </c>
      <c r="Q336">
        <f>_xll.BDP("DGX UN Equity","HIGH_52WEEK")</f>
        <v>182.37</v>
      </c>
      <c r="R336">
        <f>_xll.BDP("DGX UN Equity","LOW_52WEEK")</f>
        <v>140.83000000000001</v>
      </c>
    </row>
    <row r="337" spans="1:18" ht="15.75" x14ac:dyDescent="0.25">
      <c r="A337" t="s">
        <v>353</v>
      </c>
      <c r="B337">
        <f>_xll.BDP("ROK UN Equity","RT_PX_CHG_PCT_1D")</f>
        <v>0.42300000786781311</v>
      </c>
      <c r="C337" t="str">
        <f>_xll.BDP("ROK UN Equity","GICS_SECTOR_NAME")</f>
        <v>工業</v>
      </c>
      <c r="D337" t="str">
        <f>_xll.BDP("ROK UN Equity","NAME_CHINESE_TRADITIONAL")</f>
        <v>洛克威爾自動化公司</v>
      </c>
      <c r="E337" t="str">
        <f>_xll.BDP("ROK UN Equity","CLASSIFICATION_LEVEL_4_NAME")</f>
        <v>工業自動控制</v>
      </c>
      <c r="F337" t="str">
        <f>_xll.BDP("ROK UN Equity","CLASSIFICATION_DESCRIPTION")</f>
        <v>工業自動控制</v>
      </c>
      <c r="G337">
        <f>_xll.BDP("ROK UN Equity","CUR_MKT_CAP")</f>
        <v>40411109182.919991</v>
      </c>
      <c r="H337">
        <f>_xll.BDP("ROK UN Equity","CHG_PCT_YTD")</f>
        <v>25.44875</v>
      </c>
      <c r="I337" t="str">
        <f>_xll.BDP("ROK UN Equity","CIE_DES")</f>
        <v>洛克威爾自動化(Rockwell Automation, Inc.)生產工業自動化產品。 該公司提供的產品如：控制系統、汽車控制裝置、感應器及工業控制看板。洛克威爾在全球各地行銷其產品。</v>
      </c>
      <c r="J337">
        <f>_xll.BDP("ROK UN Equity","ESG_SCORE")</f>
        <v>6.5</v>
      </c>
      <c r="K337" t="str">
        <f>_xll.BDP("ROK UN Equity","MSCI_ESG_RATING")</f>
        <v>AA</v>
      </c>
      <c r="L337">
        <f>_xll.BDP("ROK UN Equity","EQY_BETA")</f>
        <v>1.010219931602478</v>
      </c>
      <c r="M337">
        <f>_xll.BDP("ROK UN Equity","VOLATILITY_60D")</f>
        <v>28.739272311414126</v>
      </c>
      <c r="N337">
        <f>_xll.BDP("ROK UN Equity","PCT_INSIDER_SHARES_OUT")</f>
        <v>0.2314666297303411</v>
      </c>
      <c r="O337">
        <f>_xll.BDP("ROK UN Equity","PCT_CHG_INSIDER_HOLDINGS")</f>
        <v>-0.71618004230002552</v>
      </c>
      <c r="P337">
        <f>_xll.BDP("ROK UN Equity","RISK_PREMIUM")</f>
        <v>5.2039762402617926</v>
      </c>
      <c r="Q337">
        <f>_xll.BDP("ROK UN Equity","HIGH_52WEEK")</f>
        <v>360.56</v>
      </c>
      <c r="R337">
        <f>_xll.BDP("ROK UN Equity","LOW_52WEEK")</f>
        <v>215</v>
      </c>
    </row>
    <row r="338" spans="1:18" ht="15.75" x14ac:dyDescent="0.25">
      <c r="A338" t="s">
        <v>354</v>
      </c>
      <c r="B338">
        <f>_xll.BDP("KHC UW Equity","RT_PX_CHG_PCT_1D")</f>
        <v>-0.34749999642372131</v>
      </c>
      <c r="C338" t="str">
        <f>_xll.BDP("KHC UW Equity","GICS_SECTOR_NAME")</f>
        <v>核心消費</v>
      </c>
      <c r="D338" t="str">
        <f>_xll.BDP("KHC UW Equity","NAME_CHINESE_TRADITIONAL")</f>
        <v>卡夫亨氏公司</v>
      </c>
      <c r="E338" t="str">
        <f>_xll.BDP("KHC UW Equity","CLASSIFICATION_LEVEL_4_NAME")</f>
        <v>包裝食品製造業</v>
      </c>
      <c r="F338" t="str">
        <f>_xll.BDP("KHC UW Equity","CLASSIFICATION_DESCRIPTION")</f>
        <v>包裝食品製造業</v>
      </c>
      <c r="G338">
        <f>_xll.BDP("KHC UW Equity","CUR_MKT_CAP")</f>
        <v>33943987456.68</v>
      </c>
      <c r="H338">
        <f>_xll.BDP("KHC UW Equity","CHG_PCT_YTD")</f>
        <v>-6.6102220000000003</v>
      </c>
      <c r="I338" t="str">
        <f>_xll.BDP("KHC UW Equity","CIE_DES")</f>
        <v>卡夫亨氏公司(The Kraft Heinz Company)生產食品。該公司經銷乳製品、醬料、調味奶粉及其他產品。卡夫亨氏服務全球客戶。</v>
      </c>
      <c r="J338">
        <f>_xll.BDP("KHC UW Equity","ESG_SCORE")</f>
        <v>5.1500000953674316</v>
      </c>
      <c r="K338" t="str">
        <f>_xll.BDP("KHC UW Equity","MSCI_ESG_RATING")</f>
        <v>AA</v>
      </c>
      <c r="L338">
        <f>_xll.BDP("KHC UW Equity","EQY_BETA")</f>
        <v>0.38606330752372742</v>
      </c>
      <c r="M338">
        <f>_xll.BDP("KHC UW Equity","VOLATILITY_60D")</f>
        <v>24.032224141849486</v>
      </c>
      <c r="N338">
        <f>_xll.BDP("KHC UW Equity","PCT_INSIDER_SHARES_OUT")</f>
        <v>1.6368706813953371</v>
      </c>
      <c r="O338">
        <f>_xll.BDP("KHC UW Equity","PCT_CHG_INSIDER_HOLDINGS")</f>
        <v>1.6606967252256175</v>
      </c>
      <c r="P338">
        <f>_xll.BDP("KHC UW Equity","RISK_PREMIUM")</f>
        <v>1.9887394979462028</v>
      </c>
      <c r="Q338">
        <f>_xll.BDP("KHC UW Equity","HIGH_52WEEK")</f>
        <v>36.520000000000003</v>
      </c>
      <c r="R338">
        <f>_xll.BDP("KHC UW Equity","LOW_52WEEK")</f>
        <v>25.44</v>
      </c>
    </row>
    <row r="339" spans="1:18" ht="15.75" x14ac:dyDescent="0.25">
      <c r="A339" t="s">
        <v>355</v>
      </c>
      <c r="B339">
        <f>_xll.BDP("AMT UN Equity","RT_PX_CHG_PCT_1D")</f>
        <v>-0.59249997138977051</v>
      </c>
      <c r="C339" t="str">
        <f>_xll.BDP("AMT UN Equity","GICS_SECTOR_NAME")</f>
        <v>房地產</v>
      </c>
      <c r="D339" t="str">
        <f>_xll.BDP("AMT UN Equity","NAME_CHINESE_TRADITIONAL")</f>
        <v>美國電塔</v>
      </c>
      <c r="E339" t="str">
        <f>_xll.BDP("AMT UN Equity","CLASSIFICATION_LEVEL_4_NAME")</f>
        <v>基礎設施REIT</v>
      </c>
      <c r="F339" t="str">
        <f>_xll.BDP("AMT UN Equity","CLASSIFICATION_DESCRIPTION")</f>
        <v>基礎設施REIT</v>
      </c>
      <c r="G339">
        <f>_xll.BDP("AMT UN Equity","CUR_MKT_CAP")</f>
        <v>107610938378.14999</v>
      </c>
      <c r="H339">
        <f>_xll.BDP("AMT UN Equity","CHG_PCT_YTD")</f>
        <v>25.331219999999998</v>
      </c>
      <c r="I339" t="str">
        <f>_xll.BDP("AMT UN Equity","CIE_DES")</f>
        <v>美國電塔公司(American Tower Corporation)為不動產投資信託公司，在美國擁有、經營並開發無線通訊及廣播塔。該公司出租多重租戶電塔天線據點予各種無線通訊產業，包括個人通訊服務、傳呼、及行動電話。</v>
      </c>
      <c r="J339">
        <f>_xll.BDP("AMT UN Equity","ESG_SCORE")</f>
        <v>5.6500000953674316</v>
      </c>
      <c r="K339" t="str">
        <f>_xll.BDP("AMT UN Equity","MSCI_ESG_RATING")</f>
        <v>AAA</v>
      </c>
      <c r="L339">
        <f>_xll.BDP("AMT UN Equity","EQY_BETA")</f>
        <v>0.46168306469917297</v>
      </c>
      <c r="M339">
        <f>_xll.BDP("AMT UN Equity","VOLATILITY_60D")</f>
        <v>21.374440004566104</v>
      </c>
      <c r="N339">
        <f>_xll.BDP("AMT UN Equity","PCT_INSIDER_SHARES_OUT")</f>
        <v>8.1433431409784554E-2</v>
      </c>
      <c r="O339">
        <f>_xll.BDP("AMT UN Equity","PCT_CHG_INSIDER_HOLDINGS")</f>
        <v>21.189126640747443</v>
      </c>
      <c r="P339">
        <f>_xll.BDP("AMT UN Equity","RISK_PREMIUM")</f>
        <v>2.3782818216767905</v>
      </c>
      <c r="Q339">
        <f>_xll.BDP("AMT UN Equity","HIGH_52WEEK")</f>
        <v>243.56</v>
      </c>
      <c r="R339">
        <f>_xll.BDP("AMT UN Equity","LOW_52WEEK")</f>
        <v>172.51</v>
      </c>
    </row>
    <row r="340" spans="1:18" ht="15.75" x14ac:dyDescent="0.25">
      <c r="A340" t="s">
        <v>356</v>
      </c>
      <c r="B340">
        <f>_xll.BDP("REGN UW Equity","RT_PX_CHG_PCT_1D")</f>
        <v>-0.27270001173019409</v>
      </c>
      <c r="C340" t="str">
        <f>_xll.BDP("REGN UW Equity","GICS_SECTOR_NAME")</f>
        <v>醫療保健</v>
      </c>
      <c r="D340" t="str">
        <f>_xll.BDP("REGN UW Equity","NAME_CHINESE_TRADITIONAL")</f>
        <v>Regeneron Pharmaceuticals In</v>
      </c>
      <c r="E340" t="str">
        <f>_xll.BDP("REGN UW Equity","CLASSIFICATION_LEVEL_4_NAME")</f>
        <v>生物科技</v>
      </c>
      <c r="F340" t="str">
        <f>_xll.BDP("REGN UW Equity","CLASSIFICATION_DESCRIPTION")</f>
        <v>生物科技</v>
      </c>
      <c r="G340">
        <f>_xll.BDP("REGN UW Equity","CUR_MKT_CAP")</f>
        <v>60795371360.699997</v>
      </c>
      <c r="H340">
        <f>_xll.BDP("REGN UW Equity","CHG_PCT_YTD")</f>
        <v>-20.949560000000002</v>
      </c>
      <c r="I340" t="str">
        <f>_xll.BDP("REGN UW Equity","CIE_DES")</f>
        <v>Regeneron Pharmaceuticals, Inc.為生物製藥公司，專門研究開發治療重大疾病的藥品，並加以商業化。該公司有多種進入臨床試驗的實驗性藥物，可望用於治療癌症、眼疾及炎症，並進行其他疾病和失調症狀的臨床前研究。</v>
      </c>
      <c r="J340">
        <f>_xll.BDP("REGN UW Equity","ESG_SCORE")</f>
        <v>3.6400001049041748</v>
      </c>
      <c r="K340" t="str">
        <f>_xll.BDP("REGN UW Equity","MSCI_ESG_RATING")</f>
        <v>A</v>
      </c>
      <c r="L340">
        <f>_xll.BDP("REGN UW Equity","EQY_BETA")</f>
        <v>0.79755359888076782</v>
      </c>
      <c r="M340">
        <f>_xll.BDP("REGN UW Equity","VOLATILITY_60D")</f>
        <v>57.905098898328809</v>
      </c>
      <c r="N340">
        <f>_xll.BDP("REGN UW Equity","PCT_INSIDER_SHARES_OUT")</f>
        <v>2.4280205825052472</v>
      </c>
      <c r="O340">
        <f>_xll.BDP("REGN UW Equity","PCT_CHG_INSIDER_HOLDINGS")</f>
        <v>0</v>
      </c>
      <c r="P340">
        <f>_xll.BDP("REGN UW Equity","RISK_PREMIUM")</f>
        <v>4.1084617805224655</v>
      </c>
      <c r="Q340">
        <f>_xll.BDP("REGN UW Equity","HIGH_52WEEK")</f>
        <v>1210.97</v>
      </c>
      <c r="R340">
        <f>_xll.BDP("REGN UW Equity","LOW_52WEEK")</f>
        <v>477</v>
      </c>
    </row>
    <row r="341" spans="1:18" ht="15.75" x14ac:dyDescent="0.25">
      <c r="A341" t="s">
        <v>357</v>
      </c>
      <c r="B341">
        <f>_xll.BDP("AMZN UW Equity","RT_PX_CHG_PCT_1D")</f>
        <v>-0.34020000696182251</v>
      </c>
      <c r="C341" t="str">
        <f>_xll.BDP("AMZN UW Equity","GICS_SECTOR_NAME")</f>
        <v>非核心消費</v>
      </c>
      <c r="D341" t="str">
        <f>_xll.BDP("AMZN UW Equity","NAME_CHINESE_TRADITIONAL")</f>
        <v>亞馬遜公司</v>
      </c>
      <c r="E341" t="str">
        <f>_xll.BDP("AMZN UW Equity","CLASSIFICATION_LEVEL_4_NAME")</f>
        <v>網路市場</v>
      </c>
      <c r="F341" t="str">
        <f>_xll.BDP("AMZN UW Equity","CLASSIFICATION_DESCRIPTION")</f>
        <v>網路市場</v>
      </c>
      <c r="G341">
        <f>_xll.BDP("AMZN UW Equity","CUR_MKT_CAP")</f>
        <v>2457048601076.0801</v>
      </c>
      <c r="H341">
        <f>_xll.BDP("AMZN UW Equity","CHG_PCT_YTD")</f>
        <v>5.492502</v>
      </c>
      <c r="I341" t="str">
        <f>_xll.BDP("AMZN UW Equity","CIE_DES")</f>
        <v>亞馬遜公司(Amazon.com, Inc.)為一家提供多元化產品的線上零售商。該公司的產品包括：書籍、音樂、電腦、電子產品，以及許多其它產品。亞馬遜提供個人化購物服務、網上信用卡付款，以及送貨到府服務。亞馬遜亦經營雲端平台，於全球各地提供服務。</v>
      </c>
      <c r="J341">
        <f>_xll.BDP("AMZN UW Equity","ESG_SCORE")</f>
        <v>4.5500001907348633</v>
      </c>
      <c r="K341" t="str">
        <f>_xll.BDP("AMZN UW Equity","MSCI_ESG_RATING")</f>
        <v>BBB</v>
      </c>
      <c r="L341">
        <f>_xll.BDP("AMZN UW Equity","EQY_BETA")</f>
        <v>1.2154296636581421</v>
      </c>
      <c r="M341">
        <f>_xll.BDP("AMZN UW Equity","VOLATILITY_60D")</f>
        <v>26.400833436376708</v>
      </c>
      <c r="N341">
        <f>_xll.BDP("AMZN UW Equity","PCT_INSIDER_SHARES_OUT")</f>
        <v>8.3619716980506489</v>
      </c>
      <c r="O341">
        <f>_xll.BDP("AMZN UW Equity","PCT_CHG_INSIDER_HOLDINGS")</f>
        <v>-2.8406814964761073</v>
      </c>
      <c r="P341">
        <f>_xll.BDP("AMZN UW Equity","RISK_PREMIUM")</f>
        <v>6.2610792892920966</v>
      </c>
      <c r="Q341">
        <f>_xll.BDP("AMZN UW Equity","HIGH_52WEEK")</f>
        <v>242.51</v>
      </c>
      <c r="R341">
        <f>_xll.BDP("AMZN UW Equity","LOW_52WEEK")</f>
        <v>151.61000000000001</v>
      </c>
    </row>
    <row r="342" spans="1:18" ht="15.75" x14ac:dyDescent="0.25">
      <c r="A342" t="s">
        <v>358</v>
      </c>
      <c r="B342">
        <f>_xll.BDP("JKHY UW Equity","RT_PX_CHG_PCT_1D")</f>
        <v>-2.5151998996734619</v>
      </c>
      <c r="C342" t="str">
        <f>_xll.BDP("JKHY UW Equity","GICS_SECTOR_NAME")</f>
        <v>金融</v>
      </c>
      <c r="D342" t="str">
        <f>_xll.BDP("JKHY UW Equity","NAME_CHINESE_TRADITIONAL")</f>
        <v>Jack Henry &amp; Associates公司</v>
      </c>
      <c r="E342" t="str">
        <f>_xll.BDP("JKHY UW Equity","CLASSIFICATION_LEVEL_4_NAME")</f>
        <v>其它金融服務</v>
      </c>
      <c r="F342" t="str">
        <f>_xll.BDP("JKHY UW Equity","CLASSIFICATION_DESCRIPTION")</f>
        <v>金融交易處理服務</v>
      </c>
      <c r="G342">
        <f>_xll.BDP("JKHY UW Equity","CUR_MKT_CAP")</f>
        <v>12841099131.099998</v>
      </c>
      <c r="H342">
        <f>_xll.BDP("JKHY UW Equity","CHG_PCT_YTD")</f>
        <v>0.59897140000000004</v>
      </c>
      <c r="I342" t="str">
        <f>_xll.BDP("JKHY UW Equity","CIE_DES")</f>
        <v>Jack Henry &amp; Associates公司(Jack Henry &amp; Associates, Inc.)從事整合式電腦系統之開也會就其系統建置執行資料轉換、軟體安裝及客製化，並為客戶提供持續的維護服務。</v>
      </c>
      <c r="J342">
        <f>_xll.BDP("JKHY UW Equity","ESG_SCORE")</f>
        <v>3.559999942779541</v>
      </c>
      <c r="K342" t="str">
        <f>_xll.BDP("JKHY UW Equity","MSCI_ESG_RATING")</f>
        <v>A</v>
      </c>
      <c r="L342">
        <f>_xll.BDP("JKHY UW Equity","EQY_BETA")</f>
        <v>0.52866095304489136</v>
      </c>
      <c r="M342">
        <f>_xll.BDP("JKHY UW Equity","VOLATILITY_60D")</f>
        <v>18.732181164467939</v>
      </c>
      <c r="N342">
        <f>_xll.BDP("JKHY UW Equity","PCT_INSIDER_SHARES_OUT")</f>
        <v>0.57251024122586258</v>
      </c>
      <c r="O342">
        <f>_xll.BDP("JKHY UW Equity","PCT_CHG_INSIDER_HOLDINGS")</f>
        <v>-5.3494233039687584</v>
      </c>
      <c r="P342">
        <f>_xll.BDP("JKHY UW Equity","RISK_PREMIUM")</f>
        <v>2.7233070272487399</v>
      </c>
      <c r="Q342">
        <f>_xll.BDP("JKHY UW Equity","HIGH_52WEEK")</f>
        <v>195.9</v>
      </c>
      <c r="R342">
        <f>_xll.BDP("JKHY UW Equity","LOW_52WEEK")</f>
        <v>160.80000000000001</v>
      </c>
    </row>
    <row r="343" spans="1:18" ht="15.75" x14ac:dyDescent="0.25">
      <c r="A343" t="s">
        <v>359</v>
      </c>
      <c r="B343">
        <f>_xll.BDP("RL UN Equity","RT_PX_CHG_PCT_1D")</f>
        <v>0.97509998083114624</v>
      </c>
      <c r="C343" t="str">
        <f>_xll.BDP("RL UN Equity","GICS_SECTOR_NAME")</f>
        <v>非核心消費</v>
      </c>
      <c r="D343" t="str">
        <f>_xll.BDP("RL UN Equity","NAME_CHINESE_TRADITIONAL")</f>
        <v>雷夫羅倫公司</v>
      </c>
      <c r="E343" t="str">
        <f>_xll.BDP("RL UN Equity","CLASSIFICATION_LEVEL_4_NAME")</f>
        <v>服飾、鞋類及配件設計</v>
      </c>
      <c r="F343" t="str">
        <f>_xll.BDP("RL UN Equity","CLASSIFICATION_DESCRIPTION")</f>
        <v>服飾設計</v>
      </c>
      <c r="G343">
        <f>_xll.BDP("RL UN Equity","CUR_MKT_CAP")</f>
        <v>18064683105.93</v>
      </c>
      <c r="H343">
        <f>_xll.BDP("RL UN Equity","CHG_PCT_YTD")</f>
        <v>29.115079999999999</v>
      </c>
      <c r="I343" t="str">
        <f>_xll.BDP("RL UN Equity","CIE_DES")</f>
        <v>雷夫羅倫公司(Ralph Lauren Corporation)設計衣服與配件。該公司銷售並經銷男性、女士，和兒童的服飾、配件、香水，以及家飾。雷夫羅倫服務美國的客戶。</v>
      </c>
      <c r="J343">
        <f>_xll.BDP("RL UN Equity","ESG_SCORE")</f>
        <v>5.6999998092651367</v>
      </c>
      <c r="K343" t="str">
        <f>_xll.BDP("RL UN Equity","MSCI_ESG_RATING")</f>
        <v>N.S.</v>
      </c>
      <c r="L343">
        <f>_xll.BDP("RL UN Equity","EQY_BETA")</f>
        <v>1.0891925096511841</v>
      </c>
      <c r="M343">
        <f>_xll.BDP("RL UN Equity","VOLATILITY_60D")</f>
        <v>28.356292351583782</v>
      </c>
      <c r="N343">
        <f>_xll.BDP("RL UN Equity","PCT_INSIDER_SHARES_OUT")</f>
        <v>3.1876122559587072</v>
      </c>
      <c r="O343">
        <f>_xll.BDP("RL UN Equity","PCT_CHG_INSIDER_HOLDINGS")</f>
        <v>-11.756051314014035</v>
      </c>
      <c r="P343">
        <f>_xll.BDP("RL UN Equity","RISK_PREMIUM")</f>
        <v>5.6107900507414339</v>
      </c>
      <c r="Q343">
        <f>_xll.BDP("RL UN Equity","HIGH_52WEEK")</f>
        <v>299.01</v>
      </c>
      <c r="R343">
        <f>_xll.BDP("RL UN Equity","LOW_52WEEK")</f>
        <v>156.02000000000001</v>
      </c>
    </row>
    <row r="344" spans="1:18" ht="15.75" x14ac:dyDescent="0.25">
      <c r="A344" t="s">
        <v>360</v>
      </c>
      <c r="B344">
        <f>_xll.BDP("BXP UN Equity","RT_PX_CHG_PCT_1D")</f>
        <v>1.4983999729156494</v>
      </c>
      <c r="C344" t="str">
        <f>_xll.BDP("BXP UN Equity","GICS_SECTOR_NAME")</f>
        <v>房地產</v>
      </c>
      <c r="D344" t="str">
        <f>_xll.BDP("BXP UN Equity","NAME_CHINESE_TRADITIONAL")</f>
        <v>波士頓地產公司</v>
      </c>
      <c r="E344" t="str">
        <f>_xll.BDP("BXP UN Equity","CLASSIFICATION_LEVEL_4_NAME")</f>
        <v>辦公室不動產投資信託</v>
      </c>
      <c r="F344" t="str">
        <f>_xll.BDP("BXP UN Equity","CLASSIFICATION_DESCRIPTION")</f>
        <v>辦公室不動產投資信託</v>
      </c>
      <c r="G344">
        <f>_xll.BDP("BXP UN Equity","CUR_MKT_CAP")</f>
        <v>11367705992.799997</v>
      </c>
      <c r="H344">
        <f>_xll.BDP("BXP UN Equity","CHG_PCT_YTD")</f>
        <v>-3.4427120000000002</v>
      </c>
      <c r="I344" t="str">
        <f>_xll.BDP("BXP UN Equity","CIE_DES")</f>
        <v>波士頓地產公司(BXP, Inc.)為房地產投資信託。該公司擁有、開發，並管理工作場所和辦公室房地產。波士頓地產服務美國的客戶。</v>
      </c>
      <c r="J344">
        <f>_xll.BDP("BXP UN Equity","ESG_SCORE")</f>
        <v>6.4200000762939453</v>
      </c>
      <c r="K344" t="str">
        <f>_xll.BDP("BXP UN Equity","MSCI_ESG_RATING")</f>
        <v>A</v>
      </c>
      <c r="L344">
        <f>_xll.BDP("BXP UN Equity","EQY_BETA")</f>
        <v>1.0641626119613647</v>
      </c>
      <c r="M344">
        <f>_xll.BDP("BXP UN Equity","VOLATILITY_60D")</f>
        <v>27.587828211404215</v>
      </c>
      <c r="N344">
        <f>_xll.BDP("BXP UN Equity","PCT_INSIDER_SHARES_OUT")</f>
        <v>0.21283679226096261</v>
      </c>
      <c r="O344">
        <f>_xll.BDP("BXP UN Equity","PCT_CHG_INSIDER_HOLDINGS")</f>
        <v>-1.8335581340472578</v>
      </c>
      <c r="P344">
        <f>_xll.BDP("BXP UN Equity","RISK_PREMIUM")</f>
        <v>5.4818527878749368</v>
      </c>
      <c r="Q344">
        <f>_xll.BDP("BXP UN Equity","HIGH_52WEEK")</f>
        <v>90.09</v>
      </c>
      <c r="R344">
        <f>_xll.BDP("BXP UN Equity","LOW_52WEEK")</f>
        <v>54.25</v>
      </c>
    </row>
    <row r="345" spans="1:18" ht="15.75" x14ac:dyDescent="0.25">
      <c r="A345" t="s">
        <v>361</v>
      </c>
      <c r="B345">
        <f>_xll.BDP("APH UN Equity","RT_PX_CHG_PCT_1D")</f>
        <v>0.53609997034072876</v>
      </c>
      <c r="C345" t="str">
        <f>_xll.BDP("APH UN Equity","GICS_SECTOR_NAME")</f>
        <v>資訊技術</v>
      </c>
      <c r="D345" t="str">
        <f>_xll.BDP("APH UN Equity","NAME_CHINESE_TRADITIONAL")</f>
        <v>安費諾</v>
      </c>
      <c r="E345" t="str">
        <f>_xll.BDP("APH UN Equity","CLASSIFICATION_LEVEL_4_NAME")</f>
        <v>電機零件</v>
      </c>
      <c r="F345" t="str">
        <f>_xll.BDP("APH UN Equity","CLASSIFICATION_DESCRIPTION")</f>
        <v>電子連接器</v>
      </c>
      <c r="G345">
        <f>_xll.BDP("APH UN Equity","CUR_MKT_CAP")</f>
        <v>128221135077.21999</v>
      </c>
      <c r="H345">
        <f>_xll.BDP("APH UN Equity","CHG_PCT_YTD")</f>
        <v>51.216709999999999</v>
      </c>
      <c r="I345" t="str">
        <f>_xll.BDP("APH UN Equity","CIE_DES")</f>
        <v>安費諾公司(Amphenol Corporation)設計、製造及行銷電子、電動、與光纖連接器、互聯系統，以及同軸與排線電纜。該公司的產品應用的多種產業包括：電話、無線、和資料傳輸系統、有線電視系統，以及商用與軍用航太電子產品。</v>
      </c>
      <c r="J345">
        <f>_xll.BDP("APH UN Equity","ESG_SCORE")</f>
        <v>4.880000114440918</v>
      </c>
      <c r="K345" t="str">
        <f>_xll.BDP("APH UN Equity","MSCI_ESG_RATING")</f>
        <v>BB</v>
      </c>
      <c r="L345">
        <f>_xll.BDP("APH UN Equity","EQY_BETA")</f>
        <v>1.3896620273590088</v>
      </c>
      <c r="M345">
        <f>_xll.BDP("APH UN Equity","VOLATILITY_60D")</f>
        <v>19.766925425223366</v>
      </c>
      <c r="N345">
        <f>_xll.BDP("APH UN Equity","PCT_INSIDER_SHARES_OUT")</f>
        <v>0.54954882420729922</v>
      </c>
      <c r="O345">
        <f>_xll.BDP("APH UN Equity","PCT_CHG_INSIDER_HOLDINGS")</f>
        <v>0.87227959492670648</v>
      </c>
      <c r="P345">
        <f>_xll.BDP("APH UN Equity","RISK_PREMIUM")</f>
        <v>7.1586076913952823</v>
      </c>
      <c r="Q345">
        <f>_xll.BDP("APH UN Equity","HIGH_52WEEK")</f>
        <v>108.82</v>
      </c>
      <c r="R345">
        <f>_xll.BDP("APH UN Equity","LOW_52WEEK")</f>
        <v>54.77</v>
      </c>
    </row>
    <row r="346" spans="1:18" ht="15.75" x14ac:dyDescent="0.25">
      <c r="A346" t="s">
        <v>362</v>
      </c>
      <c r="B346">
        <f>_xll.BDP("HWM UN Equity","RT_PX_CHG_PCT_1D")</f>
        <v>1.4560999870300293</v>
      </c>
      <c r="C346" t="str">
        <f>_xll.BDP("HWM UN Equity","GICS_SECTOR_NAME")</f>
        <v>工業</v>
      </c>
      <c r="D346" t="str">
        <f>_xll.BDP("HWM UN Equity","NAME_CHINESE_TRADITIONAL")</f>
        <v>Howmet航太公司</v>
      </c>
      <c r="E346" t="str">
        <f>_xll.BDP("HWM UN Equity","CLASSIFICATION_LEVEL_4_NAME")</f>
        <v>飛機及零件</v>
      </c>
      <c r="F346" t="str">
        <f>_xll.BDP("HWM UN Equity","CLASSIFICATION_DESCRIPTION")</f>
        <v>飛機零件</v>
      </c>
      <c r="G346">
        <f>_xll.BDP("HWM UN Equity","CUR_MKT_CAP")</f>
        <v>76504308230.240005</v>
      </c>
      <c r="H346">
        <f>_xll.BDP("HWM UN Equity","CHG_PCT_YTD")</f>
        <v>73.283349999999999</v>
      </c>
      <c r="I346" t="str">
        <f>_xll.BDP("HWM UN Equity","CIE_DES")</f>
        <v>Howmet航太公司(Howmet Aerospace Inc.)提供工程金屬產品。該公司提供引擎、緊固件及結構，以及鍛造車輪。Howmet航太服務航太及商業運輸產業。</v>
      </c>
      <c r="J346">
        <f>_xll.BDP("HWM UN Equity","ESG_SCORE")</f>
        <v>6.5799999237060547</v>
      </c>
      <c r="K346" t="str">
        <f>_xll.BDP("HWM UN Equity","MSCI_ESG_RATING")</f>
        <v>A</v>
      </c>
      <c r="L346">
        <f>_xll.BDP("HWM UN Equity","EQY_BETA")</f>
        <v>1.2331700325012207</v>
      </c>
      <c r="M346">
        <f>_xll.BDP("HWM UN Equity","VOLATILITY_60D")</f>
        <v>27.915892283193759</v>
      </c>
      <c r="N346">
        <f>_xll.BDP("HWM UN Equity","PCT_INSIDER_SHARES_OUT")</f>
        <v>1.0371785061266006</v>
      </c>
      <c r="O346">
        <f>_xll.BDP("HWM UN Equity","PCT_CHG_INSIDER_HOLDINGS")</f>
        <v>-9.5820360525461616</v>
      </c>
      <c r="P346">
        <f>_xll.BDP("HWM UN Equity","RISK_PREMIUM")</f>
        <v>6.3524657835245133</v>
      </c>
      <c r="Q346">
        <f>_xll.BDP("HWM UN Equity","HIGH_52WEEK")</f>
        <v>191.58</v>
      </c>
      <c r="R346">
        <f>_xll.BDP("HWM UN Equity","LOW_52WEEK")</f>
        <v>82.27</v>
      </c>
    </row>
    <row r="347" spans="1:18" ht="15.75" x14ac:dyDescent="0.25">
      <c r="A347" t="s">
        <v>363</v>
      </c>
      <c r="B347">
        <f>_xll.BDP("VLO UN Equity","RT_PX_CHG_PCT_1D")</f>
        <v>1.1614999771118164</v>
      </c>
      <c r="C347" t="str">
        <f>_xll.BDP("VLO UN Equity","GICS_SECTOR_NAME")</f>
        <v>能源</v>
      </c>
      <c r="D347" t="str">
        <f>_xll.BDP("VLO UN Equity","NAME_CHINESE_TRADITIONAL")</f>
        <v>瓦勒羅能源</v>
      </c>
      <c r="E347" t="str">
        <f>_xll.BDP("VLO UN Equity","CLASSIFICATION_LEVEL_4_NAME")</f>
        <v>提煉及行銷</v>
      </c>
      <c r="F347" t="str">
        <f>_xll.BDP("VLO UN Equity","CLASSIFICATION_DESCRIPTION")</f>
        <v>石油煉製</v>
      </c>
      <c r="G347">
        <f>_xll.BDP("VLO UN Equity","CUR_MKT_CAP")</f>
        <v>44103228095.68</v>
      </c>
      <c r="H347">
        <f>_xll.BDP("VLO UN Equity","CHG_PCT_YTD")</f>
        <v>15.8088</v>
      </c>
      <c r="I347" t="str">
        <f>_xll.BDP("VLO UN Equity","CIE_DES")</f>
        <v>瓦勒羅能源公司(Valero Energy Corporation)是一家獨立的石油精煉及行銷公司，在美國、加拿大和阿魯巴等地擁有及經營煉油廠。該公司生產傳統汽油、蒸餾油、航空燃油、柏油、石化產品、潤滑油及其他提煉產品，並提供柴油、低硫與超低硫柴油、及加氧產品。</v>
      </c>
      <c r="J347">
        <f>_xll.BDP("VLO UN Equity","ESG_SCORE")</f>
        <v>5.0900001525878906</v>
      </c>
      <c r="K347" t="str">
        <f>_xll.BDP("VLO UN Equity","MSCI_ESG_RATING")</f>
        <v>A</v>
      </c>
      <c r="L347">
        <f>_xll.BDP("VLO UN Equity","EQY_BETA")</f>
        <v>0.99803757667541504</v>
      </c>
      <c r="M347">
        <f>_xll.BDP("VLO UN Equity","VOLATILITY_60D")</f>
        <v>34.617213095856492</v>
      </c>
      <c r="N347">
        <f>_xll.BDP("VLO UN Equity","PCT_INSIDER_SHARES_OUT")</f>
        <v>0.58365687359830964</v>
      </c>
      <c r="O347">
        <f>_xll.BDP("VLO UN Equity","PCT_CHG_INSIDER_HOLDINGS")</f>
        <v>3.9701130508829321</v>
      </c>
      <c r="P347">
        <f>_xll.BDP("VLO UN Equity","RISK_PREMIUM")</f>
        <v>5.1412209098553658</v>
      </c>
      <c r="Q347">
        <f>_xll.BDP("VLO UN Equity","HIGH_52WEEK")</f>
        <v>167.51</v>
      </c>
      <c r="R347">
        <f>_xll.BDP("VLO UN Equity","LOW_52WEEK")</f>
        <v>99</v>
      </c>
    </row>
    <row r="348" spans="1:18" ht="15.75" x14ac:dyDescent="0.25">
      <c r="A348" t="s">
        <v>364</v>
      </c>
      <c r="B348">
        <f>_xll.BDP("SNPS UW Equity","RT_PX_CHG_PCT_1D")</f>
        <v>-1.3335000276565552</v>
      </c>
      <c r="C348" t="str">
        <f>_xll.BDP("SNPS UW Equity","GICS_SECTOR_NAME")</f>
        <v>資訊技術</v>
      </c>
      <c r="D348" t="str">
        <f>_xll.BDP("SNPS UW Equity","NAME_CHINESE_TRADITIONAL")</f>
        <v>新思科技公司</v>
      </c>
      <c r="E348" t="str">
        <f>_xll.BDP("SNPS UW Equity","CLASSIFICATION_LEVEL_4_NAME")</f>
        <v>應用軟體</v>
      </c>
      <c r="F348" t="str">
        <f>_xll.BDP("SNPS UW Equity","CLASSIFICATION_DESCRIPTION")</f>
        <v>工程軟體</v>
      </c>
      <c r="G348">
        <f>_xll.BDP("SNPS UW Equity","CUR_MKT_CAP")</f>
        <v>111312998634.24998</v>
      </c>
      <c r="H348">
        <f>_xll.BDP("SNPS UW Equity","CHG_PCT_YTD")</f>
        <v>23.938939999999999</v>
      </c>
      <c r="I348" t="str">
        <f>_xll.BDP("SNPS UW Equity","CIE_DES")</f>
        <v>新思科技公司(Synopsys, Inc.)提供電子設計自動化解決方案予全球電子市場。該公司提供設計技術予高等積體電路、電子系統及晶片系統設計商。新思亦提供諮詢服務和支援服務予客戶，以簡化整體設計過程，並加速問市時間。</v>
      </c>
      <c r="J348">
        <f>_xll.BDP("SNPS UW Equity","ESG_SCORE")</f>
        <v>4.8299999237060547</v>
      </c>
      <c r="K348" t="str">
        <f>_xll.BDP("SNPS UW Equity","MSCI_ESG_RATING")</f>
        <v>AA</v>
      </c>
      <c r="L348">
        <f>_xll.BDP("SNPS UW Equity","EQY_BETA")</f>
        <v>1.3899047374725342</v>
      </c>
      <c r="M348">
        <f>_xll.BDP("SNPS UW Equity","VOLATILITY_60D")</f>
        <v>35.727420002701763</v>
      </c>
      <c r="N348">
        <f>_xll.BDP("SNPS UW Equity","PCT_INSIDER_SHARES_OUT")</f>
        <v>0.35726499052115285</v>
      </c>
      <c r="O348">
        <f>_xll.BDP("SNPS UW Equity","PCT_CHG_INSIDER_HOLDINGS")</f>
        <v>-41.948270336010118</v>
      </c>
      <c r="P348">
        <f>_xll.BDP("SNPS UW Equity","RISK_PREMIUM")</f>
        <v>7.1598579712843895</v>
      </c>
      <c r="Q348">
        <f>_xll.BDP("SNPS UW Equity","HIGH_52WEEK")</f>
        <v>618.16999999999996</v>
      </c>
      <c r="R348">
        <f>_xll.BDP("SNPS UW Equity","LOW_52WEEK")</f>
        <v>365.74</v>
      </c>
    </row>
    <row r="349" spans="1:18" ht="15.75" x14ac:dyDescent="0.25">
      <c r="A349" t="s">
        <v>365</v>
      </c>
      <c r="B349">
        <f>_xll.BDP("CHRW UW Equity","RT_PX_CHG_PCT_1D")</f>
        <v>-0.44589999318122864</v>
      </c>
      <c r="C349" t="str">
        <f>_xll.BDP("CHRW UW Equity","GICS_SECTOR_NAME")</f>
        <v>工業</v>
      </c>
      <c r="D349" t="str">
        <f>_xll.BDP("CHRW UW Equity","NAME_CHINESE_TRADITIONAL")</f>
        <v>羅賓昇國際聯運股份有限公司</v>
      </c>
      <c r="E349" t="str">
        <f>_xll.BDP("CHRW UW Equity","CLASSIFICATION_LEVEL_4_NAME")</f>
        <v>物流服務</v>
      </c>
      <c r="F349" t="str">
        <f>_xll.BDP("CHRW UW Equity","CLASSIFICATION_DESCRIPTION")</f>
        <v>經紀</v>
      </c>
      <c r="G349">
        <f>_xll.BDP("CHRW UW Equity","CUR_MKT_CAP")</f>
        <v>12194822185.619999</v>
      </c>
      <c r="H349">
        <f>_xll.BDP("CHRW UW Equity","CHG_PCT_YTD")</f>
        <v>-0.59039850000000005</v>
      </c>
      <c r="I349" t="str">
        <f>_xll.BDP("CHRW UW Equity","CIE_DES")</f>
        <v>羅賓昇國際聯運股份有限公司(C.H. Robinson Worldwide, Inc.)為一家物流公司。該公司提供貨運、供應鏈，以及物流服務。羅賓昇國際聯運服務全球客戶。</v>
      </c>
      <c r="J349">
        <f>_xll.BDP("CHRW UW Equity","ESG_SCORE")</f>
        <v>5.4899997711181641</v>
      </c>
      <c r="K349" t="str">
        <f>_xll.BDP("CHRW UW Equity","MSCI_ESG_RATING")</f>
        <v>AAA</v>
      </c>
      <c r="L349">
        <f>_xll.BDP("CHRW UW Equity","EQY_BETA")</f>
        <v>0.72122329473495483</v>
      </c>
      <c r="M349">
        <f>_xll.BDP("CHRW UW Equity","VOLATILITY_60D")</f>
        <v>26.136327551036143</v>
      </c>
      <c r="N349">
        <f>_xll.BDP("CHRW UW Equity","PCT_INSIDER_SHARES_OUT")</f>
        <v>0.8696662865343896</v>
      </c>
      <c r="O349">
        <f>_xll.BDP("CHRW UW Equity","PCT_CHG_INSIDER_HOLDINGS")</f>
        <v>3.5785435847228273</v>
      </c>
      <c r="P349">
        <f>_xll.BDP("CHRW UW Equity","RISK_PREMIUM")</f>
        <v>3.7152591948670146</v>
      </c>
      <c r="Q349">
        <f>_xll.BDP("CHRW UW Equity","HIGH_52WEEK")</f>
        <v>114.82</v>
      </c>
      <c r="R349">
        <f>_xll.BDP("CHRW UW Equity","LOW_52WEEK")</f>
        <v>84.73</v>
      </c>
    </row>
    <row r="350" spans="1:18" ht="15.75" x14ac:dyDescent="0.25">
      <c r="A350" t="s">
        <v>366</v>
      </c>
      <c r="B350">
        <f>_xll.BDP("ACN UN Equity","RT_PX_CHG_PCT_1D")</f>
        <v>0.51120001077651978</v>
      </c>
      <c r="C350" t="str">
        <f>_xll.BDP("ACN UN Equity","GICS_SECTOR_NAME")</f>
        <v>資訊技術</v>
      </c>
      <c r="D350" t="str">
        <f>_xll.BDP("ACN UN Equity","NAME_CHINESE_TRADITIONAL")</f>
        <v>埃森哲有限公司</v>
      </c>
      <c r="E350" t="str">
        <f>_xll.BDP("ACN UN Equity","CLASSIFICATION_LEVEL_4_NAME")</f>
        <v>資訊科技服務</v>
      </c>
      <c r="F350" t="str">
        <f>_xll.BDP("ACN UN Equity","CLASSIFICATION_DESCRIPTION")</f>
        <v>資訊科技服務 - 商業</v>
      </c>
      <c r="G350">
        <f>_xll.BDP("ACN UN Equity","CUR_MKT_CAP")</f>
        <v>177457417348.75003</v>
      </c>
      <c r="H350">
        <f>_xll.BDP("ACN UN Equity","CHG_PCT_YTD")</f>
        <v>-19.51164</v>
      </c>
      <c r="I350" t="str">
        <f>_xll.BDP("ACN UN Equity","CIE_DES")</f>
        <v>埃森哲公開有限公司(Accenture PLC)提供管理和技術諮詢服務與解決方案。 該公司提供多方位的專門能力及解決方案予全球各產業客戶。 埃森哲的商業網絡提供諮詢、技術、外包及結盟服務。</v>
      </c>
      <c r="J350">
        <f>_xll.BDP("ACN UN Equity","ESG_SCORE")</f>
        <v>5.3299999237060547</v>
      </c>
      <c r="K350" t="str">
        <f>_xll.BDP("ACN UN Equity","MSCI_ESG_RATING")</f>
        <v>AA</v>
      </c>
      <c r="L350">
        <f>_xll.BDP("ACN UN Equity","EQY_BETA")</f>
        <v>0.79776555299758911</v>
      </c>
      <c r="M350">
        <f>_xll.BDP("ACN UN Equity","VOLATILITY_60D")</f>
        <v>26.799762613733087</v>
      </c>
      <c r="N350">
        <f>_xll.BDP("ACN UN Equity","PCT_INSIDER_SHARES_OUT")</f>
        <v>7.2468099557558174E-2</v>
      </c>
      <c r="O350">
        <f>_xll.BDP("ACN UN Equity","PCT_CHG_INSIDER_HOLDINGS")</f>
        <v>-6.687029495248674</v>
      </c>
      <c r="P350">
        <f>_xll.BDP("ACN UN Equity","RISK_PREMIUM")</f>
        <v>6.1187137486593084</v>
      </c>
      <c r="Q350">
        <f>_xll.BDP("ACN UN Equity","HIGH_52WEEK")</f>
        <v>398.35</v>
      </c>
      <c r="R350">
        <f>_xll.BDP("ACN UN Equity","LOW_52WEEK")</f>
        <v>275.93</v>
      </c>
    </row>
    <row r="351" spans="1:18" ht="15.75" x14ac:dyDescent="0.25">
      <c r="A351" t="s">
        <v>367</v>
      </c>
      <c r="B351">
        <f>_xll.BDP("TDG UN Equity","RT_PX_CHG_PCT_1D")</f>
        <v>0.51340001821517944</v>
      </c>
      <c r="C351" t="str">
        <f>_xll.BDP("TDG UN Equity","GICS_SECTOR_NAME")</f>
        <v>工業</v>
      </c>
      <c r="D351" t="str">
        <f>_xll.BDP("TDG UN Equity","NAME_CHINESE_TRADITIONAL")</f>
        <v>TransDigm集團公司</v>
      </c>
      <c r="E351" t="str">
        <f>_xll.BDP("TDG UN Equity","CLASSIFICATION_LEVEL_4_NAME")</f>
        <v>飛機及零件</v>
      </c>
      <c r="F351" t="str">
        <f>_xll.BDP("TDG UN Equity","CLASSIFICATION_DESCRIPTION")</f>
        <v>航太結構及設備</v>
      </c>
      <c r="G351">
        <f>_xll.BDP("TDG UN Equity","CUR_MKT_CAP")</f>
        <v>90285780783.25</v>
      </c>
      <c r="H351">
        <f>_xll.BDP("TDG UN Equity","CHG_PCT_YTD")</f>
        <v>26.84253</v>
      </c>
      <c r="I351" t="str">
        <f>_xll.BDP("TDG UN Equity","CIE_DES")</f>
        <v>TransDigm集團公司(TransDigm Group Incorporated)為一家航太製造公司。該公司為幾乎所有目前在役的飛機設計、生產和供應高度工程化的航太系統、子系統和零部件。TransDigm集團服務全球各地的航太和國防產業。</v>
      </c>
      <c r="J351">
        <f>_xll.BDP("TDG UN Equity","ESG_SCORE")</f>
        <v>3.7000000476837158</v>
      </c>
      <c r="K351" t="str">
        <f>_xll.BDP("TDG UN Equity","MSCI_ESG_RATING")</f>
        <v>BB</v>
      </c>
      <c r="L351">
        <f>_xll.BDP("TDG UN Equity","EQY_BETA")</f>
        <v>0.9907723069190979</v>
      </c>
      <c r="M351">
        <f>_xll.BDP("TDG UN Equity","VOLATILITY_60D")</f>
        <v>20.981518347654355</v>
      </c>
      <c r="N351">
        <f>_xll.BDP("TDG UN Equity","PCT_INSIDER_SHARES_OUT")</f>
        <v>0.36737883340582533</v>
      </c>
      <c r="O351">
        <f>_xll.BDP("TDG UN Equity","PCT_CHG_INSIDER_HOLDINGS")</f>
        <v>-1.8517301209394665</v>
      </c>
      <c r="P351">
        <f>_xll.BDP("TDG UN Equity","RISK_PREMIUM")</f>
        <v>5.103795107801556</v>
      </c>
      <c r="Q351">
        <f>_xll.BDP("TDG UN Equity","HIGH_52WEEK")</f>
        <v>1613.29</v>
      </c>
      <c r="R351">
        <f>_xll.BDP("TDG UN Equity","LOW_52WEEK")</f>
        <v>1120.231</v>
      </c>
    </row>
    <row r="352" spans="1:18" ht="15.75" x14ac:dyDescent="0.25">
      <c r="A352" t="s">
        <v>368</v>
      </c>
      <c r="B352">
        <f>_xll.BDP("YUM UN Equity","RT_PX_CHG_PCT_1D")</f>
        <v>0.5965999960899353</v>
      </c>
      <c r="C352" t="str">
        <f>_xll.BDP("YUM UN Equity","GICS_SECTOR_NAME")</f>
        <v>非核心消費</v>
      </c>
      <c r="D352" t="str">
        <f>_xll.BDP("YUM UN Equity","NAME_CHINESE_TRADITIONAL")</f>
        <v>百勝餐飲</v>
      </c>
      <c r="E352" t="str">
        <f>_xll.BDP("YUM UN Equity","CLASSIFICATION_LEVEL_4_NAME")</f>
        <v>餐廳</v>
      </c>
      <c r="F352" t="str">
        <f>_xll.BDP("YUM UN Equity","CLASSIFICATION_DESCRIPTION")</f>
        <v>速食餐廳</v>
      </c>
      <c r="G352">
        <f>_xll.BDP("YUM UN Equity","CUR_MKT_CAP")</f>
        <v>40777392296.699997</v>
      </c>
      <c r="H352">
        <f>_xll.BDP("YUM UN Equity","CHG_PCT_YTD")</f>
        <v>9.3470449999999996</v>
      </c>
      <c r="I352" t="str">
        <f>_xll.BDP("YUM UN Equity","CIE_DES")</f>
        <v>百勝餐飲集團公司(YUM! Brands, Inc.)擁有並加盟速食服務餐廳。該公司開發、經營、加盟和授權一個全球性的餐廳系統，該系統負責準備、包裝和銷售食品菜單。百勝餐飲集團服務全球客戶。</v>
      </c>
      <c r="J352">
        <f>_xll.BDP("YUM UN Equity","ESG_SCORE")</f>
        <v>5.7399997711181641</v>
      </c>
      <c r="K352" t="str">
        <f>_xll.BDP("YUM UN Equity","MSCI_ESG_RATING")</f>
        <v>BBB</v>
      </c>
      <c r="L352">
        <f>_xll.BDP("YUM UN Equity","EQY_BETA")</f>
        <v>0.61454117298126221</v>
      </c>
      <c r="M352">
        <f>_xll.BDP("YUM UN Equity","VOLATILITY_60D")</f>
        <v>17.464895449624095</v>
      </c>
      <c r="N352">
        <f>_xll.BDP("YUM UN Equity","PCT_INSIDER_SHARES_OUT")</f>
        <v>0.15287521967733286</v>
      </c>
      <c r="O352">
        <f>_xll.BDP("YUM UN Equity","PCT_CHG_INSIDER_HOLDINGS")</f>
        <v>6.3556629777214129</v>
      </c>
      <c r="P352">
        <f>_xll.BDP("YUM UN Equity","RISK_PREMIUM")</f>
        <v>3.1657043806135654</v>
      </c>
      <c r="Q352">
        <f>_xll.BDP("YUM UN Equity","HIGH_52WEEK")</f>
        <v>163.30000000000001</v>
      </c>
      <c r="R352">
        <f>_xll.BDP("YUM UN Equity","LOW_52WEEK")</f>
        <v>122.16</v>
      </c>
    </row>
    <row r="353" spans="1:18" ht="15.75" x14ac:dyDescent="0.25">
      <c r="A353" t="s">
        <v>369</v>
      </c>
      <c r="B353">
        <f>_xll.BDP("PLD UN Equity","RT_PX_CHG_PCT_1D")</f>
        <v>0.5195000171661377</v>
      </c>
      <c r="C353" t="str">
        <f>_xll.BDP("PLD UN Equity","GICS_SECTOR_NAME")</f>
        <v>房地產</v>
      </c>
      <c r="D353" t="str">
        <f>_xll.BDP("PLD UN Equity","NAME_CHINESE_TRADITIONAL")</f>
        <v>普洛斯</v>
      </c>
      <c r="E353" t="str">
        <f>_xll.BDP("PLD UN Equity","CLASSIFICATION_LEVEL_4_NAME")</f>
        <v>工業REIT</v>
      </c>
      <c r="F353" t="str">
        <f>_xll.BDP("PLD UN Equity","CLASSIFICATION_DESCRIPTION")</f>
        <v>散裝倉庫REIT</v>
      </c>
      <c r="G353">
        <f>_xll.BDP("PLD UN Equity","CUR_MKT_CAP")</f>
        <v>104723001960.00003</v>
      </c>
      <c r="H353">
        <f>_xll.BDP("PLD UN Equity","CHG_PCT_YTD")</f>
        <v>4.3424820000000004</v>
      </c>
      <c r="I353" t="str">
        <f>_xll.BDP("PLD UN Equity","CIE_DES")</f>
        <v>普洛斯(ProLogis, Inc.)為一家工業房地產的擁有者、經營商及開發商，重點開發美洲、歐洲及亞洲的全球及地區市場。該公司亦租賃現代物流設施予客戶，包括：製造商、零售商、運輸公司、第三方物流公司，及其他企業。</v>
      </c>
      <c r="J353">
        <f>_xll.BDP("PLD UN Equity","ESG_SCORE")</f>
        <v>5.4600000381469727</v>
      </c>
      <c r="K353" t="str">
        <f>_xll.BDP("PLD UN Equity","MSCI_ESG_RATING")</f>
        <v>AA</v>
      </c>
      <c r="L353">
        <f>_xll.BDP("PLD UN Equity","EQY_BETA")</f>
        <v>1.0007089376449585</v>
      </c>
      <c r="M353">
        <f>_xll.BDP("PLD UN Equity","VOLATILITY_60D")</f>
        <v>21.589609797529899</v>
      </c>
      <c r="N353">
        <f>_xll.BDP("PLD UN Equity","PCT_INSIDER_SHARES_OUT")</f>
        <v>0.25904039495775633</v>
      </c>
      <c r="O353">
        <f>_xll.BDP("PLD UN Equity","PCT_CHG_INSIDER_HOLDINGS")</f>
        <v>1.2378939815016663</v>
      </c>
      <c r="P353">
        <f>_xll.BDP("PLD UN Equity","RISK_PREMIUM")</f>
        <v>5.1549819717586036</v>
      </c>
      <c r="Q353">
        <f>_xll.BDP("PLD UN Equity","HIGH_52WEEK")</f>
        <v>132.56</v>
      </c>
      <c r="R353">
        <f>_xll.BDP("PLD UN Equity","LOW_52WEEK")</f>
        <v>85.35</v>
      </c>
    </row>
    <row r="354" spans="1:18" ht="15.75" x14ac:dyDescent="0.25">
      <c r="A354" t="s">
        <v>370</v>
      </c>
      <c r="B354">
        <f>_xll.BDP("FE UN Equity","RT_PX_CHG_PCT_1D")</f>
        <v>1.3042999505996704</v>
      </c>
      <c r="C354" t="str">
        <f>_xll.BDP("FE UN Equity","GICS_SECTOR_NAME")</f>
        <v>公用事業</v>
      </c>
      <c r="D354" t="str">
        <f>_xll.BDP("FE UN Equity","NAME_CHINESE_TRADITIONAL")</f>
        <v>第一能源公司</v>
      </c>
      <c r="E354" t="str">
        <f>_xll.BDP("FE UN Equity","CLASSIFICATION_LEVEL_4_NAME")</f>
        <v>整合型公用事業</v>
      </c>
      <c r="F354" t="str">
        <f>_xll.BDP("FE UN Equity","CLASSIFICATION_DESCRIPTION")</f>
        <v>整合型公用事業</v>
      </c>
      <c r="G354">
        <f>_xll.BDP("FE UN Equity","CUR_MKT_CAP")</f>
        <v>24204672156.959999</v>
      </c>
      <c r="H354">
        <f>_xll.BDP("FE UN Equity","CHG_PCT_YTD")</f>
        <v>5.4298669999999998</v>
      </c>
      <c r="I354" t="str">
        <f>_xll.BDP("FE UN Equity","CIE_DES")</f>
        <v>第一能源公司(FirstEnergy Corp.)為公用事業控股公司。 該公司透過旗下子公司，發電、輸電與配電，並提供天然氣的探勘、生產，以及配銷。 第一能源公司提供能源管理及其他能源相關服務。</v>
      </c>
      <c r="J354">
        <f>_xll.BDP("FE UN Equity","ESG_SCORE")</f>
        <v>5.0799999237060547</v>
      </c>
      <c r="K354" t="str">
        <f>_xll.BDP("FE UN Equity","MSCI_ESG_RATING")</f>
        <v>A</v>
      </c>
      <c r="L354">
        <f>_xll.BDP("FE UN Equity","EQY_BETA")</f>
        <v>0.46619489789009094</v>
      </c>
      <c r="M354">
        <f>_xll.BDP("FE UN Equity","VOLATILITY_60D")</f>
        <v>15.10683861473662</v>
      </c>
      <c r="N354">
        <f>_xll.BDP("FE UN Equity","PCT_INSIDER_SHARES_OUT")</f>
        <v>0.17344712626111924</v>
      </c>
      <c r="O354">
        <f>_xll.BDP("FE UN Equity","PCT_CHG_INSIDER_HOLDINGS")</f>
        <v>36.447898051904417</v>
      </c>
      <c r="P354">
        <f>_xll.BDP("FE UN Equity","RISK_PREMIUM")</f>
        <v>2.4015237633481621</v>
      </c>
      <c r="Q354">
        <f>_xll.BDP("FE UN Equity","HIGH_52WEEK")</f>
        <v>44.9</v>
      </c>
      <c r="R354">
        <f>_xll.BDP("FE UN Equity","LOW_52WEEK")</f>
        <v>37.58</v>
      </c>
    </row>
    <row r="355" spans="1:18" ht="15.75" x14ac:dyDescent="0.25">
      <c r="A355" t="s">
        <v>371</v>
      </c>
      <c r="B355">
        <f>_xll.BDP("VRSN UW Equity","RT_PX_CHG_PCT_1D")</f>
        <v>6.6697001457214355</v>
      </c>
      <c r="C355" t="str">
        <f>_xll.BDP("VRSN UW Equity","GICS_SECTOR_NAME")</f>
        <v>資訊技術</v>
      </c>
      <c r="D355" t="str">
        <f>_xll.BDP("VRSN UW Equity","NAME_CHINESE_TRADITIONAL")</f>
        <v>維聖公司</v>
      </c>
      <c r="E355" t="str">
        <f>_xll.BDP("VRSN UW Equity","CLASSIFICATION_LEVEL_4_NAME")</f>
        <v>網路媒體及服務</v>
      </c>
      <c r="F355" t="str">
        <f>_xll.BDP("VRSN UW Equity","CLASSIFICATION_DESCRIPTION")</f>
        <v>網域註冊商</v>
      </c>
      <c r="G355">
        <f>_xll.BDP("VRSN UW Equity","CUR_MKT_CAP")</f>
        <v>28560786000.000004</v>
      </c>
      <c r="H355">
        <f>_xll.BDP("VRSN UW Equity","CHG_PCT_YTD")</f>
        <v>47.75318</v>
      </c>
      <c r="I355" t="str">
        <f>_xll.BDP("VRSN UW Equity","CIE_DES")</f>
        <v>維聖公司(VeriSign, Inc.)為一家網域名稱註冊服務及網路基礎設施供應商。該公司提供安全、穩定及彈性的網路基礎設施與服務，並提供根域維護商服務。維聖服務全球客戶。</v>
      </c>
      <c r="J355">
        <f>_xll.BDP("VRSN UW Equity","ESG_SCORE")</f>
        <v>3.0099999904632568</v>
      </c>
      <c r="K355" t="str">
        <f>_xll.BDP("VRSN UW Equity","MSCI_ESG_RATING")</f>
        <v>A</v>
      </c>
      <c r="L355">
        <f>_xll.BDP("VRSN UW Equity","EQY_BETA")</f>
        <v>0.66662478446960449</v>
      </c>
      <c r="M355">
        <f>_xll.BDP("VRSN UW Equity","VOLATILITY_60D")</f>
        <v>22.375148821664833</v>
      </c>
      <c r="N355">
        <f>_xll.BDP("VRSN UW Equity","PCT_INSIDER_SHARES_OUT")</f>
        <v>0.9427259582441111</v>
      </c>
      <c r="O355">
        <f>_xll.BDP("VRSN UW Equity","PCT_CHG_INSIDER_HOLDINGS")</f>
        <v>1.2375624920465869</v>
      </c>
      <c r="P355">
        <f>_xll.BDP("VRSN UW Equity","RISK_PREMIUM")</f>
        <v>3.4340042509818076</v>
      </c>
      <c r="Q355">
        <f>_xll.BDP("VRSN UW Equity","HIGH_52WEEK")</f>
        <v>307.07</v>
      </c>
      <c r="R355">
        <f>_xll.BDP("VRSN UW Equity","LOW_52WEEK")</f>
        <v>172.58</v>
      </c>
    </row>
    <row r="356" spans="1:18" ht="15.75" x14ac:dyDescent="0.25">
      <c r="A356" t="s">
        <v>372</v>
      </c>
      <c r="B356">
        <f>_xll.BDP("PWR UN Equity","RT_PX_CHG_PCT_1D")</f>
        <v>3.5508999824523926</v>
      </c>
      <c r="C356" t="str">
        <f>_xll.BDP("PWR UN Equity","GICS_SECTOR_NAME")</f>
        <v>工業</v>
      </c>
      <c r="D356" t="str">
        <f>_xll.BDP("PWR UN Equity","NAME_CHINESE_TRADITIONAL")</f>
        <v>廣達服務公司</v>
      </c>
      <c r="E356" t="str">
        <f>_xll.BDP("PWR UN Equity","CLASSIFICATION_LEVEL_4_NAME")</f>
        <v>基礎建設營造</v>
      </c>
      <c r="F356" t="str">
        <f>_xll.BDP("PWR UN Equity","CLASSIFICATION_DESCRIPTION")</f>
        <v>電廠營建</v>
      </c>
      <c r="G356">
        <f>_xll.BDP("PWR UN Equity","CUR_MKT_CAP")</f>
        <v>62492434141.199997</v>
      </c>
      <c r="H356">
        <f>_xll.BDP("PWR UN Equity","CHG_PCT_YTD")</f>
        <v>33.421930000000003</v>
      </c>
      <c r="I356" t="str">
        <f>_xll.BDP("PWR UN Equity","CIE_DES")</f>
        <v>廣達服務公司(Quanta Services, Inc.)提供專門承包服務予電力事業、電信、有線電視業者，以及政府組織。 該公司也從事運輸控制和照明系統安裝，並提供工業和商業客戶專門電力和通訊服務。 廣達經營遍及北美洲各地的專案。</v>
      </c>
      <c r="J356">
        <f>_xll.BDP("PWR UN Equity","ESG_SCORE")</f>
        <v>3.9800000190734863</v>
      </c>
      <c r="K356" t="str">
        <f>_xll.BDP("PWR UN Equity","MSCI_ESG_RATING")</f>
        <v>A</v>
      </c>
      <c r="L356">
        <f>_xll.BDP("PWR UN Equity","EQY_BETA")</f>
        <v>1.2933701276779175</v>
      </c>
      <c r="M356">
        <f>_xll.BDP("PWR UN Equity","VOLATILITY_60D")</f>
        <v>29.415674516468133</v>
      </c>
      <c r="N356">
        <f>_xll.BDP("PWR UN Equity","PCT_INSIDER_SHARES_OUT")</f>
        <v>1.0093003514875636</v>
      </c>
      <c r="O356">
        <f>_xll.BDP("PWR UN Equity","PCT_CHG_INSIDER_HOLDINGS")</f>
        <v>7.9671198229528919</v>
      </c>
      <c r="P356">
        <f>_xll.BDP("PWR UN Equity","RISK_PREMIUM")</f>
        <v>6.6625763398110864</v>
      </c>
      <c r="Q356">
        <f>_xll.BDP("PWR UN Equity","HIGH_52WEEK")</f>
        <v>424.12</v>
      </c>
      <c r="R356">
        <f>_xll.BDP("PWR UN Equity","LOW_52WEEK")</f>
        <v>227.5</v>
      </c>
    </row>
    <row r="357" spans="1:18" ht="15.75" x14ac:dyDescent="0.25">
      <c r="A357" t="s">
        <v>373</v>
      </c>
      <c r="B357">
        <f>_xll.BDP("HSIC UW Equity","RT_PX_CHG_PCT_1D")</f>
        <v>-1.5973999500274658</v>
      </c>
      <c r="C357" t="str">
        <f>_xll.BDP("HSIC UW Equity","GICS_SECTOR_NAME")</f>
        <v>醫療保健</v>
      </c>
      <c r="D357" t="str">
        <f>_xll.BDP("HSIC UW Equity","NAME_CHINESE_TRADITIONAL")</f>
        <v>漢瑞祥公司</v>
      </c>
      <c r="E357" t="str">
        <f>_xll.BDP("HSIC UW Equity","CLASSIFICATION_LEVEL_4_NAME")</f>
        <v>醫療保健供應鏈</v>
      </c>
      <c r="F357" t="str">
        <f>_xll.BDP("HSIC UW Equity","CLASSIFICATION_DESCRIPTION")</f>
        <v>醫療保健經銷</v>
      </c>
      <c r="G357">
        <f>_xll.BDP("HSIC UW Equity","CUR_MKT_CAP")</f>
        <v>8698078757.1599998</v>
      </c>
      <c r="H357">
        <f>_xll.BDP("HSIC UW Equity","CHG_PCT_YTD")</f>
        <v>3.2659009999999999</v>
      </c>
      <c r="I357" t="str">
        <f>_xll.BDP("HSIC UW Equity","CIE_DES")</f>
        <v>漢瑞祥公司(Henry Schein, Inc.)經銷醫療保健產品與服務。該公司提供商店用品，與牙科和醫療解決方案與服務，以改善經營成功率與臨床結果。漢瑞祥著重於世界各地的病患、牙科實驗室、政府及機構診所、醫療保健專業人員，以及護理場所。</v>
      </c>
      <c r="J357">
        <f>_xll.BDP("HSIC UW Equity","ESG_SCORE")</f>
        <v>3.9300000667572021</v>
      </c>
      <c r="K357" t="str">
        <f>_xll.BDP("HSIC UW Equity","MSCI_ESG_RATING")</f>
        <v>N.S.</v>
      </c>
      <c r="L357">
        <f>_xll.BDP("HSIC UW Equity","EQY_BETA")</f>
        <v>0.57819110155105591</v>
      </c>
      <c r="M357">
        <f>_xll.BDP("HSIC UW Equity","VOLATILITY_60D")</f>
        <v>24.033435847340414</v>
      </c>
      <c r="N357">
        <f>_xll.BDP("HSIC UW Equity","PCT_INSIDER_SHARES_OUT")</f>
        <v>1.6048776079428524</v>
      </c>
      <c r="O357">
        <f>_xll.BDP("HSIC UW Equity","PCT_CHG_INSIDER_HOLDINGS")</f>
        <v>7.2841437200203423</v>
      </c>
      <c r="P357">
        <f>_xll.BDP("HSIC UW Equity","RISK_PREMIUM")</f>
        <v>2.9784531671530008</v>
      </c>
      <c r="Q357">
        <f>_xll.BDP("HSIC UW Equity","HIGH_52WEEK")</f>
        <v>82.49</v>
      </c>
      <c r="R357">
        <f>_xll.BDP("HSIC UW Equity","LOW_52WEEK")</f>
        <v>60.56</v>
      </c>
    </row>
    <row r="358" spans="1:18" ht="15.75" x14ac:dyDescent="0.25">
      <c r="A358" t="s">
        <v>374</v>
      </c>
      <c r="B358">
        <f>_xll.BDP("AEE UN Equity","RT_PX_CHG_PCT_1D")</f>
        <v>5.9999998658895493E-2</v>
      </c>
      <c r="C358" t="str">
        <f>_xll.BDP("AEE UN Equity","GICS_SECTOR_NAME")</f>
        <v>公用事業</v>
      </c>
      <c r="D358" t="str">
        <f>_xll.BDP("AEE UN Equity","NAME_CHINESE_TRADITIONAL")</f>
        <v>阿莫林公司</v>
      </c>
      <c r="E358" t="str">
        <f>_xll.BDP("AEE UN Equity","CLASSIFICATION_LEVEL_4_NAME")</f>
        <v>整合型公用事業</v>
      </c>
      <c r="F358" t="str">
        <f>_xll.BDP("AEE UN Equity","CLASSIFICATION_DESCRIPTION")</f>
        <v>整合型公用事業</v>
      </c>
      <c r="G358">
        <f>_xll.BDP("AEE UN Equity","CUR_MKT_CAP")</f>
        <v>27669519978.099995</v>
      </c>
      <c r="H358">
        <f>_xll.BDP("AEE UN Equity","CHG_PCT_YTD")</f>
        <v>12.29527</v>
      </c>
      <c r="I358" t="str">
        <f>_xll.BDP("AEE UN Equity","CIE_DES")</f>
        <v>阿莫林公司(Ameren Corporation)為公共事業控股公司。該公司透過子公司發電、傳輸電力，並配銷天然氣予密蘇里及伊利諾州客戶。</v>
      </c>
      <c r="J358">
        <f>_xll.BDP("AEE UN Equity","ESG_SCORE")</f>
        <v>5.4899997711181641</v>
      </c>
      <c r="K358" t="str">
        <f>_xll.BDP("AEE UN Equity","MSCI_ESG_RATING")</f>
        <v>A</v>
      </c>
      <c r="L358">
        <f>_xll.BDP("AEE UN Equity","EQY_BETA")</f>
        <v>0.49469307065010071</v>
      </c>
      <c r="M358">
        <f>_xll.BDP("AEE UN Equity","VOLATILITY_60D")</f>
        <v>15.348758711698252</v>
      </c>
      <c r="N358">
        <f>_xll.BDP("AEE UN Equity","PCT_INSIDER_SHARES_OUT")</f>
        <v>0.42291045326873566</v>
      </c>
      <c r="O358">
        <f>_xll.BDP("AEE UN Equity","PCT_CHG_INSIDER_HOLDINGS")</f>
        <v>1.6466881031175602</v>
      </c>
      <c r="P358">
        <f>_xll.BDP("AEE UN Equity","RISK_PREMIUM")</f>
        <v>2.5483272556319831</v>
      </c>
      <c r="Q358">
        <f>_xll.BDP("AEE UN Equity","HIGH_52WEEK")</f>
        <v>104</v>
      </c>
      <c r="R358">
        <f>_xll.BDP("AEE UN Equity","LOW_52WEEK")</f>
        <v>77.12</v>
      </c>
    </row>
    <row r="359" spans="1:18" ht="15.75" x14ac:dyDescent="0.25">
      <c r="A359" t="s">
        <v>375</v>
      </c>
      <c r="B359">
        <f>_xll.BDP("FDS UN Equity","RT_PX_CHG_PCT_1D")</f>
        <v>-0.45559999346733093</v>
      </c>
      <c r="C359" t="str">
        <f>_xll.BDP("FDS UN Equity","GICS_SECTOR_NAME")</f>
        <v>金融</v>
      </c>
      <c r="D359" t="str">
        <f>_xll.BDP("FDS UN Equity","NAME_CHINESE_TRADITIONAL")</f>
        <v>FactSet Research Systems Inc</v>
      </c>
      <c r="E359" t="str">
        <f>_xll.BDP("FDS UN Equity","CLASSIFICATION_LEVEL_4_NAME")</f>
        <v>其它金融服務</v>
      </c>
      <c r="F359" t="str">
        <f>_xll.BDP("FDS UN Equity","CLASSIFICATION_DESCRIPTION")</f>
        <v>資料及分析</v>
      </c>
      <c r="G359">
        <f>_xll.BDP("FDS UN Equity","CUR_MKT_CAP")</f>
        <v>15861453963.959999</v>
      </c>
      <c r="H359">
        <f>_xll.BDP("FDS UN Equity","CHG_PCT_YTD")</f>
        <v>-12.646789999999999</v>
      </c>
      <c r="I359" t="str">
        <f>_xll.BDP("FDS UN Equity","CIE_DES")</f>
        <v>FactSet研究系統公司(FactSet Research Systems Inc.)提供全球經濟和金融資料予分析師、投資銀行家、及其他金融專業人員。該公司整合多種供應商的資料庫，化為資訊與分析的單一線上資料來源，其包括財務基本資料。</v>
      </c>
      <c r="J359">
        <f>_xll.BDP("FDS UN Equity","ESG_SCORE")</f>
        <v>5.130000114440918</v>
      </c>
      <c r="K359" t="str">
        <f>_xll.BDP("FDS UN Equity","MSCI_ESG_RATING")</f>
        <v>AA</v>
      </c>
      <c r="L359">
        <f>_xll.BDP("FDS UN Equity","EQY_BETA")</f>
        <v>0.71167337894439697</v>
      </c>
      <c r="M359">
        <f>_xll.BDP("FDS UN Equity","VOLATILITY_60D")</f>
        <v>19.999306157895504</v>
      </c>
      <c r="N359">
        <f>_xll.BDP("FDS UN Equity","PCT_INSIDER_SHARES_OUT")</f>
        <v>0.24252927134478819</v>
      </c>
      <c r="O359">
        <f>_xll.BDP("FDS UN Equity","PCT_CHG_INSIDER_HOLDINGS")</f>
        <v>3.3136086567360197</v>
      </c>
      <c r="P359">
        <f>_xll.BDP("FDS UN Equity","RISK_PREMIUM")</f>
        <v>3.6660644271576404</v>
      </c>
      <c r="Q359">
        <f>_xll.BDP("FDS UN Equity","HIGH_52WEEK")</f>
        <v>499.87</v>
      </c>
      <c r="R359">
        <f>_xll.BDP("FDS UN Equity","LOW_52WEEK")</f>
        <v>392.1</v>
      </c>
    </row>
    <row r="360" spans="1:18" ht="15.75" x14ac:dyDescent="0.25">
      <c r="A360" t="s">
        <v>376</v>
      </c>
      <c r="B360">
        <f>_xll.BDP("NVDA UW Equity","RT_PX_CHG_PCT_1D")</f>
        <v>-0.13809999823570251</v>
      </c>
      <c r="C360" t="str">
        <f>_xll.BDP("NVDA UW Equity","GICS_SECTOR_NAME")</f>
        <v>資訊技術</v>
      </c>
      <c r="D360" t="str">
        <f>_xll.BDP("NVDA UW Equity","NAME_CHINESE_TRADITIONAL")</f>
        <v>輝達</v>
      </c>
      <c r="E360" t="str">
        <f>_xll.BDP("NVDA UW Equity","CLASSIFICATION_LEVEL_4_NAME")</f>
        <v>半導體元件</v>
      </c>
      <c r="F360" t="str">
        <f>_xll.BDP("NVDA UW Equity","CLASSIFICATION_DESCRIPTION")</f>
        <v>特殊用途多媒體</v>
      </c>
      <c r="G360">
        <f>_xll.BDP("NVDA UW Equity","CUR_MKT_CAP")</f>
        <v>4233400000000</v>
      </c>
      <c r="H360">
        <f>_xll.BDP("NVDA UW Equity","CHG_PCT_YTD")</f>
        <v>29.19801</v>
      </c>
      <c r="I360" t="str">
        <f>_xll.BDP("NVDA UW Equity","CIE_DES")</f>
        <v>輝達公司（NVIDIA Corporation）為一家科技公司。該公司開發科學運算、人工智慧、資料科學、自動駕駛汽車、機器人、元資料及3D網際網路應用程式平台，並著重於PC圖形。輝達服務全球的客戶。</v>
      </c>
      <c r="J360">
        <f>_xll.BDP("NVDA UW Equity","ESG_SCORE")</f>
        <v>7.0799999237060547</v>
      </c>
      <c r="K360" t="str">
        <f>_xll.BDP("NVDA UW Equity","MSCI_ESG_RATING")</f>
        <v>AA</v>
      </c>
      <c r="L360">
        <f>_xll.BDP("NVDA UW Equity","EQY_BETA")</f>
        <v>1.883500337600708</v>
      </c>
      <c r="M360">
        <f>_xll.BDP("NVDA UW Equity","VOLATILITY_60D")</f>
        <v>30.542369225129079</v>
      </c>
      <c r="N360">
        <f>_xll.BDP("NVDA UW Equity","PCT_INSIDER_SHARES_OUT")</f>
        <v>3.9149746147540987</v>
      </c>
      <c r="O360">
        <f>_xll.BDP("NVDA UW Equity","PCT_CHG_INSIDER_HOLDINGS")</f>
        <v>-0.62012596652888563</v>
      </c>
      <c r="P360">
        <f>_xll.BDP("NVDA UW Equity","RISK_PREMIUM")</f>
        <v>9.7025317940926552</v>
      </c>
      <c r="Q360">
        <f>_xll.BDP("NVDA UW Equity","HIGH_52WEEK")</f>
        <v>174.72</v>
      </c>
      <c r="R360">
        <f>_xll.BDP("NVDA UW Equity","LOW_52WEEK")</f>
        <v>86.63</v>
      </c>
    </row>
    <row r="361" spans="1:18" ht="15.75" x14ac:dyDescent="0.25">
      <c r="A361" t="s">
        <v>377</v>
      </c>
      <c r="B361">
        <f>_xll.BDP("CTSH UW Equity","RT_PX_CHG_PCT_1D")</f>
        <v>-7.8199997544288635E-2</v>
      </c>
      <c r="C361" t="str">
        <f>_xll.BDP("CTSH UW Equity","GICS_SECTOR_NAME")</f>
        <v>資訊技術</v>
      </c>
      <c r="D361" t="str">
        <f>_xll.BDP("CTSH UW Equity","NAME_CHINESE_TRADITIONAL")</f>
        <v>高知特科技公司</v>
      </c>
      <c r="E361" t="str">
        <f>_xll.BDP("CTSH UW Equity","CLASSIFICATION_LEVEL_4_NAME")</f>
        <v>資訊科技服務</v>
      </c>
      <c r="F361" t="str">
        <f>_xll.BDP("CTSH UW Equity","CLASSIFICATION_DESCRIPTION")</f>
        <v>資訊科技服務 - 商業</v>
      </c>
      <c r="G361">
        <f>_xll.BDP("CTSH UW Equity","CUR_MKT_CAP")</f>
        <v>37793860303.209999</v>
      </c>
      <c r="H361">
        <f>_xll.BDP("CTSH UW Equity","CHG_PCT_YTD")</f>
        <v>-0.29909170000000002</v>
      </c>
      <c r="I361" t="str">
        <f>_xll.BDP("CTSH UW Equity","CIE_DES")</f>
        <v>高知特科技公司（Cognizant Technology Solutions Corporation）提供客製化資訊科技（IT）諮詢服務。該公司提供人工智慧、業務處理解決方案、雲端服務、核心現代化、網路安全、數位策略、企業平台及基礎設施服務。高知特科技解決方案服務全球客戶。</v>
      </c>
      <c r="J361">
        <f>_xll.BDP("CTSH UW Equity","ESG_SCORE")</f>
        <v>4.5300002098083496</v>
      </c>
      <c r="K361" t="str">
        <f>_xll.BDP("CTSH UW Equity","MSCI_ESG_RATING")</f>
        <v>BBB</v>
      </c>
      <c r="L361">
        <f>_xll.BDP("CTSH UW Equity","EQY_BETA")</f>
        <v>0.89926165342330933</v>
      </c>
      <c r="M361">
        <f>_xll.BDP("CTSH UW Equity","VOLATILITY_60D")</f>
        <v>22.888603765384893</v>
      </c>
      <c r="N361">
        <f>_xll.BDP("CTSH UW Equity","PCT_INSIDER_SHARES_OUT")</f>
        <v>0.18397945397227261</v>
      </c>
      <c r="O361">
        <f>_xll.BDP("CTSH UW Equity","PCT_CHG_INSIDER_HOLDINGS")</f>
        <v>9.1644438452723715</v>
      </c>
      <c r="P361">
        <f>_xll.BDP("CTSH UW Equity","RISK_PREMIUM")</f>
        <v>4.632393533129096</v>
      </c>
      <c r="Q361">
        <f>_xll.BDP("CTSH UW Equity","HIGH_52WEEK")</f>
        <v>90.81</v>
      </c>
      <c r="R361">
        <f>_xll.BDP("CTSH UW Equity","LOW_52WEEK")</f>
        <v>65.52</v>
      </c>
    </row>
    <row r="362" spans="1:18" ht="15.75" x14ac:dyDescent="0.25">
      <c r="A362" t="s">
        <v>378</v>
      </c>
      <c r="B362">
        <f>_xll.BDP("ISRG UW Equity","RT_PX_CHG_PCT_1D")</f>
        <v>1.4838000535964966</v>
      </c>
      <c r="C362" t="str">
        <f>_xll.BDP("ISRG UW Equity","GICS_SECTOR_NAME")</f>
        <v>醫療保健</v>
      </c>
      <c r="D362" t="str">
        <f>_xll.BDP("ISRG UW Equity","NAME_CHINESE_TRADITIONAL")</f>
        <v>直覺外科公司</v>
      </c>
      <c r="E362" t="str">
        <f>_xll.BDP("ISRG UW Equity","CLASSIFICATION_LEVEL_4_NAME")</f>
        <v>醫療設備</v>
      </c>
      <c r="F362" t="str">
        <f>_xll.BDP("ISRG UW Equity","CLASSIFICATION_DESCRIPTION")</f>
        <v>外科及醫療器材</v>
      </c>
      <c r="G362">
        <f>_xll.BDP("ISRG UW Equity","CUR_MKT_CAP")</f>
        <v>177754160265.16</v>
      </c>
      <c r="H362">
        <f>_xll.BDP("ISRG UW Equity","CHG_PCT_YTD")</f>
        <v>-5.0003869999999999</v>
      </c>
      <c r="I362" t="str">
        <f>_xll.BDP("ISRG UW Equity","CIE_DES")</f>
        <v>直覺外科公司(Intuitive Surgical Inc.)設計、製造並行銷外科手術系統。該公司提供手術過程中所需要的呼吸道內視鏡、鈍型或尖型內視鏡攝影、波刀、鉗/夾子、持針器、內視鏡撐開器、手術電刀、超音波手術刀與輔助物等。直覺外科經營範圍遍及全球各地。</v>
      </c>
      <c r="J362">
        <f>_xll.BDP("ISRG UW Equity","ESG_SCORE")</f>
        <v>3.690000057220459</v>
      </c>
      <c r="K362" t="str">
        <f>_xll.BDP("ISRG UW Equity","MSCI_ESG_RATING")</f>
        <v>A</v>
      </c>
      <c r="L362">
        <f>_xll.BDP("ISRG UW Equity","EQY_BETA")</f>
        <v>1.1855039596557617</v>
      </c>
      <c r="M362">
        <f>_xll.BDP("ISRG UW Equity","VOLATILITY_60D")</f>
        <v>23.712385574168369</v>
      </c>
      <c r="N362">
        <f>_xll.BDP("ISRG UW Equity","PCT_INSIDER_SHARES_OUT")</f>
        <v>0.49854704562223745</v>
      </c>
      <c r="O362">
        <f>_xll.BDP("ISRG UW Equity","PCT_CHG_INSIDER_HOLDINGS")</f>
        <v>2.4608270254682383</v>
      </c>
      <c r="P362">
        <f>_xll.BDP("ISRG UW Equity","RISK_PREMIUM")</f>
        <v>6.1069221124935149</v>
      </c>
      <c r="Q362">
        <f>_xll.BDP("ISRG UW Equity","HIGH_52WEEK")</f>
        <v>615.31500000000005</v>
      </c>
      <c r="R362">
        <f>_xll.BDP("ISRG UW Equity","LOW_52WEEK")</f>
        <v>427</v>
      </c>
    </row>
    <row r="363" spans="1:18" ht="15.75" x14ac:dyDescent="0.25">
      <c r="A363" t="s">
        <v>379</v>
      </c>
      <c r="B363">
        <f>_xll.BDP("TTWO UW Equity","RT_PX_CHG_PCT_1D")</f>
        <v>-0.44299998879432678</v>
      </c>
      <c r="C363" t="str">
        <f>_xll.BDP("TTWO UW Equity","GICS_SECTOR_NAME")</f>
        <v>通訊服務</v>
      </c>
      <c r="D363" t="str">
        <f>_xll.BDP("TTWO UW Equity","NAME_CHINESE_TRADITIONAL")</f>
        <v>Take-Two互動軟體公司</v>
      </c>
      <c r="E363" t="str">
        <f>_xll.BDP("TTWO UW Equity","CLASSIFICATION_LEVEL_4_NAME")</f>
        <v>電玩遊戲軟體</v>
      </c>
      <c r="F363" t="str">
        <f>_xll.BDP("TTWO UW Equity","CLASSIFICATION_DESCRIPTION")</f>
        <v>電玩遊戲軟體</v>
      </c>
      <c r="G363">
        <f>_xll.BDP("TTWO UW Equity","CUR_MKT_CAP")</f>
        <v>41040904371</v>
      </c>
      <c r="H363">
        <f>_xll.BDP("TTWO UW Equity","CHG_PCT_YTD")</f>
        <v>22.09365</v>
      </c>
      <c r="I363" t="str">
        <f>_xll.BDP("TTWO UW Equity","CIE_DES")</f>
        <v>Take-Two互動軟體公司(Take-Two Interactive Software, Inc.)開發、行銷、經銷，並出版互動式娛樂軟體遊戲及配件。該公司產品用於遊戲主機、掌上型遊戲機與個人電腦，並透過實體零售、數位下載、線上，以及雲端串流服務傳送。</v>
      </c>
      <c r="J363">
        <f>_xll.BDP("TTWO UW Equity","ESG_SCORE")</f>
        <v>3.0199999809265137</v>
      </c>
      <c r="K363" t="str">
        <f>_xll.BDP("TTWO UW Equity","MSCI_ESG_RATING")</f>
        <v>A</v>
      </c>
      <c r="L363">
        <f>_xll.BDP("TTWO UW Equity","EQY_BETA")</f>
        <v>0.85234570503234863</v>
      </c>
      <c r="M363">
        <f>_xll.BDP("TTWO UW Equity","VOLATILITY_60D")</f>
        <v>27.224199025397272</v>
      </c>
      <c r="N363">
        <f>_xll.BDP("TTWO UW Equity","PCT_INSIDER_SHARES_OUT")</f>
        <v>2.65434602964072</v>
      </c>
      <c r="O363">
        <f>_xll.BDP("TTWO UW Equity","PCT_CHG_INSIDER_HOLDINGS")</f>
        <v>7.8131652104050087</v>
      </c>
      <c r="P363">
        <f>_xll.BDP("TTWO UW Equity","RISK_PREMIUM")</f>
        <v>4.3907140007042882</v>
      </c>
      <c r="Q363">
        <f>_xll.BDP("TTWO UW Equity","HIGH_52WEEK")</f>
        <v>245.05</v>
      </c>
      <c r="R363">
        <f>_xll.BDP("TTWO UW Equity","LOW_52WEEK")</f>
        <v>135.28</v>
      </c>
    </row>
    <row r="364" spans="1:18" ht="15.75" x14ac:dyDescent="0.25">
      <c r="A364" t="s">
        <v>380</v>
      </c>
      <c r="B364">
        <f>_xll.BDP("RSG UN Equity","RT_PX_CHG_PCT_1D")</f>
        <v>2.0400000736117363E-2</v>
      </c>
      <c r="C364" t="str">
        <f>_xll.BDP("RSG UN Equity","GICS_SECTOR_NAME")</f>
        <v>工業</v>
      </c>
      <c r="D364" t="str">
        <f>_xll.BDP("RSG UN Equity","NAME_CHINESE_TRADITIONAL")</f>
        <v>共和服務公司</v>
      </c>
      <c r="E364" t="str">
        <f>_xll.BDP("RSG UN Equity","CLASSIFICATION_LEVEL_4_NAME")</f>
        <v>廢棄物管理</v>
      </c>
      <c r="F364" t="str">
        <f>_xll.BDP("RSG UN Equity","CLASSIFICATION_DESCRIPTION")</f>
        <v>固態廢棄物收集</v>
      </c>
      <c r="G364">
        <f>_xll.BDP("RSG UN Equity","CUR_MKT_CAP")</f>
        <v>76611767707.080002</v>
      </c>
      <c r="H364">
        <f>_xll.BDP("RSG UN Equity","CHG_PCT_YTD")</f>
        <v>21.86102</v>
      </c>
      <c r="I364" t="str">
        <f>_xll.BDP("RSG UN Equity","CIE_DES")</f>
        <v>共和服務公司(Republic Services, Inc.)在美國提供非危險性固態廢棄物蒐集及處理服務。該公司提供固態廢棄物回收服務予商業、工業、地方政府和住宅客戶。共和服務公司亦經營轉運站、掩埋及回收設施。</v>
      </c>
      <c r="J364">
        <f>_xll.BDP("RSG UN Equity","ESG_SCORE")</f>
        <v>6.1500000953674316</v>
      </c>
      <c r="K364" t="str">
        <f>_xll.BDP("RSG UN Equity","MSCI_ESG_RATING")</f>
        <v>A</v>
      </c>
      <c r="L364">
        <f>_xll.BDP("RSG UN Equity","EQY_BETA")</f>
        <v>0.56640166044235229</v>
      </c>
      <c r="M364">
        <f>_xll.BDP("RSG UN Equity","VOLATILITY_60D")</f>
        <v>16.531295562517901</v>
      </c>
      <c r="N364">
        <f>_xll.BDP("RSG UN Equity","PCT_INSIDER_SHARES_OUT")</f>
        <v>0.11756016857761835</v>
      </c>
      <c r="O364">
        <f>_xll.BDP("RSG UN Equity","PCT_CHG_INSIDER_HOLDINGS")</f>
        <v>18.883304910054076</v>
      </c>
      <c r="P364">
        <f>_xll.BDP("RSG UN Equity","RISK_PREMIUM")</f>
        <v>2.9177218654865027</v>
      </c>
      <c r="Q364">
        <f>_xll.BDP("RSG UN Equity","HIGH_52WEEK")</f>
        <v>258.27</v>
      </c>
      <c r="R364">
        <f>_xll.BDP("RSG UN Equity","LOW_52WEEK")</f>
        <v>191</v>
      </c>
    </row>
    <row r="365" spans="1:18" ht="15.75" x14ac:dyDescent="0.25">
      <c r="A365" t="s">
        <v>381</v>
      </c>
      <c r="B365">
        <f>_xll.BDP("EBAY UW Equity","RT_PX_CHG_PCT_1D")</f>
        <v>-1.2371000051498413</v>
      </c>
      <c r="C365" t="str">
        <f>_xll.BDP("EBAY UW Equity","GICS_SECTOR_NAME")</f>
        <v>非核心消費</v>
      </c>
      <c r="D365" t="str">
        <f>_xll.BDP("EBAY UW Equity","NAME_CHINESE_TRADITIONAL")</f>
        <v>電子灣拍賣網站公司</v>
      </c>
      <c r="E365" t="str">
        <f>_xll.BDP("EBAY UW Equity","CLASSIFICATION_LEVEL_4_NAME")</f>
        <v>網路市場</v>
      </c>
      <c r="F365" t="str">
        <f>_xll.BDP("EBAY UW Equity","CLASSIFICATION_DESCRIPTION")</f>
        <v>網路市場</v>
      </c>
      <c r="G365">
        <f>_xll.BDP("EBAY UW Equity","CUR_MKT_CAP")</f>
        <v>37539230000</v>
      </c>
      <c r="H365">
        <f>_xll.BDP("EBAY UW Equity","CHG_PCT_YTD")</f>
        <v>31.444710000000001</v>
      </c>
      <c r="I365" t="str">
        <f>_xll.BDP("EBAY UW Equity","CIE_DES")</f>
        <v>億貝公司（eBay Inc.）為一家電子商務公司。該公司著重於電子產品、汽車、服裝及收藏品的買賣。電子灣拍賣網站服務全球的客戶。</v>
      </c>
      <c r="J365">
        <f>_xll.BDP("EBAY UW Equity","ESG_SCORE")</f>
        <v>6.7100000381469727</v>
      </c>
      <c r="K365" t="str">
        <f>_xll.BDP("EBAY UW Equity","MSCI_ESG_RATING")</f>
        <v>A</v>
      </c>
      <c r="L365">
        <f>_xll.BDP("EBAY UW Equity","EQY_BETA")</f>
        <v>0.71469110250473022</v>
      </c>
      <c r="M365">
        <f>_xll.BDP("EBAY UW Equity","VOLATILITY_60D")</f>
        <v>18.535298347577825</v>
      </c>
      <c r="N365">
        <f>_xll.BDP("EBAY UW Equity","PCT_INSIDER_SHARES_OUT")</f>
        <v>0.32985791757049893</v>
      </c>
      <c r="O365">
        <f>_xll.BDP("EBAY UW Equity","PCT_CHG_INSIDER_HOLDINGS")</f>
        <v>8.171139519283642</v>
      </c>
      <c r="P365">
        <f>_xll.BDP("EBAY UW Equity","RISK_PREMIUM")</f>
        <v>3.6816097170656916</v>
      </c>
      <c r="Q365">
        <f>_xll.BDP("EBAY UW Equity","HIGH_52WEEK")</f>
        <v>83.53</v>
      </c>
      <c r="R365">
        <f>_xll.BDP("EBAY UW Equity","LOW_52WEEK")</f>
        <v>53.76</v>
      </c>
    </row>
    <row r="366" spans="1:18" ht="15.75" x14ac:dyDescent="0.25">
      <c r="A366" t="s">
        <v>382</v>
      </c>
      <c r="B366">
        <f>_xll.BDP("GS UN Equity","RT_PX_CHG_PCT_1D")</f>
        <v>1.3626999855041504</v>
      </c>
      <c r="C366" t="str">
        <f>_xll.BDP("GS UN Equity","GICS_SECTOR_NAME")</f>
        <v>金融</v>
      </c>
      <c r="D366" t="str">
        <f>_xll.BDP("GS UN Equity","NAME_CHINESE_TRADITIONAL")</f>
        <v>高盛集團</v>
      </c>
      <c r="E366" t="str">
        <f>_xll.BDP("GS UN Equity","CLASSIFICATION_LEVEL_4_NAME")</f>
        <v>機構經紀</v>
      </c>
      <c r="F366" t="str">
        <f>_xll.BDP("GS UN Equity","CLASSIFICATION_DESCRIPTION")</f>
        <v>交易及自營投資</v>
      </c>
      <c r="G366">
        <f>_xll.BDP("GS UN Equity","CUR_MKT_CAP")</f>
        <v>232102161944.09998</v>
      </c>
      <c r="H366">
        <f>_xll.BDP("GS UN Equity","CHG_PCT_YTD")</f>
        <v>27.306069999999998</v>
      </c>
      <c r="I366" t="str">
        <f>_xll.BDP("GS UN Equity","CIE_DES")</f>
        <v>高盛集團(Goldman Sachs Group, Inc.)為銀行控股公司，屬於全球投資銀行及證券公司，專門從事投資銀行業務、交易與自營投資、資產管理與證券服務。該公司服務對象包括公司、金融機構、政府及金字塔頂端個人。</v>
      </c>
      <c r="J366">
        <f>_xll.BDP("GS UN Equity","ESG_SCORE")</f>
        <v>4.940000057220459</v>
      </c>
      <c r="K366" t="str">
        <f>_xll.BDP("GS UN Equity","MSCI_ESG_RATING")</f>
        <v>AA</v>
      </c>
      <c r="L366">
        <f>_xll.BDP("GS UN Equity","EQY_BETA")</f>
        <v>1.2836484909057617</v>
      </c>
      <c r="M366">
        <f>_xll.BDP("GS UN Equity","VOLATILITY_60D")</f>
        <v>22.381692678639478</v>
      </c>
      <c r="N366">
        <f>_xll.BDP("GS UN Equity","PCT_INSIDER_SHARES_OUT")</f>
        <v>0.49135769458524298</v>
      </c>
      <c r="O366">
        <f>_xll.BDP("GS UN Equity","PCT_CHG_INSIDER_HOLDINGS")</f>
        <v>3.3464317254532028</v>
      </c>
      <c r="P366">
        <f>_xll.BDP("GS UN Equity","RISK_PREMIUM")</f>
        <v>6.6124969806575775</v>
      </c>
      <c r="Q366">
        <f>_xll.BDP("GS UN Equity","HIGH_52WEEK")</f>
        <v>729.89</v>
      </c>
      <c r="R366">
        <f>_xll.BDP("GS UN Equity","LOW_52WEEK")</f>
        <v>437.37</v>
      </c>
    </row>
    <row r="367" spans="1:18" ht="15.75" x14ac:dyDescent="0.25">
      <c r="A367" t="s">
        <v>383</v>
      </c>
      <c r="B367">
        <f>_xll.BDP("SBAC UW Equity","RT_PX_CHG_PCT_1D")</f>
        <v>-0.51039999723434448</v>
      </c>
      <c r="C367" t="str">
        <f>_xll.BDP("SBAC UW Equity","GICS_SECTOR_NAME")</f>
        <v>房地產</v>
      </c>
      <c r="D367" t="str">
        <f>_xll.BDP("SBAC UW Equity","NAME_CHINESE_TRADITIONAL")</f>
        <v>SBA通訊公司</v>
      </c>
      <c r="E367" t="str">
        <f>_xll.BDP("SBAC UW Equity","CLASSIFICATION_LEVEL_4_NAME")</f>
        <v>基礎設施REIT</v>
      </c>
      <c r="F367" t="str">
        <f>_xll.BDP("SBAC UW Equity","CLASSIFICATION_DESCRIPTION")</f>
        <v>基礎設施REIT</v>
      </c>
      <c r="G367">
        <f>_xll.BDP("SBAC UW Equity","CUR_MKT_CAP")</f>
        <v>25135118272.319996</v>
      </c>
      <c r="H367">
        <f>_xll.BDP("SBAC UW Equity","CHG_PCT_YTD")</f>
        <v>14.77919</v>
      </c>
      <c r="I367" t="str">
        <f>_xll.BDP("SBAC UW Equity","CIE_DES")</f>
        <v>SBS通訊公司(SBAS Communications Corporation)擁有並經營美國無線通訊基礎設施。 該公司提供場地租賃及開發、建設，以及諮詢服務。 SBS通訊將其多租戶大樓內的天線場地，長期租賃予各樣的無線服務供應 商。</v>
      </c>
      <c r="J367">
        <f>_xll.BDP("SBAC UW Equity","ESG_SCORE")</f>
        <v>4.7899999618530273</v>
      </c>
      <c r="K367" t="str">
        <f>_xll.BDP("SBAC UW Equity","MSCI_ESG_RATING")</f>
        <v>AAA</v>
      </c>
      <c r="L367">
        <f>_xll.BDP("SBAC UW Equity","EQY_BETA")</f>
        <v>0.51122081279754639</v>
      </c>
      <c r="M367">
        <f>_xll.BDP("SBAC UW Equity","VOLATILITY_60D")</f>
        <v>20.065276052183748</v>
      </c>
      <c r="N367">
        <f>_xll.BDP("SBAC UW Equity","PCT_INSIDER_SHARES_OUT")</f>
        <v>0.73670547240716289</v>
      </c>
      <c r="O367">
        <f>_xll.BDP("SBAC UW Equity","PCT_CHG_INSIDER_HOLDINGS")</f>
        <v>7.5163594832554299</v>
      </c>
      <c r="P367">
        <f>_xll.BDP("SBAC UW Equity","RISK_PREMIUM")</f>
        <v>2.6334671095883846</v>
      </c>
      <c r="Q367">
        <f>_xll.BDP("SBAC UW Equity","HIGH_52WEEK")</f>
        <v>252.61</v>
      </c>
      <c r="R367">
        <f>_xll.BDP("SBAC UW Equity","LOW_52WEEK")</f>
        <v>192.61</v>
      </c>
    </row>
    <row r="368" spans="1:18" ht="15.75" x14ac:dyDescent="0.25">
      <c r="A368" t="s">
        <v>384</v>
      </c>
      <c r="B368">
        <f>_xll.BDP("SRE UN Equity","RT_PX_CHG_PCT_1D")</f>
        <v>0.44740000367164612</v>
      </c>
      <c r="C368" t="str">
        <f>_xll.BDP("SRE UN Equity","GICS_SECTOR_NAME")</f>
        <v>公用事業</v>
      </c>
      <c r="D368" t="str">
        <f>_xll.BDP("SRE UN Equity","NAME_CHINESE_TRADITIONAL")</f>
        <v>桑普拉</v>
      </c>
      <c r="E368" t="str">
        <f>_xll.BDP("SRE UN Equity","CLASSIFICATION_LEVEL_4_NAME")</f>
        <v>電力網</v>
      </c>
      <c r="F368" t="str">
        <f>_xll.BDP("SRE UN Equity","CLASSIFICATION_DESCRIPTION")</f>
        <v>電力網</v>
      </c>
      <c r="G368">
        <f>_xll.BDP("SRE UN Equity","CUR_MKT_CAP")</f>
        <v>52708410111.599998</v>
      </c>
      <c r="H368">
        <f>_xll.BDP("SRE UN Equity","CHG_PCT_YTD")</f>
        <v>-7.8659379999999999</v>
      </c>
      <c r="I368" t="str">
        <f>_xll.BDP("SRE UN Equity","CIE_DES")</f>
        <v>桑普拉(Sempra)為一家能源基礎設施公司。該公司著重於為消費者提供永續能源，以及投資於開發，並經營傳輸與配送基礎設施。桑普拉服務北美的客戶。</v>
      </c>
      <c r="J368">
        <f>_xll.BDP("SRE UN Equity","ESG_SCORE")</f>
        <v>6.2899999618530273</v>
      </c>
      <c r="K368" t="str">
        <f>_xll.BDP("SRE UN Equity","MSCI_ESG_RATING")</f>
        <v>A</v>
      </c>
      <c r="L368">
        <f>_xll.BDP("SRE UN Equity","EQY_BETA")</f>
        <v>0.74883872270584106</v>
      </c>
      <c r="M368">
        <f>_xll.BDP("SRE UN Equity","VOLATILITY_60D")</f>
        <v>18.495338963197501</v>
      </c>
      <c r="N368">
        <f>_xll.BDP("SRE UN Equity","PCT_INSIDER_SHARES_OUT")</f>
        <v>5.9566584131999833E-2</v>
      </c>
      <c r="O368">
        <f>_xll.BDP("SRE UN Equity","PCT_CHG_INSIDER_HOLDINGS")</f>
        <v>32.687844747463821</v>
      </c>
      <c r="P368">
        <f>_xll.BDP("SRE UN Equity","RISK_PREMIUM")</f>
        <v>3.8575153774362803</v>
      </c>
      <c r="Q368">
        <f>_xll.BDP("SRE UN Equity","HIGH_52WEEK")</f>
        <v>95.77</v>
      </c>
      <c r="R368">
        <f>_xll.BDP("SRE UN Equity","LOW_52WEEK")</f>
        <v>61.93</v>
      </c>
    </row>
    <row r="369" spans="1:18" ht="15.75" x14ac:dyDescent="0.25">
      <c r="A369" t="s">
        <v>385</v>
      </c>
      <c r="B369">
        <f>_xll.BDP("MCO UN Equity","RT_PX_CHG_PCT_1D")</f>
        <v>-2.7300000190734863E-2</v>
      </c>
      <c r="C369" t="str">
        <f>_xll.BDP("MCO UN Equity","GICS_SECTOR_NAME")</f>
        <v>金融</v>
      </c>
      <c r="D369" t="str">
        <f>_xll.BDP("MCO UN Equity","NAME_CHINESE_TRADITIONAL")</f>
        <v>穆迪</v>
      </c>
      <c r="E369" t="str">
        <f>_xll.BDP("MCO UN Equity","CLASSIFICATION_LEVEL_4_NAME")</f>
        <v>其它金融服務</v>
      </c>
      <c r="F369" t="str">
        <f>_xll.BDP("MCO UN Equity","CLASSIFICATION_DESCRIPTION")</f>
        <v>金融資訊服務</v>
      </c>
      <c r="G369">
        <f>_xll.BDP("MCO UN Equity","CUR_MKT_CAP")</f>
        <v>91818050000</v>
      </c>
      <c r="H369">
        <f>_xll.BDP("MCO UN Equity","CHG_PCT_YTD")</f>
        <v>8.3613250000000008</v>
      </c>
      <c r="I369" t="str">
        <f>_xll.BDP("MCO UN Equity","CIE_DES")</f>
        <v>穆迪(Moody's Corporation)為一家專營信用評等、研究及風險分析的公司。該公司提供信用評等與相關研究、資料與分析工具、計量信用風險衡量、風險評分軟體，以及信用投資組合管理解決方案、證券定價軟體，與評價模型。</v>
      </c>
      <c r="J369">
        <f>_xll.BDP("MCO UN Equity","ESG_SCORE")</f>
        <v>5.070000171661377</v>
      </c>
      <c r="K369" t="str">
        <f>_xll.BDP("MCO UN Equity","MSCI_ESG_RATING")</f>
        <v>AA</v>
      </c>
      <c r="L369">
        <f>_xll.BDP("MCO UN Equity","EQY_BETA")</f>
        <v>1.1350983381271362</v>
      </c>
      <c r="M369">
        <f>_xll.BDP("MCO UN Equity","VOLATILITY_60D")</f>
        <v>19.549931512670945</v>
      </c>
      <c r="N369">
        <f>_xll.BDP("MCO UN Equity","PCT_INSIDER_SHARES_OUT")</f>
        <v>0.21459239134078209</v>
      </c>
      <c r="O369">
        <f>_xll.BDP("MCO UN Equity","PCT_CHG_INSIDER_HOLDINGS")</f>
        <v>2.161651922274614</v>
      </c>
      <c r="P369">
        <f>_xll.BDP("MCO UN Equity","RISK_PREMIUM")</f>
        <v>5.8472661221444602</v>
      </c>
      <c r="Q369">
        <f>_xll.BDP("MCO UN Equity","HIGH_52WEEK")</f>
        <v>530.5</v>
      </c>
      <c r="R369">
        <f>_xll.BDP("MCO UN Equity","LOW_52WEEK")</f>
        <v>379.48</v>
      </c>
    </row>
    <row r="370" spans="1:18" ht="15.75" x14ac:dyDescent="0.25">
      <c r="A370" t="s">
        <v>386</v>
      </c>
      <c r="B370">
        <f>_xll.BDP("ON UW Equity","RT_PX_CHG_PCT_1D")</f>
        <v>2.6696000099182129</v>
      </c>
      <c r="C370" t="str">
        <f>_xll.BDP("ON UW Equity","GICS_SECTOR_NAME")</f>
        <v>資訊技術</v>
      </c>
      <c r="D370" t="str">
        <f>_xll.BDP("ON UW Equity","NAME_CHINESE_TRADITIONAL")</f>
        <v>安森美半導體</v>
      </c>
      <c r="E370" t="str">
        <f>_xll.BDP("ON UW Equity","CLASSIFICATION_LEVEL_4_NAME")</f>
        <v>半導體元件</v>
      </c>
      <c r="F370" t="str">
        <f>_xll.BDP("ON UW Equity","CLASSIFICATION_DESCRIPTION")</f>
        <v>特殊應用類比</v>
      </c>
      <c r="G370">
        <f>_xll.BDP("ON UW Equity","CUR_MKT_CAP")</f>
        <v>23786033894.32</v>
      </c>
      <c r="H370">
        <f>_xll.BDP("ON UW Equity","CHG_PCT_YTD")</f>
        <v>-9.7224409999999999</v>
      </c>
      <c r="I370" t="str">
        <f>_xll.BDP("ON UW Equity","CIE_DES")</f>
        <v>安森美半導體有限公司(ON Semiconductor Corporation)供應類比、標準邏輯和分離式半導體予資料及電源管理。 該公司提供的產品包括積體電路及類比IC。 安森美半導體亦供應多種表面黏著及標準套裝的分離式半導體。</v>
      </c>
      <c r="J370">
        <f>_xll.BDP("ON UW Equity","ESG_SCORE")</f>
        <v>6.119999885559082</v>
      </c>
      <c r="K370" t="str">
        <f>_xll.BDP("ON UW Equity","MSCI_ESG_RATING")</f>
        <v>A</v>
      </c>
      <c r="L370">
        <f>_xll.BDP("ON UW Equity","EQY_BETA")</f>
        <v>1.3197221755981445</v>
      </c>
      <c r="M370">
        <f>_xll.BDP("ON UW Equity","VOLATILITY_60D")</f>
        <v>55.013389692521883</v>
      </c>
      <c r="N370">
        <f>_xll.BDP("ON UW Equity","PCT_INSIDER_SHARES_OUT")</f>
        <v>0.57632441246437716</v>
      </c>
      <c r="O370">
        <f>_xll.BDP("ON UW Equity","PCT_CHG_INSIDER_HOLDINGS")</f>
        <v>16.582881733755123</v>
      </c>
      <c r="P370">
        <f>_xll.BDP("ON UW Equity","RISK_PREMIUM")</f>
        <v>6.7983244348239893</v>
      </c>
      <c r="Q370">
        <f>_xll.BDP("ON UW Equity","HIGH_52WEEK")</f>
        <v>80.06</v>
      </c>
      <c r="R370">
        <f>_xll.BDP("ON UW Equity","LOW_52WEEK")</f>
        <v>31.05</v>
      </c>
    </row>
    <row r="371" spans="1:18" ht="15.75" x14ac:dyDescent="0.25">
      <c r="A371" t="s">
        <v>387</v>
      </c>
      <c r="B371">
        <f>_xll.BDP("BKNG UW Equity","RT_PX_CHG_PCT_1D")</f>
        <v>-0.31380000710487366</v>
      </c>
      <c r="C371" t="str">
        <f>_xll.BDP("BKNG UW Equity","GICS_SECTOR_NAME")</f>
        <v>非核心消費</v>
      </c>
      <c r="D371" t="str">
        <f>_xll.BDP("BKNG UW Equity","NAME_CHINESE_TRADITIONAL")</f>
        <v>繽客控股公司</v>
      </c>
      <c r="E371" t="str">
        <f>_xll.BDP("BKNG UW Equity","CLASSIFICATION_LEVEL_4_NAME")</f>
        <v>網路媒體及服務</v>
      </c>
      <c r="F371" t="str">
        <f>_xll.BDP("BKNG UW Equity","CLASSIFICATION_DESCRIPTION")</f>
        <v>其它-旅遊資訊及預約網站</v>
      </c>
      <c r="G371">
        <f>_xll.BDP("BKNG UW Equity","CUR_MKT_CAP")</f>
        <v>183275969507.26001</v>
      </c>
      <c r="H371">
        <f>_xll.BDP("BKNG UW Equity","CHG_PCT_YTD")</f>
        <v>13.36139</v>
      </c>
      <c r="I371" t="str">
        <f>_xll.BDP("BKNG UW Equity","CIE_DES")</f>
        <v>繽客控股公司(Booking Holdings Inc.)為一家線上旅遊公司。該公司提供一個平台，可進行旅遊預訂，以及住宿預訂、租車、機票與度假套裝產品。繽客控股服務全球客戶。</v>
      </c>
      <c r="J371">
        <f>_xll.BDP("BKNG UW Equity","ESG_SCORE")</f>
        <v>4.4899997711181641</v>
      </c>
      <c r="K371" t="str">
        <f>_xll.BDP("BKNG UW Equity","MSCI_ESG_RATING")</f>
        <v>A</v>
      </c>
      <c r="L371">
        <f>_xll.BDP("BKNG UW Equity","EQY_BETA")</f>
        <v>1.0674551725387573</v>
      </c>
      <c r="M371">
        <f>_xll.BDP("BKNG UW Equity","VOLATILITY_60D")</f>
        <v>19.245883318507097</v>
      </c>
      <c r="N371">
        <f>_xll.BDP("BKNG UW Equity","PCT_INSIDER_SHARES_OUT")</f>
        <v>0.20350432724427586</v>
      </c>
      <c r="O371">
        <f>_xll.BDP("BKNG UW Equity","PCT_CHG_INSIDER_HOLDINGS")</f>
        <v>2.238656188726436</v>
      </c>
      <c r="P371">
        <f>_xll.BDP("BKNG UW Equity","RISK_PREMIUM")</f>
        <v>5.4988138539540765</v>
      </c>
      <c r="Q371">
        <f>_xll.BDP("BKNG UW Equity","HIGH_52WEEK")</f>
        <v>5833.11</v>
      </c>
      <c r="R371">
        <f>_xll.BDP("BKNG UW Equity","LOW_52WEEK")</f>
        <v>3188</v>
      </c>
    </row>
    <row r="372" spans="1:18" ht="15.75" x14ac:dyDescent="0.25">
      <c r="A372" t="s">
        <v>388</v>
      </c>
      <c r="B372">
        <f>_xll.BDP("FFIV UW Equity","RT_PX_CHG_PCT_1D")</f>
        <v>-0.84789997339248657</v>
      </c>
      <c r="C372" t="str">
        <f>_xll.BDP("FFIV UW Equity","GICS_SECTOR_NAME")</f>
        <v>資訊技術</v>
      </c>
      <c r="D372" t="str">
        <f>_xll.BDP("FFIV UW Equity","NAME_CHINESE_TRADITIONAL")</f>
        <v>F5公司</v>
      </c>
      <c r="E372" t="str">
        <f>_xll.BDP("FFIV UW Equity","CLASSIFICATION_LEVEL_4_NAME")</f>
        <v>通訊設備</v>
      </c>
      <c r="F372" t="str">
        <f>_xll.BDP("FFIV UW Equity","CLASSIFICATION_DESCRIPTION")</f>
        <v>有線數據網路設備</v>
      </c>
      <c r="G372">
        <f>_xll.BDP("FFIV UW Equity","CUR_MKT_CAP")</f>
        <v>17193289110.900002</v>
      </c>
      <c r="H372">
        <f>_xll.BDP("FFIV UW Equity","CHG_PCT_YTD")</f>
        <v>19.047999999999998</v>
      </c>
      <c r="I372" t="str">
        <f>_xll.BDP("FFIV UW Equity","CIE_DES")</f>
        <v>F5公司(F5, Inc.)提供整合網路流量管理解決方案。該公司提供軟體解決方案，並管理、控制、最佳化網路流量及內容。F5亦提供服務供應商及電子商務自動傳送網路內容的解決方案。F5服務全球各地的客戶。</v>
      </c>
      <c r="J372">
        <f>_xll.BDP("FFIV UW Equity","ESG_SCORE")</f>
        <v>2.5099999904632568</v>
      </c>
      <c r="K372" t="str">
        <f>_xll.BDP("FFIV UW Equity","MSCI_ESG_RATING")</f>
        <v>AA</v>
      </c>
      <c r="L372">
        <f>_xll.BDP("FFIV UW Equity","EQY_BETA")</f>
        <v>0.90213167667388916</v>
      </c>
      <c r="M372">
        <f>_xll.BDP("FFIV UW Equity","VOLATILITY_60D")</f>
        <v>19.118154091946032</v>
      </c>
      <c r="N372">
        <f>_xll.BDP("FFIV UW Equity","PCT_INSIDER_SHARES_OUT")</f>
        <v>0.82447511011800656</v>
      </c>
      <c r="O372">
        <f>_xll.BDP("FFIV UW Equity","PCT_CHG_INSIDER_HOLDINGS")</f>
        <v>1.6792322773353032</v>
      </c>
      <c r="P372">
        <f>_xll.BDP("FFIV UW Equity","RISK_PREMIUM")</f>
        <v>4.6471779700005049</v>
      </c>
      <c r="Q372">
        <f>_xll.BDP("FFIV UW Equity","HIGH_52WEEK")</f>
        <v>312</v>
      </c>
      <c r="R372">
        <f>_xll.BDP("FFIV UW Equity","LOW_52WEEK")</f>
        <v>177.27</v>
      </c>
    </row>
    <row r="373" spans="1:18" ht="15.75" x14ac:dyDescent="0.25">
      <c r="A373" t="s">
        <v>389</v>
      </c>
      <c r="B373">
        <f>_xll.BDP("AKAM UW Equity","RT_PX_CHG_PCT_1D")</f>
        <v>4.960000142455101E-2</v>
      </c>
      <c r="C373" t="str">
        <f>_xll.BDP("AKAM UW Equity","GICS_SECTOR_NAME")</f>
        <v>資訊技術</v>
      </c>
      <c r="D373" t="str">
        <f>_xll.BDP("AKAM UW Equity","NAME_CHINESE_TRADITIONAL")</f>
        <v>Akamai科技公司</v>
      </c>
      <c r="E373" t="str">
        <f>_xll.BDP("AKAM UW Equity","CLASSIFICATION_LEVEL_4_NAME")</f>
        <v>基礎建設軟體</v>
      </c>
      <c r="F373" t="str">
        <f>_xll.BDP("AKAM UW Equity","CLASSIFICATION_DESCRIPTION")</f>
        <v>基礎建設軟體</v>
      </c>
      <c r="G373">
        <f>_xll.BDP("AKAM UW Equity","CUR_MKT_CAP")</f>
        <v>11806164700.499998</v>
      </c>
      <c r="H373">
        <f>_xll.BDP("AKAM UW Equity","CHG_PCT_YTD")</f>
        <v>-15.577629999999999</v>
      </c>
      <c r="I373" t="str">
        <f>_xll.BDP("AKAM UW Equity","CIE_DES")</f>
        <v>Akamai科技公司(Akamai Technologies, Inc.)提供的服務可加速並改善內容及應用程式透過網路的傳輸，涵蓋即時及隨選串流視訊、傳統網站內容，以及協助交易業務和拓展客源的工具。</v>
      </c>
      <c r="J373">
        <f>_xll.BDP("AKAM UW Equity","ESG_SCORE")</f>
        <v>4.0100002288818359</v>
      </c>
      <c r="K373" t="str">
        <f>_xll.BDP("AKAM UW Equity","MSCI_ESG_RATING")</f>
        <v>AA</v>
      </c>
      <c r="L373">
        <f>_xll.BDP("AKAM UW Equity","EQY_BETA")</f>
        <v>0.82004439830780029</v>
      </c>
      <c r="M373">
        <f>_xll.BDP("AKAM UW Equity","VOLATILITY_60D")</f>
        <v>32.06570106823807</v>
      </c>
      <c r="N373">
        <f>_xll.BDP("AKAM UW Equity","PCT_INSIDER_SHARES_OUT")</f>
        <v>2.0521551224843781</v>
      </c>
      <c r="O373">
        <f>_xll.BDP("AKAM UW Equity","PCT_CHG_INSIDER_HOLDINGS")</f>
        <v>4.6619568066021726</v>
      </c>
      <c r="P373">
        <f>_xll.BDP("AKAM UW Equity","RISK_PREMIUM")</f>
        <v>4.2243193103349208</v>
      </c>
      <c r="Q373">
        <f>_xll.BDP("AKAM UW Equity","HIGH_52WEEK")</f>
        <v>106.795</v>
      </c>
      <c r="R373">
        <f>_xll.BDP("AKAM UW Equity","LOW_52WEEK")</f>
        <v>67.599999999999994</v>
      </c>
    </row>
    <row r="374" spans="1:18" ht="15.75" x14ac:dyDescent="0.25">
      <c r="A374" t="s">
        <v>390</v>
      </c>
      <c r="B374">
        <f>_xll.BDP("CRL UN Equity","RT_PX_CHG_PCT_1D")</f>
        <v>-9.6000000834465027E-2</v>
      </c>
      <c r="C374" t="str">
        <f>_xll.BDP("CRL UN Equity","GICS_SECTOR_NAME")</f>
        <v>醫療保健</v>
      </c>
      <c r="D374" t="str">
        <f>_xll.BDP("CRL UN Equity","NAME_CHINESE_TRADITIONAL")</f>
        <v>查爾斯河實驗室國際公司</v>
      </c>
      <c r="E374" t="str">
        <f>_xll.BDP("CRL UN Equity","CLASSIFICATION_LEVEL_4_NAME")</f>
        <v>醫療保健服務</v>
      </c>
      <c r="F374" t="str">
        <f>_xll.BDP("CRL UN Equity","CLASSIFICATION_DESCRIPTION")</f>
        <v>合約研究</v>
      </c>
      <c r="G374">
        <f>_xll.BDP("CRL UN Equity","CUR_MKT_CAP")</f>
        <v>8690042924.1599979</v>
      </c>
      <c r="H374">
        <f>_xll.BDP("CRL UN Equity","CHG_PCT_YTD")</f>
        <v>-4.1549329999999998</v>
      </c>
      <c r="I374" t="str">
        <f>_xll.BDP("CRL UN Equity","CIE_DES")</f>
        <v>查爾斯河實驗室國際公司(Charles River Laboratories International, Inc.)提供開發新藥所需的研究工具和支援服務。 該公司提供研究開發新藥物、設備和療法所需的動物研究模型。 查爾斯河實驗室國際為全球的製藥與生物技術公司、醫院與學術機構提供服務。</v>
      </c>
      <c r="J374">
        <f>_xll.BDP("CRL UN Equity","ESG_SCORE")</f>
        <v>5.6599998474121094</v>
      </c>
      <c r="K374" t="str">
        <f>_xll.BDP("CRL UN Equity","MSCI_ESG_RATING")</f>
        <v>N.S.</v>
      </c>
      <c r="L374">
        <f>_xll.BDP("CRL UN Equity","EQY_BETA")</f>
        <v>0.83942103385925293</v>
      </c>
      <c r="M374">
        <f>_xll.BDP("CRL UN Equity","VOLATILITY_60D")</f>
        <v>51.777391464940891</v>
      </c>
      <c r="N374">
        <f>_xll.BDP("CRL UN Equity","PCT_INSIDER_SHARES_OUT")</f>
        <v>1.3122583385234583</v>
      </c>
      <c r="O374">
        <f>_xll.BDP("CRL UN Equity","PCT_CHG_INSIDER_HOLDINGS")</f>
        <v>16.190505377545907</v>
      </c>
      <c r="P374">
        <f>_xll.BDP("CRL UN Equity","RISK_PREMIUM")</f>
        <v>4.3241347543501849</v>
      </c>
      <c r="Q374">
        <f>_xll.BDP("CRL UN Equity","HIGH_52WEEK")</f>
        <v>253.19</v>
      </c>
      <c r="R374">
        <f>_xll.BDP("CRL UN Equity","LOW_52WEEK")</f>
        <v>91.9</v>
      </c>
    </row>
    <row r="375" spans="1:18" ht="15.75" x14ac:dyDescent="0.25">
      <c r="A375" t="s">
        <v>391</v>
      </c>
      <c r="B375">
        <f>_xll.BDP("MKTX UW Equity","RT_PX_CHG_PCT_1D")</f>
        <v>-1.0714000463485718</v>
      </c>
      <c r="C375" t="str">
        <f>_xll.BDP("MKTX UW Equity","GICS_SECTOR_NAME")</f>
        <v>金融</v>
      </c>
      <c r="D375" t="str">
        <f>_xll.BDP("MKTX UW Equity","NAME_CHINESE_TRADITIONAL")</f>
        <v>MarketAxess控股公司</v>
      </c>
      <c r="E375" t="str">
        <f>_xll.BDP("MKTX UW Equity","CLASSIFICATION_LEVEL_4_NAME")</f>
        <v>其它金融服務</v>
      </c>
      <c r="F375" t="str">
        <f>_xll.BDP("MKTX UW Equity","CLASSIFICATION_DESCRIPTION")</f>
        <v>資料及分析</v>
      </c>
      <c r="G375">
        <f>_xll.BDP("MKTX UW Equity","CUR_MKT_CAP")</f>
        <v>7929726218.4499998</v>
      </c>
      <c r="H375">
        <f>_xll.BDP("MKTX UW Equity","CHG_PCT_YTD")</f>
        <v>-6.4546070000000002</v>
      </c>
      <c r="I375" t="str">
        <f>_xll.BDP("MKTX UW Equity","CIE_DES")</f>
        <v>MarketAxess控股公司(MarketAxess Holdings, Inc.)經營電子多經銷商的客戶端平台，對象為美國和歐洲的高階企業和新興市場債券交易。 該公司為機構和經紀交易商的客戶，開發提供價格發現和交易執行服務的技術。</v>
      </c>
      <c r="J375">
        <f>_xll.BDP("MKTX UW Equity","ESG_SCORE")</f>
        <v>5.9200000762939453</v>
      </c>
      <c r="K375" t="str">
        <f>_xll.BDP("MKTX UW Equity","MSCI_ESG_RATING")</f>
        <v>N.S.</v>
      </c>
      <c r="L375">
        <f>_xll.BDP("MKTX UW Equity","EQY_BETA")</f>
        <v>0.46423304080963135</v>
      </c>
      <c r="M375">
        <f>_xll.BDP("MKTX UW Equity","VOLATILITY_60D")</f>
        <v>23.855150975602704</v>
      </c>
      <c r="N375">
        <f>_xll.BDP("MKTX UW Equity","PCT_INSIDER_SHARES_OUT")</f>
        <v>2.2534975785071913</v>
      </c>
      <c r="O375">
        <f>_xll.BDP("MKTX UW Equity","PCT_CHG_INSIDER_HOLDINGS")</f>
        <v>2.8364945259671277</v>
      </c>
      <c r="P375">
        <f>_xll.BDP("MKTX UW Equity","RISK_PREMIUM")</f>
        <v>2.3914175901138783</v>
      </c>
      <c r="Q375">
        <f>_xll.BDP("MKTX UW Equity","HIGH_52WEEK")</f>
        <v>296.68</v>
      </c>
      <c r="R375">
        <f>_xll.BDP("MKTX UW Equity","LOW_52WEEK")</f>
        <v>186.93</v>
      </c>
    </row>
    <row r="376" spans="1:18" ht="15.75" x14ac:dyDescent="0.25">
      <c r="A376" t="s">
        <v>392</v>
      </c>
      <c r="B376">
        <f>_xll.BDP("DVN UN Equity","RT_PX_CHG_PCT_1D")</f>
        <v>-1.0810999870300293</v>
      </c>
      <c r="C376" t="str">
        <f>_xll.BDP("DVN UN Equity","GICS_SECTOR_NAME")</f>
        <v>能源</v>
      </c>
      <c r="D376" t="str">
        <f>_xll.BDP("DVN UN Equity","NAME_CHINESE_TRADITIONAL")</f>
        <v>戴文能源</v>
      </c>
      <c r="E376" t="str">
        <f>_xll.BDP("DVN UN Equity","CLASSIFICATION_LEVEL_4_NAME")</f>
        <v>探勘及生產</v>
      </c>
      <c r="F376" t="str">
        <f>_xll.BDP("DVN UN Equity","CLASSIFICATION_DESCRIPTION")</f>
        <v>原油及天然氣探勘與生產</v>
      </c>
      <c r="G376">
        <f>_xll.BDP("DVN UN Equity","CUR_MKT_CAP")</f>
        <v>21150773999.999996</v>
      </c>
      <c r="H376">
        <f>_xll.BDP("DVN UN Equity","CHG_PCT_YTD")</f>
        <v>0.64161460000000003</v>
      </c>
      <c r="I376" t="str">
        <f>_xll.BDP("DVN UN Equity","CIE_DES")</f>
        <v>戴文能源公司(Devon Energy Corporation)為獨立的能源公司，主要從事石油和天然氣的探勘、開發、及生產；石油、天然氣和液化天然氣(NGL)的運輸；以及天然氣的處理。 該公司也有以北美洲為主，涵蓋天然氣、原油和液化天然氣的行銷及中游事業。</v>
      </c>
      <c r="J376">
        <f>_xll.BDP("DVN UN Equity","ESG_SCORE")</f>
        <v>4.8600001335144043</v>
      </c>
      <c r="K376" t="str">
        <f>_xll.BDP("DVN UN Equity","MSCI_ESG_RATING")</f>
        <v>A</v>
      </c>
      <c r="L376">
        <f>_xll.BDP("DVN UN Equity","EQY_BETA")</f>
        <v>0.73009979724884033</v>
      </c>
      <c r="M376">
        <f>_xll.BDP("DVN UN Equity","VOLATILITY_60D")</f>
        <v>34.251885206646001</v>
      </c>
      <c r="N376">
        <f>_xll.BDP("DVN UN Equity","PCT_INSIDER_SHARES_OUT")</f>
        <v>0.76508032393708147</v>
      </c>
      <c r="O376">
        <f>_xll.BDP("DVN UN Equity","PCT_CHG_INSIDER_HOLDINGS")</f>
        <v>5.7587348562116905</v>
      </c>
      <c r="P376">
        <f>_xll.BDP("DVN UN Equity","RISK_PREMIUM")</f>
        <v>3.7609849885618685</v>
      </c>
      <c r="Q376">
        <f>_xll.BDP("DVN UN Equity","HIGH_52WEEK")</f>
        <v>47.42</v>
      </c>
      <c r="R376">
        <f>_xll.BDP("DVN UN Equity","LOW_52WEEK")</f>
        <v>25.91</v>
      </c>
    </row>
    <row r="377" spans="1:18" ht="15.75" x14ac:dyDescent="0.25">
      <c r="A377" t="s">
        <v>393</v>
      </c>
      <c r="B377">
        <f>_xll.BDP("TECH UW Equity","RT_PX_CHG_PCT_1D")</f>
        <v>0.53020000457763672</v>
      </c>
      <c r="C377" t="str">
        <f>_xll.BDP("TECH UW Equity","GICS_SECTOR_NAME")</f>
        <v>醫療保健</v>
      </c>
      <c r="D377" t="str">
        <f>_xll.BDP("TECH UW Equity","NAME_CHINESE_TRADITIONAL")</f>
        <v>Bio-Techne Corp</v>
      </c>
      <c r="E377" t="str">
        <f>_xll.BDP("TECH UW Equity","CLASSIFICATION_LEVEL_4_NAME")</f>
        <v>生命科學設備</v>
      </c>
      <c r="F377" t="str">
        <f>_xll.BDP("TECH UW Equity","CLASSIFICATION_DESCRIPTION")</f>
        <v>分析用實驗設備</v>
      </c>
      <c r="G377">
        <f>_xll.BDP("TECH UW Equity","CUR_MKT_CAP")</f>
        <v>9214781600.0999985</v>
      </c>
      <c r="H377">
        <f>_xll.BDP("TECH UW Equity","CHG_PCT_YTD")</f>
        <v>-18.395109999999999</v>
      </c>
      <c r="I377" t="str">
        <f>_xll.BDP("TECH UW Equity","CIE_DES")</f>
        <v>Bio-Techne公司開發、製造及銷售生物科技產品及臨床診斷控制。該公司專精於蛋白質、細胞激素、生長因子、免疫測定及小分子。</v>
      </c>
      <c r="J377">
        <f>_xll.BDP("TECH UW Equity","ESG_SCORE")</f>
        <v>4.9099998474121094</v>
      </c>
      <c r="K377" t="str">
        <f>_xll.BDP("TECH UW Equity","MSCI_ESG_RATING")</f>
        <v>N.S.</v>
      </c>
      <c r="L377">
        <f>_xll.BDP("TECH UW Equity","EQY_BETA")</f>
        <v>0.96414411067962646</v>
      </c>
      <c r="M377">
        <f>_xll.BDP("TECH UW Equity","VOLATILITY_60D")</f>
        <v>45.352458050033121</v>
      </c>
      <c r="N377">
        <f>_xll.BDP("TECH UW Equity","PCT_INSIDER_SHARES_OUT")</f>
        <v>1.0913028418554125</v>
      </c>
      <c r="O377">
        <f>_xll.BDP("TECH UW Equity","PCT_CHG_INSIDER_HOLDINGS")</f>
        <v>1.6387618507837944</v>
      </c>
      <c r="P377">
        <f>_xll.BDP("TECH UW Equity","RISK_PREMIUM")</f>
        <v>4.9666244816672798</v>
      </c>
      <c r="Q377">
        <f>_xll.BDP("TECH UW Equity","HIGH_52WEEK")</f>
        <v>83.58</v>
      </c>
      <c r="R377">
        <f>_xll.BDP("TECH UW Equity","LOW_52WEEK")</f>
        <v>46.02</v>
      </c>
    </row>
    <row r="378" spans="1:18" ht="15.75" x14ac:dyDescent="0.25">
      <c r="A378" t="s">
        <v>394</v>
      </c>
      <c r="B378">
        <f>_xll.BDP("GOOGL UW Equity","RT_PX_CHG_PCT_1D")</f>
        <v>0.52560001611709595</v>
      </c>
      <c r="C378" t="str">
        <f>_xll.BDP("GOOGL UW Equity","GICS_SECTOR_NAME")</f>
        <v>通訊服務</v>
      </c>
      <c r="D378" t="str">
        <f>_xll.BDP("GOOGL UW Equity","NAME_CHINESE_TRADITIONAL")</f>
        <v>Alphabet公司</v>
      </c>
      <c r="E378" t="str">
        <f>_xll.BDP("GOOGL UW Equity","CLASSIFICATION_LEVEL_4_NAME")</f>
        <v>網路媒體及服務</v>
      </c>
      <c r="F378" t="str">
        <f>_xll.BDP("GOOGL UW Equity","CLASSIFICATION_DESCRIPTION")</f>
        <v>廣告收入-網路</v>
      </c>
      <c r="G378">
        <f>_xll.BDP("GOOGL UW Equity","CUR_MKT_CAP")</f>
        <v>2341587070000.0005</v>
      </c>
      <c r="H378">
        <f>_xll.BDP("GOOGL UW Equity","CHG_PCT_YTD")</f>
        <v>2.049655</v>
      </c>
      <c r="I378" t="str">
        <f>_xll.BDP("GOOGL UW Equity","CIE_DES")</f>
        <v>Alphabet公司(Alphabet Inc.)為一家控股公司。該公司透過其子公司，提供網路搜尋、廣告、地圖、軟體應用程式、行動作業系統、消費者內容、企業解決方案、商業及硬體產品。</v>
      </c>
      <c r="J378">
        <f>_xll.BDP("GOOGL UW Equity","ESG_SCORE")</f>
        <v>4.2899999618530273</v>
      </c>
      <c r="K378" t="str">
        <f>_xll.BDP("GOOGL UW Equity","MSCI_ESG_RATING")</f>
        <v>BBB</v>
      </c>
      <c r="L378">
        <f>_xll.BDP("GOOGL UW Equity","EQY_BETA")</f>
        <v>1.0444650650024414</v>
      </c>
      <c r="M378">
        <f>_xll.BDP("GOOGL UW Equity","VOLATILITY_60D")</f>
        <v>29.50651252045105</v>
      </c>
      <c r="N378">
        <f>_xll.BDP("GOOGL UW Equity","PCT_INSIDER_SHARES_OUT")</f>
        <v>0.12453892040570741</v>
      </c>
      <c r="O378">
        <f>_xll.BDP("GOOGL UW Equity","PCT_CHG_INSIDER_HOLDINGS")</f>
        <v>0.59671258191224363</v>
      </c>
      <c r="P378">
        <f>_xll.BDP("GOOGL UW Equity","RISK_PREMIUM")</f>
        <v>5.3803842232990267</v>
      </c>
      <c r="Q378">
        <f>_xll.BDP("GOOGL UW Equity","HIGH_52WEEK")</f>
        <v>207.05</v>
      </c>
      <c r="R378">
        <f>_xll.BDP("GOOGL UW Equity","LOW_52WEEK")</f>
        <v>140.53</v>
      </c>
    </row>
    <row r="379" spans="1:18" ht="15.75" x14ac:dyDescent="0.25">
      <c r="A379" t="s">
        <v>395</v>
      </c>
      <c r="B379">
        <f>_xll.BDP("ALLE UN Equity","RT_PX_CHG_PCT_1D")</f>
        <v>1.0508999824523926</v>
      </c>
      <c r="C379" t="str">
        <f>_xll.BDP("ALLE UN Equity","GICS_SECTOR_NAME")</f>
        <v>工業</v>
      </c>
      <c r="D379" t="str">
        <f>_xll.BDP("ALLE UN Equity","NAME_CHINESE_TRADITIONAL")</f>
        <v>安朗杰有限公司</v>
      </c>
      <c r="E379" t="str">
        <f>_xll.BDP("ALLE UN Equity","CLASSIFICATION_LEVEL_4_NAME")</f>
        <v>商業住宅建築設備及系統</v>
      </c>
      <c r="F379" t="str">
        <f>_xll.BDP("ALLE UN Equity","CLASSIFICATION_DESCRIPTION")</f>
        <v>安全系統</v>
      </c>
      <c r="G379">
        <f>_xll.BDP("ALLE UN Equity","CUR_MKT_CAP")</f>
        <v>14198155942.799999</v>
      </c>
      <c r="H379">
        <f>_xll.BDP("ALLE UN Equity","CHG_PCT_YTD")</f>
        <v>26.561070000000001</v>
      </c>
      <c r="I379" t="str">
        <f>_xll.BDP("ALLE UN Equity","CIE_DES")</f>
        <v>安朗杰公開有限公司(Allegion PLC)提供安全產品及解決方案。該公司提供機械和電子安全產品、服務和系統，以確保人員和場所安全。安朗杰服務美洲、歐洲、中東、印度、非洲及亞太地區的企業、機構及住宅客戶。</v>
      </c>
      <c r="J379">
        <f>_xll.BDP("ALLE UN Equity","ESG_SCORE")</f>
        <v>3.5399999618530273</v>
      </c>
      <c r="K379" t="str">
        <f>_xll.BDP("ALLE UN Equity","MSCI_ESG_RATING")</f>
        <v>AA</v>
      </c>
      <c r="L379">
        <f>_xll.BDP("ALLE UN Equity","EQY_BETA")</f>
        <v>0.86467403173446655</v>
      </c>
      <c r="M379">
        <f>_xll.BDP("ALLE UN Equity","VOLATILITY_60D")</f>
        <v>24.190820398121023</v>
      </c>
      <c r="N379">
        <f>_xll.BDP("ALLE UN Equity","PCT_INSIDER_SHARES_OUT")</f>
        <v>0.37374419720216961</v>
      </c>
      <c r="O379">
        <f>_xll.BDP("ALLE UN Equity","PCT_CHG_INSIDER_HOLDINGS")</f>
        <v>18.559139230189519</v>
      </c>
      <c r="P379">
        <f>_xll.BDP("ALLE UN Equity","RISK_PREMIUM")</f>
        <v>4.4542212798947096</v>
      </c>
      <c r="Q379">
        <f>_xll.BDP("ALLE UN Equity","HIGH_52WEEK")</f>
        <v>166.19</v>
      </c>
      <c r="R379">
        <f>_xll.BDP("ALLE UN Equity","LOW_52WEEK")</f>
        <v>116.6</v>
      </c>
    </row>
    <row r="380" spans="1:18" ht="15.75" x14ac:dyDescent="0.25">
      <c r="A380" t="s">
        <v>396</v>
      </c>
      <c r="B380">
        <f>_xll.BDP("NFLX UW Equity","RT_PX_CHG_PCT_1D")</f>
        <v>-2.2900000214576721E-2</v>
      </c>
      <c r="C380" t="str">
        <f>_xll.BDP("NFLX UW Equity","GICS_SECTOR_NAME")</f>
        <v>通訊服務</v>
      </c>
      <c r="D380" t="str">
        <f>_xll.BDP("NFLX UW Equity","NAME_CHINESE_TRADITIONAL")</f>
        <v>網飛公司</v>
      </c>
      <c r="E380" t="str">
        <f>_xll.BDP("NFLX UW Equity","CLASSIFICATION_LEVEL_4_NAME")</f>
        <v>影片及電視</v>
      </c>
      <c r="F380" t="str">
        <f>_xll.BDP("NFLX UW Equity","CLASSIFICATION_DESCRIPTION")</f>
        <v>線上影片及電視串流</v>
      </c>
      <c r="G380">
        <f>_xll.BDP("NFLX UW Equity","CUR_MKT_CAP")</f>
        <v>501621302189.53992</v>
      </c>
      <c r="H380">
        <f>_xll.BDP("NFLX UW Equity","CHG_PCT_YTD")</f>
        <v>32.442889999999998</v>
      </c>
      <c r="I380" t="str">
        <f>_xll.BDP("NFLX UW Equity","CIE_DES")</f>
        <v>網飛公司(Netflix, Inc.)為一家訂閱串流服務和製作公司。該公司於網際網路連接裝置上，提供各種電視節目、電影、動漫，以及紀錄片。網飛服務全球客戶。</v>
      </c>
      <c r="J380">
        <f>_xll.BDP("NFLX UW Equity","ESG_SCORE")</f>
        <v>3.8499999046325684</v>
      </c>
      <c r="K380" t="str">
        <f>_xll.BDP("NFLX UW Equity","MSCI_ESG_RATING")</f>
        <v>BB</v>
      </c>
      <c r="L380">
        <f>_xll.BDP("NFLX UW Equity","EQY_BETA")</f>
        <v>1.144800066947937</v>
      </c>
      <c r="M380">
        <f>_xll.BDP("NFLX UW Equity","VOLATILITY_60D")</f>
        <v>26.101896795083128</v>
      </c>
      <c r="N380">
        <f>_xll.BDP("NFLX UW Equity","PCT_INSIDER_SHARES_OUT")</f>
        <v>0.5773594150326774</v>
      </c>
      <c r="O380">
        <f>_xll.BDP("NFLX UW Equity","PCT_CHG_INSIDER_HOLDINGS")</f>
        <v>-5.0026562913835484</v>
      </c>
      <c r="P380">
        <f>_xll.BDP("NFLX UW Equity","RISK_PREMIUM")</f>
        <v>5.8972429288709165</v>
      </c>
      <c r="Q380">
        <f>_xll.BDP("NFLX UW Equity","HIGH_52WEEK")</f>
        <v>1340.925</v>
      </c>
      <c r="R380">
        <f>_xll.BDP("NFLX UW Equity","LOW_52WEEK")</f>
        <v>588.42999999999995</v>
      </c>
    </row>
    <row r="381" spans="1:18" ht="15.75" x14ac:dyDescent="0.25">
      <c r="A381" t="s">
        <v>397</v>
      </c>
      <c r="B381">
        <f>_xll.BDP("WBD UW Equity","RT_PX_CHG_PCT_1D")</f>
        <v>-7.4100002646446228E-2</v>
      </c>
      <c r="C381" t="str">
        <f>_xll.BDP("WBD UW Equity","GICS_SECTOR_NAME")</f>
        <v>通訊服務</v>
      </c>
      <c r="D381" t="str">
        <f>_xll.BDP("WBD UW Equity","NAME_CHINESE_TRADITIONAL")</f>
        <v>華納兄弟探索公司</v>
      </c>
      <c r="E381" t="str">
        <f>_xll.BDP("WBD UW Equity","CLASSIFICATION_LEVEL_4_NAME")</f>
        <v>影片及電視</v>
      </c>
      <c r="F381" t="str">
        <f>_xll.BDP("WBD UW Equity","CLASSIFICATION_DESCRIPTION")</f>
        <v>有線網路</v>
      </c>
      <c r="G381">
        <f>_xll.BDP("WBD UW Equity","CUR_MKT_CAP")</f>
        <v>33375271790.469997</v>
      </c>
      <c r="H381">
        <f>_xll.BDP("WBD UW Equity","CHG_PCT_YTD")</f>
        <v>27.625360000000001</v>
      </c>
      <c r="I381" t="str">
        <f>_xll.BDP("WBD UW Equity","CIE_DES")</f>
        <v>華納兄弟探索公司(Warner Bros. Discovery, Inc.)經營媒體及娛樂公司。該公司在電視、電影、串流媒體和遊戲領域提供完整的內容、品牌和特許經營組合。</v>
      </c>
      <c r="J381">
        <f>_xll.BDP("WBD UW Equity","ESG_SCORE")</f>
        <v>3.2100000381469727</v>
      </c>
      <c r="K381" t="str">
        <f>_xll.BDP("WBD UW Equity","MSCI_ESG_RATING")</f>
        <v>BBB</v>
      </c>
      <c r="L381">
        <f>_xll.BDP("WBD UW Equity","EQY_BETA")</f>
        <v>1.1454284191131592</v>
      </c>
      <c r="M381">
        <f>_xll.BDP("WBD UW Equity","VOLATILITY_60D")</f>
        <v>38.090271120357791</v>
      </c>
      <c r="N381">
        <f>_xll.BDP("WBD UW Equity","PCT_INSIDER_SHARES_OUT")</f>
        <v>1.5849017107403778</v>
      </c>
      <c r="O381">
        <f>_xll.BDP("WBD UW Equity","PCT_CHG_INSIDER_HOLDINGS")</f>
        <v>18.295419056408694</v>
      </c>
      <c r="P381">
        <f>_xll.BDP("WBD UW Equity","RISK_PREMIUM")</f>
        <v>5.9004797782301903</v>
      </c>
      <c r="Q381">
        <f>_xll.BDP("WBD UW Equity","HIGH_52WEEK")</f>
        <v>13.675000000000001</v>
      </c>
      <c r="R381">
        <f>_xll.BDP("WBD UW Equity","LOW_52WEEK")</f>
        <v>6.6449999999999996</v>
      </c>
    </row>
    <row r="382" spans="1:18" ht="15.75" x14ac:dyDescent="0.25">
      <c r="A382" t="s">
        <v>398</v>
      </c>
      <c r="B382">
        <f>_xll.BDP("A UN Equity","RT_PX_CHG_PCT_1D")</f>
        <v>-0.14129999279975891</v>
      </c>
      <c r="C382" t="str">
        <f>_xll.BDP("A UN Equity","GICS_SECTOR_NAME")</f>
        <v>醫療保健</v>
      </c>
      <c r="D382" t="str">
        <f>_xll.BDP("A UN Equity","NAME_CHINESE_TRADITIONAL")</f>
        <v>安捷倫科技公司</v>
      </c>
      <c r="E382" t="str">
        <f>_xll.BDP("A UN Equity","CLASSIFICATION_LEVEL_4_NAME")</f>
        <v>生命科學設備</v>
      </c>
      <c r="F382" t="str">
        <f>_xll.BDP("A UN Equity","CLASSIFICATION_DESCRIPTION")</f>
        <v>分析用實驗設備</v>
      </c>
      <c r="G382">
        <f>_xll.BDP("A UN Equity","CUR_MKT_CAP")</f>
        <v>34138899011.040005</v>
      </c>
      <c r="H382">
        <f>_xll.BDP("A UN Equity","CHG_PCT_YTD")</f>
        <v>-10.540419999999999</v>
      </c>
      <c r="I382" t="str">
        <f>_xll.BDP("A UN Equity","CIE_DES")</f>
        <v>安捷倫科技公司(Agilent Technologies, Inc.)提供核心生物分析及電子測量解決方案，予通訊、電子、生命科學及化學分析產業。該公司提供電子與生物分析測量、半導體及板測試。</v>
      </c>
      <c r="J382">
        <f>_xll.BDP("A UN Equity","ESG_SCORE")</f>
        <v>6.940000057220459</v>
      </c>
      <c r="K382" t="str">
        <f>_xll.BDP("A UN Equity","MSCI_ESG_RATING")</f>
        <v>AA</v>
      </c>
      <c r="L382">
        <f>_xll.BDP("A UN Equity","EQY_BETA")</f>
        <v>1.0195413827896118</v>
      </c>
      <c r="M382">
        <f>_xll.BDP("A UN Equity","VOLATILITY_60D")</f>
        <v>34.031884717701935</v>
      </c>
      <c r="N382">
        <f>_xll.BDP("A UN Equity","PCT_INSIDER_SHARES_OUT")</f>
        <v>0.30947948925016017</v>
      </c>
      <c r="O382">
        <f>_xll.BDP("A UN Equity","PCT_CHG_INSIDER_HOLDINGS")</f>
        <v>1.7194613788434132</v>
      </c>
      <c r="P382">
        <f>_xll.BDP("A UN Equity","RISK_PREMIUM")</f>
        <v>5.2519941114056108</v>
      </c>
      <c r="Q382">
        <f>_xll.BDP("A UN Equity","HIGH_52WEEK")</f>
        <v>153.84</v>
      </c>
      <c r="R382">
        <f>_xll.BDP("A UN Equity","LOW_52WEEK")</f>
        <v>96.44</v>
      </c>
    </row>
    <row r="383" spans="1:18" ht="15.75" x14ac:dyDescent="0.25">
      <c r="A383" t="s">
        <v>399</v>
      </c>
      <c r="B383">
        <f>_xll.BDP("TRMB UW Equity","RT_PX_CHG_PCT_1D")</f>
        <v>1.2472000122070313</v>
      </c>
      <c r="C383" t="str">
        <f>_xll.BDP("TRMB UW Equity","GICS_SECTOR_NAME")</f>
        <v>資訊技術</v>
      </c>
      <c r="D383" t="str">
        <f>_xll.BDP("TRMB UW Equity","NAME_CHINESE_TRADITIONAL")</f>
        <v>天寶公司</v>
      </c>
      <c r="E383" t="str">
        <f>_xll.BDP("TRMB UW Equity","CLASSIFICATION_LEVEL_4_NAME")</f>
        <v>測量儀</v>
      </c>
      <c r="F383" t="str">
        <f>_xll.BDP("TRMB UW Equity","CLASSIFICATION_DESCRIPTION")</f>
        <v>測量儀</v>
      </c>
      <c r="G383">
        <f>_xll.BDP("TRMB UW Equity","CUR_MKT_CAP")</f>
        <v>20337148975.559998</v>
      </c>
      <c r="H383">
        <f>_xll.BDP("TRMB UW Equity","CHG_PCT_YTD")</f>
        <v>20.63402</v>
      </c>
      <c r="I383" t="str">
        <f>_xll.BDP("TRMB UW Equity","CIE_DES")</f>
        <v>天寶公司(Trimble Inc.)提供進階定位軟體解決方案。該公司結合其GPS的定位專門技術、雷射、光學及慣性技術，與應用軟體、無線通訊及服務等，以提供完整的商業解決方案。天寶於全球各地經營。</v>
      </c>
      <c r="J383">
        <f>_xll.BDP("TRMB UW Equity","ESG_SCORE")</f>
        <v>3.75</v>
      </c>
      <c r="K383" t="str">
        <f>_xll.BDP("TRMB UW Equity","MSCI_ESG_RATING")</f>
        <v>AA</v>
      </c>
      <c r="L383">
        <f>_xll.BDP("TRMB UW Equity","EQY_BETA")</f>
        <v>1.1286369562149048</v>
      </c>
      <c r="M383">
        <f>_xll.BDP("TRMB UW Equity","VOLATILITY_60D")</f>
        <v>20.060172070808168</v>
      </c>
      <c r="N383">
        <f>_xll.BDP("TRMB UW Equity","PCT_INSIDER_SHARES_OUT")</f>
        <v>0.45598141159468508</v>
      </c>
      <c r="O383">
        <f>_xll.BDP("TRMB UW Equity","PCT_CHG_INSIDER_HOLDINGS")</f>
        <v>13.156527621462534</v>
      </c>
      <c r="P383">
        <f>_xll.BDP("TRMB UW Equity","RISK_PREMIUM")</f>
        <v>5.8139814116585251</v>
      </c>
      <c r="Q383">
        <f>_xll.BDP("TRMB UW Equity","HIGH_52WEEK")</f>
        <v>85.3</v>
      </c>
      <c r="R383">
        <f>_xll.BDP("TRMB UW Equity","LOW_52WEEK")</f>
        <v>48.68</v>
      </c>
    </row>
    <row r="384" spans="1:18" ht="15.75" x14ac:dyDescent="0.25">
      <c r="A384" t="s">
        <v>400</v>
      </c>
      <c r="B384">
        <f>_xll.BDP("ELV UN Equity","RT_PX_CHG_PCT_1D")</f>
        <v>3.0917000770568848</v>
      </c>
      <c r="C384" t="str">
        <f>_xll.BDP("ELV UN Equity","GICS_SECTOR_NAME")</f>
        <v>醫療保健</v>
      </c>
      <c r="D384" t="str">
        <f>_xll.BDP("ELV UN Equity","NAME_CHINESE_TRADITIONAL")</f>
        <v>Elevance健康公司</v>
      </c>
      <c r="E384" t="str">
        <f>_xll.BDP("ELV UN Equity","CLASSIFICATION_LEVEL_4_NAME")</f>
        <v>管理式醫療</v>
      </c>
      <c r="F384" t="str">
        <f>_xll.BDP("ELV UN Equity","CLASSIFICATION_DESCRIPTION")</f>
        <v>管理式醫療</v>
      </c>
      <c r="G384">
        <f>_xll.BDP("ELV UN Equity","CUR_MKT_CAP")</f>
        <v>65099047686.400002</v>
      </c>
      <c r="H384">
        <f>_xll.BDP("ELV UN Equity","CHG_PCT_YTD")</f>
        <v>-21.631879999999999</v>
      </c>
      <c r="I384" t="str">
        <f>_xll.BDP("ELV UN Equity","CIE_DES")</f>
        <v>Elevance健康公司(Elevance Health, Inc.)為一家健康保險供應商。該公司提供醫療保健、牙科、眼科、藥品福利、人壽保險及失能保險福利。Elevance健康提供網路型管理護理方案予大型和小型僱主、個人、醫療，以及醫療市場。</v>
      </c>
      <c r="J384">
        <f>_xll.BDP("ELV UN Equity","ESG_SCORE")</f>
        <v>8.0100002288818359</v>
      </c>
      <c r="K384" t="str">
        <f>_xll.BDP("ELV UN Equity","MSCI_ESG_RATING")</f>
        <v>AAA</v>
      </c>
      <c r="L384">
        <f>_xll.BDP("ELV UN Equity","EQY_BETA")</f>
        <v>0.45577612519264221</v>
      </c>
      <c r="M384">
        <f>_xll.BDP("ELV UN Equity","VOLATILITY_60D")</f>
        <v>55.78330761324041</v>
      </c>
      <c r="N384">
        <f>_xll.BDP("ELV UN Equity","PCT_INSIDER_SHARES_OUT")</f>
        <v>0.19495351017393772</v>
      </c>
      <c r="O384">
        <f>_xll.BDP("ELV UN Equity","PCT_CHG_INSIDER_HOLDINGS")</f>
        <v>10.292266605029306</v>
      </c>
      <c r="P384">
        <f>_xll.BDP("ELV UN Equity","RISK_PREMIUM")</f>
        <v>2.3478532269886134</v>
      </c>
      <c r="Q384">
        <f>_xll.BDP("ELV UN Equity","HIGH_52WEEK")</f>
        <v>567.03</v>
      </c>
      <c r="R384">
        <f>_xll.BDP("ELV UN Equity","LOW_52WEEK")</f>
        <v>274.41000000000003</v>
      </c>
    </row>
    <row r="385" spans="1:18" ht="15.75" x14ac:dyDescent="0.25">
      <c r="A385" t="s">
        <v>401</v>
      </c>
      <c r="B385">
        <f>_xll.BDP("CME UW Equity","RT_PX_CHG_PCT_1D")</f>
        <v>0.85500001907348633</v>
      </c>
      <c r="C385" t="str">
        <f>_xll.BDP("CME UW Equity","GICS_SECTOR_NAME")</f>
        <v>金融</v>
      </c>
      <c r="D385" t="str">
        <f>_xll.BDP("CME UW Equity","NAME_CHINESE_TRADITIONAL")</f>
        <v>芝加哥商品期貨交易所集團</v>
      </c>
      <c r="E385" t="str">
        <f>_xll.BDP("CME UW Equity","CLASSIFICATION_LEVEL_4_NAME")</f>
        <v>證券及商品交易所</v>
      </c>
      <c r="F385" t="str">
        <f>_xll.BDP("CME UW Equity","CLASSIFICATION_DESCRIPTION")</f>
        <v>證券及商品交易所</v>
      </c>
      <c r="G385">
        <f>_xll.BDP("CME UW Equity","CUR_MKT_CAP")</f>
        <v>100744279319</v>
      </c>
      <c r="H385">
        <f>_xll.BDP("CME UW Equity","CHG_PCT_YTD")</f>
        <v>20.376349999999999</v>
      </c>
      <c r="I385" t="str">
        <f>_xll.BDP("CME UW Equity","CIE_DES")</f>
        <v>芝加哥商品期貨交易所集團(CME Group Inc.)為經營衍生性商品的交易所，交易商品包括期貨合約，以及期貨、利率、股票指數、外匯及商品選擇權。 該公司匯集衍生性商品買賣雙方，透過交易廳、電子交易平台及私下磋商來進行交易與結算。</v>
      </c>
      <c r="J385">
        <f>_xll.BDP("CME UW Equity","ESG_SCORE")</f>
        <v>7.6999998092651367</v>
      </c>
      <c r="K385" t="str">
        <f>_xll.BDP("CME UW Equity","MSCI_ESG_RATING")</f>
        <v>BBB</v>
      </c>
      <c r="L385">
        <f>_xll.BDP("CME UW Equity","EQY_BETA")</f>
        <v>0.39932844042778015</v>
      </c>
      <c r="M385">
        <f>_xll.BDP("CME UW Equity","VOLATILITY_60D")</f>
        <v>19.288243264045661</v>
      </c>
      <c r="N385">
        <f>_xll.BDP("CME UW Equity","PCT_INSIDER_SHARES_OUT")</f>
        <v>0.30455683814449869</v>
      </c>
      <c r="O385">
        <f>_xll.BDP("CME UW Equity","PCT_CHG_INSIDER_HOLDINGS")</f>
        <v>-3.5654441219934019</v>
      </c>
      <c r="P385">
        <f>_xll.BDP("CME UW Equity","RISK_PREMIUM")</f>
        <v>2.0570725750288368</v>
      </c>
      <c r="Q385">
        <f>_xll.BDP("CME UW Equity","HIGH_52WEEK")</f>
        <v>290.79000000000002</v>
      </c>
      <c r="R385">
        <f>_xll.BDP("CME UW Equity","LOW_52WEEK")</f>
        <v>188.60300000000001</v>
      </c>
    </row>
    <row r="386" spans="1:18" ht="15.75" x14ac:dyDescent="0.25">
      <c r="A386" t="s">
        <v>402</v>
      </c>
      <c r="B386">
        <f>_xll.BDP("DTE UN Equity","RT_PX_CHG_PCT_1D")</f>
        <v>0.29490000009536743</v>
      </c>
      <c r="C386" t="str">
        <f>_xll.BDP("DTE UN Equity","GICS_SECTOR_NAME")</f>
        <v>公用事業</v>
      </c>
      <c r="D386" t="str">
        <f>_xll.BDP("DTE UN Equity","NAME_CHINESE_TRADITIONAL")</f>
        <v>DTE能源</v>
      </c>
      <c r="E386" t="str">
        <f>_xll.BDP("DTE UN Equity","CLASSIFICATION_LEVEL_4_NAME")</f>
        <v>整合型公用事業</v>
      </c>
      <c r="F386" t="str">
        <f>_xll.BDP("DTE UN Equity","CLASSIFICATION_DESCRIPTION")</f>
        <v>整合型公用事業</v>
      </c>
      <c r="G386">
        <f>_xll.BDP("DTE UN Equity","CUR_MKT_CAP")</f>
        <v>28934200021.930004</v>
      </c>
      <c r="H386">
        <f>_xll.BDP("DTE UN Equity","CHG_PCT_YTD")</f>
        <v>15.46998</v>
      </c>
      <c r="I386" t="str">
        <f>_xll.BDP("DTE UN Equity","CIE_DES")</f>
        <v>DTE能源公司(DTE Energy Company)為多元化能源公司，於全美開發及管理能源相關事業及服務。該公司透過其子公司在密西根東南部發電、採購、傳輸、配送及銷售電力能源。DTE亦從事天然氣管線及儲存，非傳統天然氣探勘、開發與生產。</v>
      </c>
      <c r="J386">
        <f>_xll.BDP("DTE UN Equity","ESG_SCORE")</f>
        <v>4.9699997901916504</v>
      </c>
      <c r="K386" t="str">
        <f>_xll.BDP("DTE UN Equity","MSCI_ESG_RATING")</f>
        <v>AA</v>
      </c>
      <c r="L386">
        <f>_xll.BDP("DTE UN Equity","EQY_BETA")</f>
        <v>0.46593445539474487</v>
      </c>
      <c r="M386">
        <f>_xll.BDP("DTE UN Equity","VOLATILITY_60D")</f>
        <v>16.315509387932977</v>
      </c>
      <c r="N386">
        <f>_xll.BDP("DTE UN Equity","PCT_INSIDER_SHARES_OUT")</f>
        <v>0.37915173975437272</v>
      </c>
      <c r="O386">
        <f>_xll.BDP("DTE UN Equity","PCT_CHG_INSIDER_HOLDINGS")</f>
        <v>11.292048600127362</v>
      </c>
      <c r="P386">
        <f>_xll.BDP("DTE UN Equity","RISK_PREMIUM")</f>
        <v>2.4001821381086108</v>
      </c>
      <c r="Q386">
        <f>_xll.BDP("DTE UN Equity","HIGH_52WEEK")</f>
        <v>140.30000000000001</v>
      </c>
      <c r="R386">
        <f>_xll.BDP("DTE UN Equity","LOW_52WEEK")</f>
        <v>115.62</v>
      </c>
    </row>
    <row r="387" spans="1:18" ht="15.75" x14ac:dyDescent="0.25">
      <c r="A387" t="s">
        <v>403</v>
      </c>
      <c r="B387">
        <f>_xll.BDP("NDAQ UW Equity","RT_PX_CHG_PCT_1D")</f>
        <v>1.4332000017166138</v>
      </c>
      <c r="C387" t="str">
        <f>_xll.BDP("NDAQ UW Equity","GICS_SECTOR_NAME")</f>
        <v>金融</v>
      </c>
      <c r="D387" t="str">
        <f>_xll.BDP("NDAQ UW Equity","NAME_CHINESE_TRADITIONAL")</f>
        <v>那斯達克有限公司</v>
      </c>
      <c r="E387" t="str">
        <f>_xll.BDP("NDAQ UW Equity","CLASSIFICATION_LEVEL_4_NAME")</f>
        <v>證券及商品交易所</v>
      </c>
      <c r="F387" t="str">
        <f>_xll.BDP("NDAQ UW Equity","CLASSIFICATION_DESCRIPTION")</f>
        <v>證券及商品交易所</v>
      </c>
      <c r="G387">
        <f>_xll.BDP("NDAQ UW Equity","CUR_MKT_CAP")</f>
        <v>54418740751.280006</v>
      </c>
      <c r="H387">
        <f>_xll.BDP("NDAQ UW Equity","CHG_PCT_YTD")</f>
        <v>22.674949999999999</v>
      </c>
      <c r="I387" t="str">
        <f>_xll.BDP("NDAQ UW Equity","CIE_DES")</f>
        <v>那斯達克公司(Nasdaq, Inc.)經營股票交易所。 該公司提供交易、結算、交易科技、監管、證券上市、分析、投資工具與指導、金融，以及資訊服務。 那斯達克的服務範圍遍及全球各地。</v>
      </c>
      <c r="J387">
        <f>_xll.BDP("NDAQ UW Equity","ESG_SCORE")</f>
        <v>6.0100002288818359</v>
      </c>
      <c r="K387" t="str">
        <f>_xll.BDP("NDAQ UW Equity","MSCI_ESG_RATING")</f>
        <v>AA</v>
      </c>
      <c r="L387">
        <f>_xll.BDP("NDAQ UW Equity","EQY_BETA")</f>
        <v>0.87500458955764771</v>
      </c>
      <c r="M387">
        <f>_xll.BDP("NDAQ UW Equity","VOLATILITY_60D")</f>
        <v>18.596761181944807</v>
      </c>
      <c r="N387">
        <f>_xll.BDP("NDAQ UW Equity","PCT_INSIDER_SHARES_OUT")</f>
        <v>0.72044450702968588</v>
      </c>
      <c r="O387">
        <f>_xll.BDP("NDAQ UW Equity","PCT_CHG_INSIDER_HOLDINGS")</f>
        <v>-6.0957583949025773</v>
      </c>
      <c r="P387">
        <f>_xll.BDP("NDAQ UW Equity","RISK_PREMIUM")</f>
        <v>4.5074373923259969</v>
      </c>
      <c r="Q387">
        <f>_xll.BDP("NDAQ UW Equity","HIGH_52WEEK")</f>
        <v>95.46</v>
      </c>
      <c r="R387">
        <f>_xll.BDP("NDAQ UW Equity","LOW_52WEEK")</f>
        <v>64.334999999999994</v>
      </c>
    </row>
    <row r="388" spans="1:18" ht="15.75" x14ac:dyDescent="0.25">
      <c r="A388" t="s">
        <v>404</v>
      </c>
      <c r="B388">
        <f>_xll.BDP("PM UN Equity","RT_PX_CHG_PCT_1D")</f>
        <v>-9.9299997091293335E-2</v>
      </c>
      <c r="C388" t="str">
        <f>_xll.BDP("PM UN Equity","GICS_SECTOR_NAME")</f>
        <v>核心消費</v>
      </c>
      <c r="D388" t="str">
        <f>_xll.BDP("PM UN Equity","NAME_CHINESE_TRADITIONAL")</f>
        <v>菲利浦莫里斯國際公司</v>
      </c>
      <c r="E388" t="str">
        <f>_xll.BDP("PM UN Equity","CLASSIFICATION_LEVEL_4_NAME")</f>
        <v>菸草</v>
      </c>
      <c r="F388" t="str">
        <f>_xll.BDP("PM UN Equity","CLASSIFICATION_DESCRIPTION")</f>
        <v>香菸</v>
      </c>
      <c r="G388">
        <f>_xll.BDP("PM UN Equity","CUR_MKT_CAP")</f>
        <v>250486356110.03995</v>
      </c>
      <c r="H388">
        <f>_xll.BDP("PM UN Equity","CHG_PCT_YTD")</f>
        <v>33.710009999999997</v>
      </c>
      <c r="I388" t="str">
        <f>_xll.BDP("PM UN Equity","CIE_DES")</f>
        <v>菲利浦莫里斯國際公司(Philip Morris International Inc. (PMI))為一家菸草公司，致力於提供無煙的未來，並長期進化其投資組合，包括：菸草及尼古丁行業以外的產品。該公司提供香菸、電子菸，以及口服無煙產品。菲利普莫里斯國際服務全球客戶。</v>
      </c>
      <c r="J388">
        <f>_xll.BDP("PM UN Equity","ESG_SCORE")</f>
        <v>6.6100001335144043</v>
      </c>
      <c r="K388" t="str">
        <f>_xll.BDP("PM UN Equity","MSCI_ESG_RATING")</f>
        <v>BBB</v>
      </c>
      <c r="L388">
        <f>_xll.BDP("PM UN Equity","EQY_BETA")</f>
        <v>0.39870232343673706</v>
      </c>
      <c r="M388">
        <f>_xll.BDP("PM UN Equity","VOLATILITY_60D")</f>
        <v>27.181030927637433</v>
      </c>
      <c r="N388">
        <f>_xll.BDP("PM UN Equity","PCT_INSIDER_SHARES_OUT")</f>
        <v>0.15861393084494366</v>
      </c>
      <c r="O388">
        <f>_xll.BDP("PM UN Equity","PCT_CHG_INSIDER_HOLDINGS")</f>
        <v>7.6835813708839584</v>
      </c>
      <c r="P388">
        <f>_xll.BDP("PM UN Equity","RISK_PREMIUM")</f>
        <v>2.0538472397893668</v>
      </c>
      <c r="Q388">
        <f>_xll.BDP("PM UN Equity","HIGH_52WEEK")</f>
        <v>186.69</v>
      </c>
      <c r="R388">
        <f>_xll.BDP("PM UN Equity","LOW_52WEEK")</f>
        <v>112.48</v>
      </c>
    </row>
    <row r="389" spans="1:18" ht="15.75" x14ac:dyDescent="0.25">
      <c r="A389" t="s">
        <v>405</v>
      </c>
      <c r="B389">
        <f>_xll.BDP("IR UN Equity","RT_PX_CHG_PCT_1D")</f>
        <v>1.5881999731063843</v>
      </c>
      <c r="C389" t="str">
        <f>_xll.BDP("IR UN Equity","GICS_SECTOR_NAME")</f>
        <v>工業</v>
      </c>
      <c r="D389" t="str">
        <f>_xll.BDP("IR UN Equity","NAME_CHINESE_TRADITIONAL")</f>
        <v>英格索蘭公司</v>
      </c>
      <c r="E389" t="str">
        <f>_xll.BDP("IR UN Equity","CLASSIFICATION_LEVEL_4_NAME")</f>
        <v>流量控制設備</v>
      </c>
      <c r="F389" t="str">
        <f>_xll.BDP("IR UN Equity","CLASSIFICATION_DESCRIPTION")</f>
        <v>流體傳動活閥</v>
      </c>
      <c r="G389">
        <f>_xll.BDP("IR UN Equity","CUR_MKT_CAP")</f>
        <v>35613655441.909988</v>
      </c>
      <c r="H389">
        <f>_xll.BDP("IR UN Equity","CHG_PCT_YTD")</f>
        <v>-2.4209589999999999</v>
      </c>
      <c r="I389" t="str">
        <f>_xll.BDP("IR UN Equity","CIE_DES")</f>
        <v>英格索蘭公司(Ingersoll Rand Inc.)製造流量控制設備。該公司提供真空系統、塑料瓶鼓風機、幫浦，以及空氣壓縮機。英格索蘭服務全球客戶。</v>
      </c>
      <c r="J389">
        <f>_xll.BDP("IR UN Equity","ESG_SCORE")</f>
        <v>6.3600001335144043</v>
      </c>
      <c r="K389" t="str">
        <f>_xll.BDP("IR UN Equity","MSCI_ESG_RATING")</f>
        <v>AA</v>
      </c>
      <c r="L389">
        <f>_xll.BDP("IR UN Equity","EQY_BETA")</f>
        <v>1.1680326461791992</v>
      </c>
      <c r="M389">
        <f>_xll.BDP("IR UN Equity","VOLATILITY_60D")</f>
        <v>24.684124545147871</v>
      </c>
      <c r="N389">
        <f>_xll.BDP("IR UN Equity","PCT_INSIDER_SHARES_OUT")</f>
        <v>0.24612624240109432</v>
      </c>
      <c r="O389">
        <f>_xll.BDP("IR UN Equity","PCT_CHG_INSIDER_HOLDINGS")</f>
        <v>17.926041769528702</v>
      </c>
      <c r="P389">
        <f>_xll.BDP("IR UN Equity","RISK_PREMIUM")</f>
        <v>6.0169216112422941</v>
      </c>
      <c r="Q389">
        <f>_xll.BDP("IR UN Equity","HIGH_52WEEK")</f>
        <v>106.01</v>
      </c>
      <c r="R389">
        <f>_xll.BDP("IR UN Equity","LOW_52WEEK")</f>
        <v>65.635000000000005</v>
      </c>
    </row>
    <row r="390" spans="1:18" ht="15.75" x14ac:dyDescent="0.25">
      <c r="A390" t="s">
        <v>406</v>
      </c>
      <c r="B390">
        <f>_xll.BDP("CRM UN Equity","RT_PX_CHG_PCT_1D")</f>
        <v>0.52670001983642578</v>
      </c>
      <c r="C390" t="str">
        <f>_xll.BDP("CRM UN Equity","GICS_SECTOR_NAME")</f>
        <v>資訊技術</v>
      </c>
      <c r="D390" t="str">
        <f>_xll.BDP("CRM UN Equity","NAME_CHINESE_TRADITIONAL")</f>
        <v>賽富時公司</v>
      </c>
      <c r="E390" t="str">
        <f>_xll.BDP("CRM UN Equity","CLASSIFICATION_LEVEL_4_NAME")</f>
        <v>應用軟體</v>
      </c>
      <c r="F390" t="str">
        <f>_xll.BDP("CRM UN Equity","CLASSIFICATION_DESCRIPTION")</f>
        <v>企業軟體</v>
      </c>
      <c r="G390">
        <f>_xll.BDP("CRM UN Equity","CUR_MKT_CAP")</f>
        <v>257269160000</v>
      </c>
      <c r="H390">
        <f>_xll.BDP("CRM UN Equity","CHG_PCT_YTD")</f>
        <v>-19.507670000000001</v>
      </c>
      <c r="I390" t="str">
        <f>_xll.BDP("CRM UN Equity","CIE_DES")</f>
        <v>賽富時公司(Salesforce, Inc.)為一家雲端軟體公司。該公司開發客戶關係管理軟體與應用程式，著重於銷售、客戶服務、行銷自動化、分析，以及應用程式開發。賽富時服務全球客戶。</v>
      </c>
      <c r="J390">
        <f>_xll.BDP("CRM UN Equity","ESG_SCORE")</f>
        <v>5.690000057220459</v>
      </c>
      <c r="K390" t="str">
        <f>_xll.BDP("CRM UN Equity","MSCI_ESG_RATING")</f>
        <v>AA</v>
      </c>
      <c r="L390">
        <f>_xll.BDP("CRM UN Equity","EQY_BETA")</f>
        <v>1.2428417205810547</v>
      </c>
      <c r="M390">
        <f>_xll.BDP("CRM UN Equity","VOLATILITY_60D")</f>
        <v>24.828420485743571</v>
      </c>
      <c r="N390">
        <f>_xll.BDP("CRM UN Equity","PCT_INSIDER_SHARES_OUT")</f>
        <v>2.563589330543933</v>
      </c>
      <c r="O390">
        <f>_xll.BDP("CRM UN Equity","PCT_CHG_INSIDER_HOLDINGS")</f>
        <v>-1.5306714673110453</v>
      </c>
      <c r="P390">
        <f>_xll.BDP("CRM UN Equity","RISK_PREMIUM")</f>
        <v>6.4022878404808043</v>
      </c>
      <c r="Q390">
        <f>_xll.BDP("CRM UN Equity","HIGH_52WEEK")</f>
        <v>369</v>
      </c>
      <c r="R390">
        <f>_xll.BDP("CRM UN Equity","LOW_52WEEK")</f>
        <v>230</v>
      </c>
    </row>
    <row r="391" spans="1:18" ht="15.75" x14ac:dyDescent="0.25">
      <c r="A391" t="s">
        <v>407</v>
      </c>
      <c r="B391">
        <f>_xll.BDP("ROP UW Equity","RT_PX_CHG_PCT_1D")</f>
        <v>0.47560000419616699</v>
      </c>
      <c r="C391" t="str">
        <f>_xll.BDP("ROP UW Equity","GICS_SECTOR_NAME")</f>
        <v>資訊技術</v>
      </c>
      <c r="D391" t="str">
        <f>_xll.BDP("ROP UW Equity","NAME_CHINESE_TRADITIONAL")</f>
        <v>Roper科技公司</v>
      </c>
      <c r="E391" t="str">
        <f>_xll.BDP("ROP UW Equity","CLASSIFICATION_LEVEL_4_NAME")</f>
        <v>應用軟體</v>
      </c>
      <c r="F391" t="str">
        <f>_xll.BDP("ROP UW Equity","CLASSIFICATION_DESCRIPTION")</f>
        <v>應用軟體</v>
      </c>
      <c r="G391">
        <f>_xll.BDP("ROP UW Equity","CUR_MKT_CAP")</f>
        <v>60534393972.909996</v>
      </c>
      <c r="H391">
        <f>_xll.BDP("ROP UW Equity","CHG_PCT_YTD")</f>
        <v>8.3062470000000008</v>
      </c>
      <c r="I391" t="str">
        <f>_xll.BDP("ROP UW Equity","CIE_DES")</f>
        <v>Roper科技公司(Roper Technologies, Inc.)製造並經銷工業設備。該公司提供工業控制、流體處理、幫浦、醫療及科學裝置、分析儀器產品、無線射頻辨識(RFID)通訊科技，以及軟體解決方案。</v>
      </c>
      <c r="J391">
        <f>_xll.BDP("ROP UW Equity","ESG_SCORE")</f>
        <v>5.0100002288818359</v>
      </c>
      <c r="K391" t="str">
        <f>_xll.BDP("ROP UW Equity","MSCI_ESG_RATING")</f>
        <v>A</v>
      </c>
      <c r="L391">
        <f>_xll.BDP("ROP UW Equity","EQY_BETA")</f>
        <v>0.75515210628509521</v>
      </c>
      <c r="M391">
        <f>_xll.BDP("ROP UW Equity","VOLATILITY_60D")</f>
        <v>14.81175249898018</v>
      </c>
      <c r="N391">
        <f>_xll.BDP("ROP UW Equity","PCT_INSIDER_SHARES_OUT")</f>
        <v>0.40652315854286925</v>
      </c>
      <c r="O391">
        <f>_xll.BDP("ROP UW Equity","PCT_CHG_INSIDER_HOLDINGS")</f>
        <v>-1.3325718207224737</v>
      </c>
      <c r="P391">
        <f>_xll.BDP("ROP UW Equity","RISK_PREMIUM")</f>
        <v>3.8900376996695996</v>
      </c>
      <c r="Q391">
        <f>_xll.BDP("ROP UW Equity","HIGH_52WEEK")</f>
        <v>595</v>
      </c>
      <c r="R391">
        <f>_xll.BDP("ROP UW Equity","LOW_52WEEK")</f>
        <v>499.47</v>
      </c>
    </row>
    <row r="392" spans="1:18" ht="15.75" x14ac:dyDescent="0.25">
      <c r="A392" t="s">
        <v>408</v>
      </c>
      <c r="B392">
        <f>_xll.BDP("HII UN Equity","RT_PX_CHG_PCT_1D")</f>
        <v>0.5658000111579895</v>
      </c>
      <c r="C392" t="str">
        <f>_xll.BDP("HII UN Equity","GICS_SECTOR_NAME")</f>
        <v>工業</v>
      </c>
      <c r="D392" t="str">
        <f>_xll.BDP("HII UN Equity","NAME_CHINESE_TRADITIONAL")</f>
        <v>Huntington Ingalls Industrie</v>
      </c>
      <c r="E392" t="str">
        <f>_xll.BDP("HII UN Equity","CLASSIFICATION_LEVEL_4_NAME")</f>
        <v>國防</v>
      </c>
      <c r="F392" t="str">
        <f>_xll.BDP("HII UN Equity","CLASSIFICATION_DESCRIPTION")</f>
        <v>軍艦營造</v>
      </c>
      <c r="G392">
        <f>_xll.BDP("HII UN Equity","CUR_MKT_CAP")</f>
        <v>10391307465.879999</v>
      </c>
      <c r="H392">
        <f>_xll.BDP("HII UN Equity","CHG_PCT_YTD")</f>
        <v>40.138649999999998</v>
      </c>
      <c r="I392" t="str">
        <f>_xll.BDP("HII UN Equity","CIE_DES")</f>
        <v>Huntington Ingalls Industries, Inc. (HII)為美國海軍及美國海岸警衛隊設計、建造並維護核能/非核能船艦。該公司也為世界各國軍艦提供售後服務。HII包含兩個主要業務單位，分別為Newport News Shipbuilding與Ingalls Shipbuilding。</v>
      </c>
      <c r="J392">
        <f>_xll.BDP("HII UN Equity","ESG_SCORE")</f>
        <v>4.8400001525878906</v>
      </c>
      <c r="K392" t="str">
        <f>_xll.BDP("HII UN Equity","MSCI_ESG_RATING")</f>
        <v>N.S.</v>
      </c>
      <c r="L392">
        <f>_xll.BDP("HII UN Equity","EQY_BETA")</f>
        <v>0.94397062063217163</v>
      </c>
      <c r="M392">
        <f>_xll.BDP("HII UN Equity","VOLATILITY_60D")</f>
        <v>22.649323989517001</v>
      </c>
      <c r="N392">
        <f>_xll.BDP("HII UN Equity","PCT_INSIDER_SHARES_OUT")</f>
        <v>2.0781767001460016</v>
      </c>
      <c r="O392">
        <f>_xll.BDP("HII UN Equity","PCT_CHG_INSIDER_HOLDINGS")</f>
        <v>6.5424289217484306</v>
      </c>
      <c r="P392">
        <f>_xll.BDP("HII UN Equity","RISK_PREMIUM")</f>
        <v>4.8627041771811248</v>
      </c>
      <c r="Q392">
        <f>_xll.BDP("HII UN Equity","HIGH_52WEEK")</f>
        <v>285.3</v>
      </c>
      <c r="R392">
        <f>_xll.BDP("HII UN Equity","LOW_52WEEK")</f>
        <v>158.88999999999999</v>
      </c>
    </row>
    <row r="393" spans="1:18" ht="15.75" x14ac:dyDescent="0.25">
      <c r="A393" t="s">
        <v>409</v>
      </c>
      <c r="B393">
        <f>_xll.BDP("MET UN Equity","RT_PX_CHG_PCT_1D")</f>
        <v>0.98979997634887695</v>
      </c>
      <c r="C393" t="str">
        <f>_xll.BDP("MET UN Equity","GICS_SECTOR_NAME")</f>
        <v>金融</v>
      </c>
      <c r="D393" t="str">
        <f>_xll.BDP("MET UN Equity","NAME_CHINESE_TRADITIONAL")</f>
        <v>大都會人壽</v>
      </c>
      <c r="E393" t="str">
        <f>_xll.BDP("MET UN Equity","CLASSIFICATION_LEVEL_4_NAME")</f>
        <v>人壽保險</v>
      </c>
      <c r="F393" t="str">
        <f>_xll.BDP("MET UN Equity","CLASSIFICATION_DESCRIPTION")</f>
        <v>人壽保險</v>
      </c>
      <c r="G393">
        <f>_xll.BDP("MET UN Equity","CUR_MKT_CAP")</f>
        <v>52737157210.559998</v>
      </c>
      <c r="H393">
        <f>_xll.BDP("MET UN Equity","CHG_PCT_YTD")</f>
        <v>-4.0547110000000002</v>
      </c>
      <c r="I393" t="str">
        <f>_xll.BDP("MET UN Equity","CIE_DES")</f>
        <v>大都會保險公司(MetLife, Inc.)提供個人保險、員工福利及金融服務，其業務遍及美國、拉丁美洲、歐洲，及亞太地區。該公司的產品包括壽險、年金、汽車及房屋保險、零售銀行業務，及其他個人與團體保險的金融服務。</v>
      </c>
      <c r="J393">
        <f>_xll.BDP("MET UN Equity","ESG_SCORE")</f>
        <v>4.5900001525878906</v>
      </c>
      <c r="K393" t="str">
        <f>_xll.BDP("MET UN Equity","MSCI_ESG_RATING")</f>
        <v>AA</v>
      </c>
      <c r="L393">
        <f>_xll.BDP("MET UN Equity","EQY_BETA")</f>
        <v>0.92433220148086548</v>
      </c>
      <c r="M393">
        <f>_xll.BDP("MET UN Equity","VOLATILITY_60D")</f>
        <v>19.299860644647765</v>
      </c>
      <c r="N393">
        <f>_xll.BDP("MET UN Equity","PCT_INSIDER_SHARES_OUT")</f>
        <v>0.3438877648638205</v>
      </c>
      <c r="O393">
        <f>_xll.BDP("MET UN Equity","PCT_CHG_INSIDER_HOLDINGS")</f>
        <v>11.655393967300142</v>
      </c>
      <c r="P393">
        <f>_xll.BDP("MET UN Equity","RISK_PREMIUM")</f>
        <v>4.7615401994544264</v>
      </c>
      <c r="Q393">
        <f>_xll.BDP("MET UN Equity","HIGH_52WEEK")</f>
        <v>89.05</v>
      </c>
      <c r="R393">
        <f>_xll.BDP("MET UN Equity","LOW_52WEEK")</f>
        <v>65.260000000000005</v>
      </c>
    </row>
    <row r="394" spans="1:18" ht="15.75" x14ac:dyDescent="0.25">
      <c r="A394" t="s">
        <v>410</v>
      </c>
      <c r="B394">
        <f>_xll.BDP("TPR UN Equity","RT_PX_CHG_PCT_1D")</f>
        <v>-8.2999996840953827E-2</v>
      </c>
      <c r="C394" t="str">
        <f>_xll.BDP("TPR UN Equity","GICS_SECTOR_NAME")</f>
        <v>非核心消費</v>
      </c>
      <c r="D394" t="str">
        <f>_xll.BDP("TPR UN Equity","NAME_CHINESE_TRADITIONAL")</f>
        <v>掛毯公司</v>
      </c>
      <c r="E394" t="str">
        <f>_xll.BDP("TPR UN Equity","CLASSIFICATION_LEVEL_4_NAME")</f>
        <v>服飾、鞋類及配件設計</v>
      </c>
      <c r="F394" t="str">
        <f>_xll.BDP("TPR UN Equity","CLASSIFICATION_DESCRIPTION")</f>
        <v>手提包及皮包</v>
      </c>
      <c r="G394">
        <f>_xll.BDP("TPR UN Equity","CUR_MKT_CAP")</f>
        <v>22501150525.98</v>
      </c>
      <c r="H394">
        <f>_xll.BDP("TPR UN Equity","CHG_PCT_YTD")</f>
        <v>65.834990000000005</v>
      </c>
      <c r="I394" t="str">
        <f>_xll.BDP("TPR UN Equity","CIE_DES")</f>
        <v>掛毯公司(Tapestry, Inc.)設計及行銷服飾及配件。該公司提供手提袋、皮革製品、鞋類、香水、珠寶、外出服、成衣、圍巾、太陽眼鏡、旅遊配件及手錶。掛毯服務全球客戶。</v>
      </c>
      <c r="J394">
        <f>_xll.BDP("TPR UN Equity","ESG_SCORE")</f>
        <v>4.190000057220459</v>
      </c>
      <c r="K394" t="str">
        <f>_xll.BDP("TPR UN Equity","MSCI_ESG_RATING")</f>
        <v>N.S.</v>
      </c>
      <c r="L394">
        <f>_xll.BDP("TPR UN Equity","EQY_BETA")</f>
        <v>1.086335301399231</v>
      </c>
      <c r="M394">
        <f>_xll.BDP("TPR UN Equity","VOLATILITY_60D")</f>
        <v>33.17853562599425</v>
      </c>
      <c r="N394">
        <f>_xll.BDP("TPR UN Equity","PCT_INSIDER_SHARES_OUT")</f>
        <v>0.46991984692578026</v>
      </c>
      <c r="O394">
        <f>_xll.BDP("TPR UN Equity","PCT_CHG_INSIDER_HOLDINGS")</f>
        <v>-9.9011381711530984</v>
      </c>
      <c r="P394">
        <f>_xll.BDP("TPR UN Equity","RISK_PREMIUM")</f>
        <v>5.5960716281569001</v>
      </c>
      <c r="Q394">
        <f>_xll.BDP("TPR UN Equity","HIGH_52WEEK")</f>
        <v>110.21</v>
      </c>
      <c r="R394">
        <f>_xll.BDP("TPR UN Equity","LOW_52WEEK")</f>
        <v>35.26</v>
      </c>
    </row>
    <row r="395" spans="1:18" ht="15.75" x14ac:dyDescent="0.25">
      <c r="A395" t="s">
        <v>411</v>
      </c>
      <c r="B395">
        <f>_xll.BDP("CSX UW Equity","RT_PX_CHG_PCT_1D")</f>
        <v>2.1714000701904297</v>
      </c>
      <c r="C395" t="str">
        <f>_xll.BDP("CSX UW Equity","GICS_SECTOR_NAME")</f>
        <v>工業</v>
      </c>
      <c r="D395" t="str">
        <f>_xll.BDP("CSX UW Equity","NAME_CHINESE_TRADITIONAL")</f>
        <v>CSX Corp</v>
      </c>
      <c r="E395" t="str">
        <f>_xll.BDP("CSX UW Equity","CLASSIFICATION_LEVEL_4_NAME")</f>
        <v>鐵路貨運</v>
      </c>
      <c r="F395" t="str">
        <f>_xll.BDP("CSX UW Equity","CLASSIFICATION_DESCRIPTION")</f>
        <v>總商品-鐵路</v>
      </c>
      <c r="G395">
        <f>_xll.BDP("CSX UW Equity","CUR_MKT_CAP")</f>
        <v>66666546020.639999</v>
      </c>
      <c r="H395">
        <f>_xll.BDP("CSX UW Equity","CHG_PCT_YTD")</f>
        <v>10.815</v>
      </c>
      <c r="I395" t="str">
        <f>_xll.BDP("CSX UW Equity","CIE_DES")</f>
        <v>CSX公司(CSX Corporation)為一家國際貨運公司。該公司在全球提供鐵路、複合運輸、國內貨櫃裝運、駁船運輸及合約物流服務。其鐵路運輸服務範圍主要集中於美國東半部。</v>
      </c>
      <c r="J395">
        <f>_xll.BDP("CSX UW Equity","ESG_SCORE")</f>
        <v>6.0399999618530273</v>
      </c>
      <c r="K395" t="str">
        <f>_xll.BDP("CSX UW Equity","MSCI_ESG_RATING")</f>
        <v>AA</v>
      </c>
      <c r="L395">
        <f>_xll.BDP("CSX UW Equity","EQY_BETA")</f>
        <v>0.8424370288848877</v>
      </c>
      <c r="M395">
        <f>_xll.BDP("CSX UW Equity","VOLATILITY_60D")</f>
        <v>21.995596116811448</v>
      </c>
      <c r="N395">
        <f>_xll.BDP("CSX UW Equity","PCT_INSIDER_SHARES_OUT")</f>
        <v>0.2407917922068448</v>
      </c>
      <c r="O395">
        <f>_xll.BDP("CSX UW Equity","PCT_CHG_INSIDER_HOLDINGS")</f>
        <v>3.2750588381450627</v>
      </c>
      <c r="P395">
        <f>_xll.BDP("CSX UW Equity","RISK_PREMIUM")</f>
        <v>4.3396711400055885</v>
      </c>
      <c r="Q395">
        <f>_xll.BDP("CSX UW Equity","HIGH_52WEEK")</f>
        <v>37.1</v>
      </c>
      <c r="R395">
        <f>_xll.BDP("CSX UW Equity","LOW_52WEEK")</f>
        <v>26.23</v>
      </c>
    </row>
    <row r="396" spans="1:18" ht="15.75" x14ac:dyDescent="0.25">
      <c r="A396" t="s">
        <v>412</v>
      </c>
      <c r="B396">
        <f>_xll.BDP("EW UN Equity","RT_PX_CHG_PCT_1D")</f>
        <v>5.5409002304077148</v>
      </c>
      <c r="C396" t="str">
        <f>_xll.BDP("EW UN Equity","GICS_SECTOR_NAME")</f>
        <v>醫療保健</v>
      </c>
      <c r="D396" t="str">
        <f>_xll.BDP("EW UN Equity","NAME_CHINESE_TRADITIONAL")</f>
        <v>愛德華生命科學</v>
      </c>
      <c r="E396" t="str">
        <f>_xll.BDP("EW UN Equity","CLASSIFICATION_LEVEL_4_NAME")</f>
        <v>醫療裝置</v>
      </c>
      <c r="F396" t="str">
        <f>_xll.BDP("EW UN Equity","CLASSIFICATION_DESCRIPTION")</f>
        <v>介入性心臟學</v>
      </c>
      <c r="G396">
        <f>_xll.BDP("EW UN Equity","CUR_MKT_CAP")</f>
        <v>46928000000</v>
      </c>
      <c r="H396">
        <f>_xll.BDP("EW UN Equity","CHG_PCT_YTD")</f>
        <v>8.0642999999999994</v>
      </c>
      <c r="I396" t="str">
        <f>_xll.BDP("EW UN Equity","CIE_DES")</f>
        <v>愛德華生命科學公司(Edwards Lifesciences Corporation)設計、開發、製造，並銷售用於治療晚期心血管疾病的產品和服務。該公司提供的產品包括：組織置換心臟瓣膜、心臟瓣膜修復、血液動力學監測裝置、血管內視鏡設備、充氧器，以及藥品。愛德華生命科學於全球各地供應其產品。</v>
      </c>
      <c r="J396">
        <f>_xll.BDP("EW UN Equity","ESG_SCORE")</f>
        <v>5.4600000381469727</v>
      </c>
      <c r="K396" t="str">
        <f>_xll.BDP("EW UN Equity","MSCI_ESG_RATING")</f>
        <v>AAA</v>
      </c>
      <c r="L396">
        <f>_xll.BDP("EW UN Equity","EQY_BETA")</f>
        <v>0.94147074222564697</v>
      </c>
      <c r="M396">
        <f>_xll.BDP("EW UN Equity","VOLATILITY_60D")</f>
        <v>19.823887278213807</v>
      </c>
      <c r="N396">
        <f>_xll.BDP("EW UN Equity","PCT_INSIDER_SHARES_OUT")</f>
        <v>0.95035494630071549</v>
      </c>
      <c r="O396">
        <f>_xll.BDP("EW UN Equity","PCT_CHG_INSIDER_HOLDINGS")</f>
        <v>1.728707449496546</v>
      </c>
      <c r="P396">
        <f>_xll.BDP("EW UN Equity","RISK_PREMIUM")</f>
        <v>4.8498264785492422</v>
      </c>
      <c r="Q396">
        <f>_xll.BDP("EW UN Equity","HIGH_52WEEK")</f>
        <v>83</v>
      </c>
      <c r="R396">
        <f>_xll.BDP("EW UN Equity","LOW_52WEEK")</f>
        <v>59.42</v>
      </c>
    </row>
    <row r="397" spans="1:18" ht="15.75" x14ac:dyDescent="0.25">
      <c r="A397" t="s">
        <v>413</v>
      </c>
      <c r="B397">
        <f>_xll.BDP("AMP UN Equity","RT_PX_CHG_PCT_1D")</f>
        <v>0.76579999923706055</v>
      </c>
      <c r="C397" t="str">
        <f>_xll.BDP("AMP UN Equity","GICS_SECTOR_NAME")</f>
        <v>金融</v>
      </c>
      <c r="D397" t="str">
        <f>_xll.BDP("AMP UN Equity","NAME_CHINESE_TRADITIONAL")</f>
        <v>阿默普萊斯金融公司</v>
      </c>
      <c r="E397" t="str">
        <f>_xll.BDP("AMP UN Equity","CLASSIFICATION_LEVEL_4_NAME")</f>
        <v>財富管理</v>
      </c>
      <c r="F397" t="str">
        <f>_xll.BDP("AMP UN Equity","CLASSIFICATION_DESCRIPTION")</f>
        <v>財富管理</v>
      </c>
      <c r="G397">
        <f>_xll.BDP("AMP UN Equity","CUR_MKT_CAP")</f>
        <v>49616725993.379997</v>
      </c>
      <c r="H397">
        <f>_xll.BDP("AMP UN Equity","CHG_PCT_YTD")</f>
        <v>-2.135491</v>
      </c>
      <c r="I397" t="str">
        <f>_xll.BDP("AMP UN Equity","CIE_DES")</f>
        <v>阿默普萊斯金融公司(Ameriprise Financial, Inc.)為財務規劃及服務公司。 該公司提供財務規劃、產品及服務作為解決方案，滿足客戶的現金及流動性、資產累積、收入、保護及財產移轉的需求。</v>
      </c>
      <c r="J397">
        <f>_xll.BDP("AMP UN Equity","ESG_SCORE")</f>
        <v>4.2100000381469727</v>
      </c>
      <c r="K397" t="str">
        <f>_xll.BDP("AMP UN Equity","MSCI_ESG_RATING")</f>
        <v>A</v>
      </c>
      <c r="L397">
        <f>_xll.BDP("AMP UN Equity","EQY_BETA")</f>
        <v>1.1491963863372803</v>
      </c>
      <c r="M397">
        <f>_xll.BDP("AMP UN Equity","VOLATILITY_60D")</f>
        <v>22.768645553558024</v>
      </c>
      <c r="N397">
        <f>_xll.BDP("AMP UN Equity","PCT_INSIDER_SHARES_OUT")</f>
        <v>0.29117813111100538</v>
      </c>
      <c r="O397">
        <f>_xll.BDP("AMP UN Equity","PCT_CHG_INSIDER_HOLDINGS")</f>
        <v>8.9674860676232342</v>
      </c>
      <c r="P397">
        <f>_xll.BDP("AMP UN Equity","RISK_PREMIUM")</f>
        <v>5.9198898208308215</v>
      </c>
      <c r="Q397">
        <f>_xll.BDP("AMP UN Equity","HIGH_52WEEK")</f>
        <v>577.89</v>
      </c>
      <c r="R397">
        <f>_xll.BDP("AMP UN Equity","LOW_52WEEK")</f>
        <v>385.995</v>
      </c>
    </row>
    <row r="398" spans="1:18" ht="15.75" x14ac:dyDescent="0.25">
      <c r="A398" t="s">
        <v>414</v>
      </c>
      <c r="B398">
        <f>_xll.BDP("ZBRA UW Equity","RT_PX_CHG_PCT_1D")</f>
        <v>0.68690001964569092</v>
      </c>
      <c r="C398" t="str">
        <f>_xll.BDP("ZBRA UW Equity","GICS_SECTOR_NAME")</f>
        <v>資訊技術</v>
      </c>
      <c r="D398" t="str">
        <f>_xll.BDP("ZBRA UW Equity","NAME_CHINESE_TRADITIONAL")</f>
        <v>斑馬科技公司</v>
      </c>
      <c r="E398" t="str">
        <f>_xll.BDP("ZBRA UW Equity","CLASSIFICATION_LEVEL_4_NAME")</f>
        <v>消費性電子</v>
      </c>
      <c r="F398" t="str">
        <f>_xll.BDP("ZBRA UW Equity","CLASSIFICATION_DESCRIPTION")</f>
        <v>商用印表機及掃描機</v>
      </c>
      <c r="G398">
        <f>_xll.BDP("ZBRA UW Equity","CUR_MKT_CAP")</f>
        <v>17071289030.629999</v>
      </c>
      <c r="H398">
        <f>_xll.BDP("ZBRA UW Equity","CHG_PCT_YTD")</f>
        <v>-13.083220000000001</v>
      </c>
      <c r="I398" t="str">
        <f>_xll.BDP("ZBRA UW Equity","CIE_DES")</f>
        <v>斑馬科技公司(Zebra Technologies Corporation)提供電子產品。該公司提供行動電腦、印表機、條碼掃描器、無線射頻辨識系統、定位系統硬體、軟體、互動式資訊服務站、印刷用品，以及配件。斑馬科技服務全球客戶。</v>
      </c>
      <c r="J398">
        <f>_xll.BDP("ZBRA UW Equity","ESG_SCORE")</f>
        <v>3.9100000858306885</v>
      </c>
      <c r="K398" t="str">
        <f>_xll.BDP("ZBRA UW Equity","MSCI_ESG_RATING")</f>
        <v>A</v>
      </c>
      <c r="L398">
        <f>_xll.BDP("ZBRA UW Equity","EQY_BETA")</f>
        <v>1.3717447519302368</v>
      </c>
      <c r="M398">
        <f>_xll.BDP("ZBRA UW Equity","VOLATILITY_60D")</f>
        <v>35.135920385607974</v>
      </c>
      <c r="N398">
        <f>_xll.BDP("ZBRA UW Equity","PCT_INSIDER_SHARES_OUT")</f>
        <v>0.90435563697329213</v>
      </c>
      <c r="O398">
        <f>_xll.BDP("ZBRA UW Equity","PCT_CHG_INSIDER_HOLDINGS")</f>
        <v>12.092149230667989</v>
      </c>
      <c r="P398">
        <f>_xll.BDP("ZBRA UW Equity","RISK_PREMIUM")</f>
        <v>7.0663098929607866</v>
      </c>
      <c r="Q398">
        <f>_xll.BDP("ZBRA UW Equity","HIGH_52WEEK")</f>
        <v>426.39</v>
      </c>
      <c r="R398">
        <f>_xll.BDP("ZBRA UW Equity","LOW_52WEEK")</f>
        <v>206.13</v>
      </c>
    </row>
    <row r="399" spans="1:18" ht="15.75" x14ac:dyDescent="0.25">
      <c r="A399" t="s">
        <v>415</v>
      </c>
      <c r="B399">
        <f>_xll.BDP("ZBH UN Equity","RT_PX_CHG_PCT_1D")</f>
        <v>0.70200002193450928</v>
      </c>
      <c r="C399" t="str">
        <f>_xll.BDP("ZBH UN Equity","GICS_SECTOR_NAME")</f>
        <v>醫療保健</v>
      </c>
      <c r="D399" t="str">
        <f>_xll.BDP("ZBH UN Equity","NAME_CHINESE_TRADITIONAL")</f>
        <v>捷邁邦美控股公司</v>
      </c>
      <c r="E399" t="str">
        <f>_xll.BDP("ZBH UN Equity","CLASSIFICATION_LEVEL_4_NAME")</f>
        <v>醫療裝置</v>
      </c>
      <c r="F399" t="str">
        <f>_xll.BDP("ZBH UN Equity","CLASSIFICATION_DESCRIPTION")</f>
        <v>重建移植</v>
      </c>
      <c r="G399">
        <f>_xll.BDP("ZBH UN Equity","CUR_MKT_CAP")</f>
        <v>19300062059.699997</v>
      </c>
      <c r="H399">
        <f>_xll.BDP("ZBH UN Equity","CHG_PCT_YTD")</f>
        <v>-7.6493399999999996</v>
      </c>
      <c r="I399" t="str">
        <f>_xll.BDP("ZBH UN Equity","CIE_DES")</f>
        <v>捷邁邦美控股公司(Zimmer Biomet Holdings, Inc.)設計、開發、製造，並行銷醫療設備。該公司提供骨科、牙科，和脊椎重建植入物，以及骨水泥與相關手術產品。捷邁邦美控股服務全球病患。</v>
      </c>
      <c r="J399">
        <f>_xll.BDP("ZBH UN Equity","ESG_SCORE")</f>
        <v>5.7600002288818359</v>
      </c>
      <c r="K399" t="str">
        <f>_xll.BDP("ZBH UN Equity","MSCI_ESG_RATING")</f>
        <v>AA</v>
      </c>
      <c r="L399">
        <f>_xll.BDP("ZBH UN Equity","EQY_BETA")</f>
        <v>0.67563176155090332</v>
      </c>
      <c r="M399">
        <f>_xll.BDP("ZBH UN Equity","VOLATILITY_60D")</f>
        <v>34.503411081590038</v>
      </c>
      <c r="N399">
        <f>_xll.BDP("ZBH UN Equity","PCT_INSIDER_SHARES_OUT")</f>
        <v>0.13153892459813826</v>
      </c>
      <c r="O399">
        <f>_xll.BDP("ZBH UN Equity","PCT_CHG_INSIDER_HOLDINGS")</f>
        <v>64.008469929858393</v>
      </c>
      <c r="P399">
        <f>_xll.BDP("ZBH UN Equity","RISK_PREMIUM")</f>
        <v>3.4804021622300145</v>
      </c>
      <c r="Q399">
        <f>_xll.BDP("ZBH UN Equity","HIGH_52WEEK")</f>
        <v>116.67</v>
      </c>
      <c r="R399">
        <f>_xll.BDP("ZBH UN Equity","LOW_52WEEK")</f>
        <v>89.38</v>
      </c>
    </row>
    <row r="400" spans="1:18" ht="15.75" x14ac:dyDescent="0.25">
      <c r="A400" t="s">
        <v>416</v>
      </c>
      <c r="B400">
        <f>_xll.BDP("CPT UN Equity","RT_PX_CHG_PCT_1D")</f>
        <v>-5.2799999713897705E-2</v>
      </c>
      <c r="C400" t="str">
        <f>_xll.BDP("CPT UN Equity","GICS_SECTOR_NAME")</f>
        <v>房地產</v>
      </c>
      <c r="D400" t="str">
        <f>_xll.BDP("CPT UN Equity","NAME_CHINESE_TRADITIONAL")</f>
        <v>卡姆登房地產信託</v>
      </c>
      <c r="E400" t="str">
        <f>_xll.BDP("CPT UN Equity","CLASSIFICATION_LEVEL_4_NAME")</f>
        <v>住宅不動產投資信託</v>
      </c>
      <c r="F400" t="str">
        <f>_xll.BDP("CPT UN Equity","CLASSIFICATION_DESCRIPTION")</f>
        <v>公寓REIT</v>
      </c>
      <c r="G400">
        <f>_xll.BDP("CPT UN Equity","CUR_MKT_CAP")</f>
        <v>12130382886.719999</v>
      </c>
      <c r="H400">
        <f>_xll.BDP("CPT UN Equity","CHG_PCT_YTD")</f>
        <v>-2.1544300000000001</v>
      </c>
      <c r="I400" t="str">
        <f>_xll.BDP("CPT UN Equity","CIE_DES")</f>
        <v>卡姆登房地產信託(Camden Property Trust)為自行管理的不動產投資信託公司。該公司擁有並經營多戶公寓社群。卡姆登房地產信託服務全美各地的客戶。</v>
      </c>
      <c r="J400">
        <f>_xll.BDP("CPT UN Equity","ESG_SCORE")</f>
        <v>4.6399998664855957</v>
      </c>
      <c r="K400" t="str">
        <f>_xll.BDP("CPT UN Equity","MSCI_ESG_RATING")</f>
        <v>B</v>
      </c>
      <c r="L400">
        <f>_xll.BDP("CPT UN Equity","EQY_BETA")</f>
        <v>0.79440575838088989</v>
      </c>
      <c r="M400">
        <f>_xll.BDP("CPT UN Equity","VOLATILITY_60D")</f>
        <v>19.747058433716226</v>
      </c>
      <c r="N400">
        <f>_xll.BDP("CPT UN Equity","PCT_INSIDER_SHARES_OUT")</f>
        <v>1.3676987588685674</v>
      </c>
      <c r="O400">
        <f>_xll.BDP("CPT UN Equity","PCT_CHG_INSIDER_HOLDINGS")</f>
        <v>5.499965705085395</v>
      </c>
      <c r="P400">
        <f>_xll.BDP("CPT UN Equity","RISK_PREMIUM")</f>
        <v>4.0922462153202295</v>
      </c>
      <c r="Q400">
        <f>_xll.BDP("CPT UN Equity","HIGH_52WEEK")</f>
        <v>127.69</v>
      </c>
      <c r="R400">
        <f>_xll.BDP("CPT UN Equity","LOW_52WEEK")</f>
        <v>102.59</v>
      </c>
    </row>
    <row r="401" spans="1:18" ht="15.75" x14ac:dyDescent="0.25">
      <c r="A401" t="s">
        <v>417</v>
      </c>
      <c r="B401">
        <f>_xll.BDP("CBRE UN Equity","RT_PX_CHG_PCT_1D")</f>
        <v>2.0610001087188721</v>
      </c>
      <c r="C401" t="str">
        <f>_xll.BDP("CBRE UN Equity","GICS_SECTOR_NAME")</f>
        <v>房地產</v>
      </c>
      <c r="D401" t="str">
        <f>_xll.BDP("CBRE UN Equity","NAME_CHINESE_TRADITIONAL")</f>
        <v>世邦魏理仕集團公司</v>
      </c>
      <c r="E401" t="str">
        <f>_xll.BDP("CBRE UN Equity","CLASSIFICATION_LEVEL_4_NAME")</f>
        <v>不動產服務</v>
      </c>
      <c r="F401" t="str">
        <f>_xll.BDP("CBRE UN Equity","CLASSIFICATION_DESCRIPTION")</f>
        <v>商業不動產管理</v>
      </c>
      <c r="G401">
        <f>_xll.BDP("CBRE UN Equity","CUR_MKT_CAP")</f>
        <v>43991333157.209999</v>
      </c>
      <c r="H401">
        <f>_xll.BDP("CBRE UN Equity","CHG_PCT_YTD")</f>
        <v>12.400040000000001</v>
      </c>
      <c r="I401" t="str">
        <f>_xll.BDP("CBRE UN Equity","CIE_DES")</f>
        <v>世邦魏理仕集團公司（CBRE Group, Inc.）提供不動產服務。該公司提供房地產管理、估價、不動產投資，以及諮詢服務。世邦魏理仕集團經營辦公室、資料中心、多戶家庭、飯店、博弈，以及零售行業。世邦魏理仕集團服務全球各地的資料中心、生命科學、銀行、媒體，以及醫療保健行業。</v>
      </c>
      <c r="J401">
        <f>_xll.BDP("CBRE UN Equity","ESG_SCORE")</f>
        <v>6.75</v>
      </c>
      <c r="K401" t="str">
        <f>_xll.BDP("CBRE UN Equity","MSCI_ESG_RATING")</f>
        <v>AAA</v>
      </c>
      <c r="L401">
        <f>_xll.BDP("CBRE UN Equity","EQY_BETA")</f>
        <v>1.0867375135421753</v>
      </c>
      <c r="M401">
        <f>_xll.BDP("CBRE UN Equity","VOLATILITY_60D")</f>
        <v>26.259282535680612</v>
      </c>
      <c r="N401">
        <f>_xll.BDP("CBRE UN Equity","PCT_INSIDER_SHARES_OUT")</f>
        <v>0.87360169420227574</v>
      </c>
      <c r="O401">
        <f>_xll.BDP("CBRE UN Equity","PCT_CHG_INSIDER_HOLDINGS")</f>
        <v>14.875428184760992</v>
      </c>
      <c r="P401">
        <f>_xll.BDP("CBRE UN Equity","RISK_PREMIUM")</f>
        <v>5.5981435556352137</v>
      </c>
      <c r="Q401">
        <f>_xll.BDP("CBRE UN Equity","HIGH_52WEEK")</f>
        <v>147.97999999999999</v>
      </c>
      <c r="R401">
        <f>_xll.BDP("CBRE UN Equity","LOW_52WEEK")</f>
        <v>105.19</v>
      </c>
    </row>
    <row r="402" spans="1:18" ht="15.75" x14ac:dyDescent="0.25">
      <c r="A402" t="s">
        <v>418</v>
      </c>
      <c r="B402">
        <f>_xll.BDP("MA UN Equity","RT_PX_CHG_PCT_1D")</f>
        <v>0.8375999927520752</v>
      </c>
      <c r="C402" t="str">
        <f>_xll.BDP("MA UN Equity","GICS_SECTOR_NAME")</f>
        <v>金融</v>
      </c>
      <c r="D402" t="str">
        <f>_xll.BDP("MA UN Equity","NAME_CHINESE_TRADITIONAL")</f>
        <v>萬事達卡</v>
      </c>
      <c r="E402" t="str">
        <f>_xll.BDP("MA UN Equity","CLASSIFICATION_LEVEL_4_NAME")</f>
        <v>其它金融服務</v>
      </c>
      <c r="F402" t="str">
        <f>_xll.BDP("MA UN Equity","CLASSIFICATION_DESCRIPTION")</f>
        <v>金融交易處理服務</v>
      </c>
      <c r="G402">
        <f>_xll.BDP("MA UN Equity","CUR_MKT_CAP")</f>
        <v>515970820341.06006</v>
      </c>
      <c r="H402">
        <f>_xll.BDP("MA UN Equity","CHG_PCT_YTD")</f>
        <v>7.9096780000000004</v>
      </c>
      <c r="I402" t="str">
        <f>_xll.BDP("MA UN Equity","CIE_DES")</f>
        <v>萬事達卡公司(Mastercard Incorporated)提供金融交易處理服務。該公司提供信用卡和轉帳卡、電子現金、自動提款機，和旅行支票等付款處理服務。萬事達卡服務全球的客戶。</v>
      </c>
      <c r="J402">
        <f>_xll.BDP("MA UN Equity","ESG_SCORE")</f>
        <v>5.1100001335144043</v>
      </c>
      <c r="K402" t="str">
        <f>_xll.BDP("MA UN Equity","MSCI_ESG_RATING")</f>
        <v>AA</v>
      </c>
      <c r="L402">
        <f>_xll.BDP("MA UN Equity","EQY_BETA")</f>
        <v>0.88124459981918335</v>
      </c>
      <c r="M402">
        <f>_xll.BDP("MA UN Equity","VOLATILITY_60D")</f>
        <v>22.692669763712868</v>
      </c>
      <c r="N402">
        <f>_xll.BDP("MA UN Equity","PCT_INSIDER_SHARES_OUT")</f>
        <v>7.2639856703347008E-2</v>
      </c>
      <c r="O402">
        <f>_xll.BDP("MA UN Equity","PCT_CHG_INSIDER_HOLDINGS")</f>
        <v>8.6568469087452655</v>
      </c>
      <c r="P402">
        <f>_xll.BDP("MA UN Equity","RISK_PREMIUM")</f>
        <v>4.5395817443865534</v>
      </c>
      <c r="Q402">
        <f>_xll.BDP("MA UN Equity","HIGH_52WEEK")</f>
        <v>594.6</v>
      </c>
      <c r="R402">
        <f>_xll.BDP("MA UN Equity","LOW_52WEEK")</f>
        <v>435.6</v>
      </c>
    </row>
    <row r="403" spans="1:18" ht="15.75" x14ac:dyDescent="0.25">
      <c r="A403" t="s">
        <v>419</v>
      </c>
      <c r="B403">
        <f>_xll.BDP("KMX UN Equity","RT_PX_CHG_PCT_1D")</f>
        <v>0.830299973487854</v>
      </c>
      <c r="C403" t="str">
        <f>_xll.BDP("KMX UN Equity","GICS_SECTOR_NAME")</f>
        <v>非核心消費</v>
      </c>
      <c r="D403" t="str">
        <f>_xll.BDP("KMX UN Equity","NAME_CHINESE_TRADITIONAL")</f>
        <v>車美仕公司</v>
      </c>
      <c r="E403" t="str">
        <f>_xll.BDP("KMX UN Equity","CLASSIFICATION_LEVEL_4_NAME")</f>
        <v>汽車零售商</v>
      </c>
      <c r="F403" t="str">
        <f>_xll.BDP("KMX UN Equity","CLASSIFICATION_DESCRIPTION")</f>
        <v>汽車經銷商</v>
      </c>
      <c r="G403">
        <f>_xll.BDP("KMX UN Equity","CUR_MKT_CAP")</f>
        <v>9112381069.4400005</v>
      </c>
      <c r="H403">
        <f>_xll.BDP("KMX UN Equity","CHG_PCT_YTD")</f>
        <v>-25.73386</v>
      </c>
      <c r="I403" t="str">
        <f>_xll.BDP("KMX UN Equity","CIE_DES")</f>
        <v>車美仕公司(CarMax, Inc.)零售汽車。該公司提供二手車、箱型車、電動車，以及輕型卡車，並提供租賃、維護、保固期後維修、機械與油漆工程、診斷保險、估價，和安全服務。車美仕服務美國的客戶。</v>
      </c>
      <c r="J403">
        <f>_xll.BDP("KMX UN Equity","ESG_SCORE")</f>
        <v>3.3499999046325684</v>
      </c>
      <c r="K403" t="str">
        <f>_xll.BDP("KMX UN Equity","MSCI_ESG_RATING")</f>
        <v>N.S.</v>
      </c>
      <c r="L403">
        <f>_xll.BDP("KMX UN Equity","EQY_BETA")</f>
        <v>0.93208992481231689</v>
      </c>
      <c r="M403">
        <f>_xll.BDP("KMX UN Equity","VOLATILITY_60D")</f>
        <v>35.113365252592587</v>
      </c>
      <c r="N403">
        <f>_xll.BDP("KMX UN Equity","PCT_INSIDER_SHARES_OUT")</f>
        <v>0.49603457535772782</v>
      </c>
      <c r="O403">
        <f>_xll.BDP("KMX UN Equity","PCT_CHG_INSIDER_HOLDINGS")</f>
        <v>11.10912100492402</v>
      </c>
      <c r="P403">
        <f>_xll.BDP("KMX UN Equity","RISK_PREMIUM")</f>
        <v>4.8015027923834319</v>
      </c>
      <c r="Q403">
        <f>_xll.BDP("KMX UN Equity","HIGH_52WEEK")</f>
        <v>90.92</v>
      </c>
      <c r="R403">
        <f>_xll.BDP("KMX UN Equity","LOW_52WEEK")</f>
        <v>60</v>
      </c>
    </row>
    <row r="404" spans="1:18" ht="15.75" x14ac:dyDescent="0.25">
      <c r="A404" t="s">
        <v>420</v>
      </c>
      <c r="B404">
        <f>_xll.BDP("DDOG UW Equity","RT_PX_CHG_PCT_1D")</f>
        <v>2.2379999160766602</v>
      </c>
      <c r="C404" t="str">
        <f>_xll.BDP("DDOG UW Equity","GICS_SECTOR_NAME")</f>
        <v>資訊技術</v>
      </c>
      <c r="D404" t="str">
        <f>_xll.BDP("DDOG UW Equity","NAME_CHINESE_TRADITIONAL")</f>
        <v>數據狗公司</v>
      </c>
      <c r="E404" t="str">
        <f>_xll.BDP("DDOG UW Equity","CLASSIFICATION_LEVEL_4_NAME")</f>
        <v>基礎建設軟體</v>
      </c>
      <c r="F404" t="str">
        <f>_xll.BDP("DDOG UW Equity","CLASSIFICATION_DESCRIPTION")</f>
        <v>基礎建設軟體</v>
      </c>
      <c r="G404">
        <f>_xll.BDP("DDOG UW Equity","CUR_MKT_CAP")</f>
        <v>51747728133.040009</v>
      </c>
      <c r="H404">
        <f>_xll.BDP("DDOG UW Equity","CHG_PCT_YTD")</f>
        <v>4.8638820000000003</v>
      </c>
      <c r="I404" t="str">
        <f>_xll.BDP("DDOG UW Equity","CIE_DES")</f>
        <v>數據狗公司(Datadog, Inc.)提供軟體解決方案。該公司提供雲端的監控與分析平台，其整合並自動化基礎設施監測、應用程式性能監測，以及用於客戶的即時觀察紀錄管理。數據狗於全球各地經營業務。</v>
      </c>
      <c r="J404">
        <f>_xll.BDP("DDOG UW Equity","ESG_SCORE")</f>
        <v>3.6700000762939453</v>
      </c>
      <c r="K404" t="str">
        <f>_xll.BDP("DDOG UW Equity","MSCI_ESG_RATING")</f>
        <v>AA</v>
      </c>
      <c r="L404">
        <f>_xll.BDP("DDOG UW Equity","EQY_BETA")</f>
        <v>1.3528990745544434</v>
      </c>
      <c r="M404">
        <f>_xll.BDP("DDOG UW Equity","VOLATILITY_60D")</f>
        <v>41.454722172056222</v>
      </c>
      <c r="N404">
        <f>_xll.BDP("DDOG UW Equity","PCT_INSIDER_SHARES_OUT")</f>
        <v>1.0895197811817974</v>
      </c>
      <c r="O404">
        <f>_xll.BDP("DDOG UW Equity","PCT_CHG_INSIDER_HOLDINGS")</f>
        <v>21.970358462323333</v>
      </c>
      <c r="P404">
        <f>_xll.BDP("DDOG UW Equity","RISK_PREMIUM")</f>
        <v>6.9692295897245407</v>
      </c>
      <c r="Q404">
        <f>_xll.BDP("DDOG UW Equity","HIGH_52WEEK")</f>
        <v>170.07</v>
      </c>
      <c r="R404">
        <f>_xll.BDP("DDOG UW Equity","LOW_52WEEK")</f>
        <v>81.7</v>
      </c>
    </row>
    <row r="405" spans="1:18" ht="15.75" x14ac:dyDescent="0.25">
      <c r="A405" t="s">
        <v>421</v>
      </c>
      <c r="B405">
        <f>_xll.BDP("ICE UN Equity","RT_PX_CHG_PCT_1D")</f>
        <v>0.46849998831748962</v>
      </c>
      <c r="C405" t="str">
        <f>_xll.BDP("ICE UN Equity","GICS_SECTOR_NAME")</f>
        <v>金融</v>
      </c>
      <c r="D405" t="str">
        <f>_xll.BDP("ICE UN Equity","NAME_CHINESE_TRADITIONAL")</f>
        <v>洲際交易所</v>
      </c>
      <c r="E405" t="str">
        <f>_xll.BDP("ICE UN Equity","CLASSIFICATION_LEVEL_4_NAME")</f>
        <v>證券及商品交易所</v>
      </c>
      <c r="F405" t="str">
        <f>_xll.BDP("ICE UN Equity","CLASSIFICATION_DESCRIPTION")</f>
        <v>證券及商品交易所</v>
      </c>
      <c r="G405">
        <f>_xll.BDP("ICE UN Equity","CUR_MKT_CAP")</f>
        <v>105799629423.23999</v>
      </c>
      <c r="H405">
        <f>_xll.BDP("ICE UN Equity","CHG_PCT_YTD")</f>
        <v>23.77693</v>
      </c>
      <c r="I405" t="str">
        <f>_xll.BDP("ICE UN Equity","CIE_DES")</f>
        <v>洲際交易所集團公司(Intercontinental Exchange, Inc.)經營全球商品及金融產品市場。該公司也經營電子能源市場，及軟性商品交易所。ICE提供進入原油及煉油製品、天然氣、電力及排放量，以及農業商品為主合約的途徑，其中農業商品並包括：可可、咖啡、棉花、凍橘汁及糖。</v>
      </c>
      <c r="J405">
        <f>_xll.BDP("ICE UN Equity","ESG_SCORE")</f>
        <v>5.3299999237060547</v>
      </c>
      <c r="K405" t="str">
        <f>_xll.BDP("ICE UN Equity","MSCI_ESG_RATING")</f>
        <v>AA</v>
      </c>
      <c r="L405">
        <f>_xll.BDP("ICE UN Equity","EQY_BETA")</f>
        <v>0.77472573518753052</v>
      </c>
      <c r="M405">
        <f>_xll.BDP("ICE UN Equity","VOLATILITY_60D")</f>
        <v>13.535895966797828</v>
      </c>
      <c r="N405">
        <f>_xll.BDP("ICE UN Equity","PCT_INSIDER_SHARES_OUT")</f>
        <v>0.68311337886704293</v>
      </c>
      <c r="O405">
        <f>_xll.BDP("ICE UN Equity","PCT_CHG_INSIDER_HOLDINGS")</f>
        <v>-6.0236670099379186</v>
      </c>
      <c r="P405">
        <f>_xll.BDP("ICE UN Equity","RISK_PREMIUM")</f>
        <v>3.9908679214435816</v>
      </c>
      <c r="Q405">
        <f>_xll.BDP("ICE UN Equity","HIGH_52WEEK")</f>
        <v>185.29</v>
      </c>
      <c r="R405">
        <f>_xll.BDP("ICE UN Equity","LOW_52WEEK")</f>
        <v>142.41</v>
      </c>
    </row>
    <row r="406" spans="1:18" ht="15.75" x14ac:dyDescent="0.25">
      <c r="A406" t="s">
        <v>422</v>
      </c>
      <c r="B406">
        <f>_xll.BDP("FIS UN Equity","RT_PX_CHG_PCT_1D")</f>
        <v>1.9026999473571777</v>
      </c>
      <c r="C406" t="str">
        <f>_xll.BDP("FIS UN Equity","GICS_SECTOR_NAME")</f>
        <v>金融</v>
      </c>
      <c r="D406" t="str">
        <f>_xll.BDP("FIS UN Equity","NAME_CHINESE_TRADITIONAL")</f>
        <v>富達全國資訊服務</v>
      </c>
      <c r="E406" t="str">
        <f>_xll.BDP("FIS UN Equity","CLASSIFICATION_LEVEL_4_NAME")</f>
        <v>其它金融服務</v>
      </c>
      <c r="F406" t="str">
        <f>_xll.BDP("FIS UN Equity","CLASSIFICATION_DESCRIPTION")</f>
        <v>金融交易處理服務</v>
      </c>
      <c r="G406">
        <f>_xll.BDP("FIS UN Equity","CUR_MKT_CAP")</f>
        <v>43050870642.819992</v>
      </c>
      <c r="H406">
        <f>_xll.BDP("FIS UN Equity","CHG_PCT_YTD")</f>
        <v>1.4485619999999999</v>
      </c>
      <c r="I406" t="str">
        <f>_xll.BDP("FIS UN Equity","CIE_DES")</f>
        <v>富達全國資訊服務公司(Fidelity National Information Services, Inc.)為一支付服務的提供商。該公司提供金融機構與商業機構信用卡及轉帳卡處理、電子化銀行服務、支票風險管理、支票兌現、特約商店卡處理服務。</v>
      </c>
      <c r="J406">
        <f>_xll.BDP("FIS UN Equity","ESG_SCORE")</f>
        <v>4.380000114440918</v>
      </c>
      <c r="K406" t="str">
        <f>_xll.BDP("FIS UN Equity","MSCI_ESG_RATING")</f>
        <v>A</v>
      </c>
      <c r="L406">
        <f>_xll.BDP("FIS UN Equity","EQY_BETA")</f>
        <v>0.73902857303619385</v>
      </c>
      <c r="M406">
        <f>_xll.BDP("FIS UN Equity","VOLATILITY_60D")</f>
        <v>20.832822280919629</v>
      </c>
      <c r="N406">
        <f>_xll.BDP("FIS UN Equity","PCT_INSIDER_SHARES_OUT")</f>
        <v>0.33154216655237173</v>
      </c>
      <c r="O406">
        <f>_xll.BDP("FIS UN Equity","PCT_CHG_INSIDER_HOLDINGS")</f>
        <v>8.8736824355016584</v>
      </c>
      <c r="P406">
        <f>_xll.BDP("FIS UN Equity","RISK_PREMIUM")</f>
        <v>3.8069800591385361</v>
      </c>
      <c r="Q406">
        <f>_xll.BDP("FIS UN Equity","HIGH_52WEEK")</f>
        <v>91.97</v>
      </c>
      <c r="R406">
        <f>_xll.BDP("FIS UN Equity","LOW_52WEEK")</f>
        <v>66.53</v>
      </c>
    </row>
    <row r="407" spans="1:18" ht="15.75" x14ac:dyDescent="0.25">
      <c r="A407" t="s">
        <v>423</v>
      </c>
      <c r="B407">
        <f>_xll.BDP("SW UN Equity","RT_PX_CHG_PCT_1D")</f>
        <v>1.7072999477386475</v>
      </c>
      <c r="C407" t="str">
        <f>_xll.BDP("SW UN Equity","GICS_SECTOR_NAME")</f>
        <v>原材料</v>
      </c>
      <c r="D407" t="str">
        <f>_xll.BDP("SW UN Equity","NAME_CHINESE_TRADITIONAL")</f>
        <v>斯默菲特韋斯特洛克公開有限公</v>
      </c>
      <c r="E407" t="str">
        <f>_xll.BDP("SW UN Equity","CLASSIFICATION_LEVEL_4_NAME")</f>
        <v>容器與包裝</v>
      </c>
      <c r="F407" t="str">
        <f>_xll.BDP("SW UN Equity","CLASSIFICATION_DESCRIPTION")</f>
        <v>紙容器及包裝品</v>
      </c>
      <c r="G407">
        <f>_xll.BDP("SW UN Equity","CUR_MKT_CAP")</f>
        <v>25500316926.649998</v>
      </c>
      <c r="H407">
        <f>_xll.BDP("SW UN Equity","CHG_PCT_YTD")</f>
        <v>-9.301895</v>
      </c>
      <c r="I407" t="str">
        <f>_xll.BDP("SW UN Equity","CIE_DES")</f>
        <v>斯默菲特韋斯特洛克公開有限公司(Smurfit WestRock Public Limited Company)為一家包裝公司。該公司製造並供應紙張包裝，以用於包裝、推廣，並保護產品。斯默菲特韋斯特洛克服務全球客戶。</v>
      </c>
      <c r="J407" t="str">
        <f>_xll.BDP("SW UN Equity","ESG_SCORE")</f>
        <v>#N/A Field Not Applicable</v>
      </c>
      <c r="K407" t="str">
        <f>_xll.BDP("SW UN Equity","MSCI_ESG_RATING")</f>
        <v>A</v>
      </c>
      <c r="L407" t="str">
        <f>_xll.BDP("SW UN Equity","EQY_BETA")</f>
        <v>#N/A N/A</v>
      </c>
      <c r="M407">
        <f>_xll.BDP("SW UN Equity","VOLATILITY_60D")</f>
        <v>34.452708627060694</v>
      </c>
      <c r="N407">
        <f>_xll.BDP("SW UN Equity","PCT_INSIDER_SHARES_OUT")</f>
        <v>0.47105252382796897</v>
      </c>
      <c r="O407">
        <f>_xll.BDP("SW UN Equity","PCT_CHG_INSIDER_HOLDINGS")</f>
        <v>13.001769294189897</v>
      </c>
      <c r="P407">
        <f>_xll.BDP("SW UN Equity","RISK_PREMIUM")</f>
        <v>5.1513299999999997</v>
      </c>
      <c r="Q407">
        <f>_xll.BDP("SW UN Equity","HIGH_52WEEK")</f>
        <v>56.98</v>
      </c>
      <c r="R407">
        <f>_xll.BDP("SW UN Equity","LOW_52WEEK")</f>
        <v>37.020000000000003</v>
      </c>
    </row>
    <row r="408" spans="1:18" ht="15.75" x14ac:dyDescent="0.25">
      <c r="A408" t="s">
        <v>424</v>
      </c>
      <c r="B408">
        <f>_xll.BDP("CMG UN Equity","RT_PX_CHG_PCT_1D")</f>
        <v>2.2300000190734863</v>
      </c>
      <c r="C408" t="str">
        <f>_xll.BDP("CMG UN Equity","GICS_SECTOR_NAME")</f>
        <v>非核心消費</v>
      </c>
      <c r="D408" t="str">
        <f>_xll.BDP("CMG UN Equity","NAME_CHINESE_TRADITIONAL")</f>
        <v>奇波雷墨西哥燒烤公司</v>
      </c>
      <c r="E408" t="str">
        <f>_xll.BDP("CMG UN Equity","CLASSIFICATION_LEVEL_4_NAME")</f>
        <v>餐廳</v>
      </c>
      <c r="F408" t="str">
        <f>_xll.BDP("CMG UN Equity","CLASSIFICATION_DESCRIPTION")</f>
        <v>速食休閒餐廳 - 直營</v>
      </c>
      <c r="G408">
        <f>_xll.BDP("CMG UN Equity","CUR_MKT_CAP")</f>
        <v>62699782600</v>
      </c>
      <c r="H408">
        <f>_xll.BDP("CMG UN Equity","CHG_PCT_YTD")</f>
        <v>-22.45439</v>
      </c>
      <c r="I408" t="str">
        <f>_xll.BDP("CMG UN Equity","CIE_DES")</f>
        <v>奇波雷墨西哥燒烤公司(Chipotle Mexican Grill, Inc.)持有並經營墨西哥餐廳。該公司提供墨西哥捲餅、墨西哥捲餅碗、墨西哥芝士餡餅、墨西哥煎玉米捲，以及沙拉。奇波雷墨西哥燒烤公司服務美國的客戶。</v>
      </c>
      <c r="J408">
        <f>_xll.BDP("CMG UN Equity","ESG_SCORE")</f>
        <v>4.3400001525878906</v>
      </c>
      <c r="K408" t="str">
        <f>_xll.BDP("CMG UN Equity","MSCI_ESG_RATING")</f>
        <v>A</v>
      </c>
      <c r="L408">
        <f>_xll.BDP("CMG UN Equity","EQY_BETA")</f>
        <v>0.89095336198806763</v>
      </c>
      <c r="M408">
        <f>_xll.BDP("CMG UN Equity","VOLATILITY_60D")</f>
        <v>42.02129819261809</v>
      </c>
      <c r="N408">
        <f>_xll.BDP("CMG UN Equity","PCT_INSIDER_SHARES_OUT")</f>
        <v>0.74738422758103795</v>
      </c>
      <c r="O408">
        <f>_xll.BDP("CMG UN Equity","PCT_CHG_INSIDER_HOLDINGS")</f>
        <v>0.33216581058899913</v>
      </c>
      <c r="P408">
        <f>_xll.BDP("CMG UN Equity","RISK_PREMIUM")</f>
        <v>4.5895947822099918</v>
      </c>
      <c r="Q408">
        <f>_xll.BDP("CMG UN Equity","HIGH_52WEEK")</f>
        <v>66.73</v>
      </c>
      <c r="R408">
        <f>_xll.BDP("CMG UN Equity","LOW_52WEEK")</f>
        <v>44.46</v>
      </c>
    </row>
    <row r="409" spans="1:18" ht="15.75" x14ac:dyDescent="0.25">
      <c r="A409" t="s">
        <v>425</v>
      </c>
      <c r="B409">
        <f>_xll.BDP("WYNN UW Equity","RT_PX_CHG_PCT_1D")</f>
        <v>0.91289997100830078</v>
      </c>
      <c r="C409" t="str">
        <f>_xll.BDP("WYNN UW Equity","GICS_SECTOR_NAME")</f>
        <v>非核心消費</v>
      </c>
      <c r="D409" t="str">
        <f>_xll.BDP("WYNN UW Equity","NAME_CHINESE_TRADITIONAL")</f>
        <v>永利度假村有限公司</v>
      </c>
      <c r="E409" t="str">
        <f>_xll.BDP("WYNN UW Equity","CLASSIFICATION_LEVEL_4_NAME")</f>
        <v>賭場及博弈</v>
      </c>
      <c r="F409" t="str">
        <f>_xll.BDP("WYNN UW Equity","CLASSIFICATION_DESCRIPTION")</f>
        <v>賭場(賭場飯店除外)</v>
      </c>
      <c r="G409">
        <f>_xll.BDP("WYNN UW Equity","CUR_MKT_CAP")</f>
        <v>11442422701.439999</v>
      </c>
      <c r="H409">
        <f>_xll.BDP("WYNN UW Equity","CHG_PCT_YTD")</f>
        <v>27.019490000000001</v>
      </c>
      <c r="I409" t="str">
        <f>_xll.BDP("WYNN UW Equity","CIE_DES")</f>
        <v>永利度假村有限公司(Wynn Resorts, Limited)擁有並經營飯店及賭場度假村。該公司提供的設施包括客房和套房、餐廳、高爾夫球場、水療中心、酒吧、會議空間、夜總會，以及娛樂和休閒設施。永利度假村服務內華達州的客戶。</v>
      </c>
      <c r="J409">
        <f>_xll.BDP("WYNN UW Equity","ESG_SCORE")</f>
        <v>5.0300002098083496</v>
      </c>
      <c r="K409" t="str">
        <f>_xll.BDP("WYNN UW Equity","MSCI_ESG_RATING")</f>
        <v>N.S.</v>
      </c>
      <c r="L409">
        <f>_xll.BDP("WYNN UW Equity","EQY_BETA")</f>
        <v>0.98496049642562866</v>
      </c>
      <c r="M409">
        <f>_xll.BDP("WYNN UW Equity","VOLATILITY_60D")</f>
        <v>35.943980612157894</v>
      </c>
      <c r="N409">
        <f>_xll.BDP("WYNN UW Equity","PCT_INSIDER_SHARES_OUT")</f>
        <v>1.2564641913340724</v>
      </c>
      <c r="O409">
        <f>_xll.BDP("WYNN UW Equity","PCT_CHG_INSIDER_HOLDINGS")</f>
        <v>2.4168009641383064</v>
      </c>
      <c r="P409">
        <f>_xll.BDP("WYNN UW Equity","RISK_PREMIUM")</f>
        <v>5.0738565540522336</v>
      </c>
      <c r="Q409">
        <f>_xll.BDP("WYNN UW Equity","HIGH_52WEEK")</f>
        <v>112.34</v>
      </c>
      <c r="R409">
        <f>_xll.BDP("WYNN UW Equity","LOW_52WEEK")</f>
        <v>65.28</v>
      </c>
    </row>
    <row r="410" spans="1:18" ht="15.75" x14ac:dyDescent="0.25">
      <c r="A410" t="s">
        <v>426</v>
      </c>
      <c r="B410">
        <f>_xll.BDP("LYV UN Equity","RT_PX_CHG_PCT_1D")</f>
        <v>0.1111999973654747</v>
      </c>
      <c r="C410" t="str">
        <f>_xll.BDP("LYV UN Equity","GICS_SECTOR_NAME")</f>
        <v>通訊服務</v>
      </c>
      <c r="D410" t="str">
        <f>_xll.BDP("LYV UN Equity","NAME_CHINESE_TRADITIONAL")</f>
        <v>理想國演藝股份有限公司</v>
      </c>
      <c r="E410" t="str">
        <f>_xll.BDP("LYV UN Equity","CLASSIFICATION_LEVEL_4_NAME")</f>
        <v>娛樂設施</v>
      </c>
      <c r="F410" t="str">
        <f>_xll.BDP("LYV UN Equity","CLASSIFICATION_DESCRIPTION")</f>
        <v>自有設備活動推廣機構</v>
      </c>
      <c r="G410">
        <f>_xll.BDP("LYV UN Equity","CUR_MKT_CAP")</f>
        <v>35829739788.360001</v>
      </c>
      <c r="H410">
        <f>_xll.BDP("LYV UN Equity","CHG_PCT_YTD")</f>
        <v>18.193049999999999</v>
      </c>
      <c r="I410" t="str">
        <f>_xll.BDP("LYV UN Equity","CIE_DES")</f>
        <v>理想國演藝股份有限公司(Live Nation Entertainment, Inc.)提供現場音樂會，並透過網際網路銷售該些活動的門票。該公司針對領先的競技場、體育館、專業體育加盟和聯盟、大學運動隊、表演藝術場所、博物館，以及戲院，提供票券服務。理想國演藝服務全球客戶。</v>
      </c>
      <c r="J410">
        <f>_xll.BDP("LYV UN Equity","ESG_SCORE")</f>
        <v>1.5499999523162842</v>
      </c>
      <c r="K410" t="str">
        <f>_xll.BDP("LYV UN Equity","MSCI_ESG_RATING")</f>
        <v>BBB</v>
      </c>
      <c r="L410">
        <f>_xll.BDP("LYV UN Equity","EQY_BETA")</f>
        <v>1.0645849704742432</v>
      </c>
      <c r="M410">
        <f>_xll.BDP("LYV UN Equity","VOLATILITY_60D")</f>
        <v>24.124098382684348</v>
      </c>
      <c r="N410">
        <f>_xll.BDP("LYV UN Equity","PCT_INSIDER_SHARES_OUT")</f>
        <v>2.5471334681820412</v>
      </c>
      <c r="O410">
        <f>_xll.BDP("LYV UN Equity","PCT_CHG_INSIDER_HOLDINGS")</f>
        <v>7.7659206071616786</v>
      </c>
      <c r="P410">
        <f>_xll.BDP("LYV UN Equity","RISK_PREMIUM")</f>
        <v>5.4840284959530825</v>
      </c>
      <c r="Q410">
        <f>_xll.BDP("LYV UN Equity","HIGH_52WEEK")</f>
        <v>157.69999999999999</v>
      </c>
      <c r="R410">
        <f>_xll.BDP("LYV UN Equity","LOW_52WEEK")</f>
        <v>87.4</v>
      </c>
    </row>
    <row r="411" spans="1:18" ht="15.75" x14ac:dyDescent="0.25">
      <c r="A411" t="s">
        <v>427</v>
      </c>
      <c r="B411">
        <f>_xll.BDP("AIZ UN Equity","RT_PX_CHG_PCT_1D")</f>
        <v>0.85000002384185791</v>
      </c>
      <c r="C411" t="str">
        <f>_xll.BDP("AIZ UN Equity","GICS_SECTOR_NAME")</f>
        <v>金融</v>
      </c>
      <c r="D411" t="str">
        <f>_xll.BDP("AIZ UN Equity","NAME_CHINESE_TRADITIONAL")</f>
        <v>安信龍公司</v>
      </c>
      <c r="E411" t="str">
        <f>_xll.BDP("AIZ UN Equity","CLASSIFICATION_LEVEL_4_NAME")</f>
        <v>產物及意外保險</v>
      </c>
      <c r="F411" t="str">
        <f>_xll.BDP("AIZ UN Equity","CLASSIFICATION_DESCRIPTION")</f>
        <v>產物及意外保險</v>
      </c>
      <c r="G411">
        <f>_xll.BDP("AIZ UN Equity","CUR_MKT_CAP")</f>
        <v>9444828914.7199993</v>
      </c>
      <c r="H411">
        <f>_xll.BDP("AIZ UN Equity","CHG_PCT_YTD")</f>
        <v>-12.634840000000001</v>
      </c>
      <c r="I411" t="str">
        <f>_xll.BDP("AIZ UN Equity","CIE_DES")</f>
        <v>亞瑟朗公司(Assurant, Inc.)提供支援、保護，以及連接主要消費性購買的住宅與生活方式解決方案。該公司提供行動裝置解決方案、延長服務合約，和車輛保護，以及生前契約、承租人，與放款人配售的屋主保險。亞瑟朗服務全球客戶。</v>
      </c>
      <c r="J411">
        <f>_xll.BDP("AIZ UN Equity","ESG_SCORE")</f>
        <v>2.5699999332427979</v>
      </c>
      <c r="K411" t="str">
        <f>_xll.BDP("AIZ UN Equity","MSCI_ESG_RATING")</f>
        <v>N.S.</v>
      </c>
      <c r="L411">
        <f>_xll.BDP("AIZ UN Equity","EQY_BETA")</f>
        <v>0.72256487607955933</v>
      </c>
      <c r="M411">
        <f>_xll.BDP("AIZ UN Equity","VOLATILITY_60D")</f>
        <v>23.783325946299001</v>
      </c>
      <c r="N411">
        <f>_xll.BDP("AIZ UN Equity","PCT_INSIDER_SHARES_OUT")</f>
        <v>0.89661744275212651</v>
      </c>
      <c r="O411">
        <f>_xll.BDP("AIZ UN Equity","PCT_CHG_INSIDER_HOLDINGS")</f>
        <v>13.13279124111609</v>
      </c>
      <c r="P411">
        <f>_xll.BDP("AIZ UN Equity","RISK_PREMIUM")</f>
        <v>3.7221701230949162</v>
      </c>
      <c r="Q411">
        <f>_xll.BDP("AIZ UN Equity","HIGH_52WEEK")</f>
        <v>230.46</v>
      </c>
      <c r="R411">
        <f>_xll.BDP("AIZ UN Equity","LOW_52WEEK")</f>
        <v>164.63</v>
      </c>
    </row>
    <row r="412" spans="1:18" ht="15.75" x14ac:dyDescent="0.25">
      <c r="A412" t="s">
        <v>428</v>
      </c>
      <c r="B412">
        <f>_xll.BDP("NRG UN Equity","RT_PX_CHG_PCT_1D")</f>
        <v>-0.87360000610351563</v>
      </c>
      <c r="C412" t="str">
        <f>_xll.BDP("NRG UN Equity","GICS_SECTOR_NAME")</f>
        <v>公用事業</v>
      </c>
      <c r="D412" t="str">
        <f>_xll.BDP("NRG UN Equity","NAME_CHINESE_TRADITIONAL")</f>
        <v>NRG Energy Inc</v>
      </c>
      <c r="E412" t="str">
        <f>_xll.BDP("NRG UN Equity","CLASSIFICATION_LEVEL_4_NAME")</f>
        <v>發電業</v>
      </c>
      <c r="F412" t="str">
        <f>_xll.BDP("NRG UN Equity","CLASSIFICATION_DESCRIPTION")</f>
        <v>化石發電-解除管制</v>
      </c>
      <c r="G412">
        <f>_xll.BDP("NRG UN Equity","CUR_MKT_CAP")</f>
        <v>30614977920.52</v>
      </c>
      <c r="H412">
        <f>_xll.BDP("NRG UN Equity","CHG_PCT_YTD")</f>
        <v>73.564620000000005</v>
      </c>
      <c r="I412" t="str">
        <f>_xll.BDP("NRG UN Equity","CIE_DES")</f>
        <v>NRG能源公司(NRG Energy, Inc.)主要於美國擁有及經營多元化組合的發電設施。 該公司提供能源和共同發電設施、熱能發電，以及能源回收設施。</v>
      </c>
      <c r="J412">
        <f>_xll.BDP("NRG UN Equity","ESG_SCORE")</f>
        <v>5.4600000381469727</v>
      </c>
      <c r="K412" t="str">
        <f>_xll.BDP("NRG UN Equity","MSCI_ESG_RATING")</f>
        <v>BB</v>
      </c>
      <c r="L412">
        <f>_xll.BDP("NRG UN Equity","EQY_BETA")</f>
        <v>1.4516222476959229</v>
      </c>
      <c r="M412">
        <f>_xll.BDP("NRG UN Equity","VOLATILITY_60D")</f>
        <v>57.371119088509772</v>
      </c>
      <c r="N412">
        <f>_xll.BDP("NRG UN Equity","PCT_INSIDER_SHARES_OUT")</f>
        <v>1.6121387915936953</v>
      </c>
      <c r="O412">
        <f>_xll.BDP("NRG UN Equity","PCT_CHG_INSIDER_HOLDINGS")</f>
        <v>-1.9210949839994325</v>
      </c>
      <c r="P412">
        <f>_xll.BDP("NRG UN Equity","RISK_PREMIUM")</f>
        <v>7.4777852332234378</v>
      </c>
      <c r="Q412">
        <f>_xll.BDP("NRG UN Equity","HIGH_52WEEK")</f>
        <v>168.52</v>
      </c>
      <c r="R412">
        <f>_xll.BDP("NRG UN Equity","LOW_52WEEK")</f>
        <v>65.58</v>
      </c>
    </row>
    <row r="413" spans="1:18" ht="15.75" x14ac:dyDescent="0.25">
      <c r="A413" t="s">
        <v>429</v>
      </c>
      <c r="B413">
        <f>_xll.BDP("MNST UW Equity","RT_PX_CHG_PCT_1D")</f>
        <v>0.79759997129440308</v>
      </c>
      <c r="C413" t="str">
        <f>_xll.BDP("MNST UW Equity","GICS_SECTOR_NAME")</f>
        <v>核心消費</v>
      </c>
      <c r="D413" t="str">
        <f>_xll.BDP("MNST UW Equity","NAME_CHINESE_TRADITIONAL")</f>
        <v>怪獸飲料公司</v>
      </c>
      <c r="E413" t="str">
        <f>_xll.BDP("MNST UW Equity","CLASSIFICATION_LEVEL_4_NAME")</f>
        <v>非酒精飲料</v>
      </c>
      <c r="F413" t="str">
        <f>_xll.BDP("MNST UW Equity","CLASSIFICATION_DESCRIPTION")</f>
        <v>運動及能量飲料</v>
      </c>
      <c r="G413">
        <f>_xll.BDP("MNST UW Equity","CUR_MKT_CAP")</f>
        <v>59158432004.939995</v>
      </c>
      <c r="H413">
        <f>_xll.BDP("MNST UW Equity","CHG_PCT_YTD")</f>
        <v>15.410959999999999</v>
      </c>
      <c r="I413" t="str">
        <f>_xll.BDP("MNST UW Equity","CIE_DES")</f>
        <v>怪獸飲料公司(Monster Beverage Corporation)為控股公司。該公司透過旗下子公司，行銷並配銷能量飲料。怪獸飲料服務全球客戶。</v>
      </c>
      <c r="J413">
        <f>_xll.BDP("MNST UW Equity","ESG_SCORE")</f>
        <v>5.25</v>
      </c>
      <c r="K413" t="str">
        <f>_xll.BDP("MNST UW Equity","MSCI_ESG_RATING")</f>
        <v>BB</v>
      </c>
      <c r="L413">
        <f>_xll.BDP("MNST UW Equity","EQY_BETA")</f>
        <v>0.58160394430160522</v>
      </c>
      <c r="M413">
        <f>_xll.BDP("MNST UW Equity","VOLATILITY_60D")</f>
        <v>17.900790900176649</v>
      </c>
      <c r="N413">
        <f>_xll.BDP("MNST UW Equity","PCT_INSIDER_SHARES_OUT")</f>
        <v>0.38510285915494979</v>
      </c>
      <c r="O413">
        <f>_xll.BDP("MNST UW Equity","PCT_CHG_INSIDER_HOLDINGS")</f>
        <v>7.188509253308097</v>
      </c>
      <c r="P413">
        <f>_xll.BDP("MNST UW Equity","RISK_PREMIUM")</f>
        <v>2.9960338463991878</v>
      </c>
      <c r="Q413">
        <f>_xll.BDP("MNST UW Equity","HIGH_52WEEK")</f>
        <v>64.45</v>
      </c>
      <c r="R413">
        <f>_xll.BDP("MNST UW Equity","LOW_52WEEK")</f>
        <v>43.33</v>
      </c>
    </row>
    <row r="414" spans="1:18" ht="15.75" x14ac:dyDescent="0.25">
      <c r="A414" t="s">
        <v>430</v>
      </c>
      <c r="B414">
        <f>_xll.BDP("RF UN Equity","RT_PX_CHG_PCT_1D")</f>
        <v>0.45629999041557312</v>
      </c>
      <c r="C414" t="str">
        <f>_xll.BDP("RF UN Equity","GICS_SECTOR_NAME")</f>
        <v>金融</v>
      </c>
      <c r="D414" t="str">
        <f>_xll.BDP("RF UN Equity","NAME_CHINESE_TRADITIONAL")</f>
        <v>區域金融公司</v>
      </c>
      <c r="E414" t="str">
        <f>_xll.BDP("RF UN Equity","CLASSIFICATION_LEVEL_4_NAME")</f>
        <v>銀行</v>
      </c>
      <c r="F414" t="str">
        <f>_xll.BDP("RF UN Equity","CLASSIFICATION_DESCRIPTION")</f>
        <v>銀行</v>
      </c>
      <c r="G414">
        <f>_xll.BDP("RF UN Equity","CUR_MKT_CAP")</f>
        <v>23749734668.68</v>
      </c>
      <c r="H414">
        <f>_xll.BDP("RF UN Equity","CHG_PCT_YTD")</f>
        <v>12.329929999999999</v>
      </c>
      <c r="I414" t="str">
        <f>_xll.BDP("RF UN Equity","CIE_DES")</f>
        <v>區域金融公司(Regions Financial Corporation)為多重銀行控股區域公司。該公司提供消費者與商業銀行、財富管理、信用人壽保險、租賃、商業應收帳款保理、專業抵押融資，以及證券經紀服務。區域金融服務美國的客戶。</v>
      </c>
      <c r="J414">
        <f>_xll.BDP("RF UN Equity","ESG_SCORE")</f>
        <v>4.0199999809265137</v>
      </c>
      <c r="K414" t="str">
        <f>_xll.BDP("RF UN Equity","MSCI_ESG_RATING")</f>
        <v>A</v>
      </c>
      <c r="L414">
        <f>_xll.BDP("RF UN Equity","EQY_BETA")</f>
        <v>1.1446536779403687</v>
      </c>
      <c r="M414">
        <f>_xll.BDP("RF UN Equity","VOLATILITY_60D")</f>
        <v>27.156220171491825</v>
      </c>
      <c r="N414">
        <f>_xll.BDP("RF UN Equity","PCT_INSIDER_SHARES_OUT")</f>
        <v>0.34485484379098619</v>
      </c>
      <c r="O414">
        <f>_xll.BDP("RF UN Equity","PCT_CHG_INSIDER_HOLDINGS")</f>
        <v>8.2269093742298587</v>
      </c>
      <c r="P414">
        <f>_xll.BDP("RF UN Equity","RISK_PREMIUM")</f>
        <v>5.8964888307845591</v>
      </c>
      <c r="Q414">
        <f>_xll.BDP("RF UN Equity","HIGH_52WEEK")</f>
        <v>27.96</v>
      </c>
      <c r="R414">
        <f>_xll.BDP("RF UN Equity","LOW_52WEEK")</f>
        <v>17.739999999999998</v>
      </c>
    </row>
    <row r="415" spans="1:18" ht="15.75" x14ac:dyDescent="0.25">
      <c r="A415" t="s">
        <v>431</v>
      </c>
      <c r="B415">
        <f>_xll.BDP("BKR UW Equity","RT_PX_CHG_PCT_1D")</f>
        <v>0.72180002927780151</v>
      </c>
      <c r="C415" t="str">
        <f>_xll.BDP("BKR UW Equity","GICS_SECTOR_NAME")</f>
        <v>能源</v>
      </c>
      <c r="D415" t="str">
        <f>_xll.BDP("BKR UW Equity","NAME_CHINESE_TRADITIONAL")</f>
        <v>貝克休斯公司</v>
      </c>
      <c r="E415" t="str">
        <f>_xll.BDP("BKR UW Equity","CLASSIFICATION_LEVEL_4_NAME")</f>
        <v>油田服務及設備製造</v>
      </c>
      <c r="F415" t="str">
        <f>_xll.BDP("BKR UW Equity","CLASSIFICATION_DESCRIPTION")</f>
        <v>境內油田服務</v>
      </c>
      <c r="G415">
        <f>_xll.BDP("BKR UW Equity","CUR_MKT_CAP")</f>
        <v>45399733660.199989</v>
      </c>
      <c r="H415">
        <f>_xll.BDP("BKR UW Equity","CHG_PCT_YTD")</f>
        <v>12.262309999999999</v>
      </c>
      <c r="I415" t="str">
        <f>_xll.BDP("BKR UW Equity","CIE_DES")</f>
        <v>貝克休斯公司(Baker Hughes Company)為一家能源科技公司。該公司提供鑽井、井干預、退役、表面壓力控制、陸上複合管、油藏技術，以及整合井服務。貝克休斯服務全球客戶。</v>
      </c>
      <c r="J415">
        <f>_xll.BDP("BKR UW Equity","ESG_SCORE")</f>
        <v>5.2399997711181641</v>
      </c>
      <c r="K415" t="str">
        <f>_xll.BDP("BKR UW Equity","MSCI_ESG_RATING")</f>
        <v>AA</v>
      </c>
      <c r="L415">
        <f>_xll.BDP("BKR UW Equity","EQY_BETA")</f>
        <v>0.82085496187210083</v>
      </c>
      <c r="M415">
        <f>_xll.BDP("BKR UW Equity","VOLATILITY_60D")</f>
        <v>32.162842137428335</v>
      </c>
      <c r="N415">
        <f>_xll.BDP("BKR UW Equity","PCT_INSIDER_SHARES_OUT")</f>
        <v>0.15774197322978042</v>
      </c>
      <c r="O415">
        <f>_xll.BDP("BKR UW Equity","PCT_CHG_INSIDER_HOLDINGS")</f>
        <v>8.3791192607271991</v>
      </c>
      <c r="P415">
        <f>_xll.BDP("BKR UW Equity","RISK_PREMIUM")</f>
        <v>4.2284947907406085</v>
      </c>
      <c r="Q415">
        <f>_xll.BDP("BKR UW Equity","HIGH_52WEEK")</f>
        <v>49.24</v>
      </c>
      <c r="R415">
        <f>_xll.BDP("BKR UW Equity","LOW_52WEEK")</f>
        <v>32.28</v>
      </c>
    </row>
    <row r="416" spans="1:18" ht="15.75" x14ac:dyDescent="0.25">
      <c r="A416" t="s">
        <v>432</v>
      </c>
      <c r="B416">
        <f>_xll.BDP("MOS UN Equity","RT_PX_CHG_PCT_1D")</f>
        <v>-1.3105000257492065</v>
      </c>
      <c r="C416" t="str">
        <f>_xll.BDP("MOS UN Equity","GICS_SECTOR_NAME")</f>
        <v>原材料</v>
      </c>
      <c r="D416" t="str">
        <f>_xll.BDP("MOS UN Equity","NAME_CHINESE_TRADITIONAL")</f>
        <v>美盛公司</v>
      </c>
      <c r="E416" t="str">
        <f>_xll.BDP("MOS UN Equity","CLASSIFICATION_LEVEL_4_NAME")</f>
        <v>農業化學品</v>
      </c>
      <c r="F416" t="str">
        <f>_xll.BDP("MOS UN Equity","CLASSIFICATION_DESCRIPTION")</f>
        <v>肥料</v>
      </c>
      <c r="G416">
        <f>_xll.BDP("MOS UN Equity","CUR_MKT_CAP")</f>
        <v>11705816483.1</v>
      </c>
      <c r="H416">
        <f>_xll.BDP("MOS UN Equity","CHG_PCT_YTD")</f>
        <v>50.122050000000002</v>
      </c>
      <c r="I416" t="str">
        <f>_xll.BDP("MOS UN Equity","CIE_DES")</f>
        <v>美盛公司(The Mosaic Company)生產並配銷農作物營養劑予農業社區。該公司提供飼料成分、農作物營養劑、工業產品、濃縮磷酸鹽，以及鉀肥。美盛服務全球客戶。</v>
      </c>
      <c r="J416">
        <f>_xll.BDP("MOS UN Equity","ESG_SCORE")</f>
        <v>6.320000171661377</v>
      </c>
      <c r="K416" t="str">
        <f>_xll.BDP("MOS UN Equity","MSCI_ESG_RATING")</f>
        <v>N.S.</v>
      </c>
      <c r="L416">
        <f>_xll.BDP("MOS UN Equity","EQY_BETA")</f>
        <v>0.95425307750701904</v>
      </c>
      <c r="M416">
        <f>_xll.BDP("MOS UN Equity","VOLATILITY_60D")</f>
        <v>27.402479930916851</v>
      </c>
      <c r="N416">
        <f>_xll.BDP("MOS UN Equity","PCT_INSIDER_SHARES_OUT")</f>
        <v>0.61117560810614857</v>
      </c>
      <c r="O416">
        <f>_xll.BDP("MOS UN Equity","PCT_CHG_INSIDER_HOLDINGS")</f>
        <v>-5.1774336562407592</v>
      </c>
      <c r="P416">
        <f>_xll.BDP("MOS UN Equity","RISK_PREMIUM")</f>
        <v>4.9156725057542321</v>
      </c>
      <c r="Q416">
        <f>_xll.BDP("MOS UN Equity","HIGH_52WEEK")</f>
        <v>38.21</v>
      </c>
      <c r="R416">
        <f>_xll.BDP("MOS UN Equity","LOW_52WEEK")</f>
        <v>22.36</v>
      </c>
    </row>
    <row r="417" spans="1:18" ht="15.75" x14ac:dyDescent="0.25">
      <c r="A417" t="s">
        <v>433</v>
      </c>
      <c r="B417">
        <f>_xll.BDP("EXPE UW Equity","RT_PX_CHG_PCT_1D")</f>
        <v>-1.6484999656677246</v>
      </c>
      <c r="C417" t="str">
        <f>_xll.BDP("EXPE UW Equity","GICS_SECTOR_NAME")</f>
        <v>非核心消費</v>
      </c>
      <c r="D417" t="str">
        <f>_xll.BDP("EXPE UW Equity","NAME_CHINESE_TRADITIONAL")</f>
        <v>智遊網集團公司</v>
      </c>
      <c r="E417" t="str">
        <f>_xll.BDP("EXPE UW Equity","CLASSIFICATION_LEVEL_4_NAME")</f>
        <v>網路媒體及服務</v>
      </c>
      <c r="F417" t="str">
        <f>_xll.BDP("EXPE UW Equity","CLASSIFICATION_DESCRIPTION")</f>
        <v>旅遊資訊及預約網站</v>
      </c>
      <c r="G417">
        <f>_xll.BDP("EXPE UW Equity","CUR_MKT_CAP")</f>
        <v>23814828656.639999</v>
      </c>
      <c r="H417">
        <f>_xll.BDP("EXPE UW Equity","CHG_PCT_YTD")</f>
        <v>0.54204810000000003</v>
      </c>
      <c r="I417" t="str">
        <f>_xll.BDP("EXPE UW Equity","CIE_DES")</f>
        <v>智遊網集團公司(Expedia, Inc.)提供線上旅遊服務予休閒及商業旅行人士。 該公司提供各式旅遊訂購及預約服務，另提供班機、旅館與租車公司的即時行程表、價格及空位資訊。智遊網集團服務全球各地的客戶。</v>
      </c>
      <c r="J417">
        <f>_xll.BDP("EXPE UW Equity","ESG_SCORE")</f>
        <v>5.1599998474121094</v>
      </c>
      <c r="K417" t="str">
        <f>_xll.BDP("EXPE UW Equity","MSCI_ESG_RATING")</f>
        <v>BB</v>
      </c>
      <c r="L417">
        <f>_xll.BDP("EXPE UW Equity","EQY_BETA")</f>
        <v>1.364025354385376</v>
      </c>
      <c r="M417">
        <f>_xll.BDP("EXPE UW Equity","VOLATILITY_60D")</f>
        <v>33.594853211049497</v>
      </c>
      <c r="N417">
        <f>_xll.BDP("EXPE UW Equity","PCT_INSIDER_SHARES_OUT")</f>
        <v>1.073205101424866</v>
      </c>
      <c r="O417">
        <f>_xll.BDP("EXPE UW Equity","PCT_CHG_INSIDER_HOLDINGS")</f>
        <v>1.8665537408938959</v>
      </c>
      <c r="P417">
        <f>_xll.BDP("EXPE UW Equity","RISK_PREMIUM")</f>
        <v>7.0265447288060185</v>
      </c>
      <c r="Q417">
        <f>_xll.BDP("EXPE UW Equity","HIGH_52WEEK")</f>
        <v>207.69</v>
      </c>
      <c r="R417">
        <f>_xll.BDP("EXPE UW Equity","LOW_52WEEK")</f>
        <v>110.61</v>
      </c>
    </row>
    <row r="418" spans="1:18" ht="15.75" x14ac:dyDescent="0.25">
      <c r="A418" t="s">
        <v>434</v>
      </c>
      <c r="B418">
        <f>_xll.BDP("KMB UW Equity","RT_PX_CHG_PCT_1D")</f>
        <v>-0.28960001468658447</v>
      </c>
      <c r="C418" t="str">
        <f>_xll.BDP("KMB UW Equity","GICS_SECTOR_NAME")</f>
        <v>核心消費</v>
      </c>
      <c r="D418" t="str">
        <f>_xll.BDP("KMB UW Equity","NAME_CHINESE_TRADITIONAL")</f>
        <v>金百利克拉克</v>
      </c>
      <c r="E418" t="str">
        <f>_xll.BDP("KMB UW Equity","CLASSIFICATION_LEVEL_4_NAME")</f>
        <v>個人保健用品</v>
      </c>
      <c r="F418" t="str">
        <f>_xll.BDP("KMB UW Equity","CLASSIFICATION_DESCRIPTION")</f>
        <v>衛生紙產品</v>
      </c>
      <c r="G418">
        <f>_xll.BDP("KMB UW Equity","CUR_MKT_CAP")</f>
        <v>42266726538.299995</v>
      </c>
      <c r="H418" t="str">
        <f>_xll.BDP("KMB UW Equity","CHG_PCT_YTD")</f>
        <v>#N/A N/A</v>
      </c>
      <c r="I418" t="str">
        <f>_xll.BDP("KMB UW Equity","CIE_DES")</f>
        <v>金百利克拉克公司(Kimberly-Clark Corporation)為全球的健康及衛生用品公司，製造並提供消費性產品。該公司的產品包括：尿布、面紙、紙巾、成人紙尿布產品、手術袍，及單次使用型面膜。金百利克拉克的產品行銷全球。</v>
      </c>
      <c r="J418">
        <f>_xll.BDP("KMB UW Equity","ESG_SCORE")</f>
        <v>6.369999885559082</v>
      </c>
      <c r="K418" t="str">
        <f>_xll.BDP("KMB UW Equity","MSCI_ESG_RATING")</f>
        <v>AAA</v>
      </c>
      <c r="L418" t="str">
        <f>_xll.BDP("KMB UW Equity","EQY_BETA")</f>
        <v>#N/A N/A</v>
      </c>
      <c r="M418">
        <f>_xll.BDP("KMB UW Equity","VOLATILITY_60D")</f>
        <v>16.684061045473602</v>
      </c>
      <c r="N418">
        <f>_xll.BDP("KMB UW Equity","PCT_INSIDER_SHARES_OUT")</f>
        <v>0.22568712780577188</v>
      </c>
      <c r="O418">
        <f>_xll.BDP("KMB UW Equity","PCT_CHG_INSIDER_HOLDINGS")</f>
        <v>40.09645748836374</v>
      </c>
      <c r="P418">
        <f>_xll.BDP("KMB UW Equity","RISK_PREMIUM")</f>
        <v>2.181018850764334</v>
      </c>
      <c r="Q418">
        <f>_xll.BDP("KMB UW Equity","HIGH_52WEEK")</f>
        <v>144.22999999999999</v>
      </c>
      <c r="R418">
        <f>_xll.BDP("KMB UW Equity","LOW_52WEEK")</f>
        <v>125.17</v>
      </c>
    </row>
    <row r="419" spans="1:18" ht="15.75" x14ac:dyDescent="0.25">
      <c r="A419" t="s">
        <v>435</v>
      </c>
      <c r="B419">
        <f>_xll.BDP("CF UN Equity","RT_PX_CHG_PCT_1D")</f>
        <v>-0.21389999985694885</v>
      </c>
      <c r="C419" t="str">
        <f>_xll.BDP("CF UN Equity","GICS_SECTOR_NAME")</f>
        <v>原材料</v>
      </c>
      <c r="D419" t="str">
        <f>_xll.BDP("CF UN Equity","NAME_CHINESE_TRADITIONAL")</f>
        <v>CF工業控股公司</v>
      </c>
      <c r="E419" t="str">
        <f>_xll.BDP("CF UN Equity","CLASSIFICATION_LEVEL_4_NAME")</f>
        <v>農業化學品</v>
      </c>
      <c r="F419" t="str">
        <f>_xll.BDP("CF UN Equity","CLASSIFICATION_DESCRIPTION")</f>
        <v>氮肥</v>
      </c>
      <c r="G419">
        <f>_xll.BDP("CF UN Equity","CUR_MKT_CAP")</f>
        <v>15115535332.499998</v>
      </c>
      <c r="H419">
        <f>_xll.BDP("CF UN Equity","CHG_PCT_YTD")</f>
        <v>9.3530239999999996</v>
      </c>
      <c r="I419" t="str">
        <f>_xll.BDP("CF UN Equity","CIE_DES")</f>
        <v>CF工業控股公司(CF Industries Holdings, Inc.)提供清潔能源，以永續性方式為世界提供飼料和燃料。CF工業控股公司服務全球客戶。</v>
      </c>
      <c r="J419">
        <f>_xll.BDP("CF UN Equity","ESG_SCORE")</f>
        <v>4.820000171661377</v>
      </c>
      <c r="K419" t="str">
        <f>_xll.BDP("CF UN Equity","MSCI_ESG_RATING")</f>
        <v>BBB</v>
      </c>
      <c r="L419">
        <f>_xll.BDP("CF UN Equity","EQY_BETA")</f>
        <v>0.49854499101638794</v>
      </c>
      <c r="M419">
        <f>_xll.BDP("CF UN Equity","VOLATILITY_60D")</f>
        <v>30.180046918895432</v>
      </c>
      <c r="N419">
        <f>_xll.BDP("CF UN Equity","PCT_INSIDER_SHARES_OUT")</f>
        <v>0.87733730325288573</v>
      </c>
      <c r="O419">
        <f>_xll.BDP("CF UN Equity","PCT_CHG_INSIDER_HOLDINGS")</f>
        <v>3.3857371342652618</v>
      </c>
      <c r="P419">
        <f>_xll.BDP("CF UN Equity","RISK_PREMIUM")</f>
        <v>2.5681697685724494</v>
      </c>
      <c r="Q419">
        <f>_xll.BDP("CF UN Equity","HIGH_52WEEK")</f>
        <v>104.29</v>
      </c>
      <c r="R419">
        <f>_xll.BDP("CF UN Equity","LOW_52WEEK")</f>
        <v>67.34</v>
      </c>
    </row>
    <row r="420" spans="1:18" ht="15.75" x14ac:dyDescent="0.25">
      <c r="A420" t="s">
        <v>436</v>
      </c>
      <c r="B420">
        <f>_xll.BDP("APA UW Equity","RT_PX_CHG_PCT_1D")</f>
        <v>-1.0362999439239502</v>
      </c>
      <c r="C420" t="str">
        <f>_xll.BDP("APA UW Equity","GICS_SECTOR_NAME")</f>
        <v>能源</v>
      </c>
      <c r="D420" t="str">
        <f>_xll.BDP("APA UW Equity","NAME_CHINESE_TRADITIONAL")</f>
        <v>阿帕奇公司</v>
      </c>
      <c r="E420" t="str">
        <f>_xll.BDP("APA UW Equity","CLASSIFICATION_LEVEL_4_NAME")</f>
        <v>探勘及生產</v>
      </c>
      <c r="F420" t="str">
        <f>_xll.BDP("APA UW Equity","CLASSIFICATION_DESCRIPTION")</f>
        <v>原油產量</v>
      </c>
      <c r="G420">
        <f>_xll.BDP("APA UW Equity","CUR_MKT_CAP")</f>
        <v>6892141792</v>
      </c>
      <c r="H420">
        <f>_xll.BDP("APA UW Equity","CHG_PCT_YTD")</f>
        <v>-17.28021</v>
      </c>
      <c r="I420" t="str">
        <f>_xll.BDP("APA UW Equity","CIE_DES")</f>
        <v>阿帕奇公司(APA Corporation)為一家石油及天然氣公司。該公司專精於石油與天然氣資源的探勘及生產。阿帕奇服務全球的客戶。</v>
      </c>
      <c r="J420">
        <f>_xll.BDP("APA UW Equity","ESG_SCORE")</f>
        <v>5.4499998092651367</v>
      </c>
      <c r="K420" t="str">
        <f>_xll.BDP("APA UW Equity","MSCI_ESG_RATING")</f>
        <v>N.S.</v>
      </c>
      <c r="L420">
        <f>_xll.BDP("APA UW Equity","EQY_BETA")</f>
        <v>0.86025035381317139</v>
      </c>
      <c r="M420">
        <f>_xll.BDP("APA UW Equity","VOLATILITY_60D")</f>
        <v>46.386781732145025</v>
      </c>
      <c r="N420">
        <f>_xll.BDP("APA UW Equity","PCT_INSIDER_SHARES_OUT")</f>
        <v>0.52772628532298194</v>
      </c>
      <c r="O420">
        <f>_xll.BDP("APA UW Equity","PCT_CHG_INSIDER_HOLDINGS")</f>
        <v>6.2189364079013005</v>
      </c>
      <c r="P420">
        <f>_xll.BDP("APA UW Equity","RISK_PREMIUM")</f>
        <v>4.4314334551084036</v>
      </c>
      <c r="Q420">
        <f>_xll.BDP("APA UW Equity","HIGH_52WEEK")</f>
        <v>33.380000000000003</v>
      </c>
      <c r="R420">
        <f>_xll.BDP("APA UW Equity","LOW_52WEEK")</f>
        <v>13.585000000000001</v>
      </c>
    </row>
    <row r="421" spans="1:18" ht="15.75" x14ac:dyDescent="0.25">
      <c r="A421" t="s">
        <v>437</v>
      </c>
      <c r="B421">
        <f>_xll.BDP("LDOS UN Equity","RT_PX_CHG_PCT_1D")</f>
        <v>0</v>
      </c>
      <c r="C421" t="str">
        <f>_xll.BDP("LDOS UN Equity","GICS_SECTOR_NAME")</f>
        <v>工業</v>
      </c>
      <c r="D421" t="str">
        <f>_xll.BDP("LDOS UN Equity","NAME_CHINESE_TRADITIONAL")</f>
        <v>雷多斯控股公司</v>
      </c>
      <c r="E421" t="str">
        <f>_xll.BDP("LDOS UN Equity","CLASSIFICATION_LEVEL_4_NAME")</f>
        <v>資訊科技服務</v>
      </c>
      <c r="F421" t="str">
        <f>_xll.BDP("LDOS UN Equity","CLASSIFICATION_DESCRIPTION")</f>
        <v>資訊科技服務 - 政府</v>
      </c>
      <c r="G421">
        <f>_xll.BDP("LDOS UN Equity","CUR_MKT_CAP")</f>
        <v>21013355854</v>
      </c>
      <c r="H421">
        <f>_xll.BDP("LDOS UN Equity","CHG_PCT_YTD")</f>
        <v>13.32084</v>
      </c>
      <c r="I421" t="str">
        <f>_xll.BDP("LDOS UN Equity","CIE_DES")</f>
        <v>雷多斯控股公司(Leidos Holdings, Inc.)提供科學、工程、系統整合及技術服務與解決方案。 該公司提供的服務, 包含國家安全、工程及醫療保健等領域。</v>
      </c>
      <c r="J421">
        <f>_xll.BDP("LDOS UN Equity","ESG_SCORE")</f>
        <v>4.3000001907348633</v>
      </c>
      <c r="K421" t="str">
        <f>_xll.BDP("LDOS UN Equity","MSCI_ESG_RATING")</f>
        <v>AA</v>
      </c>
      <c r="L421">
        <f>_xll.BDP("LDOS UN Equity","EQY_BETA")</f>
        <v>0.84561765193939209</v>
      </c>
      <c r="M421">
        <f>_xll.BDP("LDOS UN Equity","VOLATILITY_60D")</f>
        <v>22.953762760690815</v>
      </c>
      <c r="N421">
        <f>_xll.BDP("LDOS UN Equity","PCT_INSIDER_SHARES_OUT")</f>
        <v>0.96313205263562696</v>
      </c>
      <c r="O421">
        <f>_xll.BDP("LDOS UN Equity","PCT_CHG_INSIDER_HOLDINGS")</f>
        <v>11.793268246490882</v>
      </c>
      <c r="P421">
        <f>_xll.BDP("LDOS UN Equity","RISK_PREMIUM")</f>
        <v>4.3560555789649484</v>
      </c>
      <c r="Q421">
        <f>_xll.BDP("LDOS UN Equity","HIGH_52WEEK")</f>
        <v>202.62</v>
      </c>
      <c r="R421">
        <f>_xll.BDP("LDOS UN Equity","LOW_52WEEK")</f>
        <v>124</v>
      </c>
    </row>
    <row r="422" spans="1:18" ht="15.75" x14ac:dyDescent="0.25">
      <c r="A422" t="s">
        <v>438</v>
      </c>
      <c r="B422">
        <f>_xll.BDP("GOOG UW Equity","RT_PX_CHG_PCT_1D")</f>
        <v>0.45550000667572021</v>
      </c>
      <c r="C422" t="str">
        <f>_xll.BDP("GOOG UW Equity","GICS_SECTOR_NAME")</f>
        <v>通訊服務</v>
      </c>
      <c r="D422" t="str">
        <f>_xll.BDP("GOOG UW Equity","NAME_CHINESE_TRADITIONAL")</f>
        <v>Alphabet公司</v>
      </c>
      <c r="E422" t="str">
        <f>_xll.BDP("GOOG UW Equity","CLASSIFICATION_LEVEL_4_NAME")</f>
        <v>網路媒體及服務</v>
      </c>
      <c r="F422" t="str">
        <f>_xll.BDP("GOOG UW Equity","CLASSIFICATION_DESCRIPTION")</f>
        <v>廣告收入-網路</v>
      </c>
      <c r="G422">
        <f>_xll.BDP("GOOG UW Equity","CUR_MKT_CAP")</f>
        <v>2341587070000.0005</v>
      </c>
      <c r="H422">
        <f>_xll.BDP("GOOG UW Equity","CHG_PCT_YTD")</f>
        <v>1.911362</v>
      </c>
      <c r="I422" t="str">
        <f>_xll.BDP("GOOG UW Equity","CIE_DES")</f>
        <v>Alphabet公司(Alphabet Inc.)為一家控股公司。該公司透過其子公司，提供網路搜尋、廣告、地圖、軟體應用程式、行動作業系統、消費者內容、企業解決方案、商業及硬體產品。</v>
      </c>
      <c r="J422">
        <f>_xll.BDP("GOOG UW Equity","ESG_SCORE")</f>
        <v>4.2899999618530273</v>
      </c>
      <c r="K422" t="str">
        <f>_xll.BDP("GOOG UW Equity","MSCI_ESG_RATING")</f>
        <v>BBB</v>
      </c>
      <c r="L422">
        <f>_xll.BDP("GOOG UW Equity","EQY_BETA")</f>
        <v>1.0321118831634521</v>
      </c>
      <c r="M422">
        <f>_xll.BDP("GOOG UW Equity","VOLATILITY_60D")</f>
        <v>29.008873003665737</v>
      </c>
      <c r="N422">
        <f>_xll.BDP("GOOG UW Equity","PCT_INSIDER_SHARES_OUT")</f>
        <v>14.019551362799263</v>
      </c>
      <c r="O422">
        <f>_xll.BDP("GOOG UW Equity","PCT_CHG_INSIDER_HOLDINGS")</f>
        <v>-0.29046080934273255</v>
      </c>
      <c r="P422">
        <f>_xll.BDP("GOOG UW Equity","RISK_PREMIUM")</f>
        <v>5.3803842232990267</v>
      </c>
      <c r="Q422">
        <f>_xll.BDP("GOOG UW Equity","HIGH_52WEEK")</f>
        <v>208.7</v>
      </c>
      <c r="R422">
        <f>_xll.BDP("GOOG UW Equity","LOW_52WEEK")</f>
        <v>142.69</v>
      </c>
    </row>
    <row r="423" spans="1:18" ht="15.75" x14ac:dyDescent="0.25">
      <c r="A423" t="s">
        <v>439</v>
      </c>
      <c r="B423">
        <f>_xll.BDP("TKO UN Equity","RT_PX_CHG_PCT_1D")</f>
        <v>1.2201999425888062</v>
      </c>
      <c r="C423" t="str">
        <f>_xll.BDP("TKO UN Equity","GICS_SECTOR_NAME")</f>
        <v>通訊服務</v>
      </c>
      <c r="D423" t="str">
        <f>_xll.BDP("TKO UN Equity","NAME_CHINESE_TRADITIONAL")</f>
        <v>TKO Group Holdings Inc</v>
      </c>
      <c r="E423" t="str">
        <f>_xll.BDP("TKO UN Equity","CLASSIFICATION_LEVEL_4_NAME")</f>
        <v>娛樂設施</v>
      </c>
      <c r="F423" t="str">
        <f>_xll.BDP("TKO UN Equity","CLASSIFICATION_DESCRIPTION")</f>
        <v>職業體育及相關活動</v>
      </c>
      <c r="G423">
        <f>_xll.BDP("TKO UN Equity","CUR_MKT_CAP")</f>
        <v>33653928904</v>
      </c>
      <c r="H423">
        <f>_xll.BDP("TKO UN Equity","CHG_PCT_YTD")</f>
        <v>19.660830000000001</v>
      </c>
      <c r="I423" t="str">
        <f>_xll.BDP("TKO UN Equity","CIE_DES")</f>
        <v>TKO集團控股公司（TKO Group Holdings, Inc.）為一家控股公司。該公司透過旗下子公司，提供體育娛樂服務，並著重於組織現場活動。TKO集團控股服務全球客戶。</v>
      </c>
      <c r="J423">
        <f>_xll.BDP("TKO UN Equity","ESG_SCORE")</f>
        <v>1.7100000381469727</v>
      </c>
      <c r="K423" t="str">
        <f>_xll.BDP("TKO UN Equity","MSCI_ESG_RATING")</f>
        <v>N.S.</v>
      </c>
      <c r="L423">
        <f>_xll.BDP("TKO UN Equity","EQY_BETA")</f>
        <v>0.8031914234161377</v>
      </c>
      <c r="M423">
        <f>_xll.BDP("TKO UN Equity","VOLATILITY_60D")</f>
        <v>26.53502828480908</v>
      </c>
      <c r="N423">
        <f>_xll.BDP("TKO UN Equity","PCT_INSIDER_SHARES_OUT")</f>
        <v>0.84418291966711634</v>
      </c>
      <c r="O423">
        <f>_xll.BDP("TKO UN Equity","PCT_CHG_INSIDER_HOLDINGS")</f>
        <v>-1.5802301968190098</v>
      </c>
      <c r="P423">
        <f>_xll.BDP("TKO UN Equity","RISK_PREMIUM")</f>
        <v>4.1375040751862526</v>
      </c>
      <c r="Q423">
        <f>_xll.BDP("TKO UN Equity","HIGH_52WEEK")</f>
        <v>182.6</v>
      </c>
      <c r="R423">
        <f>_xll.BDP("TKO UN Equity","LOW_52WEEK")</f>
        <v>103.75</v>
      </c>
    </row>
    <row r="424" spans="1:18" ht="15.75" x14ac:dyDescent="0.25">
      <c r="A424" t="s">
        <v>440</v>
      </c>
      <c r="B424">
        <f>_xll.BDP("FSLR UW Equity","RT_PX_CHG_PCT_1D")</f>
        <v>2.5453999042510986</v>
      </c>
      <c r="C424" t="str">
        <f>_xll.BDP("FSLR UW Equity","GICS_SECTOR_NAME")</f>
        <v>資訊技術</v>
      </c>
      <c r="D424" t="str">
        <f>_xll.BDP("FSLR UW Equity","NAME_CHINESE_TRADITIONAL")</f>
        <v>第一太陽能</v>
      </c>
      <c r="E424" t="str">
        <f>_xll.BDP("FSLR UW Equity","CLASSIFICATION_LEVEL_4_NAME")</f>
        <v>可再生能源設備</v>
      </c>
      <c r="F424" t="str">
        <f>_xll.BDP("FSLR UW Equity","CLASSIFICATION_DESCRIPTION")</f>
        <v>薄膜模組</v>
      </c>
      <c r="G424">
        <f>_xll.BDP("FSLR UW Equity","CUR_MKT_CAP")</f>
        <v>19874546848.279999</v>
      </c>
      <c r="H424">
        <f>_xll.BDP("FSLR UW Equity","CHG_PCT_YTD")</f>
        <v>5.1520619999999999</v>
      </c>
      <c r="I424" t="str">
        <f>_xll.BDP("FSLR UW Equity","CIE_DES")</f>
        <v>第一太陽能公司(First Solar, Inc.)設計及生產太陽能模組。該公司利用薄膜半導體技術以製造太陽能發電模組。</v>
      </c>
      <c r="J424">
        <f>_xll.BDP("FSLR UW Equity","ESG_SCORE")</f>
        <v>5.5399999618530273</v>
      </c>
      <c r="K424" t="str">
        <f>_xll.BDP("FSLR UW Equity","MSCI_ESG_RATING")</f>
        <v>AA</v>
      </c>
      <c r="L424">
        <f>_xll.BDP("FSLR UW Equity","EQY_BETA")</f>
        <v>1.079703688621521</v>
      </c>
      <c r="M424">
        <f>_xll.BDP("FSLR UW Equity","VOLATILITY_60D")</f>
        <v>82.992099131238547</v>
      </c>
      <c r="N424">
        <f>_xll.BDP("FSLR UW Equity","PCT_INSIDER_SHARES_OUT")</f>
        <v>0.5330436525882446</v>
      </c>
      <c r="O424">
        <f>_xll.BDP("FSLR UW Equity","PCT_CHG_INSIDER_HOLDINGS")</f>
        <v>16.238544608671429</v>
      </c>
      <c r="P424">
        <f>_xll.BDP("FSLR UW Equity","RISK_PREMIUM")</f>
        <v>5.5619100023066999</v>
      </c>
      <c r="Q424">
        <f>_xll.BDP("FSLR UW Equity","HIGH_52WEEK")</f>
        <v>262.58999999999997</v>
      </c>
      <c r="R424">
        <f>_xll.BDP("FSLR UW Equity","LOW_52WEEK")</f>
        <v>116.59</v>
      </c>
    </row>
    <row r="425" spans="1:18" ht="15.75" x14ac:dyDescent="0.25">
      <c r="A425" t="s">
        <v>441</v>
      </c>
      <c r="B425">
        <f>_xll.BDP("V UN Equity","RT_PX_CHG_PCT_1D")</f>
        <v>0.86729997396469116</v>
      </c>
      <c r="C425" t="str">
        <f>_xll.BDP("V UN Equity","GICS_SECTOR_NAME")</f>
        <v>金融</v>
      </c>
      <c r="D425" t="str">
        <f>_xll.BDP("V UN Equity","NAME_CHINESE_TRADITIONAL")</f>
        <v>威士卡</v>
      </c>
      <c r="E425" t="str">
        <f>_xll.BDP("V UN Equity","CLASSIFICATION_LEVEL_4_NAME")</f>
        <v>其它金融服務</v>
      </c>
      <c r="F425" t="str">
        <f>_xll.BDP("V UN Equity","CLASSIFICATION_DESCRIPTION")</f>
        <v>金融交易處理服務</v>
      </c>
      <c r="G425">
        <f>_xll.BDP("V UN Equity","CUR_MKT_CAP")</f>
        <v>707698139697.82813</v>
      </c>
      <c r="H425">
        <f>_xll.BDP("V UN Equity","CHG_PCT_YTD")</f>
        <v>12.973039999999999</v>
      </c>
      <c r="I425" t="str">
        <f>_xll.BDP("V UN Equity","CIE_DES")</f>
        <v>威士卡(Visa Inc.)經營零售電子支付網路及管理全球金融服務。 該公司亦透過金融機構、企業、消費者、商業和政府機構之間的價值與資訊移轉，來提供全球商務。</v>
      </c>
      <c r="J425">
        <f>_xll.BDP("V UN Equity","ESG_SCORE")</f>
        <v>6.119999885559082</v>
      </c>
      <c r="K425" t="str">
        <f>_xll.BDP("V UN Equity","MSCI_ESG_RATING")</f>
        <v>AA</v>
      </c>
      <c r="L425">
        <f>_xll.BDP("V UN Equity","EQY_BETA")</f>
        <v>0.83889931440353394</v>
      </c>
      <c r="M425">
        <f>_xll.BDP("V UN Equity","VOLATILITY_60D")</f>
        <v>21.598314856523878</v>
      </c>
      <c r="N425">
        <f>_xll.BDP("V UN Equity","PCT_INSIDER_SHARES_OUT")</f>
        <v>3.9588833332846289E-2</v>
      </c>
      <c r="O425">
        <f>_xll.BDP("V UN Equity","PCT_CHG_INSIDER_HOLDINGS")</f>
        <v>-1.7655427659009792</v>
      </c>
      <c r="P425">
        <f>_xll.BDP("V UN Equity","RISK_PREMIUM")</f>
        <v>4.321447205266356</v>
      </c>
      <c r="Q425">
        <f>_xll.BDP("V UN Equity","HIGH_52WEEK")</f>
        <v>375.51</v>
      </c>
      <c r="R425">
        <f>_xll.BDP("V UN Equity","LOW_52WEEK")</f>
        <v>254.51</v>
      </c>
    </row>
    <row r="426" spans="1:18" ht="15.75" x14ac:dyDescent="0.25">
      <c r="A426" t="s">
        <v>442</v>
      </c>
      <c r="B426">
        <f>_xll.BDP("MAA UN Equity","RT_PX_CHG_PCT_1D")</f>
        <v>-1.9799999892711639E-2</v>
      </c>
      <c r="C426" t="str">
        <f>_xll.BDP("MAA UN Equity","GICS_SECTOR_NAME")</f>
        <v>房地產</v>
      </c>
      <c r="D426" t="str">
        <f>_xll.BDP("MAA UN Equity","NAME_CHINESE_TRADITIONAL")</f>
        <v>Mid-America Apartment Commun</v>
      </c>
      <c r="E426" t="str">
        <f>_xll.BDP("MAA UN Equity","CLASSIFICATION_LEVEL_4_NAME")</f>
        <v>住宅不動產投資信託</v>
      </c>
      <c r="F426" t="str">
        <f>_xll.BDP("MAA UN Equity","CLASSIFICATION_DESCRIPTION")</f>
        <v>公寓REIT</v>
      </c>
      <c r="G426">
        <f>_xll.BDP("MAA UN Equity","CUR_MKT_CAP")</f>
        <v>17751802328.099998</v>
      </c>
      <c r="H426">
        <f>_xll.BDP("MAA UN Equity","CHG_PCT_YTD")</f>
        <v>-1.889116</v>
      </c>
      <c r="I426" t="str">
        <f>_xll.BDP("MAA UN Equity","CIE_DES")</f>
        <v>Mid-America Apartment Communities公司(Mid-America Apartment Communities, Inc.)為自管型不動產投資信託，其擁有、收購並經營美國東南部、中西部及德州的多戶公寓社區。此外，該公司也透過其服務公司，經營第三方房地產管理、開發及建設活動。</v>
      </c>
      <c r="J426">
        <f>_xll.BDP("MAA UN Equity","ESG_SCORE")</f>
        <v>4.9800000190734863</v>
      </c>
      <c r="K426" t="str">
        <f>_xll.BDP("MAA UN Equity","MSCI_ESG_RATING")</f>
        <v>BB</v>
      </c>
      <c r="L426">
        <f>_xll.BDP("MAA UN Equity","EQY_BETA")</f>
        <v>0.72610938549041748</v>
      </c>
      <c r="M426">
        <f>_xll.BDP("MAA UN Equity","VOLATILITY_60D")</f>
        <v>18.869024840354918</v>
      </c>
      <c r="N426">
        <f>_xll.BDP("MAA UN Equity","PCT_INSIDER_SHARES_OUT")</f>
        <v>0.69037104872212596</v>
      </c>
      <c r="O426">
        <f>_xll.BDP("MAA UN Equity","PCT_CHG_INSIDER_HOLDINGS")</f>
        <v>1.4820480225624761</v>
      </c>
      <c r="P426">
        <f>_xll.BDP("MAA UN Equity","RISK_PREMIUM")</f>
        <v>3.7404290607583519</v>
      </c>
      <c r="Q426">
        <f>_xll.BDP("MAA UN Equity","HIGH_52WEEK")</f>
        <v>173.21</v>
      </c>
      <c r="R426">
        <f>_xll.BDP("MAA UN Equity","LOW_52WEEK")</f>
        <v>139.6</v>
      </c>
    </row>
    <row r="427" spans="1:18" ht="15.75" x14ac:dyDescent="0.25">
      <c r="A427" t="s">
        <v>443</v>
      </c>
      <c r="B427">
        <f>_xll.BDP("XYL UN Equity","RT_PX_CHG_PCT_1D")</f>
        <v>1.0133999586105347</v>
      </c>
      <c r="C427" t="str">
        <f>_xll.BDP("XYL UN Equity","GICS_SECTOR_NAME")</f>
        <v>工業</v>
      </c>
      <c r="D427" t="str">
        <f>_xll.BDP("XYL UN Equity","NAME_CHINESE_TRADITIONAL")</f>
        <v>Xylem公司</v>
      </c>
      <c r="E427" t="str">
        <f>_xll.BDP("XYL UN Equity","CLASSIFICATION_LEVEL_4_NAME")</f>
        <v>流量控制設備</v>
      </c>
      <c r="F427" t="str">
        <f>_xll.BDP("XYL UN Equity","CLASSIFICATION_DESCRIPTION")</f>
        <v>幫浦及抽唧設備</v>
      </c>
      <c r="G427">
        <f>_xll.BDP("XYL UN Equity","CUR_MKT_CAP")</f>
        <v>32261043528.269997</v>
      </c>
      <c r="H427">
        <f>_xll.BDP("XYL UN Equity","CHG_PCT_YTD")</f>
        <v>14.26479</v>
      </c>
      <c r="I427" t="str">
        <f>_xll.BDP("XYL UN Equity","CIE_DES")</f>
        <v>Xylem公司(Xylem, Inc.)為水和廢水處理的設計、製造、設備及服務商，解決從集水、分配、利用至回歸自然的全套水循環問題。該公司產品包括水及廢水幫浦、處理及測試設備、工業用幫浦、閥、熱交換器及分裝設備。</v>
      </c>
      <c r="J427">
        <f>_xll.BDP("XYL UN Equity","ESG_SCORE")</f>
        <v>6.5100002288818359</v>
      </c>
      <c r="K427" t="str">
        <f>_xll.BDP("XYL UN Equity","MSCI_ESG_RATING")</f>
        <v>AAA</v>
      </c>
      <c r="L427">
        <f>_xll.BDP("XYL UN Equity","EQY_BETA")</f>
        <v>1.1251338720321655</v>
      </c>
      <c r="M427">
        <f>_xll.BDP("XYL UN Equity","VOLATILITY_60D")</f>
        <v>17.124181483548952</v>
      </c>
      <c r="N427">
        <f>_xll.BDP("XYL UN Equity","PCT_INSIDER_SHARES_OUT")</f>
        <v>0.35396238355297494</v>
      </c>
      <c r="O427">
        <f>_xll.BDP("XYL UN Equity","PCT_CHG_INSIDER_HOLDINGS")</f>
        <v>2.1147982530597536</v>
      </c>
      <c r="P427">
        <f>_xll.BDP("XYL UN Equity","RISK_PREMIUM")</f>
        <v>5.7959358690154552</v>
      </c>
      <c r="Q427">
        <f>_xll.BDP("XYL UN Equity","HIGH_52WEEK")</f>
        <v>143.5</v>
      </c>
      <c r="R427">
        <f>_xll.BDP("XYL UN Equity","LOW_52WEEK")</f>
        <v>100.72</v>
      </c>
    </row>
    <row r="428" spans="1:18" ht="15.75" x14ac:dyDescent="0.25">
      <c r="A428" t="s">
        <v>444</v>
      </c>
      <c r="B428">
        <f>_xll.BDP("MPC UN Equity","RT_PX_CHG_PCT_1D")</f>
        <v>0.1518000066280365</v>
      </c>
      <c r="C428" t="str">
        <f>_xll.BDP("MPC UN Equity","GICS_SECTOR_NAME")</f>
        <v>能源</v>
      </c>
      <c r="D428" t="str">
        <f>_xll.BDP("MPC UN Equity","NAME_CHINESE_TRADITIONAL")</f>
        <v>馬拉松石油公司</v>
      </c>
      <c r="E428" t="str">
        <f>_xll.BDP("MPC UN Equity","CLASSIFICATION_LEVEL_4_NAME")</f>
        <v>提煉及行銷</v>
      </c>
      <c r="F428" t="str">
        <f>_xll.BDP("MPC UN Equity","CLASSIFICATION_DESCRIPTION")</f>
        <v>石油煉製</v>
      </c>
      <c r="G428">
        <f>_xll.BDP("MPC UN Equity","CUR_MKT_CAP")</f>
        <v>52708676469.959999</v>
      </c>
      <c r="H428">
        <f>_xll.BDP("MPC UN Equity","CHG_PCT_YTD")</f>
        <v>22.989249999999998</v>
      </c>
      <c r="I428" t="str">
        <f>_xll.BDP("MPC UN Equity","CIE_DES")</f>
        <v>馬拉松石油公司(Marathon Petroleum Corporation)為一家下游能源公司。該公司精煉、供應、行銷及運輸石油產品。馬拉松石油服務美國的客戶。</v>
      </c>
      <c r="J428">
        <f>_xll.BDP("MPC UN Equity","ESG_SCORE")</f>
        <v>5.5</v>
      </c>
      <c r="K428" t="str">
        <f>_xll.BDP("MPC UN Equity","MSCI_ESG_RATING")</f>
        <v>A</v>
      </c>
      <c r="L428">
        <f>_xll.BDP("MPC UN Equity","EQY_BETA")</f>
        <v>0.91813802719116211</v>
      </c>
      <c r="M428">
        <f>_xll.BDP("MPC UN Equity","VOLATILITY_60D")</f>
        <v>25.967901889220911</v>
      </c>
      <c r="N428">
        <f>_xll.BDP("MPC UN Equity","PCT_INSIDER_SHARES_OUT")</f>
        <v>0.32355008759372128</v>
      </c>
      <c r="O428">
        <f>_xll.BDP("MPC UN Equity","PCT_CHG_INSIDER_HOLDINGS")</f>
        <v>3.8076271881899486</v>
      </c>
      <c r="P428">
        <f>_xll.BDP("MPC UN Equity","RISK_PREMIUM")</f>
        <v>4.7296319636106485</v>
      </c>
      <c r="Q428">
        <f>_xll.BDP("MPC UN Equity","HIGH_52WEEK")</f>
        <v>183.31</v>
      </c>
      <c r="R428">
        <f>_xll.BDP("MPC UN Equity","LOW_52WEEK")</f>
        <v>115.29</v>
      </c>
    </row>
    <row r="429" spans="1:18" ht="15.75" x14ac:dyDescent="0.25">
      <c r="A429" t="s">
        <v>445</v>
      </c>
      <c r="B429">
        <f>_xll.BDP("TSCO UW Equity","RT_PX_CHG_PCT_1D")</f>
        <v>-1.6899999231100082E-2</v>
      </c>
      <c r="C429" t="str">
        <f>_xll.BDP("TSCO UW Equity","GICS_SECTOR_NAME")</f>
        <v>非核心消費</v>
      </c>
      <c r="D429" t="str">
        <f>_xll.BDP("TSCO UW Equity","NAME_CHINESE_TRADITIONAL")</f>
        <v>曳引車供應公司</v>
      </c>
      <c r="E429" t="str">
        <f>_xll.BDP("TSCO UW Equity","CLASSIFICATION_LEVEL_4_NAME")</f>
        <v>家居產品店</v>
      </c>
      <c r="F429" t="str">
        <f>_xll.BDP("TSCO UW Equity","CLASSIFICATION_DESCRIPTION")</f>
        <v>苗圃及園藝中心</v>
      </c>
      <c r="G429">
        <f>_xll.BDP("TSCO UW Equity","CUR_MKT_CAP")</f>
        <v>31456940014.890003</v>
      </c>
      <c r="H429">
        <f>_xll.BDP("TSCO UW Equity","CHG_PCT_YTD")</f>
        <v>11.81681</v>
      </c>
      <c r="I429" t="str">
        <f>_xll.BDP("TSCO UW Equity","CIE_DES")</f>
        <v>曳引車供應公司(Tractor Supply Inc)於美國經營零售農業商店連鎖。該公司提供農場維護、動物、一般維護、草皮與園藝、輕型卡車設備、工作服，以及其它產品。曳引車供應公司服務牧場主、嗜好家、兼職，與全職農民，以及農村客戶、承包商，和零售商。</v>
      </c>
      <c r="J429">
        <f>_xll.BDP("TSCO UW Equity","ESG_SCORE")</f>
        <v>6.4099998474121094</v>
      </c>
      <c r="K429" t="str">
        <f>_xll.BDP("TSCO UW Equity","MSCI_ESG_RATING")</f>
        <v>AAA</v>
      </c>
      <c r="L429">
        <f>_xll.BDP("TSCO UW Equity","EQY_BETA")</f>
        <v>0.78247463703155518</v>
      </c>
      <c r="M429">
        <f>_xll.BDP("TSCO UW Equity","VOLATILITY_60D")</f>
        <v>25.748769427763889</v>
      </c>
      <c r="N429">
        <f>_xll.BDP("TSCO UW Equity","PCT_INSIDER_SHARES_OUT")</f>
        <v>0.34629766887355762</v>
      </c>
      <c r="O429">
        <f>_xll.BDP("TSCO UW Equity","PCT_CHG_INSIDER_HOLDINGS")</f>
        <v>-0.49622880938732566</v>
      </c>
      <c r="P429">
        <f>_xll.BDP("TSCO UW Equity","RISK_PREMIUM")</f>
        <v>4.0307850719797607</v>
      </c>
      <c r="Q429">
        <f>_xll.BDP("TSCO UW Equity","HIGH_52WEEK")</f>
        <v>63.96</v>
      </c>
      <c r="R429">
        <f>_xll.BDP("TSCO UW Equity","LOW_52WEEK")</f>
        <v>46.87</v>
      </c>
    </row>
    <row r="430" spans="1:18" ht="15.75" x14ac:dyDescent="0.25">
      <c r="A430" t="s">
        <v>446</v>
      </c>
      <c r="B430">
        <f>_xll.BDP("AMD UW Equity","RT_PX_CHG_PCT_1D")</f>
        <v>2.6831998825073242</v>
      </c>
      <c r="C430" t="str">
        <f>_xll.BDP("AMD UW Equity","GICS_SECTOR_NAME")</f>
        <v>資訊技術</v>
      </c>
      <c r="D430" t="str">
        <f>_xll.BDP("AMD UW Equity","NAME_CHINESE_TRADITIONAL")</f>
        <v>超微半導體公司</v>
      </c>
      <c r="E430" t="str">
        <f>_xll.BDP("AMD UW Equity","CLASSIFICATION_LEVEL_4_NAME")</f>
        <v>半導體元件</v>
      </c>
      <c r="F430" t="str">
        <f>_xll.BDP("AMD UW Equity","CLASSIFICATION_DESCRIPTION")</f>
        <v>特殊用途多媒體</v>
      </c>
      <c r="G430">
        <f>_xll.BDP("AMD UW Equity","CUR_MKT_CAP")</f>
        <v>269915156341.64999</v>
      </c>
      <c r="H430">
        <f>_xll.BDP("AMD UW Equity","CHG_PCT_YTD")</f>
        <v>37.817700000000002</v>
      </c>
      <c r="I430" t="str">
        <f>_xll.BDP("AMD UW Equity","CIE_DES")</f>
        <v>超微半導體公司(Advanced Micro Devices, Inc. (AMD))生產半導體產品與裝置。該公司提供產品例如：微處理器、嵌入式微處理器、晶片、圖形、影音，以及多媒體產品，並將其提供予第三方代工廠，亦提供組裝、測試，和包裝服務。超微半導體服務全球客戶。</v>
      </c>
      <c r="J430">
        <f>_xll.BDP("AMD UW Equity","ESG_SCORE")</f>
        <v>6.9200000762939453</v>
      </c>
      <c r="K430" t="str">
        <f>_xll.BDP("AMD UW Equity","MSCI_ESG_RATING")</f>
        <v>AA</v>
      </c>
      <c r="L430">
        <f>_xll.BDP("AMD UW Equity","EQY_BETA")</f>
        <v>1.7535936832427979</v>
      </c>
      <c r="M430">
        <f>_xll.BDP("AMD UW Equity","VOLATILITY_60D")</f>
        <v>41.426525227712617</v>
      </c>
      <c r="N430">
        <f>_xll.BDP("AMD UW Equity","PCT_INSIDER_SHARES_OUT")</f>
        <v>0.5901616746967443</v>
      </c>
      <c r="O430">
        <f>_xll.BDP("AMD UW Equity","PCT_CHG_INSIDER_HOLDINGS")</f>
        <v>0.43706142318913144</v>
      </c>
      <c r="P430">
        <f>_xll.BDP("AMD UW Equity","RISK_PREMIUM")</f>
        <v>9.033339748299122</v>
      </c>
      <c r="Q430">
        <f>_xll.BDP("AMD UW Equity","HIGH_52WEEK")</f>
        <v>174.04</v>
      </c>
      <c r="R430">
        <f>_xll.BDP("AMD UW Equity","LOW_52WEEK")</f>
        <v>76.489999999999995</v>
      </c>
    </row>
    <row r="431" spans="1:18" ht="15.75" x14ac:dyDescent="0.25">
      <c r="A431" t="s">
        <v>447</v>
      </c>
      <c r="B431">
        <f>_xll.BDP("RMD UN Equity","RT_PX_CHG_PCT_1D")</f>
        <v>0.60689997673034668</v>
      </c>
      <c r="C431" t="str">
        <f>_xll.BDP("RMD UN Equity","GICS_SECTOR_NAME")</f>
        <v>醫療保健</v>
      </c>
      <c r="D431" t="str">
        <f>_xll.BDP("RMD UN Equity","NAME_CHINESE_TRADITIONAL")</f>
        <v>瑞斯邁股份有限公司</v>
      </c>
      <c r="E431" t="str">
        <f>_xll.BDP("RMD UN Equity","CLASSIFICATION_LEVEL_4_NAME")</f>
        <v>醫療保健用品</v>
      </c>
      <c r="F431" t="str">
        <f>_xll.BDP("RMD UN Equity","CLASSIFICATION_DESCRIPTION")</f>
        <v>外科用器具及用品</v>
      </c>
      <c r="G431">
        <f>_xll.BDP("RMD UN Equity","CUR_MKT_CAP")</f>
        <v>40345995108.840004</v>
      </c>
      <c r="H431">
        <f>_xll.BDP("RMD UN Equity","CHG_PCT_YTD")</f>
        <v>20.320080000000001</v>
      </c>
      <c r="I431" t="str">
        <f>_xll.BDP("RMD UN Equity","CIE_DES")</f>
        <v>瑞斯邁股份有限公司(ResMed Inc.)研發、製造並行銷治療睡眠呼吸障礙的醫療設備。該公司透過子公司和獨立經銷商，販售診斷和治療設備至多個國家。</v>
      </c>
      <c r="J431">
        <f>_xll.BDP("RMD UN Equity","ESG_SCORE")</f>
        <v>5.5300002098083496</v>
      </c>
      <c r="K431" t="str">
        <f>_xll.BDP("RMD UN Equity","MSCI_ESG_RATING")</f>
        <v>A</v>
      </c>
      <c r="L431">
        <f>_xll.BDP("RMD UN Equity","EQY_BETA")</f>
        <v>1.0617961883544922</v>
      </c>
      <c r="M431">
        <f>_xll.BDP("RMD UN Equity","VOLATILITY_60D")</f>
        <v>13.974215849410568</v>
      </c>
      <c r="N431">
        <f>_xll.BDP("RMD UN Equity","PCT_INSIDER_SHARES_OUT")</f>
        <v>0.76171029425605308</v>
      </c>
      <c r="O431">
        <f>_xll.BDP("RMD UN Equity","PCT_CHG_INSIDER_HOLDINGS")</f>
        <v>-1.9450953708869418</v>
      </c>
      <c r="P431">
        <f>_xll.BDP("RMD UN Equity","RISK_PREMIUM")</f>
        <v>5.4696625589561458</v>
      </c>
      <c r="Q431">
        <f>_xll.BDP("RMD UN Equity","HIGH_52WEEK")</f>
        <v>275.77999999999997</v>
      </c>
      <c r="R431">
        <f>_xll.BDP("RMD UN Equity","LOW_52WEEK")</f>
        <v>198.98</v>
      </c>
    </row>
    <row r="432" spans="1:18" ht="15.75" x14ac:dyDescent="0.25">
      <c r="A432" t="s">
        <v>448</v>
      </c>
      <c r="B432">
        <f>_xll.BDP("MTD UN Equity","RT_PX_CHG_PCT_1D")</f>
        <v>0.25699999928474426</v>
      </c>
      <c r="C432" t="str">
        <f>_xll.BDP("MTD UN Equity","GICS_SECTOR_NAME")</f>
        <v>醫療保健</v>
      </c>
      <c r="D432" t="str">
        <f>_xll.BDP("MTD UN Equity","NAME_CHINESE_TRADITIONAL")</f>
        <v>Mettler-Toledo國際公司</v>
      </c>
      <c r="E432" t="str">
        <f>_xll.BDP("MTD UN Equity","CLASSIFICATION_LEVEL_4_NAME")</f>
        <v>生命科學設備</v>
      </c>
      <c r="F432" t="str">
        <f>_xll.BDP("MTD UN Equity","CLASSIFICATION_DESCRIPTION")</f>
        <v>分析用實驗設備</v>
      </c>
      <c r="G432">
        <f>_xll.BDP("MTD UN Equity","CUR_MKT_CAP")</f>
        <v>26269233676.139996</v>
      </c>
      <c r="H432">
        <f>_xll.BDP("MTD UN Equity","CHG_PCT_YTD")</f>
        <v>3.2941569999999998</v>
      </c>
      <c r="I432" t="str">
        <f>_xll.BDP("MTD UN Equity","CIE_DES")</f>
        <v>Mettler-Toledo國際公司(Mettler-Toledo International Inc.)生產並行銷實驗室、工業和食品零售用途的秤重工具。該公司亦提供數種相關分析與衡量科技。Mettler-Toledo服務全球客戶。</v>
      </c>
      <c r="J432">
        <f>_xll.BDP("MTD UN Equity","ESG_SCORE")</f>
        <v>6.929999828338623</v>
      </c>
      <c r="K432" t="str">
        <f>_xll.BDP("MTD UN Equity","MSCI_ESG_RATING")</f>
        <v>AAA</v>
      </c>
      <c r="L432">
        <f>_xll.BDP("MTD UN Equity","EQY_BETA")</f>
        <v>1.0938820838928223</v>
      </c>
      <c r="M432">
        <f>_xll.BDP("MTD UN Equity","VOLATILITY_60D")</f>
        <v>36.514468130353215</v>
      </c>
      <c r="N432">
        <f>_xll.BDP("MTD UN Equity","PCT_INSIDER_SHARES_OUT")</f>
        <v>1.5767709725210137</v>
      </c>
      <c r="O432">
        <f>_xll.BDP("MTD UN Equity","PCT_CHG_INSIDER_HOLDINGS")</f>
        <v>0.1583231197601313</v>
      </c>
      <c r="P432">
        <f>_xll.BDP("MTD UN Equity","RISK_PREMIUM")</f>
        <v>5.6349475952196117</v>
      </c>
      <c r="Q432">
        <f>_xll.BDP("MTD UN Equity","HIGH_52WEEK")</f>
        <v>1532.67</v>
      </c>
      <c r="R432">
        <f>_xll.BDP("MTD UN Equity","LOW_52WEEK")</f>
        <v>950.44</v>
      </c>
    </row>
    <row r="433" spans="1:18" ht="15.75" x14ac:dyDescent="0.25">
      <c r="A433" t="s">
        <v>449</v>
      </c>
      <c r="B433">
        <f>_xll.BDP("VICI UN Equity","RT_PX_CHG_PCT_1D")</f>
        <v>-8.9800000190734863E-2</v>
      </c>
      <c r="C433" t="str">
        <f>_xll.BDP("VICI UN Equity","GICS_SECTOR_NAME")</f>
        <v>房地產</v>
      </c>
      <c r="D433" t="str">
        <f>_xll.BDP("VICI UN Equity","NAME_CHINESE_TRADITIONAL")</f>
        <v>VICI房地產公司</v>
      </c>
      <c r="E433" t="str">
        <f>_xll.BDP("VICI UN Equity","CLASSIFICATION_LEVEL_4_NAME")</f>
        <v>博奕REIT</v>
      </c>
      <c r="F433" t="str">
        <f>_xll.BDP("VICI UN Equity","CLASSIFICATION_DESCRIPTION")</f>
        <v>博奕REIT</v>
      </c>
      <c r="G433">
        <f>_xll.BDP("VICI UN Equity","CUR_MKT_CAP")</f>
        <v>35272731052.239998</v>
      </c>
      <c r="H433">
        <f>_xll.BDP("VICI UN Equity","CHG_PCT_YTD")</f>
        <v>14.27594</v>
      </c>
      <c r="I433" t="str">
        <f>_xll.BDP("VICI UN Equity","CIE_DES")</f>
        <v>VICI房地產公司(VICI Properties Inc.)為一家體驗式不動產投資信託，其擁有市場領先的博弈、飯店，以及娛樂目的地的最大投資組合之一，包括世界著名的凱撒宮殿。VICI房地產的策略為創造全國最高品質和最具生產力的體驗式不動產投資組合。</v>
      </c>
      <c r="J433">
        <f>_xll.BDP("VICI UN Equity","ESG_SCORE")</f>
        <v>4.0199999809265137</v>
      </c>
      <c r="K433" t="str">
        <f>_xll.BDP("VICI UN Equity","MSCI_ESG_RATING")</f>
        <v>A</v>
      </c>
      <c r="L433">
        <f>_xll.BDP("VICI UN Equity","EQY_BETA")</f>
        <v>0.59410107135772705</v>
      </c>
      <c r="M433">
        <f>_xll.BDP("VICI UN Equity","VOLATILITY_60D")</f>
        <v>15.233859681422823</v>
      </c>
      <c r="N433">
        <f>_xll.BDP("VICI UN Equity","PCT_INSIDER_SHARES_OUT")</f>
        <v>0.28163826543503706</v>
      </c>
      <c r="O433">
        <f>_xll.BDP("VICI UN Equity","PCT_CHG_INSIDER_HOLDINGS")</f>
        <v>11.892718220652826</v>
      </c>
      <c r="P433">
        <f>_xll.BDP("VICI UN Equity","RISK_PREMIUM")</f>
        <v>3.0604106719171997</v>
      </c>
      <c r="Q433">
        <f>_xll.BDP("VICI UN Equity","HIGH_52WEEK")</f>
        <v>34.29</v>
      </c>
      <c r="R433">
        <f>_xll.BDP("VICI UN Equity","LOW_52WEEK")</f>
        <v>27.99</v>
      </c>
    </row>
    <row r="434" spans="1:18" ht="15.75" x14ac:dyDescent="0.25">
      <c r="A434" t="s">
        <v>450</v>
      </c>
      <c r="B434">
        <f>_xll.BDP("CPRT UW Equity","RT_PX_CHG_PCT_1D")</f>
        <v>0.90770000219345093</v>
      </c>
      <c r="C434" t="str">
        <f>_xll.BDP("CPRT UW Equity","GICS_SECTOR_NAME")</f>
        <v>工業</v>
      </c>
      <c r="D434" t="str">
        <f>_xll.BDP("CPRT UW Equity","NAME_CHINESE_TRADITIONAL")</f>
        <v>科派特公司</v>
      </c>
      <c r="E434" t="str">
        <f>_xll.BDP("CPRT UW Equity","CLASSIFICATION_LEVEL_4_NAME")</f>
        <v>汽車總經銷</v>
      </c>
      <c r="F434" t="str">
        <f>_xll.BDP("CPRT UW Equity","CLASSIFICATION_DESCRIPTION")</f>
        <v>汽車批發商</v>
      </c>
      <c r="G434">
        <f>_xll.BDP("CPRT UW Equity","CUR_MKT_CAP")</f>
        <v>45146251831.660004</v>
      </c>
      <c r="H434">
        <f>_xll.BDP("CPRT UW Equity","CHG_PCT_YTD")</f>
        <v>-18.644359999999999</v>
      </c>
      <c r="I434" t="str">
        <f>_xll.BDP("CPRT UW Equity","CIE_DES")</f>
        <v>科派特公司(Copart, Inc.)為車輛供應商，主要是保險公司，提供各種服務，透過拍賣處理並銷售報廢車輛。該公司提供的報廢車輛，主要銷售予有牌照的拆解商、修車商，以及中古車經銷商。科派特服務全球客戶。</v>
      </c>
      <c r="J434">
        <f>_xll.BDP("CPRT UW Equity","ESG_SCORE")</f>
        <v>3.869999885559082</v>
      </c>
      <c r="K434" t="str">
        <f>_xll.BDP("CPRT UW Equity","MSCI_ESG_RATING")</f>
        <v>A</v>
      </c>
      <c r="L434">
        <f>_xll.BDP("CPRT UW Equity","EQY_BETA")</f>
        <v>0.99207174777984619</v>
      </c>
      <c r="M434">
        <f>_xll.BDP("CPRT UW Equity","VOLATILITY_60D")</f>
        <v>30.308264008348051</v>
      </c>
      <c r="N434">
        <f>_xll.BDP("CPRT UW Equity","PCT_INSIDER_SHARES_OUT")</f>
        <v>8.6006881322676705</v>
      </c>
      <c r="O434">
        <f>_xll.BDP("CPRT UW Equity","PCT_CHG_INSIDER_HOLDINGS")</f>
        <v>3.0897015401477167E-2</v>
      </c>
      <c r="P434">
        <f>_xll.BDP("CPRT UW Equity","RISK_PREMIUM")</f>
        <v>5.1104889564907552</v>
      </c>
      <c r="Q434">
        <f>_xll.BDP("CPRT UW Equity","HIGH_52WEEK")</f>
        <v>64.38</v>
      </c>
      <c r="R434">
        <f>_xll.BDP("CPRT UW Equity","LOW_52WEEK")</f>
        <v>45.52</v>
      </c>
    </row>
    <row r="435" spans="1:18" ht="15.75" x14ac:dyDescent="0.25">
      <c r="A435" t="s">
        <v>451</v>
      </c>
      <c r="B435">
        <f>_xll.BDP("J UN Equity","RT_PX_CHG_PCT_1D")</f>
        <v>0.92869997024536133</v>
      </c>
      <c r="C435" t="str">
        <f>_xll.BDP("J UN Equity","GICS_SECTOR_NAME")</f>
        <v>工業</v>
      </c>
      <c r="D435" t="str">
        <f>_xll.BDP("J UN Equity","NAME_CHINESE_TRADITIONAL")</f>
        <v>雅各布解決方案公司</v>
      </c>
      <c r="E435" t="str">
        <f>_xll.BDP("J UN Equity","CLASSIFICATION_LEVEL_4_NAME")</f>
        <v>工程服務</v>
      </c>
      <c r="F435" t="str">
        <f>_xll.BDP("J UN Equity","CLASSIFICATION_DESCRIPTION")</f>
        <v>工程服務</v>
      </c>
      <c r="G435">
        <f>_xll.BDP("J UN Equity","CUR_MKT_CAP")</f>
        <v>17236404881.699997</v>
      </c>
      <c r="H435">
        <f>_xll.BDP("J UN Equity","CHG_PCT_YTD")</f>
        <v>8.4632280000000009</v>
      </c>
      <c r="I435" t="str">
        <f>_xll.BDP("J UN Equity","CIE_DES")</f>
        <v>雅各布解決方案公司(Jacobs Solutions Inc)提供技術專業服務。該公司為各種客戶，包括公司、組織，以及政府機構，提供工程與建設服務，以及科學與專業諮詢。雅各布解決方案服務全球客戶。</v>
      </c>
      <c r="J435">
        <f>_xll.BDP("J UN Equity","ESG_SCORE")</f>
        <v>5.4699997901916504</v>
      </c>
      <c r="K435" t="str">
        <f>_xll.BDP("J UN Equity","MSCI_ESG_RATING")</f>
        <v>AAA</v>
      </c>
      <c r="L435">
        <f>_xll.BDP("J UN Equity","EQY_BETA")</f>
        <v>0.810538649559021</v>
      </c>
      <c r="M435">
        <f>_xll.BDP("J UN Equity","VOLATILITY_60D")</f>
        <v>23.973887712667974</v>
      </c>
      <c r="N435">
        <f>_xll.BDP("J UN Equity","PCT_INSIDER_SHARES_OUT")</f>
        <v>1.2643700449914361</v>
      </c>
      <c r="O435">
        <f>_xll.BDP("J UN Equity","PCT_CHG_INSIDER_HOLDINGS")</f>
        <v>0.82566907666557376</v>
      </c>
      <c r="P435">
        <f>_xll.BDP("J UN Equity","RISK_PREMIUM")</f>
        <v>4.1753520616328714</v>
      </c>
      <c r="Q435">
        <f>_xll.BDP("J UN Equity","HIGH_52WEEK")</f>
        <v>148.87549999999999</v>
      </c>
      <c r="R435">
        <f>_xll.BDP("J UN Equity","LOW_52WEEK")</f>
        <v>105.3145</v>
      </c>
    </row>
    <row r="436" spans="1:18" ht="15.75" x14ac:dyDescent="0.25">
      <c r="A436" t="s">
        <v>452</v>
      </c>
      <c r="B436">
        <f>_xll.BDP("ALB UN Equity","RT_PX_CHG_PCT_1D")</f>
        <v>-0.52270001173019409</v>
      </c>
      <c r="C436" t="str">
        <f>_xll.BDP("ALB UN Equity","GICS_SECTOR_NAME")</f>
        <v>原材料</v>
      </c>
      <c r="D436" t="str">
        <f>_xll.BDP("ALB UN Equity","NAME_CHINESE_TRADITIONAL")</f>
        <v>雅保公司</v>
      </c>
      <c r="E436" t="str">
        <f>_xll.BDP("ALB UN Equity","CLASSIFICATION_LEVEL_4_NAME")</f>
        <v>特用化學品</v>
      </c>
      <c r="F436" t="str">
        <f>_xll.BDP("ALB UN Equity","CLASSIFICATION_DESCRIPTION")</f>
        <v>特用化學品</v>
      </c>
      <c r="G436">
        <f>_xll.BDP("ALB UN Equity","CUR_MKT_CAP")</f>
        <v>9852924938.3599987</v>
      </c>
      <c r="H436">
        <f>_xll.BDP("ALB UN Equity","CHG_PCT_YTD")</f>
        <v>-2.718404</v>
      </c>
      <c r="I436" t="str">
        <f>_xll.BDP("ALB UN Equity","CIE_DES")</f>
        <v>雅寶公司(Albemarle Corporation)針對移動、能源、連接，以及健康解決方案，生產特殊化學品。該公司提供用於電網儲存、汽車、航空、傳統能源、電子、建築、農業與食品、製藥，以及醫療裝置的關鍵成分。雅寶服務全球各地的客戶。</v>
      </c>
      <c r="J436">
        <f>_xll.BDP("ALB UN Equity","ESG_SCORE")</f>
        <v>5.7199997901916504</v>
      </c>
      <c r="K436" t="str">
        <f>_xll.BDP("ALB UN Equity","MSCI_ESG_RATING")</f>
        <v>N.S.</v>
      </c>
      <c r="L436">
        <f>_xll.BDP("ALB UN Equity","EQY_BETA")</f>
        <v>1.3835728168487549</v>
      </c>
      <c r="M436">
        <f>_xll.BDP("ALB UN Equity","VOLATILITY_60D")</f>
        <v>53.914868003774487</v>
      </c>
      <c r="N436">
        <f>_xll.BDP("ALB UN Equity","PCT_INSIDER_SHARES_OUT")</f>
        <v>0.54245283692373591</v>
      </c>
      <c r="O436">
        <f>_xll.BDP("ALB UN Equity","PCT_CHG_INSIDER_HOLDINGS")</f>
        <v>21.779294335752155</v>
      </c>
      <c r="P436">
        <f>_xll.BDP("ALB UN Equity","RISK_PREMIUM")</f>
        <v>7.1272401586174965</v>
      </c>
      <c r="Q436">
        <f>_xll.BDP("ALB UN Equity","HIGH_52WEEK")</f>
        <v>113.83</v>
      </c>
      <c r="R436">
        <f>_xll.BDP("ALB UN Equity","LOW_52WEEK")</f>
        <v>49.48</v>
      </c>
    </row>
    <row r="437" spans="1:18" ht="15.75" x14ac:dyDescent="0.25">
      <c r="A437" t="s">
        <v>453</v>
      </c>
      <c r="B437">
        <f>_xll.BDP("FTNT UW Equity","RT_PX_CHG_PCT_1D")</f>
        <v>4.7699999064207077E-2</v>
      </c>
      <c r="C437" t="str">
        <f>_xll.BDP("FTNT UW Equity","GICS_SECTOR_NAME")</f>
        <v>資訊技術</v>
      </c>
      <c r="D437" t="str">
        <f>_xll.BDP("FTNT UW Equity","NAME_CHINESE_TRADITIONAL")</f>
        <v>防特網公司</v>
      </c>
      <c r="E437" t="str">
        <f>_xll.BDP("FTNT UW Equity","CLASSIFICATION_LEVEL_4_NAME")</f>
        <v>基礎建設軟體</v>
      </c>
      <c r="F437" t="str">
        <f>_xll.BDP("FTNT UW Equity","CLASSIFICATION_DESCRIPTION")</f>
        <v>安全軟體</v>
      </c>
      <c r="G437">
        <f>_xll.BDP("FTNT UW Equity","CUR_MKT_CAP")</f>
        <v>80230952917.919983</v>
      </c>
      <c r="H437">
        <f>_xll.BDP("FTNT UW Equity","CHG_PCT_YTD")</f>
        <v>10.94411</v>
      </c>
      <c r="I437" t="str">
        <f>_xll.BDP("FTNT UW Equity","CIE_DES")</f>
        <v>防特網公司(Fortinet, Inc.)提供網路安全解決方案。該公司提供網路安全設備、軟體，以及訂閱服務。防特網的系統整合了業界中最齊全的安全技術，包括：防火牆、虛擬私人網路(VPN) 、防毒、入侵偵測(IPS)、網站篩選、反垃圾郵件，以及流量整形。</v>
      </c>
      <c r="J437">
        <f>_xll.BDP("FTNT UW Equity","ESG_SCORE")</f>
        <v>4.0799999237060547</v>
      </c>
      <c r="K437" t="str">
        <f>_xll.BDP("FTNT UW Equity","MSCI_ESG_RATING")</f>
        <v>BBB</v>
      </c>
      <c r="L437">
        <f>_xll.BDP("FTNT UW Equity","EQY_BETA")</f>
        <v>1.1752235889434814</v>
      </c>
      <c r="M437">
        <f>_xll.BDP("FTNT UW Equity","VOLATILITY_60D")</f>
        <v>35.773216851656557</v>
      </c>
      <c r="N437">
        <f>_xll.BDP("FTNT UW Equity","PCT_INSIDER_SHARES_OUT")</f>
        <v>15.300012607514994</v>
      </c>
      <c r="O437">
        <f>_xll.BDP("FTNT UW Equity","PCT_CHG_INSIDER_HOLDINGS")</f>
        <v>-3.0063698232493397</v>
      </c>
      <c r="P437">
        <f>_xll.BDP("FTNT UW Equity","RISK_PREMIUM")</f>
        <v>6.053964530432224</v>
      </c>
      <c r="Q437">
        <f>_xll.BDP("FTNT UW Equity","HIGH_52WEEK")</f>
        <v>114.82</v>
      </c>
      <c r="R437">
        <f>_xll.BDP("FTNT UW Equity","LOW_52WEEK")</f>
        <v>54.57</v>
      </c>
    </row>
    <row r="438" spans="1:18" ht="15.75" x14ac:dyDescent="0.25">
      <c r="A438" t="s">
        <v>454</v>
      </c>
      <c r="B438">
        <f>_xll.BDP("MRNA UW Equity","RT_PX_CHG_PCT_1D")</f>
        <v>0.41159999370574951</v>
      </c>
      <c r="C438" t="str">
        <f>_xll.BDP("MRNA UW Equity","GICS_SECTOR_NAME")</f>
        <v>醫療保健</v>
      </c>
      <c r="D438" t="str">
        <f>_xll.BDP("MRNA UW Equity","NAME_CHINESE_TRADITIONAL")</f>
        <v>莫德納公司</v>
      </c>
      <c r="E438" t="str">
        <f>_xll.BDP("MRNA UW Equity","CLASSIFICATION_LEVEL_4_NAME")</f>
        <v>生物科技</v>
      </c>
      <c r="F438" t="str">
        <f>_xll.BDP("MRNA UW Equity","CLASSIFICATION_DESCRIPTION")</f>
        <v>生物科技</v>
      </c>
      <c r="G438">
        <f>_xll.BDP("MRNA UW Equity","CUR_MKT_CAP")</f>
        <v>13207233153</v>
      </c>
      <c r="H438">
        <f>_xll.BDP("MRNA UW Equity","CHG_PCT_YTD")</f>
        <v>-17.86917</v>
      </c>
      <c r="I438" t="str">
        <f>_xll.BDP("MRNA UW Equity","CIE_DES")</f>
        <v>莫德納公司(Moderna, Inc.)為一家生物科技公司 。該公司著重於發現並開發信使核糖核酸治療與疫苗。莫德納開發用於傳染病、免疫腫瘤學，以及心血管疾病的信使核糖核酸藥物。</v>
      </c>
      <c r="J438">
        <f>_xll.BDP("MRNA UW Equity","ESG_SCORE")</f>
        <v>6.0500001907348633</v>
      </c>
      <c r="K438" t="str">
        <f>_xll.BDP("MRNA UW Equity","MSCI_ESG_RATING")</f>
        <v>N.S.</v>
      </c>
      <c r="L438">
        <f>_xll.BDP("MRNA UW Equity","EQY_BETA")</f>
        <v>1.1589609384536743</v>
      </c>
      <c r="M438">
        <f>_xll.BDP("MRNA UW Equity","VOLATILITY_60D")</f>
        <v>61.426059204580397</v>
      </c>
      <c r="N438">
        <f>_xll.BDP("MRNA UW Equity","PCT_INSIDER_SHARES_OUT")</f>
        <v>5.5441762436850635</v>
      </c>
      <c r="O438">
        <f>_xll.BDP("MRNA UW Equity","PCT_CHG_INSIDER_HOLDINGS")</f>
        <v>1.0438145860245651</v>
      </c>
      <c r="P438">
        <f>_xll.BDP("MRNA UW Equity","RISK_PREMIUM")</f>
        <v>5.9701902510845661</v>
      </c>
      <c r="Q438">
        <f>_xll.BDP("MRNA UW Equity","HIGH_52WEEK")</f>
        <v>125.59</v>
      </c>
      <c r="R438">
        <f>_xll.BDP("MRNA UW Equity","LOW_52WEEK")</f>
        <v>23.155000000000001</v>
      </c>
    </row>
    <row r="439" spans="1:18" ht="15.75" x14ac:dyDescent="0.25">
      <c r="A439" t="s">
        <v>455</v>
      </c>
      <c r="B439">
        <f>_xll.BDP("ESS UN Equity","RT_PX_CHG_PCT_1D")</f>
        <v>-0.12179999798536301</v>
      </c>
      <c r="C439" t="str">
        <f>_xll.BDP("ESS UN Equity","GICS_SECTOR_NAME")</f>
        <v>房地產</v>
      </c>
      <c r="D439" t="str">
        <f>_xll.BDP("ESS UN Equity","NAME_CHINESE_TRADITIONAL")</f>
        <v>埃塞克斯不動產信託公司</v>
      </c>
      <c r="E439" t="str">
        <f>_xll.BDP("ESS UN Equity","CLASSIFICATION_LEVEL_4_NAME")</f>
        <v>住宅不動產投資信託</v>
      </c>
      <c r="F439" t="str">
        <f>_xll.BDP("ESS UN Equity","CLASSIFICATION_DESCRIPTION")</f>
        <v>公寓REIT</v>
      </c>
      <c r="G439">
        <f>_xll.BDP("ESS UN Equity","CUR_MKT_CAP")</f>
        <v>18482408909.619999</v>
      </c>
      <c r="H439">
        <f>_xll.BDP("ESS UN Equity","CHG_PCT_YTD")</f>
        <v>0.56754400000000005</v>
      </c>
      <c r="I439" t="str">
        <f>_xll.BDP("ESS UN Equity","CIE_DES")</f>
        <v>埃塞克斯不動產信託公司(Essex Property Trust, Inc.)為自行管理及行政的不動產投資信託公司。該公司專門收購、開發並管理多戶住宅房地產。埃塞克斯擁有加州及華盛頓州的住宅及商用房地產。</v>
      </c>
      <c r="J439">
        <f>_xll.BDP("ESS UN Equity","ESG_SCORE")</f>
        <v>6.320000171661377</v>
      </c>
      <c r="K439" t="str">
        <f>_xll.BDP("ESS UN Equity","MSCI_ESG_RATING")</f>
        <v>B</v>
      </c>
      <c r="L439">
        <f>_xll.BDP("ESS UN Equity","EQY_BETA")</f>
        <v>0.84456336498260498</v>
      </c>
      <c r="M439">
        <f>_xll.BDP("ESS UN Equity","VOLATILITY_60D")</f>
        <v>20.76670108460803</v>
      </c>
      <c r="N439">
        <f>_xll.BDP("ESS UN Equity","PCT_INSIDER_SHARES_OUT")</f>
        <v>0.82199661474892205</v>
      </c>
      <c r="O439">
        <f>_xll.BDP("ESS UN Equity","PCT_CHG_INSIDER_HOLDINGS")</f>
        <v>4.6129031620436169</v>
      </c>
      <c r="P439">
        <f>_xll.BDP("ESS UN Equity","RISK_PREMIUM")</f>
        <v>4.3506245989358421</v>
      </c>
      <c r="Q439">
        <f>_xll.BDP("ESS UN Equity","HIGH_52WEEK")</f>
        <v>316.81</v>
      </c>
      <c r="R439">
        <f>_xll.BDP("ESS UN Equity","LOW_52WEEK")</f>
        <v>247.65</v>
      </c>
    </row>
    <row r="440" spans="1:18" ht="15.75" x14ac:dyDescent="0.25">
      <c r="A440" t="s">
        <v>456</v>
      </c>
      <c r="B440">
        <f>_xll.BDP("CSGP UW Equity","RT_PX_CHG_PCT_1D")</f>
        <v>1.080000028014183E-2</v>
      </c>
      <c r="C440" t="str">
        <f>_xll.BDP("CSGP UW Equity","GICS_SECTOR_NAME")</f>
        <v>房地產</v>
      </c>
      <c r="D440" t="str">
        <f>_xll.BDP("CSGP UW Equity","NAME_CHINESE_TRADITIONAL")</f>
        <v>科斯塔集團公司</v>
      </c>
      <c r="E440" t="str">
        <f>_xll.BDP("CSGP UW Equity","CLASSIFICATION_LEVEL_4_NAME")</f>
        <v>不動產服務</v>
      </c>
      <c r="F440" t="str">
        <f>_xll.BDP("CSGP UW Equity","CLASSIFICATION_DESCRIPTION")</f>
        <v>不動產服務</v>
      </c>
      <c r="G440">
        <f>_xll.BDP("CSGP UW Equity","CUR_MKT_CAP")</f>
        <v>39386774155.139999</v>
      </c>
      <c r="H440">
        <f>_xll.BDP("CSGP UW Equity","CHG_PCT_YTD")</f>
        <v>29.864509999999999</v>
      </c>
      <c r="I440" t="str">
        <f>_xll.BDP("CSGP UW Equity","CIE_DES")</f>
        <v>科斯塔集團公司（CoStar Group, Inc.）提供線上市場服務、資訊，以及分析。該公司提供商業不動產情報訂閱的整合平台，包括：商業不動產、待售房地產、同店銷售、租戶、可租賃空間、產業新聞，以及市場狀況的資訊。</v>
      </c>
      <c r="J440">
        <f>_xll.BDP("CSGP UW Equity","ESG_SCORE")</f>
        <v>3.7300000190734863</v>
      </c>
      <c r="K440" t="str">
        <f>_xll.BDP("CSGP UW Equity","MSCI_ESG_RATING")</f>
        <v>A</v>
      </c>
      <c r="L440">
        <f>_xll.BDP("CSGP UW Equity","EQY_BETA")</f>
        <v>0.99758613109588623</v>
      </c>
      <c r="M440">
        <f>_xll.BDP("CSGP UW Equity","VOLATILITY_60D")</f>
        <v>25.360278492789224</v>
      </c>
      <c r="N440">
        <f>_xll.BDP("CSGP UW Equity","PCT_INSIDER_SHARES_OUT")</f>
        <v>1.3303771293500488</v>
      </c>
      <c r="O440">
        <f>_xll.BDP("CSGP UW Equity","PCT_CHG_INSIDER_HOLDINGS")</f>
        <v>15.118789124794668</v>
      </c>
      <c r="P440">
        <f>_xll.BDP("CSGP UW Equity","RISK_PREMIUM")</f>
        <v>5.138895364698171</v>
      </c>
      <c r="Q440">
        <f>_xll.BDP("CSGP UW Equity","HIGH_52WEEK")</f>
        <v>93.74</v>
      </c>
      <c r="R440">
        <f>_xll.BDP("CSGP UW Equity","LOW_52WEEK")</f>
        <v>68.260000000000005</v>
      </c>
    </row>
    <row r="441" spans="1:18" ht="15.75" x14ac:dyDescent="0.25">
      <c r="A441" t="s">
        <v>457</v>
      </c>
      <c r="B441">
        <f>_xll.BDP("O UN Equity","RT_PX_CHG_PCT_1D")</f>
        <v>-0.20679999887943268</v>
      </c>
      <c r="C441" t="str">
        <f>_xll.BDP("O UN Equity","GICS_SECTOR_NAME")</f>
        <v>房地產</v>
      </c>
      <c r="D441" t="str">
        <f>_xll.BDP("O UN Equity","NAME_CHINESE_TRADITIONAL")</f>
        <v>Realty Income Corp</v>
      </c>
      <c r="E441" t="str">
        <f>_xll.BDP("O UN Equity","CLASSIFICATION_LEVEL_4_NAME")</f>
        <v>零售不動產投資信託</v>
      </c>
      <c r="F441" t="str">
        <f>_xll.BDP("O UN Equity","CLASSIFICATION_DESCRIPTION")</f>
        <v>單一租客REIT</v>
      </c>
      <c r="G441">
        <f>_xll.BDP("O UN Equity","CUR_MKT_CAP")</f>
        <v>52288328931.299995</v>
      </c>
      <c r="H441">
        <f>_xll.BDP("O UN Equity","CHG_PCT_YTD")</f>
        <v>8.4066659999999995</v>
      </c>
      <c r="I441" t="str">
        <f>_xll.BDP("O UN Equity","CIE_DES")</f>
        <v>Realty Income Corporation擁有並管理位於美國各地的商用房地產投資組合。該公司的業務焦點為收購單一住戶的零售據點，再簽訂長期淨租賃合約，出租給地區性及全國性連鎖商店。</v>
      </c>
      <c r="J441">
        <f>_xll.BDP("O UN Equity","ESG_SCORE")</f>
        <v>5.0399999618530273</v>
      </c>
      <c r="K441" t="str">
        <f>_xll.BDP("O UN Equity","MSCI_ESG_RATING")</f>
        <v>BB</v>
      </c>
      <c r="L441">
        <f>_xll.BDP("O UN Equity","EQY_BETA")</f>
        <v>0.49249637126922607</v>
      </c>
      <c r="M441">
        <f>_xll.BDP("O UN Equity","VOLATILITY_60D")</f>
        <v>16.555583065709946</v>
      </c>
      <c r="N441">
        <f>_xll.BDP("O UN Equity","PCT_INSIDER_SHARES_OUT")</f>
        <v>0.13345762650680187</v>
      </c>
      <c r="O441">
        <f>_xll.BDP("O UN Equity","PCT_CHG_INSIDER_HOLDINGS")</f>
        <v>25.976155833730523</v>
      </c>
      <c r="P441">
        <f>_xll.BDP("O UN Equity","RISK_PREMIUM")</f>
        <v>2.5370113322103021</v>
      </c>
      <c r="Q441">
        <f>_xll.BDP("O UN Equity","HIGH_52WEEK")</f>
        <v>64.87</v>
      </c>
      <c r="R441">
        <f>_xll.BDP("O UN Equity","LOW_52WEEK")</f>
        <v>50.72</v>
      </c>
    </row>
    <row r="442" spans="1:18" ht="15.75" x14ac:dyDescent="0.25">
      <c r="A442" t="s">
        <v>458</v>
      </c>
      <c r="B442">
        <f>_xll.BDP("WAB UN Equity","RT_PX_CHG_PCT_1D")</f>
        <v>-1.7388999462127686</v>
      </c>
      <c r="C442" t="str">
        <f>_xll.BDP("WAB UN Equity","GICS_SECTOR_NAME")</f>
        <v>工業</v>
      </c>
      <c r="D442" t="str">
        <f>_xll.BDP("WAB UN Equity","NAME_CHINESE_TRADITIONAL")</f>
        <v>西屋空氣制動技術公司</v>
      </c>
      <c r="E442" t="str">
        <f>_xll.BDP("WAB UN Equity","CLASSIFICATION_LEVEL_4_NAME")</f>
        <v>軌道車輛及車廂</v>
      </c>
      <c r="F442" t="str">
        <f>_xll.BDP("WAB UN Equity","CLASSIFICATION_DESCRIPTION")</f>
        <v>軌道車輛及車廂</v>
      </c>
      <c r="G442">
        <f>_xll.BDP("WAB UN Equity","CUR_MKT_CAP")</f>
        <v>33713676036.169998</v>
      </c>
      <c r="H442">
        <f>_xll.BDP("WAB UN Equity","CHG_PCT_YTD")</f>
        <v>4.0192009999999998</v>
      </c>
      <c r="I442" t="str">
        <f>_xll.BDP("WAB UN Equity","CIE_DES")</f>
        <v>西屋空氣制動技術公司(Westinghouse Air Brake Technologies Corporation)以「西屋制動公司」(Wabtec Corporation)執行業務，為全球各地的鐵路行業，提供技術產品與服務。該公司製造一系列用於火車頭、貨運車，以及客運列車的產品。西屋空氣制動技術亦建造全新列車，並提供售後服務。</v>
      </c>
      <c r="J442">
        <f>_xll.BDP("WAB UN Equity","ESG_SCORE")</f>
        <v>4.630000114440918</v>
      </c>
      <c r="K442" t="str">
        <f>_xll.BDP("WAB UN Equity","MSCI_ESG_RATING")</f>
        <v>BBB</v>
      </c>
      <c r="L442">
        <f>_xll.BDP("WAB UN Equity","EQY_BETA")</f>
        <v>1.107100248336792</v>
      </c>
      <c r="M442">
        <f>_xll.BDP("WAB UN Equity","VOLATILITY_60D")</f>
        <v>22.374253990926977</v>
      </c>
      <c r="N442">
        <f>_xll.BDP("WAB UN Equity","PCT_INSIDER_SHARES_OUT")</f>
        <v>1.0970375167004769</v>
      </c>
      <c r="O442">
        <f>_xll.BDP("WAB UN Equity","PCT_CHG_INSIDER_HOLDINGS")</f>
        <v>3.2217783941539411</v>
      </c>
      <c r="P442">
        <f>_xll.BDP("WAB UN Equity","RISK_PREMIUM")</f>
        <v>5.7030387222647665</v>
      </c>
      <c r="Q442">
        <f>_xll.BDP("WAB UN Equity","HIGH_52WEEK")</f>
        <v>216.08</v>
      </c>
      <c r="R442">
        <f>_xll.BDP("WAB UN Equity","LOW_52WEEK")</f>
        <v>147.66</v>
      </c>
    </row>
    <row r="443" spans="1:18" ht="15.75" x14ac:dyDescent="0.25">
      <c r="A443" t="s">
        <v>459</v>
      </c>
      <c r="B443">
        <f>_xll.BDP("PLTR UW Equity","RT_PX_CHG_PCT_1D")</f>
        <v>2.5441999435424805</v>
      </c>
      <c r="C443" t="str">
        <f>_xll.BDP("PLTR UW Equity","GICS_SECTOR_NAME")</f>
        <v>資訊技術</v>
      </c>
      <c r="D443" t="str">
        <f>_xll.BDP("PLTR UW Equity","NAME_CHINESE_TRADITIONAL")</f>
        <v>帕蘭提爾科技公司</v>
      </c>
      <c r="E443" t="str">
        <f>_xll.BDP("PLTR UW Equity","CLASSIFICATION_LEVEL_4_NAME")</f>
        <v>應用軟體</v>
      </c>
      <c r="F443" t="str">
        <f>_xll.BDP("PLTR UW Equity","CLASSIFICATION_DESCRIPTION")</f>
        <v>企業軟體</v>
      </c>
      <c r="G443">
        <f>_xll.BDP("PLTR UW Equity","CUR_MKT_CAP")</f>
        <v>374754088643.59998</v>
      </c>
      <c r="H443">
        <f>_xll.BDP("PLTR UW Equity","CHG_PCT_YTD")</f>
        <v>109.9696</v>
      </c>
      <c r="I443" t="str">
        <f>_xll.BDP("PLTR UW Equity","CIE_DES")</f>
        <v>帕蘭提爾科技公司（Palantir Technologies Inc.）提供軟體解決方案。該公司提供的平台，可整合、管理並保護資料，以利人工驅動搭配機器輔助的互動式分析。帕蘭提爾科技服務全球的客戶。</v>
      </c>
      <c r="J443">
        <f>_xll.BDP("PLTR UW Equity","ESG_SCORE")</f>
        <v>2.6800000667572021</v>
      </c>
      <c r="K443" t="str">
        <f>_xll.BDP("PLTR UW Equity","MSCI_ESG_RATING")</f>
        <v>BB</v>
      </c>
      <c r="L443" t="str">
        <f>_xll.BDP("PLTR UW Equity","EQY_BETA")</f>
        <v>#N/A N/A</v>
      </c>
      <c r="M443">
        <f>_xll.BDP("PLTR UW Equity","VOLATILITY_60D")</f>
        <v>59.270084245660804</v>
      </c>
      <c r="N443">
        <f>_xll.BDP("PLTR UW Equity","PCT_INSIDER_SHARES_OUT")</f>
        <v>3.5937136142641366</v>
      </c>
      <c r="O443">
        <f>_xll.BDP("PLTR UW Equity","PCT_CHG_INSIDER_HOLDINGS")</f>
        <v>0.35006000900039375</v>
      </c>
      <c r="P443">
        <f>_xll.BDP("PLTR UW Equity","RISK_PREMIUM")</f>
        <v>9.9036923713195311</v>
      </c>
      <c r="Q443">
        <f>_xll.BDP("PLTR UW Equity","HIGH_52WEEK")</f>
        <v>160.38</v>
      </c>
      <c r="R443">
        <f>_xll.BDP("PLTR UW Equity","LOW_52WEEK")</f>
        <v>63.42</v>
      </c>
    </row>
    <row r="444" spans="1:18" ht="15.75" x14ac:dyDescent="0.25">
      <c r="A444" t="s">
        <v>460</v>
      </c>
      <c r="B444">
        <f>_xll.BDP("POOL UW Equity","RT_PX_CHG_PCT_1D")</f>
        <v>-0.44130000472068787</v>
      </c>
      <c r="C444" t="str">
        <f>_xll.BDP("POOL UW Equity","GICS_SECTOR_NAME")</f>
        <v>非核心消費</v>
      </c>
      <c r="D444" t="str">
        <f>_xll.BDP("POOL UW Equity","NAME_CHINESE_TRADITIONAL")</f>
        <v>普爾公司</v>
      </c>
      <c r="E444" t="str">
        <f>_xll.BDP("POOL UW Equity","CLASSIFICATION_LEVEL_4_NAME")</f>
        <v>其它批發</v>
      </c>
      <c r="F444" t="str">
        <f>_xll.BDP("POOL UW Equity","CLASSIFICATION_DESCRIPTION")</f>
        <v>其它批發</v>
      </c>
      <c r="G444">
        <f>_xll.BDP("POOL UW Equity","CUR_MKT_CAP")</f>
        <v>12214587558.599998</v>
      </c>
      <c r="H444">
        <f>_xll.BDP("POOL UW Equity","CHG_PCT_YTD")</f>
        <v>-4.7046409999999996</v>
      </c>
      <c r="I444" t="str">
        <f>_xll.BDP("POOL UW Equity","CIE_DES")</f>
        <v>普爾公司(Pool Corporation)經銷游泳池供應、設備，以及相關產品。該公司提供從建材、替換零件，以及圍牆到泳池照護產品和水療中心的各種產品。普爾服務全球客戶。</v>
      </c>
      <c r="J444">
        <f>_xll.BDP("POOL UW Equity","ESG_SCORE")</f>
        <v>6.4600000381469727</v>
      </c>
      <c r="K444" t="str">
        <f>_xll.BDP("POOL UW Equity","MSCI_ESG_RATING")</f>
        <v>AA</v>
      </c>
      <c r="L444">
        <f>_xll.BDP("POOL UW Equity","EQY_BETA")</f>
        <v>0.86505550146102905</v>
      </c>
      <c r="M444">
        <f>_xll.BDP("POOL UW Equity","VOLATILITY_60D")</f>
        <v>32.391615519935947</v>
      </c>
      <c r="N444">
        <f>_xll.BDP("POOL UW Equity","PCT_INSIDER_SHARES_OUT")</f>
        <v>3.1312909114558329</v>
      </c>
      <c r="O444">
        <f>_xll.BDP("POOL UW Equity","PCT_CHG_INSIDER_HOLDINGS")</f>
        <v>2.5646253169188951</v>
      </c>
      <c r="P444">
        <f>_xll.BDP("POOL UW Equity","RISK_PREMIUM")</f>
        <v>4.4561863563412425</v>
      </c>
      <c r="Q444">
        <f>_xll.BDP("POOL UW Equity","HIGH_52WEEK")</f>
        <v>395.23500000000001</v>
      </c>
      <c r="R444">
        <f>_xll.BDP("POOL UW Equity","LOW_52WEEK")</f>
        <v>282.38</v>
      </c>
    </row>
    <row r="445" spans="1:18" ht="15.75" x14ac:dyDescent="0.25">
      <c r="A445" t="s">
        <v>461</v>
      </c>
      <c r="B445">
        <f>_xll.BDP("WDC UW Equity","RT_PX_CHG_PCT_1D")</f>
        <v>-0.28979998826980591</v>
      </c>
      <c r="C445" t="str">
        <f>_xll.BDP("WDC UW Equity","GICS_SECTOR_NAME")</f>
        <v>資訊技術</v>
      </c>
      <c r="D445" t="str">
        <f>_xll.BDP("WDC UW Equity","NAME_CHINESE_TRADITIONAL")</f>
        <v>威騰電子公司</v>
      </c>
      <c r="E445" t="str">
        <f>_xll.BDP("WDC UW Equity","CLASSIFICATION_LEVEL_4_NAME")</f>
        <v>電腦硬體及儲存體</v>
      </c>
      <c r="F445" t="str">
        <f>_xll.BDP("WDC UW Equity","CLASSIFICATION_DESCRIPTION")</f>
        <v>硬碟機</v>
      </c>
      <c r="G445">
        <f>_xll.BDP("WDC UW Equity","CUR_MKT_CAP")</f>
        <v>24009809079.299999</v>
      </c>
      <c r="H445">
        <f>_xll.BDP("WDC UW Equity","CHG_PCT_YTD")</f>
        <v>52.736960000000003</v>
      </c>
      <c r="I445" t="str">
        <f>_xll.BDP("WDC UW Equity","CIE_DES")</f>
        <v>威騰電子公司(Western Digital Corporation)為全球性解決方案供應商，提供數位內容的收集 、儲存、管理、保護和使用，包括語音與影像的解決方案。該公司的產品包括硬碟、固態硬碟，以及家庭娛樂和網絡產品。</v>
      </c>
      <c r="J445">
        <f>_xll.BDP("WDC UW Equity","ESG_SCORE")</f>
        <v>4.9499998092651367</v>
      </c>
      <c r="K445" t="str">
        <f>_xll.BDP("WDC UW Equity","MSCI_ESG_RATING")</f>
        <v>AAA</v>
      </c>
      <c r="L445">
        <f>_xll.BDP("WDC UW Equity","EQY_BETA")</f>
        <v>1.8017758131027222</v>
      </c>
      <c r="M445">
        <f>_xll.BDP("WDC UW Equity","VOLATILITY_60D")</f>
        <v>26.085187585890097</v>
      </c>
      <c r="N445">
        <f>_xll.BDP("WDC UW Equity","PCT_INSIDER_SHARES_OUT")</f>
        <v>0.87845822498612702</v>
      </c>
      <c r="O445">
        <f>_xll.BDP("WDC UW Equity","PCT_CHG_INSIDER_HOLDINGS")</f>
        <v>19.605826779520257</v>
      </c>
      <c r="P445">
        <f>_xll.BDP("WDC UW Equity","RISK_PREMIUM")</f>
        <v>9.2815417993104461</v>
      </c>
      <c r="Q445">
        <f>_xll.BDP("WDC UW Equity","HIGH_52WEEK")</f>
        <v>69.69</v>
      </c>
      <c r="R445">
        <f>_xll.BDP("WDC UW Equity","LOW_52WEEK")</f>
        <v>28.84</v>
      </c>
    </row>
    <row r="446" spans="1:18" ht="15.75" x14ac:dyDescent="0.25">
      <c r="A446" t="s">
        <v>462</v>
      </c>
      <c r="B446">
        <f>_xll.BDP("PEP UW Equity","RT_PX_CHG_PCT_1D")</f>
        <v>-0.73350000381469727</v>
      </c>
      <c r="C446" t="str">
        <f>_xll.BDP("PEP UW Equity","GICS_SECTOR_NAME")</f>
        <v>核心消費</v>
      </c>
      <c r="D446" t="str">
        <f>_xll.BDP("PEP UW Equity","NAME_CHINESE_TRADITIONAL")</f>
        <v>百事可樂公司</v>
      </c>
      <c r="E446" t="str">
        <f>_xll.BDP("PEP UW Equity","CLASSIFICATION_LEVEL_4_NAME")</f>
        <v>非酒精飲料</v>
      </c>
      <c r="F446" t="str">
        <f>_xll.BDP("PEP UW Equity","CLASSIFICATION_DESCRIPTION")</f>
        <v>非酒精飲料</v>
      </c>
      <c r="G446">
        <f>_xll.BDP("PEP UW Equity","CUR_MKT_CAP")</f>
        <v>196394124913.79999</v>
      </c>
      <c r="H446">
        <f>_xll.BDP("PEP UW Equity","CHG_PCT_YTD")</f>
        <v>-5.6622370000000002</v>
      </c>
      <c r="I446" t="str">
        <f>_xll.BDP("PEP UW Equity","CIE_DES")</f>
        <v>百事可樂公司(PepsiCo, Inc.)經營食品及飲料業務。該公司製造、行銷及銷售各式榖類點心、碳酸及非碳酸飲料，以及食物。百事可樂服務全球的客戶。</v>
      </c>
      <c r="J446">
        <f>_xll.BDP("PEP UW Equity","ESG_SCORE")</f>
        <v>5.7899999618530273</v>
      </c>
      <c r="K446" t="str">
        <f>_xll.BDP("PEP UW Equity","MSCI_ESG_RATING")</f>
        <v>A</v>
      </c>
      <c r="L446">
        <f>_xll.BDP("PEP UW Equity","EQY_BETA")</f>
        <v>0.4467988908290863</v>
      </c>
      <c r="M446">
        <f>_xll.BDP("PEP UW Equity","VOLATILITY_60D")</f>
        <v>23.777896342911443</v>
      </c>
      <c r="N446">
        <f>_xll.BDP("PEP UW Equity","PCT_INSIDER_SHARES_OUT")</f>
        <v>0.20319398280009088</v>
      </c>
      <c r="O446">
        <f>_xll.BDP("PEP UW Equity","PCT_CHG_INSIDER_HOLDINGS")</f>
        <v>3.523679125709593</v>
      </c>
      <c r="P446">
        <f>_xll.BDP("PEP UW Equity","RISK_PREMIUM")</f>
        <v>2.301608530294597</v>
      </c>
      <c r="Q446">
        <f>_xll.BDP("PEP UW Equity","HIGH_52WEEK")</f>
        <v>180.91</v>
      </c>
      <c r="R446">
        <f>_xll.BDP("PEP UW Equity","LOW_52WEEK")</f>
        <v>127.63</v>
      </c>
    </row>
    <row r="447" spans="1:18" ht="15.75" x14ac:dyDescent="0.25">
      <c r="A447" t="s">
        <v>463</v>
      </c>
      <c r="B447">
        <f>_xll.BDP("TEL UN Equity","RT_PX_CHG_PCT_1D")</f>
        <v>1.1964999437332153</v>
      </c>
      <c r="C447" t="str">
        <f>_xll.BDP("TEL UN Equity","GICS_SECTOR_NAME")</f>
        <v>資訊技術</v>
      </c>
      <c r="D447" t="str">
        <f>_xll.BDP("TEL UN Equity","NAME_CHINESE_TRADITIONAL")</f>
        <v>TE Connectivity PLC</v>
      </c>
      <c r="E447" t="str">
        <f>_xll.BDP("TEL UN Equity","CLASSIFICATION_LEVEL_4_NAME")</f>
        <v>電機零件</v>
      </c>
      <c r="F447" t="str">
        <f>_xll.BDP("TEL UN Equity","CLASSIFICATION_DESCRIPTION")</f>
        <v>電機零件</v>
      </c>
      <c r="G447">
        <f>_xll.BDP("TEL UN Equity","CUR_MKT_CAP")</f>
        <v>61477879017.459999</v>
      </c>
      <c r="H447">
        <f>_xll.BDP("TEL UN Equity","CHG_PCT_YTD")</f>
        <v>45.527030000000003</v>
      </c>
      <c r="I447" t="str">
        <f>_xll.BDP("TEL UN Equity","CIE_DES")</f>
        <v>泰科電子公開有限公司（TE Connectivity Public Limited Company）提供工業技術解決方案。該公司提供各種連接和感應器解決方案，針對運輸、可再生能源、資料中心、醫療技術，以及自動化工廠，啟用電力、信號，和資料的配送。泰科電子服務全球客戶。</v>
      </c>
      <c r="J447">
        <f>_xll.BDP("TEL UN Equity","ESG_SCORE")</f>
        <v>4.7899999618530273</v>
      </c>
      <c r="K447" t="str">
        <f>_xll.BDP("TEL UN Equity","MSCI_ESG_RATING")</f>
        <v>A</v>
      </c>
      <c r="L447">
        <f>_xll.BDP("TEL UN Equity","EQY_BETA")</f>
        <v>1.2186510562896729</v>
      </c>
      <c r="M447">
        <f>_xll.BDP("TEL UN Equity","VOLATILITY_60D")</f>
        <v>29.874848826118395</v>
      </c>
      <c r="N447">
        <f>_xll.BDP("TEL UN Equity","PCT_INSIDER_SHARES_OUT")</f>
        <v>0.19120054216592239</v>
      </c>
      <c r="O447">
        <f>_xll.BDP("TEL UN Equity","PCT_CHG_INSIDER_HOLDINGS")</f>
        <v>-0.84495225909341409</v>
      </c>
      <c r="P447">
        <f>_xll.BDP("TEL UN Equity","RISK_PREMIUM")</f>
        <v>9.7403593702693811</v>
      </c>
      <c r="Q447">
        <f>_xll.BDP("TEL UN Equity","HIGH_52WEEK")</f>
        <v>208.15</v>
      </c>
      <c r="R447">
        <f>_xll.BDP("TEL UN Equity","LOW_52WEEK")</f>
        <v>116.38</v>
      </c>
    </row>
    <row r="448" spans="1:18" ht="15.75" x14ac:dyDescent="0.25">
      <c r="A448" t="s">
        <v>464</v>
      </c>
      <c r="B448">
        <f>_xll.BDP("FANG UW Equity","RT_PX_CHG_PCT_1D")</f>
        <v>-0.4749000072479248</v>
      </c>
      <c r="C448" t="str">
        <f>_xll.BDP("FANG UW Equity","GICS_SECTOR_NAME")</f>
        <v>能源</v>
      </c>
      <c r="D448" t="str">
        <f>_xll.BDP("FANG UW Equity","NAME_CHINESE_TRADITIONAL")</f>
        <v>響尾蛇能源公司</v>
      </c>
      <c r="E448" t="str">
        <f>_xll.BDP("FANG UW Equity","CLASSIFICATION_LEVEL_4_NAME")</f>
        <v>探勘及生產</v>
      </c>
      <c r="F448" t="str">
        <f>_xll.BDP("FANG UW Equity","CLASSIFICATION_DESCRIPTION")</f>
        <v>原油及天然氣探勘與生產</v>
      </c>
      <c r="G448">
        <f>_xll.BDP("FANG UW Equity","CUR_MKT_CAP")</f>
        <v>42250408695.600014</v>
      </c>
      <c r="H448">
        <f>_xll.BDP("FANG UW Equity","CHG_PCT_YTD")</f>
        <v>-11.731669999999999</v>
      </c>
      <c r="I448" t="str">
        <f>_xll.BDP("FANG UW Equity","CIE_DES")</f>
        <v>響尾蛇能源公司(Diamondback Energy Inc.)為獨立的石油和天然氣公司，目前專注收購、開發、探勘及開採西德州二疊紀盆地(Permian Basin)內的非傳統陸上石油及天然氣。</v>
      </c>
      <c r="J448">
        <f>_xll.BDP("FANG UW Equity","ESG_SCORE")</f>
        <v>5.7699999809265137</v>
      </c>
      <c r="K448" t="str">
        <f>_xll.BDP("FANG UW Equity","MSCI_ESG_RATING")</f>
        <v>AA</v>
      </c>
      <c r="L448">
        <f>_xll.BDP("FANG UW Equity","EQY_BETA")</f>
        <v>0.7855495810508728</v>
      </c>
      <c r="M448">
        <f>_xll.BDP("FANG UW Equity","VOLATILITY_60D")</f>
        <v>33.25105170367334</v>
      </c>
      <c r="N448">
        <f>_xll.BDP("FANG UW Equity","PCT_INSIDER_SHARES_OUT")</f>
        <v>0.73739903069466883</v>
      </c>
      <c r="O448">
        <f>_xll.BDP("FANG UW Equity","PCT_CHG_INSIDER_HOLDINGS")</f>
        <v>9.3683023181910929</v>
      </c>
      <c r="P448">
        <f>_xll.BDP("FANG UW Equity","RISK_PREMIUM")</f>
        <v>4.0466251233547927</v>
      </c>
      <c r="Q448">
        <f>_xll.BDP("FANG UW Equity","HIGH_52WEEK")</f>
        <v>203.65</v>
      </c>
      <c r="R448">
        <f>_xll.BDP("FANG UW Equity","LOW_52WEEK")</f>
        <v>114.26</v>
      </c>
    </row>
    <row r="449" spans="1:18" ht="15.75" x14ac:dyDescent="0.25">
      <c r="A449" t="s">
        <v>465</v>
      </c>
      <c r="B449">
        <f>_xll.BDP("PANW UW Equity","RT_PX_CHG_PCT_1D")</f>
        <v>1.0489000082015991</v>
      </c>
      <c r="C449" t="str">
        <f>_xll.BDP("PANW UW Equity","GICS_SECTOR_NAME")</f>
        <v>資訊技術</v>
      </c>
      <c r="D449" t="str">
        <f>_xll.BDP("PANW UW Equity","NAME_CHINESE_TRADITIONAL")</f>
        <v>Palo Alto Networks Inc</v>
      </c>
      <c r="E449" t="str">
        <f>_xll.BDP("PANW UW Equity","CLASSIFICATION_LEVEL_4_NAME")</f>
        <v>基礎建設軟體</v>
      </c>
      <c r="F449" t="str">
        <f>_xll.BDP("PANW UW Equity","CLASSIFICATION_DESCRIPTION")</f>
        <v>安全軟體</v>
      </c>
      <c r="G449">
        <f>_xll.BDP("PANW UW Equity","CUR_MKT_CAP")</f>
        <v>135540436000.00002</v>
      </c>
      <c r="H449">
        <f>_xll.BDP("PANW UW Equity","CHG_PCT_YTD")</f>
        <v>11.711360000000001</v>
      </c>
      <c r="I449" t="str">
        <f>_xll.BDP("PANW UW Equity","CIE_DES")</f>
        <v>Palo Alto Networks, Inc.提供網路安全解決方案。該公司提供的防火牆，可辨識並控制應用程式、掃描內容具威脅性的內容、避免資料外洩、整合應用程式、用戶及內容能見度。Palo Alto Networks服務全球客戶。</v>
      </c>
      <c r="J449">
        <f>_xll.BDP("PANW UW Equity","ESG_SCORE")</f>
        <v>5.5999999046325684</v>
      </c>
      <c r="K449" t="str">
        <f>_xll.BDP("PANW UW Equity","MSCI_ESG_RATING")</f>
        <v>AAA</v>
      </c>
      <c r="L449">
        <f>_xll.BDP("PANW UW Equity","EQY_BETA")</f>
        <v>1.1998662948608398</v>
      </c>
      <c r="M449">
        <f>_xll.BDP("PANW UW Equity","VOLATILITY_60D")</f>
        <v>30.960735131579479</v>
      </c>
      <c r="N449">
        <f>_xll.BDP("PANW UW Equity","PCT_INSIDER_SHARES_OUT")</f>
        <v>0.97586352729454107</v>
      </c>
      <c r="O449">
        <f>_xll.BDP("PANW UW Equity","PCT_CHG_INSIDER_HOLDINGS")</f>
        <v>-15.531005634201758</v>
      </c>
      <c r="P449">
        <f>_xll.BDP("PANW UW Equity","RISK_PREMIUM")</f>
        <v>6.1809072407054897</v>
      </c>
      <c r="Q449">
        <f>_xll.BDP("PANW UW Equity","HIGH_52WEEK")</f>
        <v>208.35</v>
      </c>
      <c r="R449">
        <f>_xll.BDP("PANW UW Equity","LOW_52WEEK")</f>
        <v>142.10499999999999</v>
      </c>
    </row>
    <row r="450" spans="1:18" ht="15.75" x14ac:dyDescent="0.25">
      <c r="A450" t="s">
        <v>466</v>
      </c>
      <c r="B450">
        <f>_xll.BDP("NOW UN Equity","RT_PX_CHG_PCT_1D")</f>
        <v>-2.749500036239624</v>
      </c>
      <c r="C450" t="str">
        <f>_xll.BDP("NOW UN Equity","GICS_SECTOR_NAME")</f>
        <v>資訊技術</v>
      </c>
      <c r="D450" t="str">
        <f>_xll.BDP("NOW UN Equity","NAME_CHINESE_TRADITIONAL")</f>
        <v>ServiceNow公司</v>
      </c>
      <c r="E450" t="str">
        <f>_xll.BDP("NOW UN Equity","CLASSIFICATION_LEVEL_4_NAME")</f>
        <v>基礎建設軟體</v>
      </c>
      <c r="F450" t="str">
        <f>_xll.BDP("NOW UN Equity","CLASSIFICATION_DESCRIPTION")</f>
        <v>基礎建設軟體</v>
      </c>
      <c r="G450">
        <f>_xll.BDP("NOW UN Equity","CUR_MKT_CAP")</f>
        <v>201508320000</v>
      </c>
      <c r="H450">
        <f>_xll.BDP("NOW UN Equity","CHG_PCT_YTD")</f>
        <v>-8.615062</v>
      </c>
      <c r="I450" t="str">
        <f>_xll.BDP("NOW UN Equity","CIE_DES")</f>
        <v>ServiceNow公司(ServiceNow, Inc.)提供企業資訊科技(IT)管理軟體。該公司設計、開發，並銷售雲端計算平台，幫助公司管理企業營運的數位工作流程。ServiceNow服務全球各地的客戶。</v>
      </c>
      <c r="J450">
        <f>_xll.BDP("NOW UN Equity","ESG_SCORE")</f>
        <v>5.5799999237060547</v>
      </c>
      <c r="K450" t="str">
        <f>_xll.BDP("NOW UN Equity","MSCI_ESG_RATING")</f>
        <v>AAA</v>
      </c>
      <c r="L450">
        <f>_xll.BDP("NOW UN Equity","EQY_BETA")</f>
        <v>1.3127161264419556</v>
      </c>
      <c r="M450">
        <f>_xll.BDP("NOW UN Equity","VOLATILITY_60D")</f>
        <v>25.384136429997017</v>
      </c>
      <c r="N450">
        <f>_xll.BDP("NOW UN Equity","PCT_INSIDER_SHARES_OUT")</f>
        <v>0.1699639423076923</v>
      </c>
      <c r="O450">
        <f>_xll.BDP("NOW UN Equity","PCT_CHG_INSIDER_HOLDINGS")</f>
        <v>1.7121533831644484</v>
      </c>
      <c r="P450">
        <f>_xll.BDP("NOW UN Equity","RISK_PREMIUM")</f>
        <v>6.7622339636242383</v>
      </c>
      <c r="Q450">
        <f>_xll.BDP("NOW UN Equity","HIGH_52WEEK")</f>
        <v>1197.5</v>
      </c>
      <c r="R450">
        <f>_xll.BDP("NOW UN Equity","LOW_52WEEK")</f>
        <v>679.18</v>
      </c>
    </row>
    <row r="451" spans="1:18" ht="15.75" x14ac:dyDescent="0.25">
      <c r="A451" t="s">
        <v>467</v>
      </c>
      <c r="B451">
        <f>_xll.BDP("CHD UN Equity","RT_PX_CHG_PCT_1D")</f>
        <v>-5.1399998366832733E-2</v>
      </c>
      <c r="C451" t="str">
        <f>_xll.BDP("CHD UN Equity","GICS_SECTOR_NAME")</f>
        <v>核心消費</v>
      </c>
      <c r="D451" t="str">
        <f>_xll.BDP("CHD UN Equity","NAME_CHINESE_TRADITIONAL")</f>
        <v>丘奇及德懷特公司</v>
      </c>
      <c r="E451" t="str">
        <f>_xll.BDP("CHD UN Equity","CLASSIFICATION_LEVEL_4_NAME")</f>
        <v>家居產品</v>
      </c>
      <c r="F451" t="str">
        <f>_xll.BDP("CHD UN Equity","CLASSIFICATION_DESCRIPTION")</f>
        <v>家庭清潔用品</v>
      </c>
      <c r="G451">
        <f>_xll.BDP("CHD UN Equity","CUR_MKT_CAP")</f>
        <v>23945545282.049999</v>
      </c>
      <c r="H451">
        <f>_xll.BDP("CHD UN Equity","CHG_PCT_YTD")</f>
        <v>-7.1435380000000004</v>
      </c>
      <c r="I451" t="str">
        <f>_xll.BDP("CHD UN Equity","CIE_DES")</f>
        <v>丘奇及德懷特公司(Church &amp; Dwight Co., Inc.)開發、製造及經銷家用、個人保健及特殊產品。該公司提供避孕藥、洗衣及洗碗清潔劑、牙刷、洗髮精、維他命、懷孕試劑及脫毛產品。丘奇及德懷特服務全球客戶。</v>
      </c>
      <c r="J451">
        <f>_xll.BDP("CHD UN Equity","ESG_SCORE")</f>
        <v>5.690000057220459</v>
      </c>
      <c r="K451" t="str">
        <f>_xll.BDP("CHD UN Equity","MSCI_ESG_RATING")</f>
        <v>AA</v>
      </c>
      <c r="L451">
        <f>_xll.BDP("CHD UN Equity","EQY_BETA")</f>
        <v>0.37267863750457764</v>
      </c>
      <c r="M451">
        <f>_xll.BDP("CHD UN Equity","VOLATILITY_60D")</f>
        <v>22.216619498169933</v>
      </c>
      <c r="N451">
        <f>_xll.BDP("CHD UN Equity","PCT_INSIDER_SHARES_OUT")</f>
        <v>0.20461035937944741</v>
      </c>
      <c r="O451">
        <f>_xll.BDP("CHD UN Equity","PCT_CHG_INSIDER_HOLDINGS")</f>
        <v>15.008232349339018</v>
      </c>
      <c r="P451">
        <f>_xll.BDP("CHD UN Equity","RISK_PREMIUM")</f>
        <v>1.9197906457364557</v>
      </c>
      <c r="Q451">
        <f>_xll.BDP("CHD UN Equity","HIGH_52WEEK")</f>
        <v>116.17</v>
      </c>
      <c r="R451">
        <f>_xll.BDP("CHD UN Equity","LOW_52WEEK")</f>
        <v>91.04</v>
      </c>
    </row>
    <row r="452" spans="1:18" ht="15.75" x14ac:dyDescent="0.25">
      <c r="A452" t="s">
        <v>468</v>
      </c>
      <c r="B452">
        <f>_xll.BDP("FRT UN Equity","RT_PX_CHG_PCT_1D")</f>
        <v>-0.49630001187324524</v>
      </c>
      <c r="C452" t="str">
        <f>_xll.BDP("FRT UN Equity","GICS_SECTOR_NAME")</f>
        <v>房地產</v>
      </c>
      <c r="D452" t="str">
        <f>_xll.BDP("FRT UN Equity","NAME_CHINESE_TRADITIONAL")</f>
        <v>聯邦不動產投資信託</v>
      </c>
      <c r="E452" t="str">
        <f>_xll.BDP("FRT UN Equity","CLASSIFICATION_LEVEL_4_NAME")</f>
        <v>零售不動產投資信託</v>
      </c>
      <c r="F452" t="str">
        <f>_xll.BDP("FRT UN Equity","CLASSIFICATION_DESCRIPTION")</f>
        <v>購物中心REIT</v>
      </c>
      <c r="G452">
        <f>_xll.BDP("FRT UN Equity","CUR_MKT_CAP")</f>
        <v>8129212137.6000004</v>
      </c>
      <c r="H452">
        <f>_xll.BDP("FRT UN Equity","CHG_PCT_YTD")</f>
        <v>-15.819559999999999</v>
      </c>
      <c r="I452" t="str">
        <f>_xll.BDP("FRT UN Equity","CIE_DES")</f>
        <v>聯邦不動產投資信託(Federal Realty Investment Trust)為自行管理的不動產投資信託公司。該公司專精於持有、管理、開發，及再開發主要社區，及其鄰近的購物中心。聯邦不動產投資信託服務美國的客戶。</v>
      </c>
      <c r="J452">
        <f>_xll.BDP("FRT UN Equity","ESG_SCORE")</f>
        <v>6.2800002098083496</v>
      </c>
      <c r="K452" t="str">
        <f>_xll.BDP("FRT UN Equity","MSCI_ESG_RATING")</f>
        <v>N.S.</v>
      </c>
      <c r="L452">
        <f>_xll.BDP("FRT UN Equity","EQY_BETA")</f>
        <v>0.76561218500137329</v>
      </c>
      <c r="M452">
        <f>_xll.BDP("FRT UN Equity","VOLATILITY_60D")</f>
        <v>21.358524613367415</v>
      </c>
      <c r="N452">
        <f>_xll.BDP("FRT UN Equity","PCT_INSIDER_SHARES_OUT")</f>
        <v>0.85911922271939711</v>
      </c>
      <c r="O452">
        <f>_xll.BDP("FRT UN Equity","PCT_CHG_INSIDER_HOLDINGS")</f>
        <v>10.102444789410491</v>
      </c>
      <c r="P452">
        <f>_xll.BDP("FRT UN Equity","RISK_PREMIUM")</f>
        <v>3.9439210169631242</v>
      </c>
      <c r="Q452">
        <f>_xll.BDP("FRT UN Equity","HIGH_52WEEK")</f>
        <v>118.14</v>
      </c>
      <c r="R452">
        <f>_xll.BDP("FRT UN Equity","LOW_52WEEK")</f>
        <v>81</v>
      </c>
    </row>
    <row r="453" spans="1:18" ht="15.75" x14ac:dyDescent="0.25">
      <c r="A453" t="s">
        <v>469</v>
      </c>
      <c r="B453">
        <f>_xll.BDP("MGM UN Equity","RT_PX_CHG_PCT_1D")</f>
        <v>2.8907999992370605</v>
      </c>
      <c r="C453" t="str">
        <f>_xll.BDP("MGM UN Equity","GICS_SECTOR_NAME")</f>
        <v>非核心消費</v>
      </c>
      <c r="D453" t="str">
        <f>_xll.BDP("MGM UN Equity","NAME_CHINESE_TRADITIONAL")</f>
        <v>美高梅度假村國際</v>
      </c>
      <c r="E453" t="str">
        <f>_xll.BDP("MGM UN Equity","CLASSIFICATION_LEVEL_4_NAME")</f>
        <v>賭場及博弈</v>
      </c>
      <c r="F453" t="str">
        <f>_xll.BDP("MGM UN Equity","CLASSIFICATION_DESCRIPTION")</f>
        <v>賭場(賭場飯店除外)</v>
      </c>
      <c r="G453">
        <f>_xll.BDP("MGM UN Equity","CUR_MKT_CAP")</f>
        <v>10461413326</v>
      </c>
      <c r="H453">
        <f>_xll.BDP("MGM UN Equity","CHG_PCT_YTD")</f>
        <v>10.937950000000001</v>
      </c>
      <c r="I453" t="str">
        <f>_xll.BDP("MGM UN Equity","CIE_DES")</f>
        <v>美高梅度假村國際(MGM Resorts International)經營博奕、餐旅及娛樂度假村。該公司提供住宿、餐飲、會議、展覽及餐旅管理服務予賭場及非賭場房地產。美高梅度假村國際服務全球客戶。</v>
      </c>
      <c r="J453">
        <f>_xll.BDP("MGM UN Equity","ESG_SCORE")</f>
        <v>6.820000171661377</v>
      </c>
      <c r="K453" t="str">
        <f>_xll.BDP("MGM UN Equity","MSCI_ESG_RATING")</f>
        <v>N.S.</v>
      </c>
      <c r="L453">
        <f>_xll.BDP("MGM UN Equity","EQY_BETA")</f>
        <v>1.3452150821685791</v>
      </c>
      <c r="M453">
        <f>_xll.BDP("MGM UN Equity","VOLATILITY_60D")</f>
        <v>37.930538564803214</v>
      </c>
      <c r="N453">
        <f>_xll.BDP("MGM UN Equity","PCT_INSIDER_SHARES_OUT")</f>
        <v>4.317650391770397</v>
      </c>
      <c r="O453">
        <f>_xll.BDP("MGM UN Equity","PCT_CHG_INSIDER_HOLDINGS")</f>
        <v>-0.50367762396660098</v>
      </c>
      <c r="P453">
        <f>_xll.BDP("MGM UN Equity","RISK_PREMIUM")</f>
        <v>6.9296468092274663</v>
      </c>
      <c r="Q453">
        <f>_xll.BDP("MGM UN Equity","HIGH_52WEEK")</f>
        <v>43.99</v>
      </c>
      <c r="R453">
        <f>_xll.BDP("MGM UN Equity","LOW_52WEEK")</f>
        <v>25.31</v>
      </c>
    </row>
    <row r="454" spans="1:18" ht="15.75" x14ac:dyDescent="0.25">
      <c r="A454" t="s">
        <v>470</v>
      </c>
      <c r="B454">
        <f>_xll.BDP("AEP UW Equity","RT_PX_CHG_PCT_1D")</f>
        <v>0.75249999761581421</v>
      </c>
      <c r="C454" t="str">
        <f>_xll.BDP("AEP UW Equity","GICS_SECTOR_NAME")</f>
        <v>公用事業</v>
      </c>
      <c r="D454" t="str">
        <f>_xll.BDP("AEP UW Equity","NAME_CHINESE_TRADITIONAL")</f>
        <v>美國電力公司</v>
      </c>
      <c r="E454" t="str">
        <f>_xll.BDP("AEP UW Equity","CLASSIFICATION_LEVEL_4_NAME")</f>
        <v>整合型公用事業</v>
      </c>
      <c r="F454" t="str">
        <f>_xll.BDP("AEP UW Equity","CLASSIFICATION_DESCRIPTION")</f>
        <v>整合型公用事業</v>
      </c>
      <c r="G454">
        <f>_xll.BDP("AEP UW Equity","CUR_MKT_CAP")</f>
        <v>58649271904.540001</v>
      </c>
      <c r="H454">
        <f>_xll.BDP("AEP UW Equity","CHG_PCT_YTD")</f>
        <v>19.039349999999999</v>
      </c>
      <c r="I454" t="str">
        <f>_xll.BDP("AEP UW Equity","CIE_DES")</f>
        <v>美國電力公司(American Electric Power Company, Inc.，簡稱AEP)為公共事業控股公司。該公司發電、輸電、配電及銷售電力予住宅及商業客戶。AEP服務美國客戶。</v>
      </c>
      <c r="J454">
        <f>_xll.BDP("AEP UW Equity","ESG_SCORE")</f>
        <v>5.570000171661377</v>
      </c>
      <c r="K454" t="str">
        <f>_xll.BDP("AEP UW Equity","MSCI_ESG_RATING")</f>
        <v>AA</v>
      </c>
      <c r="L454">
        <f>_xll.BDP("AEP UW Equity","EQY_BETA")</f>
        <v>0.40203627943992615</v>
      </c>
      <c r="M454">
        <f>_xll.BDP("AEP UW Equity","VOLATILITY_60D")</f>
        <v>16.989918524672611</v>
      </c>
      <c r="N454">
        <f>_xll.BDP("AEP UW Equity","PCT_INSIDER_SHARES_OUT")</f>
        <v>9.8476606857046595E-2</v>
      </c>
      <c r="O454">
        <f>_xll.BDP("AEP UW Equity","PCT_CHG_INSIDER_HOLDINGS")</f>
        <v>39.202387056472539</v>
      </c>
      <c r="P454">
        <f>_xll.BDP("AEP UW Equity","RISK_PREMIUM")</f>
        <v>2.0710215473672746</v>
      </c>
      <c r="Q454">
        <f>_xll.BDP("AEP UW Equity","HIGH_52WEEK")</f>
        <v>110.5</v>
      </c>
      <c r="R454">
        <f>_xll.BDP("AEP UW Equity","LOW_52WEEK")</f>
        <v>89.96</v>
      </c>
    </row>
    <row r="455" spans="1:18" ht="15.75" x14ac:dyDescent="0.25">
      <c r="A455" t="s">
        <v>471</v>
      </c>
      <c r="B455">
        <f>_xll.BDP("INVH UN Equity","RT_PX_CHG_PCT_1D")</f>
        <v>-0.65380001068115234</v>
      </c>
      <c r="C455" t="str">
        <f>_xll.BDP("INVH UN Equity","GICS_SECTOR_NAME")</f>
        <v>房地產</v>
      </c>
      <c r="D455" t="str">
        <f>_xll.BDP("INVH UN Equity","NAME_CHINESE_TRADITIONAL")</f>
        <v>邀請回家公司</v>
      </c>
      <c r="E455" t="str">
        <f>_xll.BDP("INVH UN Equity","CLASSIFICATION_LEVEL_4_NAME")</f>
        <v>住宅不動產投資信託</v>
      </c>
      <c r="F455" t="str">
        <f>_xll.BDP("INVH UN Equity","CLASSIFICATION_DESCRIPTION")</f>
        <v>單戶住宅REIT</v>
      </c>
      <c r="G455">
        <f>_xll.BDP("INVH UN Equity","CUR_MKT_CAP")</f>
        <v>19559213694.679996</v>
      </c>
      <c r="H455">
        <f>_xll.BDP("INVH UN Equity","CHG_PCT_YTD")</f>
        <v>-0.1876738</v>
      </c>
      <c r="I455" t="str">
        <f>_xll.BDP("INVH UN Equity","CIE_DES")</f>
        <v>邀請回家公司(Invitation Homes Inc)提供不動產服務。 該公司擁有並經營單戶住宅租賃，並提供收購的承銷與執行、預付資本投資及翻新、持續租賃及維修營運，以及處置服務。 邀請回家公司服務美國的客戶。</v>
      </c>
      <c r="J455">
        <f>_xll.BDP("INVH UN Equity","ESG_SCORE")</f>
        <v>4.4699997901916504</v>
      </c>
      <c r="K455" t="str">
        <f>_xll.BDP("INVH UN Equity","MSCI_ESG_RATING")</f>
        <v>BBB</v>
      </c>
      <c r="L455">
        <f>_xll.BDP("INVH UN Equity","EQY_BETA")</f>
        <v>0.742012619972229</v>
      </c>
      <c r="M455">
        <f>_xll.BDP("INVH UN Equity","VOLATILITY_60D")</f>
        <v>15.849769526591809</v>
      </c>
      <c r="N455">
        <f>_xll.BDP("INVH UN Equity","PCT_INSIDER_SHARES_OUT")</f>
        <v>0.30511365295628856</v>
      </c>
      <c r="O455">
        <f>_xll.BDP("INVH UN Equity","PCT_CHG_INSIDER_HOLDINGS")</f>
        <v>2.6564994104718642</v>
      </c>
      <c r="P455">
        <f>_xll.BDP("INVH UN Equity","RISK_PREMIUM")</f>
        <v>3.8223518696415422</v>
      </c>
      <c r="Q455">
        <f>_xll.BDP("INVH UN Equity","HIGH_52WEEK")</f>
        <v>37.799999999999997</v>
      </c>
      <c r="R455">
        <f>_xll.BDP("INVH UN Equity","LOW_52WEEK")</f>
        <v>29.39</v>
      </c>
    </row>
    <row r="456" spans="1:18" ht="15.75" x14ac:dyDescent="0.25">
      <c r="A456" t="s">
        <v>472</v>
      </c>
      <c r="B456">
        <f>_xll.BDP("PTC UW Equity","RT_PX_CHG_PCT_1D")</f>
        <v>1.2124999761581421</v>
      </c>
      <c r="C456" t="str">
        <f>_xll.BDP("PTC UW Equity","GICS_SECTOR_NAME")</f>
        <v>資訊技術</v>
      </c>
      <c r="D456" t="str">
        <f>_xll.BDP("PTC UW Equity","NAME_CHINESE_TRADITIONAL")</f>
        <v>參數科技公司</v>
      </c>
      <c r="E456" t="str">
        <f>_xll.BDP("PTC UW Equity","CLASSIFICATION_LEVEL_4_NAME")</f>
        <v>應用軟體</v>
      </c>
      <c r="F456" t="str">
        <f>_xll.BDP("PTC UW Equity","CLASSIFICATION_DESCRIPTION")</f>
        <v>工程軟體</v>
      </c>
      <c r="G456">
        <f>_xll.BDP("PTC UW Equity","CUR_MKT_CAP")</f>
        <v>24530535212.519997</v>
      </c>
      <c r="H456">
        <f>_xll.BDP("PTC UW Equity","CHG_PCT_YTD")</f>
        <v>11.22533</v>
      </c>
      <c r="I456" t="str">
        <f>_xll.BDP("PTC UW Equity","CIE_DES")</f>
        <v>參數科技公司(PTC Inc.)開發並提供軟體及服務的科技解決方案。該公司的技術主要由非連續製造商使用，來設計、經營及維護複雜產品。參數科技公司的技術亦被用於連結產品及網路，目的在於擷取及分析來自網路的資訊。</v>
      </c>
      <c r="J456">
        <f>_xll.BDP("PTC UW Equity","ESG_SCORE")</f>
        <v>5.5500001907348633</v>
      </c>
      <c r="K456" t="str">
        <f>_xll.BDP("PTC UW Equity","MSCI_ESG_RATING")</f>
        <v>AA</v>
      </c>
      <c r="L456">
        <f>_xll.BDP("PTC UW Equity","EQY_BETA")</f>
        <v>1.0625364780426025</v>
      </c>
      <c r="M456">
        <f>_xll.BDP("PTC UW Equity","VOLATILITY_60D")</f>
        <v>43.139922432671604</v>
      </c>
      <c r="N456">
        <f>_xll.BDP("PTC UW Equity","PCT_INSIDER_SHARES_OUT")</f>
        <v>1.12032974316349</v>
      </c>
      <c r="O456">
        <f>_xll.BDP("PTC UW Equity","PCT_CHG_INSIDER_HOLDINGS")</f>
        <v>0.50957405353332352</v>
      </c>
      <c r="P456">
        <f>_xll.BDP("PTC UW Equity","RISK_PREMIUM")</f>
        <v>5.4734760354351994</v>
      </c>
      <c r="Q456">
        <f>_xll.BDP("PTC UW Equity","HIGH_52WEEK")</f>
        <v>213.14</v>
      </c>
      <c r="R456">
        <f>_xll.BDP("PTC UW Equity","LOW_52WEEK")</f>
        <v>134.13999999999999</v>
      </c>
    </row>
    <row r="457" spans="1:18" ht="15.75" x14ac:dyDescent="0.25">
      <c r="A457" t="s">
        <v>473</v>
      </c>
      <c r="B457">
        <f>_xll.BDP("JBHT UW Equity","RT_PX_CHG_PCT_1D")</f>
        <v>-0.28049999475479126</v>
      </c>
      <c r="C457" t="str">
        <f>_xll.BDP("JBHT UW Equity","GICS_SECTOR_NAME")</f>
        <v>工業</v>
      </c>
      <c r="D457" t="str">
        <f>_xll.BDP("JBHT UW Equity","NAME_CHINESE_TRADITIONAL")</f>
        <v>JB Hunt Transport Services I</v>
      </c>
      <c r="E457" t="str">
        <f>_xll.BDP("JBHT UW Equity","CLASSIFICATION_LEVEL_4_NAME")</f>
        <v>卡車運輸</v>
      </c>
      <c r="F457" t="str">
        <f>_xll.BDP("JBHT UW Equity","CLASSIFICATION_DESCRIPTION")</f>
        <v>卡車運輸</v>
      </c>
      <c r="G457">
        <f>_xll.BDP("JBHT UW Equity","CUR_MKT_CAP")</f>
        <v>14453100646.109999</v>
      </c>
      <c r="H457">
        <f>_xll.BDP("JBHT UW Equity","CHG_PCT_YTD")</f>
        <v>-12.510260000000001</v>
      </c>
      <c r="I457" t="str">
        <f>_xll.BDP("JBHT UW Equity","CIE_DES")</f>
        <v>J.B. Hunt運輸服務公司(J.B. Hunt Transport Services, Inc.)提供物流服務。該公司運送多種產品，包括：汽車零件、百貨公司商品、紙及木製產品、食品及飲料、塑膠、化學品，以及製造業材料與原料。</v>
      </c>
      <c r="J457">
        <f>_xll.BDP("JBHT UW Equity","ESG_SCORE")</f>
        <v>5.1700000762939453</v>
      </c>
      <c r="K457" t="str">
        <f>_xll.BDP("JBHT UW Equity","MSCI_ESG_RATING")</f>
        <v>AA</v>
      </c>
      <c r="L457">
        <f>_xll.BDP("JBHT UW Equity","EQY_BETA")</f>
        <v>1.0001269578933716</v>
      </c>
      <c r="M457">
        <f>_xll.BDP("JBHT UW Equity","VOLATILITY_60D")</f>
        <v>33.612498856595828</v>
      </c>
      <c r="N457">
        <f>_xll.BDP("JBHT UW Equity","PCT_INSIDER_SHARES_OUT")</f>
        <v>3.4828595173435182</v>
      </c>
      <c r="O457">
        <f>_xll.BDP("JBHT UW Equity","PCT_CHG_INSIDER_HOLDINGS")</f>
        <v>4.5738982345162933</v>
      </c>
      <c r="P457">
        <f>_xll.BDP("JBHT UW Equity","RISK_PREMIUM")</f>
        <v>5.1519840020048617</v>
      </c>
      <c r="Q457">
        <f>_xll.BDP("JBHT UW Equity","HIGH_52WEEK")</f>
        <v>200.26</v>
      </c>
      <c r="R457">
        <f>_xll.BDP("JBHT UW Equity","LOW_52WEEK")</f>
        <v>122.79</v>
      </c>
    </row>
    <row r="458" spans="1:18" ht="15.75" x14ac:dyDescent="0.25">
      <c r="A458" t="s">
        <v>474</v>
      </c>
      <c r="B458">
        <f>_xll.BDP("LRCX UW Equity","RT_PX_CHG_PCT_1D")</f>
        <v>-0.83859997987747192</v>
      </c>
      <c r="C458" t="str">
        <f>_xll.BDP("LRCX UW Equity","GICS_SECTOR_NAME")</f>
        <v>資訊技術</v>
      </c>
      <c r="D458" t="str">
        <f>_xll.BDP("LRCX UW Equity","NAME_CHINESE_TRADITIONAL")</f>
        <v>科林研發股份有限公司</v>
      </c>
      <c r="E458" t="str">
        <f>_xll.BDP("LRCX UW Equity","CLASSIFICATION_LEVEL_4_NAME")</f>
        <v>半導體製造</v>
      </c>
      <c r="F458" t="str">
        <f>_xll.BDP("LRCX UW Equity","CLASSIFICATION_DESCRIPTION")</f>
        <v>前端資本設備</v>
      </c>
      <c r="G458">
        <f>_xll.BDP("LRCX UW Equity","CUR_MKT_CAP")</f>
        <v>124023281279.99998</v>
      </c>
      <c r="H458">
        <f>_xll.BDP("LRCX UW Equity","CHG_PCT_YTD")</f>
        <v>34.237850000000002</v>
      </c>
      <c r="I458" t="str">
        <f>_xll.BDP("LRCX UW Equity","CIE_DES")</f>
        <v>科林研發股份有限公司(Lam Research Corporation)製造、行銷並服務積體電路生產時所使用的半導體製程設備。 該公司產品用來讓特殊薄膜附著至矽晶圓，並蝕刻各薄膜的部份，以創造電路設計。 科林研發(Lam Research Corporation)的產品行銷全球各地。</v>
      </c>
      <c r="J458">
        <f>_xll.BDP("LRCX UW Equity","ESG_SCORE")</f>
        <v>4.9499998092651367</v>
      </c>
      <c r="K458" t="str">
        <f>_xll.BDP("LRCX UW Equity","MSCI_ESG_RATING")</f>
        <v>AAA</v>
      </c>
      <c r="L458">
        <f>_xll.BDP("LRCX UW Equity","EQY_BETA")</f>
        <v>1.6238448619842529</v>
      </c>
      <c r="M458">
        <f>_xll.BDP("LRCX UW Equity","VOLATILITY_60D")</f>
        <v>33.139470749026579</v>
      </c>
      <c r="N458">
        <f>_xll.BDP("LRCX UW Equity","PCT_INSIDER_SHARES_OUT")</f>
        <v>0.33294181951938756</v>
      </c>
      <c r="O458">
        <f>_xll.BDP("LRCX UW Equity","PCT_CHG_INSIDER_HOLDINGS")</f>
        <v>7.5728019489694152</v>
      </c>
      <c r="P458">
        <f>_xll.BDP("LRCX UW Equity","RISK_PREMIUM")</f>
        <v>8.3649607528853416</v>
      </c>
      <c r="Q458">
        <f>_xll.BDP("LRCX UW Equity","HIGH_52WEEK")</f>
        <v>102.58</v>
      </c>
      <c r="R458">
        <f>_xll.BDP("LRCX UW Equity","LOW_52WEEK")</f>
        <v>56.36</v>
      </c>
    </row>
    <row r="459" spans="1:18" ht="15.75" x14ac:dyDescent="0.25">
      <c r="A459" t="s">
        <v>475</v>
      </c>
      <c r="B459">
        <f>_xll.BDP("MHK UN Equity","RT_PX_CHG_PCT_1D")</f>
        <v>4.2241001129150391</v>
      </c>
      <c r="C459" t="str">
        <f>_xll.BDP("MHK UN Equity","GICS_SECTOR_NAME")</f>
        <v>非核心消費</v>
      </c>
      <c r="D459" t="str">
        <f>_xll.BDP("MHK UN Equity","NAME_CHINESE_TRADITIONAL")</f>
        <v>Mohawk工業公司</v>
      </c>
      <c r="E459" t="str">
        <f>_xll.BDP("MHK UN Equity","CLASSIFICATION_LEVEL_4_NAME")</f>
        <v>居家修繕</v>
      </c>
      <c r="F459" t="str">
        <f>_xll.BDP("MHK UN Equity","CLASSIFICATION_DESCRIPTION")</f>
        <v>地板鋪設</v>
      </c>
      <c r="G459">
        <f>_xll.BDP("MHK UN Equity","CUR_MKT_CAP")</f>
        <v>7511748039.8999996</v>
      </c>
      <c r="H459">
        <f>_xll.BDP("MHK UN Equity","CHG_PCT_YTD")</f>
        <v>1.4857739999999999</v>
      </c>
      <c r="I459" t="str">
        <f>_xll.BDP("MHK UN Equity","CIE_DES")</f>
        <v>Mohawk工業公司(Mohawk Industries, Inc.)設計、製造、提供、經銷並行銷住宅及商用地板。該公司提供地毯、瓷磚、層壓板、木材、石頭、塑膠及踏墊。Mohawk在美國行銷住宅及商用地板，並在歐洲銷售住宅用地板。</v>
      </c>
      <c r="J459">
        <f>_xll.BDP("MHK UN Equity","ESG_SCORE")</f>
        <v>3.2400000095367432</v>
      </c>
      <c r="K459" t="str">
        <f>_xll.BDP("MHK UN Equity","MSCI_ESG_RATING")</f>
        <v>N.S.</v>
      </c>
      <c r="L459">
        <f>_xll.BDP("MHK UN Equity","EQY_BETA")</f>
        <v>1.0686850547790527</v>
      </c>
      <c r="M459">
        <f>_xll.BDP("MHK UN Equity","VOLATILITY_60D")</f>
        <v>36.353750242734037</v>
      </c>
      <c r="N459">
        <f>_xll.BDP("MHK UN Equity","PCT_INSIDER_SHARES_OUT")</f>
        <v>2.9803606552574995</v>
      </c>
      <c r="O459">
        <f>_xll.BDP("MHK UN Equity","PCT_CHG_INSIDER_HOLDINGS")</f>
        <v>4.6584247614353886</v>
      </c>
      <c r="P459">
        <f>_xll.BDP("MHK UN Equity","RISK_PREMIUM")</f>
        <v>5.5051493832349774</v>
      </c>
      <c r="Q459">
        <f>_xll.BDP("MHK UN Equity","HIGH_52WEEK")</f>
        <v>164</v>
      </c>
      <c r="R459">
        <f>_xll.BDP("MHK UN Equity","LOW_52WEEK")</f>
        <v>96.4</v>
      </c>
    </row>
    <row r="460" spans="1:18" ht="15.75" x14ac:dyDescent="0.25">
      <c r="A460" t="s">
        <v>476</v>
      </c>
      <c r="B460">
        <f>_xll.BDP("GEHC UW Equity","RT_PX_CHG_PCT_1D")</f>
        <v>1.0942000150680542</v>
      </c>
      <c r="C460" t="str">
        <f>_xll.BDP("GEHC UW Equity","GICS_SECTOR_NAME")</f>
        <v>醫療保健</v>
      </c>
      <c r="D460" t="str">
        <f>_xll.BDP("GEHC UW Equity","NAME_CHINESE_TRADITIONAL")</f>
        <v>奇異醫療保健科技公司</v>
      </c>
      <c r="E460" t="str">
        <f>_xll.BDP("GEHC UW Equity","CLASSIFICATION_LEVEL_4_NAME")</f>
        <v>醫療設備</v>
      </c>
      <c r="F460" t="str">
        <f>_xll.BDP("GEHC UW Equity","CLASSIFICATION_DESCRIPTION")</f>
        <v>影像設備</v>
      </c>
      <c r="G460">
        <f>_xll.BDP("GEHC UW Equity","CUR_MKT_CAP")</f>
        <v>35536454694.779999</v>
      </c>
      <c r="H460">
        <f>_xll.BDP("GEHC UW Equity","CHG_PCT_YTD")</f>
        <v>-0.72908709999999999</v>
      </c>
      <c r="I460" t="str">
        <f>_xll.BDP("GEHC UW Equity","CIE_DES")</f>
        <v>奇異醫療保健科技公司(GE HealthCare Technologies Inc.)提供醫療技術、藥物診斷，以及數位解決方案。該公司提供影像、超音波、孕產婦、呼吸器，和病患監測設備，以及績效管理、網路安全、技術培訓、場地規劃、整合資產優化，以及臨床網路解決方案。</v>
      </c>
      <c r="J460">
        <f>_xll.BDP("GEHC UW Equity","ESG_SCORE")</f>
        <v>6.2899999618530273</v>
      </c>
      <c r="K460" t="str">
        <f>_xll.BDP("GEHC UW Equity","MSCI_ESG_RATING")</f>
        <v>N.S.</v>
      </c>
      <c r="L460">
        <f>_xll.BDP("GEHC UW Equity","EQY_BETA")</f>
        <v>1.1864407062530518</v>
      </c>
      <c r="M460">
        <f>_xll.BDP("GEHC UW Equity","VOLATILITY_60D")</f>
        <v>29.06467012472466</v>
      </c>
      <c r="N460">
        <f>_xll.BDP("GEHC UW Equity","PCT_INSIDER_SHARES_OUT")</f>
        <v>0.2571918713214017</v>
      </c>
      <c r="O460">
        <f>_xll.BDP("GEHC UW Equity","PCT_CHG_INSIDER_HOLDINGS")</f>
        <v>16.340869462130829</v>
      </c>
      <c r="P460">
        <f>_xll.BDP("GEHC UW Equity","RISK_PREMIUM")</f>
        <v>6.1117476033425326</v>
      </c>
      <c r="Q460">
        <f>_xll.BDP("GEHC UW Equity","HIGH_52WEEK")</f>
        <v>94.78</v>
      </c>
      <c r="R460">
        <f>_xll.BDP("GEHC UW Equity","LOW_52WEEK")</f>
        <v>57.65</v>
      </c>
    </row>
    <row r="461" spans="1:18" ht="15.75" x14ac:dyDescent="0.25">
      <c r="A461" t="s">
        <v>477</v>
      </c>
      <c r="B461">
        <f>_xll.BDP("PNR UN Equity","RT_PX_CHG_PCT_1D")</f>
        <v>0.22360000014305115</v>
      </c>
      <c r="C461" t="str">
        <f>_xll.BDP("PNR UN Equity","GICS_SECTOR_NAME")</f>
        <v>工業</v>
      </c>
      <c r="D461" t="str">
        <f>_xll.BDP("PNR UN Equity","NAME_CHINESE_TRADITIONAL")</f>
        <v>濱特爾公開有限公司</v>
      </c>
      <c r="E461" t="str">
        <f>_xll.BDP("PNR UN Equity","CLASSIFICATION_LEVEL_4_NAME")</f>
        <v>流量控制設備</v>
      </c>
      <c r="F461" t="str">
        <f>_xll.BDP("PNR UN Equity","CLASSIFICATION_DESCRIPTION")</f>
        <v>液壓氣動幫浦及馬達</v>
      </c>
      <c r="G461">
        <f>_xll.BDP("PNR UN Equity","CUR_MKT_CAP")</f>
        <v>16898033765.4</v>
      </c>
      <c r="H461">
        <f>_xll.BDP("PNR UN Equity","CHG_PCT_YTD")</f>
        <v>2.4244840000000001</v>
      </c>
      <c r="I461" t="str">
        <f>_xll.BDP("PNR UN Equity","CIE_DES")</f>
        <v>濱特爾公開有限公司(Pentair PLC)為全球性水務公司，針對住宅、商業、工業、基礎設施及農業應用，提供一系列智慧、可持續的供水解決方案。該公司的解決方案使人們、企業及工業能夠獲得潔淨、安全的水、減少用水量，並回收和再利用。</v>
      </c>
      <c r="J461">
        <f>_xll.BDP("PNR UN Equity","ESG_SCORE")</f>
        <v>5.5199999809265137</v>
      </c>
      <c r="K461" t="str">
        <f>_xll.BDP("PNR UN Equity","MSCI_ESG_RATING")</f>
        <v>AAA</v>
      </c>
      <c r="L461">
        <f>_xll.BDP("PNR UN Equity","EQY_BETA")</f>
        <v>1.1449747085571289</v>
      </c>
      <c r="M461">
        <f>_xll.BDP("PNR UN Equity","VOLATILITY_60D")</f>
        <v>22.656681236368819</v>
      </c>
      <c r="N461">
        <f>_xll.BDP("PNR UN Equity","PCT_INSIDER_SHARES_OUT")</f>
        <v>0.68576521286660941</v>
      </c>
      <c r="O461">
        <f>_xll.BDP("PNR UN Equity","PCT_CHG_INSIDER_HOLDINGS")</f>
        <v>14.854583111422853</v>
      </c>
      <c r="P461">
        <f>_xll.BDP("PNR UN Equity","RISK_PREMIUM")</f>
        <v>5.8981425654315949</v>
      </c>
      <c r="Q461">
        <f>_xll.BDP("PNR UN Equity","HIGH_52WEEK")</f>
        <v>110.42</v>
      </c>
      <c r="R461">
        <f>_xll.BDP("PNR UN Equity","LOW_52WEEK")</f>
        <v>74.94</v>
      </c>
    </row>
    <row r="462" spans="1:18" ht="15.75" x14ac:dyDescent="0.25">
      <c r="A462" t="s">
        <v>478</v>
      </c>
      <c r="B462">
        <f>_xll.BDP("VRTX UW Equity","RT_PX_CHG_PCT_1D")</f>
        <v>-0.55479997396469116</v>
      </c>
      <c r="C462" t="str">
        <f>_xll.BDP("VRTX UW Equity","GICS_SECTOR_NAME")</f>
        <v>醫療保健</v>
      </c>
      <c r="D462" t="str">
        <f>_xll.BDP("VRTX UW Equity","NAME_CHINESE_TRADITIONAL")</f>
        <v>福泰製藥公司</v>
      </c>
      <c r="E462" t="str">
        <f>_xll.BDP("VRTX UW Equity","CLASSIFICATION_LEVEL_4_NAME")</f>
        <v>生物科技</v>
      </c>
      <c r="F462" t="str">
        <f>_xll.BDP("VRTX UW Equity","CLASSIFICATION_DESCRIPTION")</f>
        <v>生物科技</v>
      </c>
      <c r="G462">
        <f>_xll.BDP("VRTX UW Equity","CUR_MKT_CAP")</f>
        <v>120604798874.55</v>
      </c>
      <c r="H462">
        <f>_xll.BDP("VRTX UW Equity","CHG_PCT_YTD")</f>
        <v>16.62528</v>
      </c>
      <c r="I462" t="str">
        <f>_xll.BDP("VRTX UW Equity","CIE_DES")</f>
        <v>福泰製藥公司(Vertex Pharmaceuticals Incorporated)探索、開發，並商業化製藥產品。該公司開發用於治療囊性纖維化、癌症、發炎性腸道、自身免疫性疾病，以及神經系統疾病的藥物。福泰製藥服務全球的醫療保健行業。</v>
      </c>
      <c r="J462">
        <f>_xll.BDP("VRTX UW Equity","ESG_SCORE")</f>
        <v>5.9200000762939453</v>
      </c>
      <c r="K462" t="str">
        <f>_xll.BDP("VRTX UW Equity","MSCI_ESG_RATING")</f>
        <v>AA</v>
      </c>
      <c r="L462">
        <f>_xll.BDP("VRTX UW Equity","EQY_BETA")</f>
        <v>0.82187527418136597</v>
      </c>
      <c r="M462">
        <f>_xll.BDP("VRTX UW Equity","VOLATILITY_60D")</f>
        <v>32.569494345526515</v>
      </c>
      <c r="N462">
        <f>_xll.BDP("VRTX UW Equity","PCT_INSIDER_SHARES_OUT")</f>
        <v>0.22980118163282154</v>
      </c>
      <c r="O462">
        <f>_xll.BDP("VRTX UW Equity","PCT_CHG_INSIDER_HOLDINGS")</f>
        <v>18.589560667017672</v>
      </c>
      <c r="P462">
        <f>_xll.BDP("VRTX UW Equity","RISK_PREMIUM")</f>
        <v>4.2337507561486953</v>
      </c>
      <c r="Q462">
        <f>_xll.BDP("VRTX UW Equity","HIGH_52WEEK")</f>
        <v>519.74</v>
      </c>
      <c r="R462">
        <f>_xll.BDP("VRTX UW Equity","LOW_52WEEK")</f>
        <v>378.38</v>
      </c>
    </row>
    <row r="463" spans="1:18" ht="15.75" x14ac:dyDescent="0.25">
      <c r="A463" t="s">
        <v>479</v>
      </c>
      <c r="B463">
        <f>_xll.BDP("AMCR UN Equity","RT_PX_CHG_PCT_1D")</f>
        <v>-0.20489999651908875</v>
      </c>
      <c r="C463" t="str">
        <f>_xll.BDP("AMCR UN Equity","GICS_SECTOR_NAME")</f>
        <v>原材料</v>
      </c>
      <c r="D463" t="str">
        <f>_xll.BDP("AMCR UN Equity","NAME_CHINESE_TRADITIONAL")</f>
        <v>安姆科公開有限公司</v>
      </c>
      <c r="E463" t="str">
        <f>_xll.BDP("AMCR UN Equity","CLASSIFICATION_LEVEL_4_NAME")</f>
        <v>容器與包裝</v>
      </c>
      <c r="F463" t="str">
        <f>_xll.BDP("AMCR UN Equity","CLASSIFICATION_DESCRIPTION")</f>
        <v>塑膠包裝膜/片</v>
      </c>
      <c r="G463">
        <f>_xll.BDP("AMCR UN Equity","CUR_MKT_CAP")</f>
        <v>22644985231.260002</v>
      </c>
      <c r="H463">
        <f>_xll.BDP("AMCR UN Equity","CHG_PCT_YTD")</f>
        <v>3.5069089999999998</v>
      </c>
      <c r="I463" t="str">
        <f>_xll.BDP("AMCR UN Equity","CIE_DES")</f>
        <v>安姆科公開有限公司（Amcor PLC）為一家包裝公司。該公司為居家與個人護理、食品、飲料、製藥及醫療業，提供硬質包裝、特殊紙盒、封蓋及相關服務。安姆科為全球客戶服務。</v>
      </c>
      <c r="J463">
        <f>_xll.BDP("AMCR UN Equity","ESG_SCORE")</f>
        <v>6.7600002288818359</v>
      </c>
      <c r="K463" t="str">
        <f>_xll.BDP("AMCR UN Equity","MSCI_ESG_RATING")</f>
        <v>AA</v>
      </c>
      <c r="L463">
        <f>_xll.BDP("AMCR UN Equity","EQY_BETA")</f>
        <v>0.62574362754821777</v>
      </c>
      <c r="M463">
        <f>_xll.BDP("AMCR UN Equity","VOLATILITY_60D")</f>
        <v>20.602062558502315</v>
      </c>
      <c r="N463">
        <f>_xll.BDP("AMCR UN Equity","PCT_INSIDER_SHARES_OUT")</f>
        <v>0.33079377723449183</v>
      </c>
      <c r="O463">
        <f>_xll.BDP("AMCR UN Equity","PCT_CHG_INSIDER_HOLDINGS")</f>
        <v>25.36098754227244</v>
      </c>
      <c r="P463">
        <f>_xll.BDP("AMCR UN Equity","RISK_PREMIUM")</f>
        <v>1.9783621049040001</v>
      </c>
      <c r="Q463">
        <f>_xll.BDP("AMCR UN Equity","HIGH_52WEEK")</f>
        <v>11.475</v>
      </c>
      <c r="R463">
        <f>_xll.BDP("AMCR UN Equity","LOW_52WEEK")</f>
        <v>8.3699999999999992</v>
      </c>
    </row>
    <row r="464" spans="1:18" ht="15.75" x14ac:dyDescent="0.25">
      <c r="A464" t="s">
        <v>480</v>
      </c>
      <c r="B464">
        <f>_xll.BDP("META UW Equity","RT_PX_CHG_PCT_1D")</f>
        <v>-0.29660001397132874</v>
      </c>
      <c r="C464" t="str">
        <f>_xll.BDP("META UW Equity","GICS_SECTOR_NAME")</f>
        <v>通訊服務</v>
      </c>
      <c r="D464" t="str">
        <f>_xll.BDP("META UW Equity","NAME_CHINESE_TRADITIONAL")</f>
        <v>Meta平台公司</v>
      </c>
      <c r="E464" t="str">
        <f>_xll.BDP("META UW Equity","CLASSIFICATION_LEVEL_4_NAME")</f>
        <v>網路媒體及服務</v>
      </c>
      <c r="F464" t="str">
        <f>_xll.BDP("META UW Equity","CLASSIFICATION_DESCRIPTION")</f>
        <v>廣告收入-社交網站</v>
      </c>
      <c r="G464">
        <f>_xll.BDP("META UW Equity","CUR_MKT_CAP")</f>
        <v>1791910743817.3198</v>
      </c>
      <c r="H464">
        <f>_xll.BDP("META UW Equity","CHG_PCT_YTD")</f>
        <v>21.719519999999999</v>
      </c>
      <c r="I464" t="str">
        <f>_xll.BDP("META UW Equity","CIE_DES")</f>
        <v>Meta平台公司(Meta Platforms, Inc.)為一家社群科技公司。該公司開發的應用程式與技術可幫助人們建立聯繫、尋找社群，以及發展業務。Meta平台亦從事廣告、擴增，以及虛擬實境業務。</v>
      </c>
      <c r="J464">
        <f>_xll.BDP("META UW Equity","ESG_SCORE")</f>
        <v>4.25</v>
      </c>
      <c r="K464" t="str">
        <f>_xll.BDP("META UW Equity","MSCI_ESG_RATING")</f>
        <v>B</v>
      </c>
      <c r="L464">
        <f>_xll.BDP("META UW Equity","EQY_BETA")</f>
        <v>1.2161544561386108</v>
      </c>
      <c r="M464">
        <f>_xll.BDP("META UW Equity","VOLATILITY_60D")</f>
        <v>29.417408435935382</v>
      </c>
      <c r="N464">
        <f>_xll.BDP("META UW Equity","PCT_INSIDER_SHARES_OUT")</f>
        <v>9.351983374693941E-2</v>
      </c>
      <c r="O464">
        <f>_xll.BDP("META UW Equity","PCT_CHG_INSIDER_HOLDINGS")</f>
        <v>-11.515646462463131</v>
      </c>
      <c r="P464">
        <f>_xll.BDP("META UW Equity","RISK_PREMIUM")</f>
        <v>6.2648129345405099</v>
      </c>
      <c r="Q464">
        <f>_xll.BDP("META UW Equity","HIGH_52WEEK")</f>
        <v>747.84</v>
      </c>
      <c r="R464">
        <f>_xll.BDP("META UW Equity","LOW_52WEEK")</f>
        <v>450.81</v>
      </c>
    </row>
    <row r="465" spans="1:18" ht="15.75" x14ac:dyDescent="0.25">
      <c r="A465" t="s">
        <v>481</v>
      </c>
      <c r="B465">
        <f>_xll.BDP("TMUS UW Equity","RT_PX_CHG_PCT_1D")</f>
        <v>-1.5959999561309814</v>
      </c>
      <c r="C465" t="str">
        <f>_xll.BDP("TMUS UW Equity","GICS_SECTOR_NAME")</f>
        <v>通訊服務</v>
      </c>
      <c r="D465" t="str">
        <f>_xll.BDP("TMUS UW Equity","NAME_CHINESE_TRADITIONAL")</f>
        <v>T-Mobile美國公司</v>
      </c>
      <c r="E465" t="str">
        <f>_xll.BDP("TMUS UW Equity","CLASSIFICATION_LEVEL_4_NAME")</f>
        <v>無線通訊服務</v>
      </c>
      <c r="F465" t="str">
        <f>_xll.BDP("TMUS UW Equity","CLASSIFICATION_DESCRIPTION")</f>
        <v>無線通訊服務</v>
      </c>
      <c r="G465">
        <f>_xll.BDP("TMUS UW Equity","CUR_MKT_CAP")</f>
        <v>274095806704.89999</v>
      </c>
      <c r="H465">
        <f>_xll.BDP("TMUS UW Equity","CHG_PCT_YTD")</f>
        <v>10.338419999999999</v>
      </c>
      <c r="I465" t="str">
        <f>_xll.BDP("TMUS UW Equity","CIE_DES")</f>
        <v>T-Mobile美國公司(T-Mobile US, Inc.)為一家無線網路經營商。該公司提供無線語音、訊息，以及資料服務。T-Mobile美國服務美國的客戶。</v>
      </c>
      <c r="J465">
        <f>_xll.BDP("TMUS UW Equity","ESG_SCORE")</f>
        <v>5.929999828338623</v>
      </c>
      <c r="K465" t="str">
        <f>_xll.BDP("TMUS UW Equity","MSCI_ESG_RATING")</f>
        <v>BB</v>
      </c>
      <c r="L465">
        <f>_xll.BDP("TMUS UW Equity","EQY_BETA")</f>
        <v>0.66232424974441528</v>
      </c>
      <c r="M465">
        <f>_xll.BDP("TMUS UW Equity","VOLATILITY_60D")</f>
        <v>24.749741842153366</v>
      </c>
      <c r="N465">
        <f>_xll.BDP("TMUS UW Equity","PCT_INSIDER_SHARES_OUT")</f>
        <v>0.29378109138018815</v>
      </c>
      <c r="O465">
        <f>_xll.BDP("TMUS UW Equity","PCT_CHG_INSIDER_HOLDINGS")</f>
        <v>8.3459142146003114</v>
      </c>
      <c r="P465">
        <f>_xll.BDP("TMUS UW Equity","RISK_PREMIUM")</f>
        <v>3.4118507774358986</v>
      </c>
      <c r="Q465">
        <f>_xll.BDP("TMUS UW Equity","HIGH_52WEEK")</f>
        <v>276.49</v>
      </c>
      <c r="R465">
        <f>_xll.BDP("TMUS UW Equity","LOW_52WEEK")</f>
        <v>173.76</v>
      </c>
    </row>
    <row r="466" spans="1:18" ht="15.75" x14ac:dyDescent="0.25">
      <c r="A466" t="s">
        <v>482</v>
      </c>
      <c r="B466">
        <f>_xll.BDP("URI UN Equity","RT_PX_CHG_PCT_1D")</f>
        <v>1.6851999759674072</v>
      </c>
      <c r="C466" t="str">
        <f>_xll.BDP("URI UN Equity","GICS_SECTOR_NAME")</f>
        <v>工業</v>
      </c>
      <c r="D466" t="str">
        <f>_xll.BDP("URI UN Equity","NAME_CHINESE_TRADITIONAL")</f>
        <v>聯合租賃公司</v>
      </c>
      <c r="E466" t="str">
        <f>_xll.BDP("URI UN Equity","CLASSIFICATION_LEVEL_4_NAME")</f>
        <v>工業經銷及出租</v>
      </c>
      <c r="F466" t="str">
        <f>_xll.BDP("URI UN Equity","CLASSIFICATION_DESCRIPTION")</f>
        <v>一般設備出租服務</v>
      </c>
      <c r="G466">
        <f>_xll.BDP("URI UN Equity","CUR_MKT_CAP")</f>
        <v>57263687580.000008</v>
      </c>
      <c r="H466">
        <f>_xll.BDP("URI UN Equity","CHG_PCT_YTD")</f>
        <v>26.34149</v>
      </c>
      <c r="I466" t="str">
        <f>_xll.BDP("URI UN Equity","CIE_DES")</f>
        <v>聯合租賃公司(United Rentals, Inc.)為一家設備租賃公司，其透過旗下子公司，在美國及加拿大的網絡地點經營設備出租業務。該公司的服務對象包括：營建業、工商業公司、住屋擁有人、及其他個人。</v>
      </c>
      <c r="J466">
        <f>_xll.BDP("URI UN Equity","ESG_SCORE")</f>
        <v>2.9500000476837158</v>
      </c>
      <c r="K466" t="str">
        <f>_xll.BDP("URI UN Equity","MSCI_ESG_RATING")</f>
        <v>AA</v>
      </c>
      <c r="L466">
        <f>_xll.BDP("URI UN Equity","EQY_BETA")</f>
        <v>1.454053521156311</v>
      </c>
      <c r="M466">
        <f>_xll.BDP("URI UN Equity","VOLATILITY_60D")</f>
        <v>32.108227454726553</v>
      </c>
      <c r="N466">
        <f>_xll.BDP("URI UN Equity","PCT_INSIDER_SHARES_OUT")</f>
        <v>0.5442950351267819</v>
      </c>
      <c r="O466">
        <f>_xll.BDP("URI UN Equity","PCT_CHG_INSIDER_HOLDINGS")</f>
        <v>4.357368843721023</v>
      </c>
      <c r="P466">
        <f>_xll.BDP("URI UN Equity","RISK_PREMIUM")</f>
        <v>7.4903095251381391</v>
      </c>
      <c r="Q466">
        <f>_xll.BDP("URI UN Equity","HIGH_52WEEK")</f>
        <v>896.2</v>
      </c>
      <c r="R466">
        <f>_xll.BDP("URI UN Equity","LOW_52WEEK")</f>
        <v>527.61</v>
      </c>
    </row>
    <row r="467" spans="1:18" ht="15.75" x14ac:dyDescent="0.25">
      <c r="A467" t="s">
        <v>483</v>
      </c>
      <c r="B467">
        <f>_xll.BDP("ARE UN Equity","RT_PX_CHG_PCT_1D")</f>
        <v>0.17059999704360962</v>
      </c>
      <c r="C467" t="str">
        <f>_xll.BDP("ARE UN Equity","GICS_SECTOR_NAME")</f>
        <v>房地產</v>
      </c>
      <c r="D467" t="str">
        <f>_xll.BDP("ARE UN Equity","NAME_CHINESE_TRADITIONAL")</f>
        <v>亞歷山卓不動產股份公司</v>
      </c>
      <c r="E467" t="str">
        <f>_xll.BDP("ARE UN Equity","CLASSIFICATION_LEVEL_4_NAME")</f>
        <v>醫療保健REIT</v>
      </c>
      <c r="F467" t="str">
        <f>_xll.BDP("ARE UN Equity","CLASSIFICATION_DESCRIPTION")</f>
        <v>醫療保健REIT</v>
      </c>
      <c r="G467">
        <f>_xll.BDP("ARE UN Equity","CUR_MKT_CAP")</f>
        <v>14215495936.119999</v>
      </c>
      <c r="H467">
        <f>_xll.BDP("ARE UN Equity","CHG_PCT_YTD")</f>
        <v>-15.74577</v>
      </c>
      <c r="I467" t="str">
        <f>_xll.BDP("ARE UN Equity","CIE_DES")</f>
        <v>亞歷山卓不動產股份公司(Alexandria Real Estate Equities, Inc.)收購、管理、拓展並開發辦公室與實驗室空間的房地產。該公司出租不動產予製藥、生物科技、診斷及個人保健產品公司、研究機構及相關政府機構。亞歷山卓不動產服務美國加州的客戶。</v>
      </c>
      <c r="J467">
        <f>_xll.BDP("ARE UN Equity","ESG_SCORE")</f>
        <v>5.7899999618530273</v>
      </c>
      <c r="K467" t="str">
        <f>_xll.BDP("ARE UN Equity","MSCI_ESG_RATING")</f>
        <v>BB</v>
      </c>
      <c r="L467">
        <f>_xll.BDP("ARE UN Equity","EQY_BETA")</f>
        <v>1.0259431600570679</v>
      </c>
      <c r="M467">
        <f>_xll.BDP("ARE UN Equity","VOLATILITY_60D")</f>
        <v>29.294341245053612</v>
      </c>
      <c r="N467">
        <f>_xll.BDP("ARE UN Equity","PCT_INSIDER_SHARES_OUT")</f>
        <v>1.3188011718390902</v>
      </c>
      <c r="O467">
        <f>_xll.BDP("ARE UN Equity","PCT_CHG_INSIDER_HOLDINGS")</f>
        <v>3.4851277081671705</v>
      </c>
      <c r="P467">
        <f>_xll.BDP("ARE UN Equity","RISK_PREMIUM")</f>
        <v>5.2849717786967751</v>
      </c>
      <c r="Q467">
        <f>_xll.BDP("ARE UN Equity","HIGH_52WEEK")</f>
        <v>125.61</v>
      </c>
      <c r="R467">
        <f>_xll.BDP("ARE UN Equity","LOW_52WEEK")</f>
        <v>67.39</v>
      </c>
    </row>
    <row r="468" spans="1:18" ht="15.75" x14ac:dyDescent="0.25">
      <c r="A468" t="s">
        <v>484</v>
      </c>
      <c r="B468">
        <f>_xll.BDP("HON UW Equity","RT_PX_CHG_PCT_1D")</f>
        <v>-0.10689999908208847</v>
      </c>
      <c r="C468" t="str">
        <f>_xll.BDP("HON UW Equity","GICS_SECTOR_NAME")</f>
        <v>工業</v>
      </c>
      <c r="D468" t="str">
        <f>_xll.BDP("HON UW Equity","NAME_CHINESE_TRADITIONAL")</f>
        <v>漢威聯合國際公司</v>
      </c>
      <c r="E468" t="str">
        <f>_xll.BDP("HON UW Equity","CLASSIFICATION_LEVEL_4_NAME")</f>
        <v>多元化工業</v>
      </c>
      <c r="F468" t="str">
        <f>_xll.BDP("HON UW Equity","CLASSIFICATION_DESCRIPTION")</f>
        <v>多元化工業</v>
      </c>
      <c r="G468">
        <f>_xll.BDP("HON UW Equity","CUR_MKT_CAP")</f>
        <v>142369205062.88</v>
      </c>
      <c r="H468">
        <f>_xll.BDP("HON UW Equity","CHG_PCT_YTD")</f>
        <v>-0.73044379999999998</v>
      </c>
      <c r="I468" t="str">
        <f>_xll.BDP("HON UW Equity","CIE_DES")</f>
        <v>漢威聯合國際公司(Honeywell International Inc.)為全球技術及製造公司。該公司提供航太產品與服務、商業建築控制、感應及安全技術、安全和生產率解決方案 、特殊化學品、先進材料、精煉與石化產品處理技術，以及節能產品和解決方案。</v>
      </c>
      <c r="J468">
        <f>_xll.BDP("HON UW Equity","ESG_SCORE")</f>
        <v>5.880000114440918</v>
      </c>
      <c r="K468" t="str">
        <f>_xll.BDP("HON UW Equity","MSCI_ESG_RATING")</f>
        <v>AA</v>
      </c>
      <c r="L468">
        <f>_xll.BDP("HON UW Equity","EQY_BETA")</f>
        <v>0.8362157940864563</v>
      </c>
      <c r="M468">
        <f>_xll.BDP("HON UW Equity","VOLATILITY_60D")</f>
        <v>21.669465136684092</v>
      </c>
      <c r="N468">
        <f>_xll.BDP("HON UW Equity","PCT_INSIDER_SHARES_OUT")</f>
        <v>9.7403220776422494E-2</v>
      </c>
      <c r="O468">
        <f>_xll.BDP("HON UW Equity","PCT_CHG_INSIDER_HOLDINGS")</f>
        <v>6.8167128013809029</v>
      </c>
      <c r="P468">
        <f>_xll.BDP("HON UW Equity","RISK_PREMIUM")</f>
        <v>4.3076235065513844</v>
      </c>
      <c r="Q468">
        <f>_xll.BDP("HON UW Equity","HIGH_52WEEK")</f>
        <v>242.5</v>
      </c>
      <c r="R468">
        <f>_xll.BDP("HON UW Equity","LOW_52WEEK")</f>
        <v>179.47</v>
      </c>
    </row>
    <row r="469" spans="1:18" ht="15.75" x14ac:dyDescent="0.25">
      <c r="A469" t="s">
        <v>485</v>
      </c>
      <c r="B469">
        <f>_xll.BDP("DAL UN Equity","RT_PX_CHG_PCT_1D")</f>
        <v>0.27419999241828918</v>
      </c>
      <c r="C469" t="str">
        <f>_xll.BDP("DAL UN Equity","GICS_SECTOR_NAME")</f>
        <v>工業</v>
      </c>
      <c r="D469" t="str">
        <f>_xll.BDP("DAL UN Equity","NAME_CHINESE_TRADITIONAL")</f>
        <v>達美航空</v>
      </c>
      <c r="E469" t="str">
        <f>_xll.BDP("DAL UN Equity","CLASSIFICATION_LEVEL_4_NAME")</f>
        <v>航空</v>
      </c>
      <c r="F469" t="str">
        <f>_xll.BDP("DAL UN Equity","CLASSIFICATION_DESCRIPTION")</f>
        <v>全方位航空</v>
      </c>
      <c r="G469">
        <f>_xll.BDP("DAL UN Equity","CUR_MKT_CAP")</f>
        <v>35820749333.720001</v>
      </c>
      <c r="H469">
        <f>_xll.BDP("DAL UN Equity","CHG_PCT_YTD")</f>
        <v>-9.3223140000000004</v>
      </c>
      <c r="I469" t="str">
        <f>_xll.BDP("DAL UN Equity","CIE_DES")</f>
        <v>達美航空公司(Delta Air Lines, Inc.)透過航線網絡，提供乘客、貨物及郵件定期航空運輸服務。該公司提供航班狀態資訊、預訂、行李處理，以及其他相關服務。達美航空服務全球客戶。</v>
      </c>
      <c r="J469">
        <f>_xll.BDP("DAL UN Equity","ESG_SCORE")</f>
        <v>5.5399999618530273</v>
      </c>
      <c r="K469" t="str">
        <f>_xll.BDP("DAL UN Equity","MSCI_ESG_RATING")</f>
        <v>AA</v>
      </c>
      <c r="L469">
        <f>_xll.BDP("DAL UN Equity","EQY_BETA")</f>
        <v>1.1554316282272339</v>
      </c>
      <c r="M469">
        <f>_xll.BDP("DAL UN Equity","VOLATILITY_60D")</f>
        <v>46.718157271341283</v>
      </c>
      <c r="N469">
        <f>_xll.BDP("DAL UN Equity","PCT_INSIDER_SHARES_OUT")</f>
        <v>0.38213877237466237</v>
      </c>
      <c r="O469">
        <f>_xll.BDP("DAL UN Equity","PCT_CHG_INSIDER_HOLDINGS")</f>
        <v>32.367390915702806</v>
      </c>
      <c r="P469">
        <f>_xll.BDP("DAL UN Equity","RISK_PREMIUM")</f>
        <v>5.9520096094357964</v>
      </c>
      <c r="Q469">
        <f>_xll.BDP("DAL UN Equity","HIGH_52WEEK")</f>
        <v>69.97</v>
      </c>
      <c r="R469">
        <f>_xll.BDP("DAL UN Equity","LOW_52WEEK")</f>
        <v>34.74</v>
      </c>
    </row>
    <row r="470" spans="1:18" ht="15.75" x14ac:dyDescent="0.25">
      <c r="A470" t="s">
        <v>486</v>
      </c>
      <c r="B470">
        <f>_xll.BDP("UAL UW Equity","RT_PX_CHG_PCT_1D")</f>
        <v>1.5378999710083008</v>
      </c>
      <c r="C470" t="str">
        <f>_xll.BDP("UAL UW Equity","GICS_SECTOR_NAME")</f>
        <v>工業</v>
      </c>
      <c r="D470" t="str">
        <f>_xll.BDP("UAL UW Equity","NAME_CHINESE_TRADITIONAL")</f>
        <v>聯合航空控股公司</v>
      </c>
      <c r="E470" t="str">
        <f>_xll.BDP("UAL UW Equity","CLASSIFICATION_LEVEL_4_NAME")</f>
        <v>航空</v>
      </c>
      <c r="F470" t="str">
        <f>_xll.BDP("UAL UW Equity","CLASSIFICATION_DESCRIPTION")</f>
        <v>全方位航空</v>
      </c>
      <c r="G470">
        <f>_xll.BDP("UAL UW Equity","CUR_MKT_CAP")</f>
        <v>29857099322.369999</v>
      </c>
      <c r="H470">
        <f>_xll.BDP("UAL UW Equity","CHG_PCT_YTD")</f>
        <v>-6.1688970000000003</v>
      </c>
      <c r="I470" t="str">
        <f>_xll.BDP("UAL UW Equity","CIE_DES")</f>
        <v>聯合航空控股公司(United Airlines Holdings, Inc.)為一家控股公司。該公司透過旗下子公司，持有並管理運送人員和貨物的航空公司。聯合航空控股服務全球客戶。</v>
      </c>
      <c r="J470">
        <f>_xll.BDP("UAL UW Equity","ESG_SCORE")</f>
        <v>4.7800002098083496</v>
      </c>
      <c r="K470" t="str">
        <f>_xll.BDP("UAL UW Equity","MSCI_ESG_RATING")</f>
        <v>BBB</v>
      </c>
      <c r="L470">
        <f>_xll.BDP("UAL UW Equity","EQY_BETA")</f>
        <v>1.1874568462371826</v>
      </c>
      <c r="M470">
        <f>_xll.BDP("UAL UW Equity","VOLATILITY_60D")</f>
        <v>53.711391499514264</v>
      </c>
      <c r="N470">
        <f>_xll.BDP("UAL UW Equity","PCT_INSIDER_SHARES_OUT")</f>
        <v>0.63712699177519705</v>
      </c>
      <c r="O470">
        <f>_xll.BDP("UAL UW Equity","PCT_CHG_INSIDER_HOLDINGS")</f>
        <v>30.357797311665831</v>
      </c>
      <c r="P470">
        <f>_xll.BDP("UAL UW Equity","RISK_PREMIUM")</f>
        <v>6.1169820757269857</v>
      </c>
      <c r="Q470">
        <f>_xll.BDP("UAL UW Equity","HIGH_52WEEK")</f>
        <v>116</v>
      </c>
      <c r="R470">
        <f>_xll.BDP("UAL UW Equity","LOW_52WEEK")</f>
        <v>37.020000000000003</v>
      </c>
    </row>
    <row r="471" spans="1:18" ht="15.75" x14ac:dyDescent="0.25">
      <c r="A471" t="s">
        <v>487</v>
      </c>
      <c r="B471">
        <f>_xll.BDP("STX UW Equity","RT_PX_CHG_PCT_1D")</f>
        <v>-1.2046999931335449</v>
      </c>
      <c r="C471" t="str">
        <f>_xll.BDP("STX UW Equity","GICS_SECTOR_NAME")</f>
        <v>資訊技術</v>
      </c>
      <c r="D471" t="str">
        <f>_xll.BDP("STX UW Equity","NAME_CHINESE_TRADITIONAL")</f>
        <v>希捷科技控股公開有限公司</v>
      </c>
      <c r="E471" t="str">
        <f>_xll.BDP("STX UW Equity","CLASSIFICATION_LEVEL_4_NAME")</f>
        <v>電腦硬體及儲存體</v>
      </c>
      <c r="F471" t="str">
        <f>_xll.BDP("STX UW Equity","CLASSIFICATION_DESCRIPTION")</f>
        <v>硬碟機</v>
      </c>
      <c r="G471">
        <f>_xll.BDP("STX UW Equity","CUR_MKT_CAP")</f>
        <v>32021492992.069996</v>
      </c>
      <c r="H471">
        <f>_xll.BDP("STX UW Equity","CHG_PCT_YTD")</f>
        <v>74.823319999999995</v>
      </c>
      <c r="I471" t="str">
        <f>_xll.BDP("STX UW Equity","CIE_DES")</f>
        <v>希捷科技控股公開有限公司(Seagate Technology Holdings Public Limited Company)提供電腦硬體產品。該公司設計、製造，並銷售用於企業與客戶電腦應用程式、個人資料備份、攜帶型外接儲存，以及數位媒體系統的硬碟驅動程式。希捷科技控股服務全球客戶。</v>
      </c>
      <c r="J471">
        <f>_xll.BDP("STX UW Equity","ESG_SCORE")</f>
        <v>4.8499999046325684</v>
      </c>
      <c r="K471" t="str">
        <f>_xll.BDP("STX UW Equity","MSCI_ESG_RATING")</f>
        <v>AA</v>
      </c>
      <c r="L471">
        <f>_xll.BDP("STX UW Equity","EQY_BETA")</f>
        <v>1.5253744125366211</v>
      </c>
      <c r="M471">
        <f>_xll.BDP("STX UW Equity","VOLATILITY_60D")</f>
        <v>31.239613434696267</v>
      </c>
      <c r="N471">
        <f>_xll.BDP("STX UW Equity","PCT_INSIDER_SHARES_OUT")</f>
        <v>0.44342290338921153</v>
      </c>
      <c r="O471">
        <f>_xll.BDP("STX UW Equity","PCT_CHG_INSIDER_HOLDINGS")</f>
        <v>-13.651954487061847</v>
      </c>
      <c r="P471">
        <f>_xll.BDP("STX UW Equity","RISK_PREMIUM")</f>
        <v>7.8577069725322719</v>
      </c>
      <c r="Q471">
        <f>_xll.BDP("STX UW Equity","HIGH_52WEEK")</f>
        <v>153.88</v>
      </c>
      <c r="R471">
        <f>_xll.BDP("STX UW Equity","LOW_52WEEK")</f>
        <v>63.21</v>
      </c>
    </row>
    <row r="472" spans="1:18" ht="15.75" x14ac:dyDescent="0.25">
      <c r="A472" t="s">
        <v>488</v>
      </c>
      <c r="B472">
        <f>_xll.BDP("NWS UW Equity","RT_PX_CHG_PCT_1D")</f>
        <v>0.41729998588562012</v>
      </c>
      <c r="C472" t="str">
        <f>_xll.BDP("NWS UW Equity","GICS_SECTOR_NAME")</f>
        <v>通訊服務</v>
      </c>
      <c r="D472" t="str">
        <f>_xll.BDP("NWS UW Equity","NAME_CHINESE_TRADITIONAL")</f>
        <v>新聞集團</v>
      </c>
      <c r="E472" t="str">
        <f>_xll.BDP("NWS UW Equity","CLASSIFICATION_LEVEL_4_NAME")</f>
        <v>出版業</v>
      </c>
      <c r="F472" t="str">
        <f>_xll.BDP("NWS UW Equity","CLASSIFICATION_DESCRIPTION")</f>
        <v>報紙出版</v>
      </c>
      <c r="G472">
        <f>_xll.BDP("NWS UW Equity","CUR_MKT_CAP")</f>
        <v>17503165310.619999</v>
      </c>
      <c r="H472">
        <f>_xll.BDP("NWS UW Equity","CHG_PCT_YTD")</f>
        <v>10.71311</v>
      </c>
      <c r="I472" t="str">
        <f>_xll.BDP("NWS UW Equity","CIE_DES")</f>
        <v>新聞公司(News Corporation)為媒體及資訊服務公司。該公司的業務包括：新聞及資訊、書籍出版、數位不動產，及有線網路節目服務。新聞公司服務全球的客戶。</v>
      </c>
      <c r="J472">
        <f>_xll.BDP("NWS UW Equity","ESG_SCORE")</f>
        <v>3.2999999523162842</v>
      </c>
      <c r="K472" t="str">
        <f>_xll.BDP("NWS UW Equity","MSCI_ESG_RATING")</f>
        <v>BBB</v>
      </c>
      <c r="L472">
        <f>_xll.BDP("NWS UW Equity","EQY_BETA")</f>
        <v>0.89241838455200195</v>
      </c>
      <c r="M472">
        <f>_xll.BDP("NWS UW Equity","VOLATILITY_60D")</f>
        <v>16.009571924789181</v>
      </c>
      <c r="N472">
        <f>_xll.BDP("NWS UW Equity","PCT_INSIDER_SHARES_OUT")</f>
        <v>41.252526738994064</v>
      </c>
      <c r="O472">
        <f>_xll.BDP("NWS UW Equity","PCT_CHG_INSIDER_HOLDINGS")</f>
        <v>0</v>
      </c>
      <c r="P472">
        <f>_xll.BDP("NWS UW Equity","RISK_PREMIUM")</f>
        <v>4.5586973325634004</v>
      </c>
      <c r="Q472">
        <f>_xll.BDP("NWS UW Equity","HIGH_52WEEK")</f>
        <v>35.409999999999997</v>
      </c>
      <c r="R472">
        <f>_xll.BDP("NWS UW Equity","LOW_52WEEK")</f>
        <v>26.04</v>
      </c>
    </row>
    <row r="473" spans="1:18" ht="15.75" x14ac:dyDescent="0.25">
      <c r="A473" t="s">
        <v>489</v>
      </c>
      <c r="B473">
        <f>_xll.BDP("CNC UN Equity","RT_PX_CHG_PCT_1D")</f>
        <v>6.0911998748779297</v>
      </c>
      <c r="C473" t="str">
        <f>_xll.BDP("CNC UN Equity","GICS_SECTOR_NAME")</f>
        <v>醫療保健</v>
      </c>
      <c r="D473" t="str">
        <f>_xll.BDP("CNC UN Equity","NAME_CHINESE_TRADITIONAL")</f>
        <v>聖丁公司</v>
      </c>
      <c r="E473" t="str">
        <f>_xll.BDP("CNC UN Equity","CLASSIFICATION_LEVEL_4_NAME")</f>
        <v>管理式醫療</v>
      </c>
      <c r="F473" t="str">
        <f>_xll.BDP("CNC UN Equity","CLASSIFICATION_DESCRIPTION")</f>
        <v>管理醫療聯邦醫療保險(XIX章)</v>
      </c>
      <c r="G473">
        <f>_xll.BDP("CNC UN Equity","CUR_MKT_CAP")</f>
        <v>13943265870.000002</v>
      </c>
      <c r="H473">
        <f>_xll.BDP("CNC UN Equity","CHG_PCT_YTD")</f>
        <v>-53.13635</v>
      </c>
      <c r="I473" t="str">
        <f>_xll.BDP("CNC UN Equity","CIE_DES")</f>
        <v>聖丁公司(Centene Corporation)針對所有州及國際各地的個人，提供多線醫療保健解決方案。聖丁的專業服務包括：醫療補助和醫療保險健康計劃、治療遵從性，以及護士分診。</v>
      </c>
      <c r="J473">
        <f>_xll.BDP("CNC UN Equity","ESG_SCORE")</f>
        <v>6.0900001525878906</v>
      </c>
      <c r="K473" t="str">
        <f>_xll.BDP("CNC UN Equity","MSCI_ESG_RATING")</f>
        <v>AA</v>
      </c>
      <c r="L473">
        <f>_xll.BDP("CNC UN Equity","EQY_BETA")</f>
        <v>0.33124536275863647</v>
      </c>
      <c r="M473">
        <f>_xll.BDP("CNC UN Equity","VOLATILITY_60D")</f>
        <v>115.53344470374176</v>
      </c>
      <c r="N473">
        <f>_xll.BDP("CNC UN Equity","PCT_INSIDER_SHARES_OUT")</f>
        <v>0.89779209867795473</v>
      </c>
      <c r="O473">
        <f>_xll.BDP("CNC UN Equity","PCT_CHG_INSIDER_HOLDINGS")</f>
        <v>14.243366352898962</v>
      </c>
      <c r="P473">
        <f>_xll.BDP("CNC UN Equity","RISK_PREMIUM")</f>
        <v>1.7063541745394468</v>
      </c>
      <c r="Q473">
        <f>_xll.BDP("CNC UN Equity","HIGH_52WEEK")</f>
        <v>80.56</v>
      </c>
      <c r="R473">
        <f>_xll.BDP("CNC UN Equity","LOW_52WEEK")</f>
        <v>26.25</v>
      </c>
    </row>
    <row r="474" spans="1:18" ht="15.75" x14ac:dyDescent="0.25">
      <c r="A474" t="s">
        <v>490</v>
      </c>
      <c r="B474">
        <f>_xll.BDP("XYZ UN Equity","RT_PX_CHG_PCT_1D")</f>
        <v>1.215999960899353</v>
      </c>
      <c r="C474" t="str">
        <f>_xll.BDP("XYZ UN Equity","GICS_SECTOR_NAME")</f>
        <v>金融</v>
      </c>
      <c r="D474" t="str">
        <f>_xll.BDP("XYZ UN Equity","NAME_CHINESE_TRADITIONAL")</f>
        <v>布洛克公司</v>
      </c>
      <c r="E474" t="str">
        <f>_xll.BDP("XYZ UN Equity","CLASSIFICATION_LEVEL_4_NAME")</f>
        <v>其它金融服務</v>
      </c>
      <c r="F474" t="str">
        <f>_xll.BDP("XYZ UN Equity","CLASSIFICATION_DESCRIPTION")</f>
        <v>金融交易處理服務</v>
      </c>
      <c r="G474">
        <f>_xll.BDP("XYZ UN Equity","CUR_MKT_CAP")</f>
        <v>49656634060</v>
      </c>
      <c r="H474">
        <f>_xll.BDP("XYZ UN Equity","CHG_PCT_YTD")</f>
        <v>-5.0005860000000002</v>
      </c>
      <c r="I474" t="str">
        <f>_xll.BDP("XYZ UN Equity","CIE_DES")</f>
        <v>布洛克公司(Block, Inc.)經營金融服務及數位支付公司。該公司開發一個針對中小型企業的支付平台，允許他們接受信用卡支付，並使用平板電腦作為銷售點系統的支付註冊。布洛克亦提供金融與行銷服務。</v>
      </c>
      <c r="J474">
        <f>_xll.BDP("XYZ UN Equity","ESG_SCORE")</f>
        <v>3.2899999618530273</v>
      </c>
      <c r="K474" t="str">
        <f>_xll.BDP("XYZ UN Equity","MSCI_ESG_RATING")</f>
        <v>BB</v>
      </c>
      <c r="L474">
        <f>_xll.BDP("XYZ UN Equity","EQY_BETA")</f>
        <v>1.6126962900161743</v>
      </c>
      <c r="M474">
        <f>_xll.BDP("XYZ UN Equity","VOLATILITY_60D")</f>
        <v>66.085377151325105</v>
      </c>
      <c r="N474">
        <f>_xll.BDP("XYZ UN Equity","PCT_INSIDER_SHARES_OUT")</f>
        <v>1.1307619265550872</v>
      </c>
      <c r="O474">
        <f>_xll.BDP("XYZ UN Equity","PCT_CHG_INSIDER_HOLDINGS")</f>
        <v>6.854044710633354</v>
      </c>
      <c r="P474">
        <f>_xll.BDP("XYZ UN Equity","RISK_PREMIUM")</f>
        <v>8.307530779649019</v>
      </c>
      <c r="Q474">
        <f>_xll.BDP("XYZ UN Equity","HIGH_52WEEK")</f>
        <v>99.2</v>
      </c>
      <c r="R474">
        <f>_xll.BDP("XYZ UN Equity","LOW_52WEEK")</f>
        <v>44.27</v>
      </c>
    </row>
    <row r="475" spans="1:18" ht="15.75" x14ac:dyDescent="0.25">
      <c r="A475" t="s">
        <v>491</v>
      </c>
      <c r="B475">
        <f>_xll.BDP("APO UN Equity","RT_PX_CHG_PCT_1D")</f>
        <v>-0.33629998564720154</v>
      </c>
      <c r="C475" t="str">
        <f>_xll.BDP("APO UN Equity","GICS_SECTOR_NAME")</f>
        <v>金融</v>
      </c>
      <c r="D475" t="str">
        <f>_xll.BDP("APO UN Equity","NAME_CHINESE_TRADITIONAL")</f>
        <v>阿波羅全球管理公司</v>
      </c>
      <c r="E475" t="str">
        <f>_xll.BDP("APO UN Equity","CLASSIFICATION_LEVEL_4_NAME")</f>
        <v>投資管理</v>
      </c>
      <c r="F475" t="str">
        <f>_xll.BDP("APO UN Equity","CLASSIFICATION_DESCRIPTION")</f>
        <v>混合資產</v>
      </c>
      <c r="G475">
        <f>_xll.BDP("APO UN Equity","CUR_MKT_CAP")</f>
        <v>86369923584.419998</v>
      </c>
      <c r="H475">
        <f>_xll.BDP("APO UN Equity","CHG_PCT_YTD")</f>
        <v>-8.4947949999999999</v>
      </c>
      <c r="I475" t="str">
        <f>_xll.BDP("APO UN Equity","CIE_DES")</f>
        <v>阿波羅全球管理公司(Apollo Global Management, Inc.)為一家資產管理公司。該公司著重於投資於殖利率、混合，以及股票市場，以產生退休和投資收益。阿波羅全球管理公司服務全球各地的企業及個人。</v>
      </c>
      <c r="J475">
        <f>_xll.BDP("APO UN Equity","ESG_SCORE")</f>
        <v>4.869999885559082</v>
      </c>
      <c r="K475" t="str">
        <f>_xll.BDP("APO UN Equity","MSCI_ESG_RATING")</f>
        <v>BBB</v>
      </c>
      <c r="L475">
        <f>_xll.BDP("APO UN Equity","EQY_BETA")</f>
        <v>1.4588086605072021</v>
      </c>
      <c r="M475">
        <f>_xll.BDP("APO UN Equity","VOLATILITY_60D")</f>
        <v>34.768202643186449</v>
      </c>
      <c r="N475">
        <f>_xll.BDP("APO UN Equity","PCT_INSIDER_SHARES_OUT")</f>
        <v>9.9736317228591282</v>
      </c>
      <c r="O475">
        <f>_xll.BDP("APO UN Equity","PCT_CHG_INSIDER_HOLDINGS")</f>
        <v>0.39546647004122987</v>
      </c>
      <c r="P475">
        <f>_xll.BDP("APO UN Equity","RISK_PREMIUM")</f>
        <v>7.5148048171305657</v>
      </c>
      <c r="Q475">
        <f>_xll.BDP("APO UN Equity","HIGH_52WEEK")</f>
        <v>189.49</v>
      </c>
      <c r="R475">
        <f>_xll.BDP("APO UN Equity","LOW_52WEEK")</f>
        <v>95.51</v>
      </c>
    </row>
    <row r="476" spans="1:18" ht="15.75" x14ac:dyDescent="0.25">
      <c r="A476" t="s">
        <v>492</v>
      </c>
      <c r="B476">
        <f>_xll.BDP("MLM UN Equity","RT_PX_CHG_PCT_1D")</f>
        <v>0.7378000020980835</v>
      </c>
      <c r="C476" t="str">
        <f>_xll.BDP("MLM UN Equity","GICS_SECTOR_NAME")</f>
        <v>原材料</v>
      </c>
      <c r="D476" t="str">
        <f>_xll.BDP("MLM UN Equity","NAME_CHINESE_TRADITIONAL")</f>
        <v>Martin Marietta Materials In</v>
      </c>
      <c r="E476" t="str">
        <f>_xll.BDP("MLM UN Equity","CLASSIFICATION_LEVEL_4_NAME")</f>
        <v>水泥及骨材</v>
      </c>
      <c r="F476" t="str">
        <f>_xll.BDP("MLM UN Equity","CLASSIFICATION_DESCRIPTION")</f>
        <v>水泥及骨材</v>
      </c>
      <c r="G476">
        <f>_xll.BDP("MLM UN Equity","CUR_MKT_CAP")</f>
        <v>35310973785.029999</v>
      </c>
      <c r="H476">
        <f>_xll.BDP("MLM UN Equity","CHG_PCT_YTD")</f>
        <v>13.40368</v>
      </c>
      <c r="I476" t="str">
        <f>_xll.BDP("MLM UN Equity","CIE_DES")</f>
        <v>Martin Marietta材料公司(Martin Marietta Materials, Inc.)生產混凝土粒料予包括高速公路、基礎建設、商業建築、和住宅建築等營建業者。該公司也生產和行銷氧化鎂相關產品，包括：抗高溫耐火產品予鋼鐵業、化學品予工業及環保業使用、及苦土石灰等。</v>
      </c>
      <c r="J476">
        <f>_xll.BDP("MLM UN Equity","ESG_SCORE")</f>
        <v>5.4000000953674316</v>
      </c>
      <c r="K476" t="str">
        <f>_xll.BDP("MLM UN Equity","MSCI_ESG_RATING")</f>
        <v>AA</v>
      </c>
      <c r="L476">
        <f>_xll.BDP("MLM UN Equity","EQY_BETA")</f>
        <v>0.9415321946144104</v>
      </c>
      <c r="M476">
        <f>_xll.BDP("MLM UN Equity","VOLATILITY_60D")</f>
        <v>20.5693070942046</v>
      </c>
      <c r="N476">
        <f>_xll.BDP("MLM UN Equity","PCT_INSIDER_SHARES_OUT")</f>
        <v>0.74619813085786424</v>
      </c>
      <c r="O476">
        <f>_xll.BDP("MLM UN Equity","PCT_CHG_INSIDER_HOLDINGS")</f>
        <v>10.362340854378944</v>
      </c>
      <c r="P476">
        <f>_xll.BDP("MLM UN Equity","RISK_PREMIUM")</f>
        <v>4.8501430400830507</v>
      </c>
      <c r="Q476">
        <f>_xll.BDP("MLM UN Equity","HIGH_52WEEK")</f>
        <v>632.51</v>
      </c>
      <c r="R476">
        <f>_xll.BDP("MLM UN Equity","LOW_52WEEK")</f>
        <v>442.08</v>
      </c>
    </row>
    <row r="477" spans="1:18" ht="15.75" x14ac:dyDescent="0.25">
      <c r="A477" t="s">
        <v>493</v>
      </c>
      <c r="B477">
        <f>_xll.BDP("TER UW Equity","RT_PX_CHG_PCT_1D")</f>
        <v>-1.2920000553131104</v>
      </c>
      <c r="C477" t="str">
        <f>_xll.BDP("TER UW Equity","GICS_SECTOR_NAME")</f>
        <v>資訊技術</v>
      </c>
      <c r="D477" t="str">
        <f>_xll.BDP("TER UW Equity","NAME_CHINESE_TRADITIONAL")</f>
        <v>泰瑞達公司</v>
      </c>
      <c r="E477" t="str">
        <f>_xll.BDP("TER UW Equity","CLASSIFICATION_LEVEL_4_NAME")</f>
        <v>半導體製造</v>
      </c>
      <c r="F477" t="str">
        <f>_xll.BDP("TER UW Equity","CLASSIFICATION_DESCRIPTION")</f>
        <v>後端資本設備</v>
      </c>
      <c r="G477">
        <f>_xll.BDP("TER UW Equity","CUR_MKT_CAP")</f>
        <v>14461888873.050001</v>
      </c>
      <c r="H477">
        <f>_xll.BDP("TER UW Equity","CHG_PCT_YTD")</f>
        <v>-28.40692</v>
      </c>
      <c r="I477" t="str">
        <f>_xll.BDP("TER UW Equity","CIE_DES")</f>
        <v>泰瑞達公司(Teradyne, Inc.)於全球設計、製造、銷售並支援半導體測試產品及服務。該公司的測試設備產品與服務包括半導體測試系統、軍事航太測試儀器、電路板測試、檢查系統、汽車診斷及測試系統。</v>
      </c>
      <c r="J477">
        <f>_xll.BDP("TER UW Equity","ESG_SCORE")</f>
        <v>4.8299999237060547</v>
      </c>
      <c r="K477" t="str">
        <f>_xll.BDP("TER UW Equity","MSCI_ESG_RATING")</f>
        <v>BBB</v>
      </c>
      <c r="L477">
        <f>_xll.BDP("TER UW Equity","EQY_BETA")</f>
        <v>1.5599448680877686</v>
      </c>
      <c r="M477">
        <f>_xll.BDP("TER UW Equity","VOLATILITY_60D")</f>
        <v>37.581996555479023</v>
      </c>
      <c r="N477">
        <f>_xll.BDP("TER UW Equity","PCT_INSIDER_SHARES_OUT")</f>
        <v>0.32277667633086327</v>
      </c>
      <c r="O477">
        <f>_xll.BDP("TER UW Equity","PCT_CHG_INSIDER_HOLDINGS")</f>
        <v>11.175301143786125</v>
      </c>
      <c r="P477">
        <f>_xll.BDP("TER UW Equity","RISK_PREMIUM")</f>
        <v>8.0357907973265643</v>
      </c>
      <c r="Q477">
        <f>_xll.BDP("TER UW Equity","HIGH_52WEEK")</f>
        <v>144.13999999999999</v>
      </c>
      <c r="R477">
        <f>_xll.BDP("TER UW Equity","LOW_52WEEK")</f>
        <v>65.864999999999995</v>
      </c>
    </row>
    <row r="478" spans="1:18" ht="15.75" x14ac:dyDescent="0.25">
      <c r="A478" t="s">
        <v>494</v>
      </c>
      <c r="B478">
        <f>_xll.BDP("PYPL UW Equity","RT_PX_CHG_PCT_1D")</f>
        <v>0.20559999346733093</v>
      </c>
      <c r="C478" t="str">
        <f>_xll.BDP("PYPL UW Equity","GICS_SECTOR_NAME")</f>
        <v>金融</v>
      </c>
      <c r="D478" t="str">
        <f>_xll.BDP("PYPL UW Equity","NAME_CHINESE_TRADITIONAL")</f>
        <v>Paypal控股有限公司</v>
      </c>
      <c r="E478" t="str">
        <f>_xll.BDP("PYPL UW Equity","CLASSIFICATION_LEVEL_4_NAME")</f>
        <v>其它金融服務</v>
      </c>
      <c r="F478" t="str">
        <f>_xll.BDP("PYPL UW Equity","CLASSIFICATION_DESCRIPTION")</f>
        <v>金融交易處理服務</v>
      </c>
      <c r="G478">
        <f>_xll.BDP("PYPL UW Equity","CUR_MKT_CAP")</f>
        <v>75838110005.420013</v>
      </c>
      <c r="H478">
        <f>_xll.BDP("PYPL UW Equity","CHG_PCT_YTD")</f>
        <v>-8.6350309999999997</v>
      </c>
      <c r="I478" t="str">
        <f>_xll.BDP("PYPL UW Equity","CIE_DES")</f>
        <v>Paypal控股有限公司(PayPal Holdings, Inc.)為一家控股公司。該公司透過旗下子公司，提供技術平台，做為消費和商家之間的橋梁，執行數位與行動支付。該公司提供線上付款解決方案。PayPal控股服務對象遍及全球。</v>
      </c>
      <c r="J478">
        <f>_xll.BDP("PYPL UW Equity","ESG_SCORE")</f>
        <v>5.369999885559082</v>
      </c>
      <c r="K478" t="str">
        <f>_xll.BDP("PYPL UW Equity","MSCI_ESG_RATING")</f>
        <v>A</v>
      </c>
      <c r="L478">
        <f>_xll.BDP("PYPL UW Equity","EQY_BETA")</f>
        <v>1.2353615760803223</v>
      </c>
      <c r="M478">
        <f>_xll.BDP("PYPL UW Equity","VOLATILITY_60D")</f>
        <v>28.499935612004467</v>
      </c>
      <c r="N478">
        <f>_xll.BDP("PYPL UW Equity","PCT_INSIDER_SHARES_OUT")</f>
        <v>0.19409844069012377</v>
      </c>
      <c r="O478">
        <f>_xll.BDP("PYPL UW Equity","PCT_CHG_INSIDER_HOLDINGS")</f>
        <v>12.104462986608072</v>
      </c>
      <c r="P478">
        <f>_xll.BDP("PYPL UW Equity","RISK_PREMIUM")</f>
        <v>6.3637551477098464</v>
      </c>
      <c r="Q478">
        <f>_xll.BDP("PYPL UW Equity","HIGH_52WEEK")</f>
        <v>93.64</v>
      </c>
      <c r="R478">
        <f>_xll.BDP("PYPL UW Equity","LOW_52WEEK")</f>
        <v>55.87</v>
      </c>
    </row>
    <row r="479" spans="1:18" ht="15.75" x14ac:dyDescent="0.25">
      <c r="A479" t="s">
        <v>495</v>
      </c>
      <c r="B479">
        <f>_xll.BDP("TSLA UW Equity","RT_PX_CHG_PCT_1D")</f>
        <v>3.524399995803833</v>
      </c>
      <c r="C479" t="str">
        <f>_xll.BDP("TSLA UW Equity","GICS_SECTOR_NAME")</f>
        <v>非核心消費</v>
      </c>
      <c r="D479" t="str">
        <f>_xll.BDP("TSLA UW Equity","NAME_CHINESE_TRADITIONAL")</f>
        <v>特斯拉公司</v>
      </c>
      <c r="E479" t="str">
        <f>_xll.BDP("TSLA UW Equity","CLASSIFICATION_LEVEL_4_NAME")</f>
        <v>汽車</v>
      </c>
      <c r="F479" t="str">
        <f>_xll.BDP("TSLA UW Equity","CLASSIFICATION_DESCRIPTION")</f>
        <v>車輛-電力</v>
      </c>
      <c r="G479">
        <f>_xll.BDP("TSLA UW Equity","CUR_MKT_CAP")</f>
        <v>1019435375857.34</v>
      </c>
      <c r="H479">
        <f>_xll.BDP("TSLA UW Equity","CHG_PCT_YTD")</f>
        <v>-21.736329999999999</v>
      </c>
      <c r="I479" t="str">
        <f>_xll.BDP("TSLA UW Equity","CIE_DES")</f>
        <v>特斯拉公司(Tesla Inc.)為一家跨國汽車及清潔能源公司。該公司設計並製造電動車、從家庭到電網規模的電池儲能、太陽能面板和太陽能屋頂瓦片，以及相關產品和服務。特斯拉持有其銷售與服務網路，並向其它汽車製造商，銷售電力傳動系統元件。</v>
      </c>
      <c r="J479">
        <f>_xll.BDP("TSLA UW Equity","ESG_SCORE")</f>
        <v>5.7899999618530273</v>
      </c>
      <c r="K479" t="str">
        <f>_xll.BDP("TSLA UW Equity","MSCI_ESG_RATING")</f>
        <v>BBB</v>
      </c>
      <c r="L479">
        <f>_xll.BDP("TSLA UW Equity","EQY_BETA")</f>
        <v>1.5840481519699097</v>
      </c>
      <c r="M479">
        <f>_xll.BDP("TSLA UW Equity","VOLATILITY_60D")</f>
        <v>62.818681632847451</v>
      </c>
      <c r="N479">
        <f>_xll.BDP("TSLA UW Equity","PCT_INSIDER_SHARES_OUT")</f>
        <v>12.853746881441932</v>
      </c>
      <c r="O479">
        <f>_xll.BDP("TSLA UW Equity","PCT_CHG_INSIDER_HOLDINGS")</f>
        <v>0.19048680434228224</v>
      </c>
      <c r="P479">
        <f>_xll.BDP("TSLA UW Equity","RISK_PREMIUM")</f>
        <v>8.1599547666871537</v>
      </c>
      <c r="Q479">
        <f>_xll.BDP("TSLA UW Equity","HIGH_52WEEK")</f>
        <v>488.5</v>
      </c>
      <c r="R479">
        <f>_xll.BDP("TSLA UW Equity","LOW_52WEEK")</f>
        <v>182</v>
      </c>
    </row>
    <row r="480" spans="1:18" ht="15.75" x14ac:dyDescent="0.25">
      <c r="A480" t="s">
        <v>496</v>
      </c>
      <c r="B480">
        <f>_xll.BDP("BLK UN Equity","RT_PX_CHG_PCT_1D")</f>
        <v>0.43900001049041748</v>
      </c>
      <c r="C480" t="str">
        <f>_xll.BDP("BLK UN Equity","GICS_SECTOR_NAME")</f>
        <v>金融</v>
      </c>
      <c r="D480" t="str">
        <f>_xll.BDP("BLK UN Equity","NAME_CHINESE_TRADITIONAL")</f>
        <v>貝萊德公司</v>
      </c>
      <c r="E480" t="str">
        <f>_xll.BDP("BLK UN Equity","CLASSIFICATION_LEVEL_4_NAME")</f>
        <v>投資管理</v>
      </c>
      <c r="F480" t="str">
        <f>_xll.BDP("BLK UN Equity","CLASSIFICATION_DESCRIPTION")</f>
        <v>投資管理</v>
      </c>
      <c r="G480">
        <f>_xll.BDP("BLK UN Equity","CUR_MKT_CAP")</f>
        <v>174025480593.67996</v>
      </c>
      <c r="H480">
        <f>_xll.BDP("BLK UN Equity","CHG_PCT_YTD")</f>
        <v>9.5765349999999998</v>
      </c>
      <c r="I480" t="str">
        <f>_xll.BDP("BLK UN Equity","CIE_DES")</f>
        <v>貝萊德公司（BlackRock, Inc.）提供投資管理服務。該公司提供投資、諮詢，以及風險管理服務。貝萊德為全球各地的個人、家庭、教育機構、政府、保險公司及非營利組織提供服務。</v>
      </c>
      <c r="J480">
        <f>_xll.BDP("BLK UN Equity","ESG_SCORE")</f>
        <v>5.869999885559082</v>
      </c>
      <c r="K480" t="str">
        <f>_xll.BDP("BLK UN Equity","MSCI_ESG_RATING")</f>
        <v>A</v>
      </c>
      <c r="L480">
        <f>_xll.BDP("BLK UN Equity","EQY_BETA")</f>
        <v>1.1518236398696899</v>
      </c>
      <c r="M480">
        <f>_xll.BDP("BLK UN Equity","VOLATILITY_60D")</f>
        <v>22.447195165688711</v>
      </c>
      <c r="N480">
        <f>_xll.BDP("BLK UN Equity","PCT_INSIDER_SHARES_OUT")</f>
        <v>1.9797866047188917</v>
      </c>
      <c r="O480">
        <f>_xll.BDP("BLK UN Equity","PCT_CHG_INSIDER_HOLDINGS")</f>
        <v>-2.288934246114195</v>
      </c>
      <c r="P480">
        <f>_xll.BDP("BLK UN Equity","RISK_PREMIUM")</f>
        <v>5.9334236707699297</v>
      </c>
      <c r="Q480">
        <f>_xll.BDP("BLK UN Equity","HIGH_52WEEK")</f>
        <v>1130</v>
      </c>
      <c r="R480">
        <f>_xll.BDP("BLK UN Equity","LOW_52WEEK")</f>
        <v>775</v>
      </c>
    </row>
    <row r="481" spans="1:18" ht="15.75" x14ac:dyDescent="0.25">
      <c r="A481" t="s">
        <v>497</v>
      </c>
      <c r="B481">
        <f>_xll.BDP("KKR UN Equity","RT_PX_CHG_PCT_1D")</f>
        <v>1.3116999864578247</v>
      </c>
      <c r="C481" t="str">
        <f>_xll.BDP("KKR UN Equity","GICS_SECTOR_NAME")</f>
        <v>金融</v>
      </c>
      <c r="D481" t="str">
        <f>_xll.BDP("KKR UN Equity","NAME_CHINESE_TRADITIONAL")</f>
        <v>科爾伯格-克拉維斯-羅伯茨公司</v>
      </c>
      <c r="E481" t="str">
        <f>_xll.BDP("KKR UN Equity","CLASSIFICATION_LEVEL_4_NAME")</f>
        <v>私募股權</v>
      </c>
      <c r="F481" t="str">
        <f>_xll.BDP("KKR UN Equity","CLASSIFICATION_DESCRIPTION")</f>
        <v>私募股權</v>
      </c>
      <c r="G481">
        <f>_xll.BDP("KKR UN Equity","CUR_MKT_CAP")</f>
        <v>135520071960.47998</v>
      </c>
      <c r="H481">
        <f>_xll.BDP("KKR UN Equity","CHG_PCT_YTD")</f>
        <v>2.8733659999999999</v>
      </c>
      <c r="I481" t="str">
        <f>_xll.BDP("KKR UN Equity","CIE_DES")</f>
        <v>科爾伯格-克拉維斯-羅伯茨公司（KKR &amp; Co. Inc.）為一家投資公司。該公司投資於私募股權、信貸、資本市場、基礎設施、保險、能源、醫療保健、公用事業，以及不動產公司。科爾伯格-克拉維斯-羅伯茨服務全球客戶。</v>
      </c>
      <c r="J481">
        <f>_xll.BDP("KKR UN Equity","ESG_SCORE")</f>
        <v>4.2800002098083496</v>
      </c>
      <c r="K481" t="str">
        <f>_xll.BDP("KKR UN Equity","MSCI_ESG_RATING")</f>
        <v>BBB</v>
      </c>
      <c r="L481">
        <f>_xll.BDP("KKR UN Equity","EQY_BETA")</f>
        <v>1.5884648561477661</v>
      </c>
      <c r="M481">
        <f>_xll.BDP("KKR UN Equity","VOLATILITY_60D")</f>
        <v>31.624334938111943</v>
      </c>
      <c r="N481">
        <f>_xll.BDP("KKR UN Equity","PCT_INSIDER_SHARES_OUT")</f>
        <v>23.641783302582102</v>
      </c>
      <c r="O481">
        <f>_xll.BDP("KKR UN Equity","PCT_CHG_INSIDER_HOLDINGS")</f>
        <v>-1.4669925025703261</v>
      </c>
      <c r="P481">
        <f>_xll.BDP("KKR UN Equity","RISK_PREMIUM")</f>
        <v>8.1827066674196711</v>
      </c>
      <c r="Q481">
        <f>_xll.BDP("KKR UN Equity","HIGH_52WEEK")</f>
        <v>170.38</v>
      </c>
      <c r="R481">
        <f>_xll.BDP("KKR UN Equity","LOW_52WEEK")</f>
        <v>86.15</v>
      </c>
    </row>
    <row r="482" spans="1:18" ht="15.75" x14ac:dyDescent="0.25">
      <c r="A482" t="s">
        <v>498</v>
      </c>
      <c r="B482">
        <f>_xll.BDP("ACGL UW Equity","RT_PX_CHG_PCT_1D")</f>
        <v>1.0113999843597412</v>
      </c>
      <c r="C482" t="str">
        <f>_xll.BDP("ACGL UW Equity","GICS_SECTOR_NAME")</f>
        <v>金融</v>
      </c>
      <c r="D482" t="str">
        <f>_xll.BDP("ACGL UW Equity","NAME_CHINESE_TRADITIONAL")</f>
        <v>艾奇資本集團有限公司</v>
      </c>
      <c r="E482" t="str">
        <f>_xll.BDP("ACGL UW Equity","CLASSIFICATION_LEVEL_4_NAME")</f>
        <v>產物及意外保險</v>
      </c>
      <c r="F482" t="str">
        <f>_xll.BDP("ACGL UW Equity","CLASSIFICATION_DESCRIPTION")</f>
        <v>產物意外險保費</v>
      </c>
      <c r="G482">
        <f>_xll.BDP("ACGL UW Equity","CUR_MKT_CAP")</f>
        <v>33311929727.249996</v>
      </c>
      <c r="H482">
        <f>_xll.BDP("ACGL UW Equity","CHG_PCT_YTD")</f>
        <v>-3.7466149999999998</v>
      </c>
      <c r="I482" t="str">
        <f>_xll.BDP("ACGL UW Equity","CIE_DES")</f>
        <v>艾奇資本集團有限公司(Arch Capital Group Ltd.)提供金融服務。該公司提供人壽、健康，和產物保險與再保險產品，以及抵押保險。艾奇資本集團服務全球客戶。</v>
      </c>
      <c r="J482">
        <f>_xll.BDP("ACGL UW Equity","ESG_SCORE")</f>
        <v>1.8799999952316284</v>
      </c>
      <c r="K482" t="str">
        <f>_xll.BDP("ACGL UW Equity","MSCI_ESG_RATING")</f>
        <v>AA</v>
      </c>
      <c r="L482">
        <f>_xll.BDP("ACGL UW Equity","EQY_BETA")</f>
        <v>0.62048524618148804</v>
      </c>
      <c r="M482">
        <f>_xll.BDP("ACGL UW Equity","VOLATILITY_60D")</f>
        <v>24.815258053952697</v>
      </c>
      <c r="N482">
        <f>_xll.BDP("ACGL UW Equity","PCT_INSIDER_SHARES_OUT")</f>
        <v>2.944993055453637</v>
      </c>
      <c r="O482">
        <f>_xll.BDP("ACGL UW Equity","PCT_CHG_INSIDER_HOLDINGS")</f>
        <v>1.2817496180538477</v>
      </c>
      <c r="P482">
        <f>_xll.BDP("ACGL UW Equity","RISK_PREMIUM")</f>
        <v>3.1963242632120847</v>
      </c>
      <c r="Q482">
        <f>_xll.BDP("ACGL UW Equity","HIGH_52WEEK")</f>
        <v>110.6086</v>
      </c>
      <c r="R482">
        <f>_xll.BDP("ACGL UW Equity","LOW_52WEEK")</f>
        <v>82.5</v>
      </c>
    </row>
    <row r="483" spans="1:18" ht="15.75" x14ac:dyDescent="0.25">
      <c r="A483" t="s">
        <v>499</v>
      </c>
      <c r="B483">
        <f>_xll.BDP("DOW UN Equity","RT_PX_CHG_PCT_1D")</f>
        <v>1.7551000118255615</v>
      </c>
      <c r="C483" t="str">
        <f>_xll.BDP("DOW UN Equity","GICS_SECTOR_NAME")</f>
        <v>原材料</v>
      </c>
      <c r="D483" t="str">
        <f>_xll.BDP("DOW UN Equity","NAME_CHINESE_TRADITIONAL")</f>
        <v>陶氏</v>
      </c>
      <c r="E483" t="str">
        <f>_xll.BDP("DOW UN Equity","CLASSIFICATION_LEVEL_4_NAME")</f>
        <v>基本及多元化學品</v>
      </c>
      <c r="F483" t="str">
        <f>_xll.BDP("DOW UN Equity","CLASSIFICATION_DESCRIPTION")</f>
        <v>基本及多元化學品</v>
      </c>
      <c r="G483">
        <f>_xll.BDP("DOW UN Equity","CUR_MKT_CAP")</f>
        <v>18004051272.560001</v>
      </c>
      <c r="H483">
        <f>_xll.BDP("DOW UN Equity","CHG_PCT_YTD")</f>
        <v>-36.431600000000003</v>
      </c>
      <c r="I483" t="str">
        <f>_xll.BDP("DOW UN Equity","CIE_DES")</f>
        <v>陶氏公司(Dow Inc.)生產並配銷化學產品。該公司製造並供應化學品予液態注入成型、建築產製、皮革、紡織品、汽車、橡膠消費品，以及食品產業。陶氏服務全球各地的客戶。</v>
      </c>
      <c r="J483">
        <f>_xll.BDP("DOW UN Equity","ESG_SCORE")</f>
        <v>5.5999999046325684</v>
      </c>
      <c r="K483" t="str">
        <f>_xll.BDP("DOW UN Equity","MSCI_ESG_RATING")</f>
        <v>AA</v>
      </c>
      <c r="L483">
        <f>_xll.BDP("DOW UN Equity","EQY_BETA")</f>
        <v>0.90713226795196533</v>
      </c>
      <c r="M483">
        <f>_xll.BDP("DOW UN Equity","VOLATILITY_60D")</f>
        <v>56.875652321688264</v>
      </c>
      <c r="N483">
        <f>_xll.BDP("DOW UN Equity","PCT_INSIDER_SHARES_OUT")</f>
        <v>0.32182852666859835</v>
      </c>
      <c r="O483">
        <f>_xll.BDP("DOW UN Equity","PCT_CHG_INSIDER_HOLDINGS")</f>
        <v>11.983595090676356</v>
      </c>
      <c r="P483">
        <f>_xll.BDP("DOW UN Equity","RISK_PREMIUM")</f>
        <v>4.6729376658689974</v>
      </c>
      <c r="Q483">
        <f>_xll.BDP("DOW UN Equity","HIGH_52WEEK")</f>
        <v>55.66</v>
      </c>
      <c r="R483">
        <f>_xll.BDP("DOW UN Equity","LOW_52WEEK")</f>
        <v>24.37</v>
      </c>
    </row>
    <row r="484" spans="1:18" ht="15.75" x14ac:dyDescent="0.25">
      <c r="A484" t="s">
        <v>500</v>
      </c>
      <c r="B484">
        <f>_xll.BDP("EG UN Equity","RT_PX_CHG_PCT_1D")</f>
        <v>1.497499942779541</v>
      </c>
      <c r="C484" t="str">
        <f>_xll.BDP("EG UN Equity","GICS_SECTOR_NAME")</f>
        <v>金融</v>
      </c>
      <c r="D484" t="str">
        <f>_xll.BDP("EG UN Equity","NAME_CHINESE_TRADITIONAL")</f>
        <v>Everest集團有限公司</v>
      </c>
      <c r="E484" t="str">
        <f>_xll.BDP("EG UN Equity","CLASSIFICATION_LEVEL_4_NAME")</f>
        <v>再保</v>
      </c>
      <c r="F484" t="str">
        <f>_xll.BDP("EG UN Equity","CLASSIFICATION_DESCRIPTION")</f>
        <v>產物意外再保險</v>
      </c>
      <c r="G484">
        <f>_xll.BDP("EG UN Equity","CUR_MKT_CAP")</f>
        <v>14328248474.080002</v>
      </c>
      <c r="H484">
        <f>_xll.BDP("EG UN Equity","CHG_PCT_YTD")</f>
        <v>-7.0628460000000004</v>
      </c>
      <c r="I484" t="str">
        <f>_xll.BDP("EG UN Equity","CIE_DES")</f>
        <v>Everest集團有限公司(Everest Group Ltd)提供再保險和保險服務。該公司提供財產、意外傷害和專業再保險與保險解決方案，以及理賠管理與支援服務。Everest集團服務全球客戶。</v>
      </c>
      <c r="J484">
        <f>_xll.BDP("EG UN Equity","ESG_SCORE")</f>
        <v>3.5899999141693115</v>
      </c>
      <c r="K484" t="str">
        <f>_xll.BDP("EG UN Equity","MSCI_ESG_RATING")</f>
        <v>A</v>
      </c>
      <c r="L484">
        <f>_xll.BDP("EG UN Equity","EQY_BETA")</f>
        <v>0.55826652050018311</v>
      </c>
      <c r="M484">
        <f>_xll.BDP("EG UN Equity","VOLATILITY_60D")</f>
        <v>25.150809303672609</v>
      </c>
      <c r="N484">
        <f>_xll.BDP("EG UN Equity","PCT_INSIDER_SHARES_OUT")</f>
        <v>1.5332882094232172</v>
      </c>
      <c r="O484">
        <f>_xll.BDP("EG UN Equity","PCT_CHG_INSIDER_HOLDINGS")</f>
        <v>4.4139543074878729</v>
      </c>
      <c r="P484">
        <f>_xll.BDP("EG UN Equity","RISK_PREMIUM")</f>
        <v>2.8758150750482079</v>
      </c>
      <c r="Q484">
        <f>_xll.BDP("EG UN Equity","HIGH_52WEEK")</f>
        <v>407.26</v>
      </c>
      <c r="R484">
        <f>_xll.BDP("EG UN Equity","LOW_52WEEK")</f>
        <v>320.69</v>
      </c>
    </row>
    <row r="485" spans="1:18" ht="15.75" x14ac:dyDescent="0.25">
      <c r="A485" t="s">
        <v>501</v>
      </c>
      <c r="B485">
        <f>_xll.BDP("TDY UN Equity","RT_PX_CHG_PCT_1D")</f>
        <v>1.0837999582290649</v>
      </c>
      <c r="C485" t="str">
        <f>_xll.BDP("TDY UN Equity","GICS_SECTOR_NAME")</f>
        <v>資訊技術</v>
      </c>
      <c r="D485" t="str">
        <f>_xll.BDP("TDY UN Equity","NAME_CHINESE_TRADITIONAL")</f>
        <v>得立達科技公司</v>
      </c>
      <c r="E485" t="str">
        <f>_xll.BDP("TDY UN Equity","CLASSIFICATION_LEVEL_4_NAME")</f>
        <v>其它硬體</v>
      </c>
      <c r="F485" t="str">
        <f>_xll.BDP("TDY UN Equity","CLASSIFICATION_DESCRIPTION")</f>
        <v>光學儀器及鏡片</v>
      </c>
      <c r="G485">
        <f>_xll.BDP("TDY UN Equity","CUR_MKT_CAP")</f>
        <v>26048641847.939999</v>
      </c>
      <c r="H485">
        <f>_xll.BDP("TDY UN Equity","CHG_PCT_YTD")</f>
        <v>19.770320000000002</v>
      </c>
      <c r="I485" t="str">
        <f>_xll.BDP("TDY UN Equity","CIE_DES")</f>
        <v>得立達科技公司(Teledyne Technologies Inc.)提供電子子系統及儀器。該公司提供航太及國防電子產品、數位影像產品及軟體、海洋及環境應用的監控儀器、嚴酷環境互連產品及衛星通訊子系統。得立達亦提供工程系統。</v>
      </c>
      <c r="J485">
        <f>_xll.BDP("TDY UN Equity","ESG_SCORE")</f>
        <v>2.380000114440918</v>
      </c>
      <c r="K485" t="str">
        <f>_xll.BDP("TDY UN Equity","MSCI_ESG_RATING")</f>
        <v>A</v>
      </c>
      <c r="L485">
        <f>_xll.BDP("TDY UN Equity","EQY_BETA")</f>
        <v>0.84409546852111816</v>
      </c>
      <c r="M485">
        <f>_xll.BDP("TDY UN Equity","VOLATILITY_60D")</f>
        <v>15.538602555272323</v>
      </c>
      <c r="N485">
        <f>_xll.BDP("TDY UN Equity","PCT_INSIDER_SHARES_OUT")</f>
        <v>1.1038028751999334</v>
      </c>
      <c r="O485">
        <f>_xll.BDP("TDY UN Equity","PCT_CHG_INSIDER_HOLDINGS")</f>
        <v>-4.4099313986658473</v>
      </c>
      <c r="P485">
        <f>_xll.BDP("TDY UN Equity","RISK_PREMIUM")</f>
        <v>4.3482143098568917</v>
      </c>
      <c r="Q485">
        <f>_xll.BDP("TDY UN Equity","HIGH_52WEEK")</f>
        <v>566.73</v>
      </c>
      <c r="R485">
        <f>_xll.BDP("TDY UN Equity","LOW_52WEEK")</f>
        <v>398.02</v>
      </c>
    </row>
    <row r="486" spans="1:18" ht="15.75" x14ac:dyDescent="0.25">
      <c r="A486" t="s">
        <v>502</v>
      </c>
      <c r="B486">
        <f>_xll.BDP("DPZ UW Equity","RT_PX_CHG_PCT_1D")</f>
        <v>1.9292999505996704</v>
      </c>
      <c r="C486" t="str">
        <f>_xll.BDP("DPZ UW Equity","GICS_SECTOR_NAME")</f>
        <v>非核心消費</v>
      </c>
      <c r="D486" t="str">
        <f>_xll.BDP("DPZ UW Equity","NAME_CHINESE_TRADITIONAL")</f>
        <v>達美樂披薩股份有限公司</v>
      </c>
      <c r="E486" t="str">
        <f>_xll.BDP("DPZ UW Equity","CLASSIFICATION_LEVEL_4_NAME")</f>
        <v>餐廳</v>
      </c>
      <c r="F486" t="str">
        <f>_xll.BDP("DPZ UW Equity","CLASSIFICATION_DESCRIPTION")</f>
        <v>小型餐飲店</v>
      </c>
      <c r="G486">
        <f>_xll.BDP("DPZ UW Equity","CUR_MKT_CAP")</f>
        <v>16483219613.129997</v>
      </c>
      <c r="H486" t="str">
        <f>_xll.BDP("DPZ UW Equity","CHG_PCT_YTD")</f>
        <v>#N/A N/A</v>
      </c>
      <c r="I486" t="str">
        <f>_xll.BDP("DPZ UW Equity","CIE_DES")</f>
        <v>達美樂披薩股份有限公司(Domino's Pizza, Inc.)經營達美樂披薩直營店與加盟店，版圖遍及全美與世界各國。該公司也在美國本土與海外各地，經營麵團製作與配送中心。</v>
      </c>
      <c r="J486">
        <f>_xll.BDP("DPZ UW Equity","ESG_SCORE")</f>
        <v>4.119999885559082</v>
      </c>
      <c r="K486" t="str">
        <f>_xll.BDP("DPZ UW Equity","MSCI_ESG_RATING")</f>
        <v>BBB</v>
      </c>
      <c r="L486" t="str">
        <f>_xll.BDP("DPZ UW Equity","EQY_BETA")</f>
        <v>#N/A N/A</v>
      </c>
      <c r="M486">
        <f>_xll.BDP("DPZ UW Equity","VOLATILITY_60D")</f>
        <v>21.091010936750333</v>
      </c>
      <c r="N486">
        <f>_xll.BDP("DPZ UW Equity","PCT_INSIDER_SHARES_OUT")</f>
        <v>0.53519869556969712</v>
      </c>
      <c r="O486">
        <f>_xll.BDP("DPZ UW Equity","PCT_CHG_INSIDER_HOLDINGS")</f>
        <v>-2.6609711134522476</v>
      </c>
      <c r="P486">
        <f>_xll.BDP("DPZ UW Equity","RISK_PREMIUM")</f>
        <v>4.4383044677209851</v>
      </c>
      <c r="Q486">
        <f>_xll.BDP("DPZ UW Equity","HIGH_52WEEK")</f>
        <v>500.17</v>
      </c>
      <c r="R486">
        <f>_xll.BDP("DPZ UW Equity","LOW_52WEEK")</f>
        <v>397.12</v>
      </c>
    </row>
    <row r="487" spans="1:18" ht="15.75" x14ac:dyDescent="0.25">
      <c r="A487" t="s">
        <v>503</v>
      </c>
      <c r="B487">
        <f>_xll.BDP("GEV UN Equity","RT_PX_CHG_PCT_1D")</f>
        <v>3.3046000003814697</v>
      </c>
      <c r="C487" t="str">
        <f>_xll.BDP("GEV UN Equity","GICS_SECTOR_NAME")</f>
        <v>工業</v>
      </c>
      <c r="D487" t="str">
        <f>_xll.BDP("GEV UN Equity","NAME_CHINESE_TRADITIONAL")</f>
        <v>奇異維諾瓦公司</v>
      </c>
      <c r="E487" t="str">
        <f>_xll.BDP("GEV UN Equity","CLASSIFICATION_LEVEL_4_NAME")</f>
        <v>電力設備</v>
      </c>
      <c r="F487" t="str">
        <f>_xll.BDP("GEV UN Equity","CLASSIFICATION_DESCRIPTION")</f>
        <v>電力設備</v>
      </c>
      <c r="G487">
        <f>_xll.BDP("GEV UN Equity","CUR_MKT_CAP")</f>
        <v>175472829484.60001</v>
      </c>
      <c r="H487">
        <f>_xll.BDP("GEV UN Equity","CHG_PCT_YTD")</f>
        <v>95.965710000000001</v>
      </c>
      <c r="I487" t="str">
        <f>_xll.BDP("GEV UN Equity","CIE_DES")</f>
        <v>奇異維諾瓦公司（GE Vernova Inc.）為一家電力公司。該公司設計、製造，並配送生產、傳輸、協調、轉換，以及儲存電力的電力系統和服務。奇異維諾瓦服務全球客戶。</v>
      </c>
      <c r="J487">
        <f>_xll.BDP("GEV UN Equity","ESG_SCORE")</f>
        <v>2.9000000953674316</v>
      </c>
      <c r="K487" t="str">
        <f>_xll.BDP("GEV UN Equity","MSCI_ESG_RATING")</f>
        <v>A</v>
      </c>
      <c r="L487" t="str">
        <f>_xll.BDP("GEV UN Equity","EQY_BETA")</f>
        <v>#N/A N/A</v>
      </c>
      <c r="M487">
        <f>_xll.BDP("GEV UN Equity","VOLATILITY_60D")</f>
        <v>41.554762800412128</v>
      </c>
      <c r="N487">
        <f>_xll.BDP("GEV UN Equity","PCT_INSIDER_SHARES_OUT")</f>
        <v>5.2208127207052722E-2</v>
      </c>
      <c r="O487">
        <f>_xll.BDP("GEV UN Equity","PCT_CHG_INSIDER_HOLDINGS")</f>
        <v>49.052448322513662</v>
      </c>
      <c r="P487">
        <f>_xll.BDP("GEV UN Equity","RISK_PREMIUM")</f>
        <v>5.1513299999999997</v>
      </c>
      <c r="Q487">
        <f>_xll.BDP("GEV UN Equity","HIGH_52WEEK")</f>
        <v>651.19000000000005</v>
      </c>
      <c r="R487">
        <f>_xll.BDP("GEV UN Equity","LOW_52WEEK")</f>
        <v>150.11000000000001</v>
      </c>
    </row>
    <row r="488" spans="1:18" ht="15.75" x14ac:dyDescent="0.25">
      <c r="A488" t="s">
        <v>504</v>
      </c>
      <c r="B488">
        <f>_xll.BDP("NWSA UW Equity","RT_PX_CHG_PCT_1D")</f>
        <v>0.61330002546310425</v>
      </c>
      <c r="C488" t="str">
        <f>_xll.BDP("NWSA UW Equity","GICS_SECTOR_NAME")</f>
        <v>通訊服務</v>
      </c>
      <c r="D488" t="str">
        <f>_xll.BDP("NWSA UW Equity","NAME_CHINESE_TRADITIONAL")</f>
        <v>新聞集團</v>
      </c>
      <c r="E488" t="str">
        <f>_xll.BDP("NWSA UW Equity","CLASSIFICATION_LEVEL_4_NAME")</f>
        <v>出版業</v>
      </c>
      <c r="F488" t="str">
        <f>_xll.BDP("NWSA UW Equity","CLASSIFICATION_DESCRIPTION")</f>
        <v>報紙出版</v>
      </c>
      <c r="G488">
        <f>_xll.BDP("NWSA UW Equity","CUR_MKT_CAP")</f>
        <v>17503165310.619999</v>
      </c>
      <c r="H488">
        <f>_xll.BDP("NWSA UW Equity","CHG_PCT_YTD")</f>
        <v>7.2258500000000003</v>
      </c>
      <c r="I488" t="str">
        <f>_xll.BDP("NWSA UW Equity","CIE_DES")</f>
        <v>新聞公司(News Corporation)為媒體及資訊服務公司。該公司的業務包括：新聞及資訊、書籍出版、數位不動產，及有線網路節目服務。新聞公司服務全球的客戶。</v>
      </c>
      <c r="J488">
        <f>_xll.BDP("NWSA UW Equity","ESG_SCORE")</f>
        <v>3.2999999523162842</v>
      </c>
      <c r="K488" t="str">
        <f>_xll.BDP("NWSA UW Equity","MSCI_ESG_RATING")</f>
        <v>BBB</v>
      </c>
      <c r="L488">
        <f>_xll.BDP("NWSA UW Equity","EQY_BETA")</f>
        <v>0.88495540618896484</v>
      </c>
      <c r="M488">
        <f>_xll.BDP("NWSA UW Equity","VOLATILITY_60D")</f>
        <v>15.238642451263107</v>
      </c>
      <c r="N488">
        <f>_xll.BDP("NWSA UW Equity","PCT_INSIDER_SHARES_OUT")</f>
        <v>9.3292471162742599E-2</v>
      </c>
      <c r="O488">
        <f>_xll.BDP("NWSA UW Equity","PCT_CHG_INSIDER_HOLDINGS")</f>
        <v>0</v>
      </c>
      <c r="P488">
        <f>_xll.BDP("NWSA UW Equity","RISK_PREMIUM")</f>
        <v>4.5586973325634004</v>
      </c>
      <c r="Q488">
        <f>_xll.BDP("NWSA UW Equity","HIGH_52WEEK")</f>
        <v>30.75</v>
      </c>
      <c r="R488">
        <f>_xll.BDP("NWSA UW Equity","LOW_52WEEK")</f>
        <v>23.38</v>
      </c>
    </row>
    <row r="489" spans="1:18" ht="15.75" x14ac:dyDescent="0.25">
      <c r="A489" t="s">
        <v>505</v>
      </c>
      <c r="B489">
        <f>_xll.BDP("EXC UW Equity","RT_PX_CHG_PCT_1D")</f>
        <v>0.58310002088546753</v>
      </c>
      <c r="C489" t="str">
        <f>_xll.BDP("EXC UW Equity","GICS_SECTOR_NAME")</f>
        <v>公用事業</v>
      </c>
      <c r="D489" t="str">
        <f>_xll.BDP("EXC UW Equity","NAME_CHINESE_TRADITIONAL")</f>
        <v>愛克斯龍公司</v>
      </c>
      <c r="E489" t="str">
        <f>_xll.BDP("EXC UW Equity","CLASSIFICATION_LEVEL_4_NAME")</f>
        <v>電力網</v>
      </c>
      <c r="F489" t="str">
        <f>_xll.BDP("EXC UW Equity","CLASSIFICATION_DESCRIPTION")</f>
        <v>配電</v>
      </c>
      <c r="G489">
        <f>_xll.BDP("EXC UW Equity","CUR_MKT_CAP")</f>
        <v>44409472451.68</v>
      </c>
      <c r="H489">
        <f>_xll.BDP("EXC UW Equity","CHG_PCT_YTD")</f>
        <v>16.870349999999998</v>
      </c>
      <c r="I489" t="str">
        <f>_xll.BDP("EXC UW Equity","CIE_DES")</f>
        <v>愛克斯龍公司(Exelon Corporation)為一家公用事業服務的控股公司。該公司透過旗下子公司，配送電力至伊利諾州及賓州的客戶。愛克斯龍亦向費城地區的客戶配送天然氣。</v>
      </c>
      <c r="J489">
        <f>_xll.BDP("EXC UW Equity","ESG_SCORE")</f>
        <v>5.8000001907348633</v>
      </c>
      <c r="K489" t="str">
        <f>_xll.BDP("EXC UW Equity","MSCI_ESG_RATING")</f>
        <v>AA</v>
      </c>
      <c r="L489">
        <f>_xll.BDP("EXC UW Equity","EQY_BETA")</f>
        <v>0.35468396544456482</v>
      </c>
      <c r="M489">
        <f>_xll.BDP("EXC UW Equity","VOLATILITY_60D")</f>
        <v>18.974978683224126</v>
      </c>
      <c r="N489">
        <f>_xll.BDP("EXC UW Equity","PCT_INSIDER_SHARES_OUT")</f>
        <v>0.10685483231900597</v>
      </c>
      <c r="O489">
        <f>_xll.BDP("EXC UW Equity","PCT_CHG_INSIDER_HOLDINGS")</f>
        <v>12.934035320610599</v>
      </c>
      <c r="P489">
        <f>_xll.BDP("EXC UW Equity","RISK_PREMIUM")</f>
        <v>1.8270941517135499</v>
      </c>
      <c r="Q489">
        <f>_xll.BDP("EXC UW Equity","HIGH_52WEEK")</f>
        <v>48.11</v>
      </c>
      <c r="R489">
        <f>_xll.BDP("EXC UW Equity","LOW_52WEEK")</f>
        <v>35.94</v>
      </c>
    </row>
    <row r="490" spans="1:18" ht="15.75" x14ac:dyDescent="0.25">
      <c r="A490" t="s">
        <v>506</v>
      </c>
      <c r="B490">
        <f>_xll.BDP("GPN UN Equity","RT_PX_CHG_PCT_1D")</f>
        <v>3.2630999088287354</v>
      </c>
      <c r="C490" t="str">
        <f>_xll.BDP("GPN UN Equity","GICS_SECTOR_NAME")</f>
        <v>金融</v>
      </c>
      <c r="D490" t="str">
        <f>_xll.BDP("GPN UN Equity","NAME_CHINESE_TRADITIONAL")</f>
        <v>環匯公司</v>
      </c>
      <c r="E490" t="str">
        <f>_xll.BDP("GPN UN Equity","CLASSIFICATION_LEVEL_4_NAME")</f>
        <v>其它金融服務</v>
      </c>
      <c r="F490" t="str">
        <f>_xll.BDP("GPN UN Equity","CLASSIFICATION_DESCRIPTION")</f>
        <v>金融交易處理服務</v>
      </c>
      <c r="G490">
        <f>_xll.BDP("GPN UN Equity","CUR_MKT_CAP")</f>
        <v>20915150686.720001</v>
      </c>
      <c r="H490">
        <f>_xll.BDP("GPN UN Equity","CHG_PCT_YTD")</f>
        <v>-23.469570000000001</v>
      </c>
      <c r="I490" t="str">
        <f>_xll.BDP("GPN UN Equity","CIE_DES")</f>
        <v>環匯公司(Global Payments Inc.)提供電子交易處理、資訊系統，以及服務。該公司服務全球各地的金融、企業、政府，以及商業界。環匯提供資金轉移、商業銀行、會計、網際網路，以及其他服務。</v>
      </c>
      <c r="J490">
        <f>_xll.BDP("GPN UN Equity","ESG_SCORE")</f>
        <v>4.179999828338623</v>
      </c>
      <c r="K490" t="str">
        <f>_xll.BDP("GPN UN Equity","MSCI_ESG_RATING")</f>
        <v>BBB</v>
      </c>
      <c r="L490">
        <f>_xll.BDP("GPN UN Equity","EQY_BETA")</f>
        <v>1.0335428714752197</v>
      </c>
      <c r="M490">
        <f>_xll.BDP("GPN UN Equity","VOLATILITY_60D")</f>
        <v>32.242804542423968</v>
      </c>
      <c r="N490">
        <f>_xll.BDP("GPN UN Equity","PCT_INSIDER_SHARES_OUT")</f>
        <v>0.77072248646875507</v>
      </c>
      <c r="O490">
        <f>_xll.BDP("GPN UN Equity","PCT_CHG_INSIDER_HOLDINGS")</f>
        <v>9.249520488230166</v>
      </c>
      <c r="P490">
        <f>_xll.BDP("GPN UN Equity","RISK_PREMIUM")</f>
        <v>5.3241204001164437</v>
      </c>
      <c r="Q490">
        <f>_xll.BDP("GPN UN Equity","HIGH_52WEEK")</f>
        <v>120</v>
      </c>
      <c r="R490">
        <f>_xll.BDP("GPN UN Equity","LOW_52WEEK")</f>
        <v>65.930000000000007</v>
      </c>
    </row>
    <row r="491" spans="1:18" ht="15.75" x14ac:dyDescent="0.25">
      <c r="A491" t="s">
        <v>507</v>
      </c>
      <c r="B491">
        <f>_xll.BDP("CCI UN Equity","RT_PX_CHG_PCT_1D")</f>
        <v>-2.1333000659942627</v>
      </c>
      <c r="C491" t="str">
        <f>_xll.BDP("CCI UN Equity","GICS_SECTOR_NAME")</f>
        <v>房地產</v>
      </c>
      <c r="D491" t="str">
        <f>_xll.BDP("CCI UN Equity","NAME_CHINESE_TRADITIONAL")</f>
        <v>皇冠城堡公司</v>
      </c>
      <c r="E491" t="str">
        <f>_xll.BDP("CCI UN Equity","CLASSIFICATION_LEVEL_4_NAME")</f>
        <v>基礎設施REIT</v>
      </c>
      <c r="F491" t="str">
        <f>_xll.BDP("CCI UN Equity","CLASSIFICATION_DESCRIPTION")</f>
        <v>基礎設施REIT</v>
      </c>
      <c r="G491">
        <f>_xll.BDP("CCI UN Equity","CUR_MKT_CAP")</f>
        <v>48544947915.839996</v>
      </c>
      <c r="H491">
        <f>_xll.BDP("CCI UN Equity","CHG_PCT_YTD")</f>
        <v>22.829440000000002</v>
      </c>
      <c r="I491" t="str">
        <f>_xll.BDP("CCI UN Equity","CIE_DES")</f>
        <v>皇冠城堡公司(Crown Castle Inc)為一家不動產投資信託。該公司持有、經營，並租賃無線通訊的塔台，以及其它基礎設施。皇冠城堡於美國和澳洲管理並提供無線通訊覆蓋與基礎設施站台。</v>
      </c>
      <c r="J491">
        <f>_xll.BDP("CCI UN Equity","ESG_SCORE")</f>
        <v>5.3600001335144043</v>
      </c>
      <c r="K491" t="str">
        <f>_xll.BDP("CCI UN Equity","MSCI_ESG_RATING")</f>
        <v>AAA</v>
      </c>
      <c r="L491">
        <f>_xll.BDP("CCI UN Equity","EQY_BETA")</f>
        <v>0.50534272193908691</v>
      </c>
      <c r="M491">
        <f>_xll.BDP("CCI UN Equity","VOLATILITY_60D")</f>
        <v>22.452195756603338</v>
      </c>
      <c r="N491">
        <f>_xll.BDP("CCI UN Equity","PCT_INSIDER_SHARES_OUT")</f>
        <v>0.15526681284199562</v>
      </c>
      <c r="O491">
        <f>_xll.BDP("CCI UN Equity","PCT_CHG_INSIDER_HOLDINGS")</f>
        <v>3.6980971179934081</v>
      </c>
      <c r="P491">
        <f>_xll.BDP("CCI UN Equity","RISK_PREMIUM")</f>
        <v>2.6031871238064763</v>
      </c>
      <c r="Q491">
        <f>_xll.BDP("CCI UN Equity","HIGH_52WEEK")</f>
        <v>120.91</v>
      </c>
      <c r="R491">
        <f>_xll.BDP("CCI UN Equity","LOW_52WEEK")</f>
        <v>84.21</v>
      </c>
    </row>
    <row r="492" spans="1:18" ht="15.75" x14ac:dyDescent="0.25">
      <c r="A492" t="s">
        <v>508</v>
      </c>
      <c r="B492">
        <f>_xll.BDP("ALGN UW Equity","RT_PX_CHG_PCT_1D")</f>
        <v>1.6718000173568726</v>
      </c>
      <c r="C492" t="str">
        <f>_xll.BDP("ALGN UW Equity","GICS_SECTOR_NAME")</f>
        <v>醫療保健</v>
      </c>
      <c r="D492" t="str">
        <f>_xll.BDP("ALGN UW Equity","NAME_CHINESE_TRADITIONAL")</f>
        <v>艾利科技公司</v>
      </c>
      <c r="E492" t="str">
        <f>_xll.BDP("ALGN UW Equity","CLASSIFICATION_LEVEL_4_NAME")</f>
        <v>醫療裝置</v>
      </c>
      <c r="F492" t="str">
        <f>_xll.BDP("ALGN UW Equity","CLASSIFICATION_DESCRIPTION")</f>
        <v>醫療裝置</v>
      </c>
      <c r="G492">
        <f>_xll.BDP("ALGN UW Equity","CUR_MKT_CAP")</f>
        <v>14899983915.960001</v>
      </c>
      <c r="H492">
        <f>_xll.BDP("ALGN UW Equity","CHG_PCT_YTD")</f>
        <v>-1.414798</v>
      </c>
      <c r="I492" t="str">
        <f>_xll.BDP("ALGN UW Equity","CIE_DES")</f>
        <v>艾利科技公司(Align Technology, Inc.)為一家全球醫療裝置公司。該公司設計、製造，並銷售用於牙科的透明矯正器與口內掃描器，以及針對牙科實驗室與牙科醫生的電腦輔助設計與製造軟體。艾利科技服務全球客戶。</v>
      </c>
      <c r="J492">
        <f>_xll.BDP("ALGN UW Equity","ESG_SCORE")</f>
        <v>2.380000114440918</v>
      </c>
      <c r="K492" t="str">
        <f>_xll.BDP("ALGN UW Equity","MSCI_ESG_RATING")</f>
        <v>A</v>
      </c>
      <c r="L492">
        <f>_xll.BDP("ALGN UW Equity","EQY_BETA")</f>
        <v>1.2950531244277954</v>
      </c>
      <c r="M492">
        <f>_xll.BDP("ALGN UW Equity","VOLATILITY_60D")</f>
        <v>34.237623389437061</v>
      </c>
      <c r="N492">
        <f>_xll.BDP("ALGN UW Equity","PCT_INSIDER_SHARES_OUT")</f>
        <v>0.81459378264475724</v>
      </c>
      <c r="O492">
        <f>_xll.BDP("ALGN UW Equity","PCT_CHG_INSIDER_HOLDINGS")</f>
        <v>5.4107032236065766</v>
      </c>
      <c r="P492">
        <f>_xll.BDP("ALGN UW Equity","RISK_PREMIUM")</f>
        <v>6.6712460114586349</v>
      </c>
      <c r="Q492">
        <f>_xll.BDP("ALGN UW Equity","HIGH_52WEEK")</f>
        <v>262.77</v>
      </c>
      <c r="R492">
        <f>_xll.BDP("ALGN UW Equity","LOW_52WEEK")</f>
        <v>141.84</v>
      </c>
    </row>
    <row r="493" spans="1:18" ht="15.75" x14ac:dyDescent="0.25">
      <c r="A493" t="s">
        <v>509</v>
      </c>
      <c r="B493">
        <f>_xll.BDP("KVUE UN Equity","RT_PX_CHG_PCT_1D")</f>
        <v>1.5111000537872314</v>
      </c>
      <c r="C493" t="str">
        <f>_xll.BDP("KVUE UN Equity","GICS_SECTOR_NAME")</f>
        <v>核心消費</v>
      </c>
      <c r="D493" t="str">
        <f>_xll.BDP("KVUE UN Equity","NAME_CHINESE_TRADITIONAL")</f>
        <v>Kenvue公司</v>
      </c>
      <c r="E493" t="str">
        <f>_xll.BDP("KVUE UN Equity","CLASSIFICATION_LEVEL_4_NAME")</f>
        <v>消費者醫療保健產品</v>
      </c>
      <c r="F493" t="str">
        <f>_xll.BDP("KVUE UN Equity","CLASSIFICATION_DESCRIPTION")</f>
        <v>消費者醫療保健產品</v>
      </c>
      <c r="G493">
        <f>_xll.BDP("KVUE UN Equity","CUR_MKT_CAP")</f>
        <v>43850742983.919998</v>
      </c>
      <c r="H493">
        <f>_xll.BDP("KVUE UN Equity","CHG_PCT_YTD")</f>
        <v>6.9789209999999997</v>
      </c>
      <c r="I493" t="str">
        <f>_xll.BDP("KVUE UN Equity","CIE_DES")</f>
        <v>Kenvue公司(Kenvue Inc.)為一家消費者健康公司。該公司提供自我保健、皮膚健康與美容，以及基本保健產品等消費者健康產品組合。Kenvue服務全球客戶。</v>
      </c>
      <c r="J493">
        <f>_xll.BDP("KVUE UN Equity","ESG_SCORE")</f>
        <v>3.5999999046325684</v>
      </c>
      <c r="K493" t="str">
        <f>_xll.BDP("KVUE UN Equity","MSCI_ESG_RATING")</f>
        <v>AA</v>
      </c>
      <c r="L493">
        <f>_xll.BDP("KVUE UN Equity","EQY_BETA")</f>
        <v>0.54287606477737427</v>
      </c>
      <c r="M493">
        <f>_xll.BDP("KVUE UN Equity","VOLATILITY_60D")</f>
        <v>26.21937082033546</v>
      </c>
      <c r="N493">
        <f>_xll.BDP("KVUE UN Equity","PCT_INSIDER_SHARES_OUT")</f>
        <v>4.4096270762692007E-2</v>
      </c>
      <c r="O493">
        <f>_xll.BDP("KVUE UN Equity","PCT_CHG_INSIDER_HOLDINGS")</f>
        <v>56.502401568045521</v>
      </c>
      <c r="P493">
        <f>_xll.BDP("KVUE UN Equity","RISK_PREMIUM")</f>
        <v>2.7965337587696313</v>
      </c>
      <c r="Q493">
        <f>_xll.BDP("KVUE UN Equity","HIGH_52WEEK")</f>
        <v>25.16</v>
      </c>
      <c r="R493">
        <f>_xll.BDP("KVUE UN Equity","LOW_52WEEK")</f>
        <v>18.105</v>
      </c>
    </row>
    <row r="494" spans="1:18" ht="15.75" x14ac:dyDescent="0.25">
      <c r="A494" t="s">
        <v>510</v>
      </c>
      <c r="B494">
        <f>_xll.BDP("TRGP UN Equity","RT_PX_CHG_PCT_1D")</f>
        <v>-2.4100000038743019E-2</v>
      </c>
      <c r="C494" t="str">
        <f>_xll.BDP("TRGP UN Equity","GICS_SECTOR_NAME")</f>
        <v>能源</v>
      </c>
      <c r="D494" t="str">
        <f>_xll.BDP("TRGP UN Equity","NAME_CHINESE_TRADITIONAL")</f>
        <v>Targa資源公司</v>
      </c>
      <c r="E494" t="str">
        <f>_xll.BDP("TRGP UN Equity","CLASSIFICATION_LEVEL_4_NAME")</f>
        <v>中游石油及天然氣業</v>
      </c>
      <c r="F494" t="str">
        <f>_xll.BDP("TRGP UN Equity","CLASSIFICATION_DESCRIPTION")</f>
        <v>天然氣凝結油管線及服務</v>
      </c>
      <c r="G494">
        <f>_xll.BDP("TRGP UN Equity","CUR_MKT_CAP")</f>
        <v>35923915850.400002</v>
      </c>
      <c r="H494">
        <f>_xll.BDP("TRGP UN Equity","CHG_PCT_YTD")</f>
        <v>-7.2268910000000002</v>
      </c>
      <c r="I494" t="str">
        <f>_xll.BDP("TRGP UN Equity","CIE_DES")</f>
        <v>Targa資源公司(Targa Resources Corp)擁有有限合夥企業的一般及有限合夥利益，該企業提供中游天然氣及 液化天然氣服務。 該公司收集、壓縮、處理、加工並銷售天然氣。 Targa資源亦儲存、分餾、處理、運輸並銷售液化天然氣及相關產品。</v>
      </c>
      <c r="J494">
        <f>_xll.BDP("TRGP UN Equity","ESG_SCORE")</f>
        <v>4.9499998092651367</v>
      </c>
      <c r="K494" t="str">
        <f>_xll.BDP("TRGP UN Equity","MSCI_ESG_RATING")</f>
        <v>AA</v>
      </c>
      <c r="L494">
        <f>_xll.BDP("TRGP UN Equity","EQY_BETA")</f>
        <v>0.8952864408493042</v>
      </c>
      <c r="M494">
        <f>_xll.BDP("TRGP UN Equity","VOLATILITY_60D")</f>
        <v>29.874220287308322</v>
      </c>
      <c r="N494">
        <f>_xll.BDP("TRGP UN Equity","PCT_INSIDER_SHARES_OUT")</f>
        <v>1.6547036189698241</v>
      </c>
      <c r="O494">
        <f>_xll.BDP("TRGP UN Equity","PCT_CHG_INSIDER_HOLDINGS")</f>
        <v>-4.3764991203739712</v>
      </c>
      <c r="P494">
        <f>_xll.BDP("TRGP UN Equity","RISK_PREMIUM")</f>
        <v>4.6119159013402458</v>
      </c>
      <c r="Q494">
        <f>_xll.BDP("TRGP UN Equity","HIGH_52WEEK")</f>
        <v>218.19</v>
      </c>
      <c r="R494">
        <f>_xll.BDP("TRGP UN Equity","LOW_52WEEK")</f>
        <v>122.65</v>
      </c>
    </row>
    <row r="495" spans="1:18" ht="15.75" x14ac:dyDescent="0.25">
      <c r="A495" t="s">
        <v>511</v>
      </c>
      <c r="B495">
        <f>_xll.BDP("BG UN Equity","RT_PX_CHG_PCT_1D")</f>
        <v>0.44200000166893005</v>
      </c>
      <c r="C495" t="str">
        <f>_xll.BDP("BG UN Equity","GICS_SECTOR_NAME")</f>
        <v>核心消費</v>
      </c>
      <c r="D495" t="str">
        <f>_xll.BDP("BG UN Equity","NAME_CHINESE_TRADITIONAL")</f>
        <v>邦吉全球有限責任公司</v>
      </c>
      <c r="E495" t="str">
        <f>_xll.BDP("BG UN Equity","CLASSIFICATION_LEVEL_4_NAME")</f>
        <v>農產品批發</v>
      </c>
      <c r="F495" t="str">
        <f>_xll.BDP("BG UN Equity","CLASSIFICATION_DESCRIPTION")</f>
        <v>農產品批發</v>
      </c>
      <c r="G495">
        <f>_xll.BDP("BG UN Equity","CUR_MKT_CAP")</f>
        <v>15454384186.439999</v>
      </c>
      <c r="H495">
        <f>_xll.BDP("BG UN Equity","CHG_PCT_YTD")</f>
        <v>-0.63014680000000001</v>
      </c>
      <c r="I495" t="str">
        <f>_xll.BDP("BG UN Equity","CIE_DES")</f>
        <v>邦吉全球有限責任公司(Bunge Global S.A.)為一家農業綜合企業與食品公司。該公司生產並供應植物性油、脂肪，以及蛋白質。邦吉全球的產品用於各種用途，例如：動物飼料、食用油和麵粉，以及麵包店和糖果、乳脂替代品、植物性肉類，以及嬰兒營養品。</v>
      </c>
      <c r="J495">
        <f>_xll.BDP("BG UN Equity","ESG_SCORE")</f>
        <v>5.5300002098083496</v>
      </c>
      <c r="K495" t="str">
        <f>_xll.BDP("BG UN Equity","MSCI_ESG_RATING")</f>
        <v>AAA</v>
      </c>
      <c r="L495">
        <f>_xll.BDP("BG UN Equity","EQY_BETA")</f>
        <v>0.43945464491844177</v>
      </c>
      <c r="M495">
        <f>_xll.BDP("BG UN Equity","VOLATILITY_60D")</f>
        <v>32.213697883155497</v>
      </c>
      <c r="N495">
        <f>_xll.BDP("BG UN Equity","PCT_INSIDER_SHARES_OUT")</f>
        <v>0.97718157046073839</v>
      </c>
      <c r="O495">
        <f>_xll.BDP("BG UN Equity","PCT_CHG_INSIDER_HOLDINGS")</f>
        <v>27.494773098663678</v>
      </c>
      <c r="P495">
        <f>_xll.BDP("BG UN Equity","RISK_PREMIUM")</f>
        <v>2.2637758960077163</v>
      </c>
      <c r="Q495">
        <f>_xll.BDP("BG UN Equity","HIGH_52WEEK")</f>
        <v>114.8</v>
      </c>
      <c r="R495">
        <f>_xll.BDP("BG UN Equity","LOW_52WEEK")</f>
        <v>67.44</v>
      </c>
    </row>
    <row r="496" spans="1:18" ht="15.75" x14ac:dyDescent="0.25">
      <c r="A496" t="s">
        <v>512</v>
      </c>
      <c r="B496">
        <f>_xll.BDP("LKQ UW Equity","RT_PX_CHG_PCT_1D")</f>
        <v>1.3867000341415405</v>
      </c>
      <c r="C496" t="str">
        <f>_xll.BDP("LKQ UW Equity","GICS_SECTOR_NAME")</f>
        <v>非核心消費</v>
      </c>
      <c r="D496" t="str">
        <f>_xll.BDP("LKQ UW Equity","NAME_CHINESE_TRADITIONAL")</f>
        <v>LKQ公司</v>
      </c>
      <c r="E496" t="str">
        <f>_xll.BDP("LKQ UW Equity","CLASSIFICATION_LEVEL_4_NAME")</f>
        <v>汽車總經銷</v>
      </c>
      <c r="F496" t="str">
        <f>_xll.BDP("LKQ UW Equity","CLASSIFICATION_DESCRIPTION")</f>
        <v>汽車用品批發商</v>
      </c>
      <c r="G496">
        <f>_xll.BDP("LKQ UW Equity","CUR_MKT_CAP")</f>
        <v>8277121986.6399984</v>
      </c>
      <c r="H496">
        <f>_xll.BDP("LKQ UW Equity","CHG_PCT_YTD")</f>
        <v>-12.462590000000001</v>
      </c>
      <c r="I496" t="str">
        <f>_xll.BDP("LKQ UW Equity","CIE_DES")</f>
        <v>LKQ公司(LKQ Corporation)提供汽車產品及服務。該公司針對汽車與輕、中，和重型卡車的維修，提供替代性碰撞替換零件、回收引擎、變速箱、替換系統、元件，以及零件。LKQ服務全球客戶。</v>
      </c>
      <c r="J496">
        <f>_xll.BDP("LKQ UW Equity","ESG_SCORE")</f>
        <v>6.2100000381469727</v>
      </c>
      <c r="K496" t="str">
        <f>_xll.BDP("LKQ UW Equity","MSCI_ESG_RATING")</f>
        <v>AAA</v>
      </c>
      <c r="L496">
        <f>_xll.BDP("LKQ UW Equity","EQY_BETA")</f>
        <v>0.61223757266998291</v>
      </c>
      <c r="M496">
        <f>_xll.BDP("LKQ UW Equity","VOLATILITY_60D")</f>
        <v>47.295333806318432</v>
      </c>
      <c r="N496">
        <f>_xll.BDP("LKQ UW Equity","PCT_INSIDER_SHARES_OUT")</f>
        <v>0.71309726568755005</v>
      </c>
      <c r="O496">
        <f>_xll.BDP("LKQ UW Equity","PCT_CHG_INSIDER_HOLDINGS")</f>
        <v>10.216831735798362</v>
      </c>
      <c r="P496">
        <f>_xll.BDP("LKQ UW Equity","RISK_PREMIUM")</f>
        <v>3.1538377752220628</v>
      </c>
      <c r="Q496">
        <f>_xll.BDP("LKQ UW Equity","HIGH_52WEEK")</f>
        <v>44.81</v>
      </c>
      <c r="R496">
        <f>_xll.BDP("LKQ UW Equity","LOW_52WEEK")</f>
        <v>30.07</v>
      </c>
    </row>
    <row r="497" spans="1:18" ht="15.75" x14ac:dyDescent="0.25">
      <c r="A497" t="s">
        <v>513</v>
      </c>
      <c r="B497">
        <f>_xll.BDP("DECK UN Equity","RT_PX_CHG_PCT_1D")</f>
        <v>11.349300384521484</v>
      </c>
      <c r="C497" t="str">
        <f>_xll.BDP("DECK UN Equity","GICS_SECTOR_NAME")</f>
        <v>非核心消費</v>
      </c>
      <c r="D497" t="str">
        <f>_xll.BDP("DECK UN Equity","NAME_CHINESE_TRADITIONAL")</f>
        <v>德克斯戶外用品公司</v>
      </c>
      <c r="E497" t="str">
        <f>_xll.BDP("DECK UN Equity","CLASSIFICATION_LEVEL_4_NAME")</f>
        <v>服飾、鞋類及配件設計</v>
      </c>
      <c r="F497" t="str">
        <f>_xll.BDP("DECK UN Equity","CLASSIFICATION_DESCRIPTION")</f>
        <v>服飾、鞋類及配件設計</v>
      </c>
      <c r="G497">
        <f>_xll.BDP("DECK UN Equity","CUR_MKT_CAP")</f>
        <v>17333921849.699997</v>
      </c>
      <c r="H497">
        <f>_xll.BDP("DECK UN Equity","CHG_PCT_YTD")</f>
        <v>-42.463929999999998</v>
      </c>
      <c r="I497" t="str">
        <f>_xll.BDP("DECK UN Equity","CIE_DES")</f>
        <v>德克斯戶外用品公司(Deckers Outdoor Corporation)設計並銷售鞋類及配件。該公司提供男士、女士，以及孩童鞋類。德克斯公司銷售其產品，包括例如：手提包、頭飾，以及外套的配件。德克斯戶外用品公司服務美國的客戶。</v>
      </c>
      <c r="J497">
        <f>_xll.BDP("DECK UN Equity","ESG_SCORE")</f>
        <v>3.9300000667572021</v>
      </c>
      <c r="K497" t="str">
        <f>_xll.BDP("DECK UN Equity","MSCI_ESG_RATING")</f>
        <v>AAA</v>
      </c>
      <c r="L497">
        <f>_xll.BDP("DECK UN Equity","EQY_BETA")</f>
        <v>1.0875165462493896</v>
      </c>
      <c r="M497">
        <f>_xll.BDP("DECK UN Equity","VOLATILITY_60D")</f>
        <v>65.587085054332277</v>
      </c>
      <c r="N497">
        <f>_xll.BDP("DECK UN Equity","PCT_INSIDER_SHARES_OUT")</f>
        <v>0.87734877318438165</v>
      </c>
      <c r="O497">
        <f>_xll.BDP("DECK UN Equity","PCT_CHG_INSIDER_HOLDINGS")</f>
        <v>-11.290198353112299</v>
      </c>
      <c r="P497">
        <f>_xll.BDP("DECK UN Equity","RISK_PREMIUM")</f>
        <v>5.6021566101908684</v>
      </c>
      <c r="Q497">
        <f>_xll.BDP("DECK UN Equity","HIGH_52WEEK")</f>
        <v>223.96</v>
      </c>
      <c r="R497">
        <f>_xll.BDP("DECK UN Equity","LOW_52WEEK")</f>
        <v>93.8</v>
      </c>
    </row>
    <row r="498" spans="1:18" ht="15.75" x14ac:dyDescent="0.25">
      <c r="A498" t="s">
        <v>514</v>
      </c>
      <c r="B498">
        <f>_xll.BDP("WDAY UW Equity","RT_PX_CHG_PCT_1D")</f>
        <v>1.916100025177002</v>
      </c>
      <c r="C498" t="str">
        <f>_xll.BDP("WDAY UW Equity","GICS_SECTOR_NAME")</f>
        <v>資訊技術</v>
      </c>
      <c r="D498" t="str">
        <f>_xll.BDP("WDAY UW Equity","NAME_CHINESE_TRADITIONAL")</f>
        <v>Workday公司</v>
      </c>
      <c r="E498" t="str">
        <f>_xll.BDP("WDAY UW Equity","CLASSIFICATION_LEVEL_4_NAME")</f>
        <v>應用軟體</v>
      </c>
      <c r="F498" t="str">
        <f>_xll.BDP("WDAY UW Equity","CLASSIFICATION_DESCRIPTION")</f>
        <v>企業軟體</v>
      </c>
      <c r="G498">
        <f>_xll.BDP("WDAY UW Equity","CUR_MKT_CAP")</f>
        <v>64544580000</v>
      </c>
      <c r="H498">
        <f>_xll.BDP("WDAY UW Equity","CHG_PCT_YTD")</f>
        <v>-6.3132190000000001</v>
      </c>
      <c r="I498" t="str">
        <f>_xll.BDP("WDAY UW Equity","CIE_DES")</f>
        <v>Workday公司(Workday, Inc.)提供企業雲端應用程式。該公司提供人力資本、支出及財務管理，以及薪資、政策及高等教育解決方案。Workday服務全球金融、醫療保健、製造、教育及科技產業。</v>
      </c>
      <c r="J498">
        <f>_xll.BDP("WDAY UW Equity","ESG_SCORE")</f>
        <v>4.9899997711181641</v>
      </c>
      <c r="K498" t="str">
        <f>_xll.BDP("WDAY UW Equity","MSCI_ESG_RATING")</f>
        <v>AAA</v>
      </c>
      <c r="L498">
        <f>_xll.BDP("WDAY UW Equity","EQY_BETA")</f>
        <v>1.0862017869949341</v>
      </c>
      <c r="M498">
        <f>_xll.BDP("WDAY UW Equity","VOLATILITY_60D")</f>
        <v>36.206018984370139</v>
      </c>
      <c r="N498">
        <f>_xll.BDP("WDAY UW Equity","PCT_INSIDER_SHARES_OUT")</f>
        <v>1.3447097222222222</v>
      </c>
      <c r="O498">
        <f>_xll.BDP("WDAY UW Equity","PCT_CHG_INSIDER_HOLDINGS")</f>
        <v>4.6353615043769585</v>
      </c>
      <c r="P498">
        <f>_xll.BDP("WDAY UW Equity","RISK_PREMIUM")</f>
        <v>5.5953838514006131</v>
      </c>
      <c r="Q498">
        <f>_xll.BDP("WDAY UW Equity","HIGH_52WEEK")</f>
        <v>294</v>
      </c>
      <c r="R498">
        <f>_xll.BDP("WDAY UW Equity","LOW_52WEEK")</f>
        <v>199.99</v>
      </c>
    </row>
    <row r="499" spans="1:18" ht="15.75" x14ac:dyDescent="0.25">
      <c r="A499" t="s">
        <v>515</v>
      </c>
      <c r="B499">
        <f>_xll.BDP("ZTS UN Equity","RT_PX_CHG_PCT_1D")</f>
        <v>-0.45809999108314514</v>
      </c>
      <c r="C499" t="str">
        <f>_xll.BDP("ZTS UN Equity","GICS_SECTOR_NAME")</f>
        <v>醫療保健</v>
      </c>
      <c r="D499" t="str">
        <f>_xll.BDP("ZTS UN Equity","NAME_CHINESE_TRADITIONAL")</f>
        <v>碩騰股份有限公司</v>
      </c>
      <c r="E499" t="str">
        <f>_xll.BDP("ZTS UN Equity","CLASSIFICATION_LEVEL_4_NAME")</f>
        <v>製藥</v>
      </c>
      <c r="F499" t="str">
        <f>_xll.BDP("ZTS UN Equity","CLASSIFICATION_DESCRIPTION")</f>
        <v>特殊製藥</v>
      </c>
      <c r="G499">
        <f>_xll.BDP("ZTS UN Equity","CUR_MKT_CAP")</f>
        <v>67725049022.360008</v>
      </c>
      <c r="H499">
        <f>_xll.BDP("ZTS UN Equity","CHG_PCT_YTD")</f>
        <v>-6.634747</v>
      </c>
      <c r="I499" t="str">
        <f>_xll.BDP("ZTS UN Equity","CIE_DES")</f>
        <v>碩騰股份有限公司(Zoetis Inc)探索、研發、製造並商業化動物藥品及疫苗，主要針對牲畜及寵物。 該公司於北美、歐洲、非洲、亞洲、澳洲及拉丁美洲市場銷售其產品。</v>
      </c>
      <c r="J499">
        <f>_xll.BDP("ZTS UN Equity","ESG_SCORE")</f>
        <v>5.8600001335144043</v>
      </c>
      <c r="K499" t="str">
        <f>_xll.BDP("ZTS UN Equity","MSCI_ESG_RATING")</f>
        <v>AAA</v>
      </c>
      <c r="L499">
        <f>_xll.BDP("ZTS UN Equity","EQY_BETA")</f>
        <v>0.74587142467498779</v>
      </c>
      <c r="M499">
        <f>_xll.BDP("ZTS UN Equity","VOLATILITY_60D")</f>
        <v>28.236855155676967</v>
      </c>
      <c r="N499">
        <f>_xll.BDP("ZTS UN Equity","PCT_INSIDER_SHARES_OUT")</f>
        <v>7.9805650211665052E-2</v>
      </c>
      <c r="O499">
        <f>_xll.BDP("ZTS UN Equity","PCT_CHG_INSIDER_HOLDINGS")</f>
        <v>17.590140550978379</v>
      </c>
      <c r="P499">
        <f>_xll.BDP("ZTS UN Equity","RISK_PREMIUM")</f>
        <v>3.8422298460710045</v>
      </c>
      <c r="Q499">
        <f>_xll.BDP("ZTS UN Equity","HIGH_52WEEK")</f>
        <v>200.03</v>
      </c>
      <c r="R499">
        <f>_xll.BDP("ZTS UN Equity","LOW_52WEEK")</f>
        <v>139.69999999999999</v>
      </c>
    </row>
    <row r="500" spans="1:18" ht="15.75" x14ac:dyDescent="0.25">
      <c r="A500" t="s">
        <v>516</v>
      </c>
      <c r="B500">
        <f>_xll.BDP("COIN UW Equity","RT_PX_CHG_PCT_1D")</f>
        <v>-1.2704999446868896</v>
      </c>
      <c r="C500" t="str">
        <f>_xll.BDP("COIN UW Equity","GICS_SECTOR_NAME")</f>
        <v>金融</v>
      </c>
      <c r="D500" t="str">
        <f>_xll.BDP("COIN UW Equity","NAME_CHINESE_TRADITIONAL")</f>
        <v>比特幣基地全球公司</v>
      </c>
      <c r="E500" t="str">
        <f>_xll.BDP("COIN UW Equity","CLASSIFICATION_LEVEL_4_NAME")</f>
        <v>證券及商品交易所</v>
      </c>
      <c r="F500" t="str">
        <f>_xll.BDP("COIN UW Equity","CLASSIFICATION_DESCRIPTION")</f>
        <v>證券及商品交易所</v>
      </c>
      <c r="G500">
        <f>_xll.BDP("COIN UW Equity","CUR_MKT_CAP")</f>
        <v>99757746200.240005</v>
      </c>
      <c r="H500">
        <f>_xll.BDP("COIN UW Equity","CHG_PCT_YTD")</f>
        <v>57.736609999999999</v>
      </c>
      <c r="I500" t="str">
        <f>_xll.BDP("COIN UW Equity","CIE_DES")</f>
        <v>比特幣基地全球公司(Coinbase Global, Inc.)提供金融解決方案。該公司提供買賣加密貨幣的平台。比特幣基地全球服務全球客戶。</v>
      </c>
      <c r="J500">
        <f>_xll.BDP("COIN UW Equity","ESG_SCORE")</f>
        <v>2.7799999713897705</v>
      </c>
      <c r="K500" t="str">
        <f>_xll.BDP("COIN UW Equity","MSCI_ESG_RATING")</f>
        <v>BB</v>
      </c>
      <c r="L500">
        <f>_xll.BDP("COIN UW Equity","EQY_BETA")</f>
        <v>2.1173200607299805</v>
      </c>
      <c r="M500">
        <f>_xll.BDP("COIN UW Equity","VOLATILITY_60D")</f>
        <v>78.770663727074819</v>
      </c>
      <c r="N500">
        <f>_xll.BDP("COIN UW Equity","PCT_INSIDER_SHARES_OUT")</f>
        <v>0.99642538529871716</v>
      </c>
      <c r="O500">
        <f>_xll.BDP("COIN UW Equity","PCT_CHG_INSIDER_HOLDINGS")</f>
        <v>-0.16000811415555197</v>
      </c>
      <c r="P500">
        <f>_xll.BDP("COIN UW Equity","RISK_PREMIUM")</f>
        <v>10.907014348440169</v>
      </c>
      <c r="Q500">
        <f>_xll.BDP("COIN UW Equity","HIGH_52WEEK")</f>
        <v>444.59</v>
      </c>
      <c r="R500">
        <f>_xll.BDP("COIN UW Equity","LOW_52WEEK")</f>
        <v>142.58500000000001</v>
      </c>
    </row>
    <row r="501" spans="1:18" ht="15.75" x14ac:dyDescent="0.25">
      <c r="A501" t="s">
        <v>517</v>
      </c>
      <c r="B501">
        <f>_xll.BDP("EQIX UW Equity","RT_PX_CHG_PCT_1D")</f>
        <v>1.5059000253677368</v>
      </c>
      <c r="C501" t="str">
        <f>_xll.BDP("EQIX UW Equity","GICS_SECTOR_NAME")</f>
        <v>房地產</v>
      </c>
      <c r="D501" t="str">
        <f>_xll.BDP("EQIX UW Equity","NAME_CHINESE_TRADITIONAL")</f>
        <v>Equinix公司</v>
      </c>
      <c r="E501" t="str">
        <f>_xll.BDP("EQIX UW Equity","CLASSIFICATION_LEVEL_4_NAME")</f>
        <v>資料中心REIT</v>
      </c>
      <c r="F501" t="str">
        <f>_xll.BDP("EQIX UW Equity","CLASSIFICATION_DESCRIPTION")</f>
        <v>資料中心REIT</v>
      </c>
      <c r="G501">
        <f>_xll.BDP("EQIX UW Equity","CUR_MKT_CAP")</f>
        <v>78395073957.12999</v>
      </c>
      <c r="H501">
        <f>_xll.BDP("EQIX UW Equity","CHG_PCT_YTD")</f>
        <v>-15.00281</v>
      </c>
      <c r="I501" t="str">
        <f>_xll.BDP("EQIX UW Equity","CIE_DES")</f>
        <v>Equinix公司(Equinix, Inc.)為不動產投資信託公司。該公司投資於互連資料中心。Equinix主要開發網絡及雲端中立資料中心平台，應用於雲端及資訊科技、企業、網絡及手機服務供應商，以及金融公司。</v>
      </c>
      <c r="J501">
        <f>_xll.BDP("EQIX UW Equity","ESG_SCORE")</f>
        <v>6.9800000190734863</v>
      </c>
      <c r="K501" t="str">
        <f>_xll.BDP("EQIX UW Equity","MSCI_ESG_RATING")</f>
        <v>AAA</v>
      </c>
      <c r="L501">
        <f>_xll.BDP("EQIX UW Equity","EQY_BETA")</f>
        <v>0.85207825899124146</v>
      </c>
      <c r="M501">
        <f>_xll.BDP("EQIX UW Equity","VOLATILITY_60D")</f>
        <v>34.353461365377818</v>
      </c>
      <c r="N501">
        <f>_xll.BDP("EQIX UW Equity","PCT_INSIDER_SHARES_OUT")</f>
        <v>0.28042509946177119</v>
      </c>
      <c r="O501">
        <f>_xll.BDP("EQIX UW Equity","PCT_CHG_INSIDER_HOLDINGS")</f>
        <v>5.3361391328389907</v>
      </c>
      <c r="P501">
        <f>_xll.BDP("EQIX UW Equity","RISK_PREMIUM")</f>
        <v>4.3893362978893515</v>
      </c>
      <c r="Q501">
        <f>_xll.BDP("EQIX UW Equity","HIGH_52WEEK")</f>
        <v>992.18</v>
      </c>
      <c r="R501">
        <f>_xll.BDP("EQIX UW Equity","LOW_52WEEK")</f>
        <v>707.39</v>
      </c>
    </row>
    <row r="502" spans="1:18" ht="15.75" x14ac:dyDescent="0.25">
      <c r="A502" t="s">
        <v>518</v>
      </c>
      <c r="B502">
        <f>_xll.BDP("DLR UN Equity","RT_PX_CHG_PCT_1D")</f>
        <v>-1.1720999479293823</v>
      </c>
      <c r="C502" t="str">
        <f>_xll.BDP("DLR UN Equity","GICS_SECTOR_NAME")</f>
        <v>房地產</v>
      </c>
      <c r="D502" t="str">
        <f>_xll.BDP("DLR UN Equity","NAME_CHINESE_TRADITIONAL")</f>
        <v>數位不動產信託公司</v>
      </c>
      <c r="E502" t="str">
        <f>_xll.BDP("DLR UN Equity","CLASSIFICATION_LEVEL_4_NAME")</f>
        <v>資料中心REIT</v>
      </c>
      <c r="F502" t="str">
        <f>_xll.BDP("DLR UN Equity","CLASSIFICATION_DESCRIPTION")</f>
        <v>資料中心REIT</v>
      </c>
      <c r="G502">
        <f>_xll.BDP("DLR UN Equity","CUR_MKT_CAP")</f>
        <v>61090644887.990005</v>
      </c>
      <c r="H502">
        <f>_xll.BDP("DLR UN Equity","CHG_PCT_YTD")</f>
        <v>0.3270728</v>
      </c>
      <c r="I502" t="str">
        <f>_xll.BDP("DLR UN Equity","CIE_DES")</f>
        <v>數位不動產信託公司(Digital Realty Trust, Inc.)擁有、收購、變換並管理科技相關不動產。該公司的房產包括對科技業租戶及企業資料中心租戶重要的每日業務應用及業務。數位不動產公司的房產遍及全美和英國。</v>
      </c>
      <c r="J502">
        <f>_xll.BDP("DLR UN Equity","ESG_SCORE")</f>
        <v>6.1100001335144043</v>
      </c>
      <c r="K502" t="str">
        <f>_xll.BDP("DLR UN Equity","MSCI_ESG_RATING")</f>
        <v>AAA</v>
      </c>
      <c r="L502">
        <f>_xll.BDP("DLR UN Equity","EQY_BETA")</f>
        <v>0.85961395502090454</v>
      </c>
      <c r="M502">
        <f>_xll.BDP("DLR UN Equity","VOLATILITY_60D")</f>
        <v>16.047131135767863</v>
      </c>
      <c r="N502">
        <f>_xll.BDP("DLR UN Equity","PCT_INSIDER_SHARES_OUT")</f>
        <v>0.10488714828016742</v>
      </c>
      <c r="O502">
        <f>_xll.BDP("DLR UN Equity","PCT_CHG_INSIDER_HOLDINGS")</f>
        <v>0.36794372023775695</v>
      </c>
      <c r="P502">
        <f>_xll.BDP("DLR UN Equity","RISK_PREMIUM")</f>
        <v>4.4281551549178362</v>
      </c>
      <c r="Q502">
        <f>_xll.BDP("DLR UN Equity","HIGH_52WEEK")</f>
        <v>198</v>
      </c>
      <c r="R502">
        <f>_xll.BDP("DLR UN Equity","LOW_52WEEK")</f>
        <v>129.94999999999999</v>
      </c>
    </row>
    <row r="503" spans="1:18" ht="15.75" x14ac:dyDescent="0.25">
      <c r="A503" t="s">
        <v>519</v>
      </c>
      <c r="B503">
        <f>_xll.BDP("MOH UN Equity","RT_PX_CHG_PCT_1D")</f>
        <v>4.2978000640869141</v>
      </c>
      <c r="C503" t="str">
        <f>_xll.BDP("MOH UN Equity","GICS_SECTOR_NAME")</f>
        <v>醫療保健</v>
      </c>
      <c r="D503" t="str">
        <f>_xll.BDP("MOH UN Equity","NAME_CHINESE_TRADITIONAL")</f>
        <v>莫利納醫療保健公司</v>
      </c>
      <c r="E503" t="str">
        <f>_xll.BDP("MOH UN Equity","CLASSIFICATION_LEVEL_4_NAME")</f>
        <v>管理式醫療</v>
      </c>
      <c r="F503" t="str">
        <f>_xll.BDP("MOH UN Equity","CLASSIFICATION_DESCRIPTION")</f>
        <v>管理醫療聯邦醫療保險(XIX章)</v>
      </c>
      <c r="G503">
        <f>_xll.BDP("MOH UN Equity","CUR_MKT_CAP")</f>
        <v>8944084000</v>
      </c>
      <c r="H503">
        <f>_xll.BDP("MOH UN Equity","CHG_PCT_YTD")</f>
        <v>-43.301839999999999</v>
      </c>
      <c r="I503" t="str">
        <f>_xll.BDP("MOH UN Equity","CIE_DES")</f>
        <v>莫利納醫療保健公司(Molina Healthcare, Inc.)為一家管理護理組織。該公司為符合醫療保健計畫的低收入家庭與個人，安排提供醫療保健服務。莫利納於加州、華盛頓州、猶他州與密西根州，以及加州南北部的基層醫療診所，提供醫療計畫。</v>
      </c>
      <c r="J503">
        <f>_xll.BDP("MOH UN Equity","ESG_SCORE")</f>
        <v>3.2000000476837158</v>
      </c>
      <c r="K503" t="str">
        <f>_xll.BDP("MOH UN Equity","MSCI_ESG_RATING")</f>
        <v>AA</v>
      </c>
      <c r="L503">
        <f>_xll.BDP("MOH UN Equity","EQY_BETA")</f>
        <v>0.26426970958709717</v>
      </c>
      <c r="M503">
        <f>_xll.BDP("MOH UN Equity","VOLATILITY_60D")</f>
        <v>75.679046844365004</v>
      </c>
      <c r="N503">
        <f>_xll.BDP("MOH UN Equity","PCT_INSIDER_SHARES_OUT")</f>
        <v>1.1660018450184502</v>
      </c>
      <c r="O503">
        <f>_xll.BDP("MOH UN Equity","PCT_CHG_INSIDER_HOLDINGS")</f>
        <v>-2.2542796513174581</v>
      </c>
      <c r="P503">
        <f>_xll.BDP("MOH UN Equity","RISK_PREMIUM")</f>
        <v>1.3613404830873013</v>
      </c>
      <c r="Q503">
        <f>_xll.BDP("MOH UN Equity","HIGH_52WEEK")</f>
        <v>363.995</v>
      </c>
      <c r="R503">
        <f>_xll.BDP("MOH UN Equity","LOW_52WEEK")</f>
        <v>157</v>
      </c>
    </row>
    <row r="504" spans="1:18" ht="15.75" x14ac:dyDescent="0.25">
      <c r="A504" t="s">
        <v>520</v>
      </c>
      <c r="B504">
        <f>_xll.BDP("LVS UN Equity","RT_PX_CHG_PCT_1D")</f>
        <v>3.1895999908447266</v>
      </c>
      <c r="C504" t="str">
        <f>_xll.BDP("LVS UN Equity","GICS_SECTOR_NAME")</f>
        <v>非核心消費</v>
      </c>
      <c r="D504" t="str">
        <f>_xll.BDP("LVS UN Equity","NAME_CHINESE_TRADITIONAL")</f>
        <v>拉斯維加斯金沙集團</v>
      </c>
      <c r="E504" t="str">
        <f>_xll.BDP("LVS UN Equity","CLASSIFICATION_LEVEL_4_NAME")</f>
        <v>賭場及博弈</v>
      </c>
      <c r="F504" t="str">
        <f>_xll.BDP("LVS UN Equity","CLASSIFICATION_DESCRIPTION")</f>
        <v>賭場(賭場飯店除外)</v>
      </c>
      <c r="G504">
        <f>_xll.BDP("LVS UN Equity","CUR_MKT_CAP")</f>
        <v>35977033490.459991</v>
      </c>
      <c r="H504">
        <f>_xll.BDP("LVS UN Equity","CHG_PCT_YTD")</f>
        <v>2.0443910000000001</v>
      </c>
      <c r="I504" t="str">
        <f>_xll.BDP("LVS UN Equity","CIE_DES")</f>
        <v>拉斯維加斯金沙公司（Las Vegas Sands Corp.）擁有並經營賭場度假村及會議中心。該公司提供一系列的博弈和娛樂，以及過夜住宿，其展覽會館則舉辦各種娛樂表演、博覽會，以及其它活動。拉斯維加斯金沙服務美國的客戶。</v>
      </c>
      <c r="J504">
        <f>_xll.BDP("LVS UN Equity","ESG_SCORE")</f>
        <v>8.1800003051757813</v>
      </c>
      <c r="K504" t="str">
        <f>_xll.BDP("LVS UN Equity","MSCI_ESG_RATING")</f>
        <v>A</v>
      </c>
      <c r="L504">
        <f>_xll.BDP("LVS UN Equity","EQY_BETA")</f>
        <v>0.90853559970855713</v>
      </c>
      <c r="M504">
        <f>_xll.BDP("LVS UN Equity","VOLATILITY_60D")</f>
        <v>36.659571364109794</v>
      </c>
      <c r="N504">
        <f>_xll.BDP("LVS UN Equity","PCT_INSIDER_SHARES_OUT")</f>
        <v>0.1596610462819337</v>
      </c>
      <c r="O504">
        <f>_xll.BDP("LVS UN Equity","PCT_CHG_INSIDER_HOLDINGS")</f>
        <v>35.136011560551097</v>
      </c>
      <c r="P504">
        <f>_xll.BDP("LVS UN Equity","RISK_PREMIUM")</f>
        <v>4.680166690846681</v>
      </c>
      <c r="Q504">
        <f>_xll.BDP("LVS UN Equity","HIGH_52WEEK")</f>
        <v>56.56</v>
      </c>
      <c r="R504">
        <f>_xll.BDP("LVS UN Equity","LOW_52WEEK")</f>
        <v>30.18</v>
      </c>
    </row>
  </sheetData>
  <phoneticPr fontId="1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60AE-AB97-4552-8200-60D4864552FA}">
  <dimension ref="A1:R504"/>
  <sheetViews>
    <sheetView tabSelected="1" workbookViewId="0">
      <selection activeCell="G14" sqref="G14"/>
    </sheetView>
  </sheetViews>
  <sheetFormatPr defaultRowHeight="15.75" x14ac:dyDescent="0.25"/>
  <cols>
    <col min="1" max="1" width="12.85546875" bestFit="1" customWidth="1"/>
    <col min="2" max="2" width="13.85546875" bestFit="1" customWidth="1"/>
    <col min="3" max="3" width="15" bestFit="1" customWidth="1"/>
    <col min="4" max="4" width="34.42578125" bestFit="1" customWidth="1"/>
    <col min="5" max="5" width="28" bestFit="1" customWidth="1"/>
    <col min="6" max="6" width="33.5703125" bestFit="1" customWidth="1"/>
    <col min="7" max="7" width="13.5703125" bestFit="1" customWidth="1"/>
    <col min="8" max="8" width="13.85546875" bestFit="1" customWidth="1"/>
    <col min="9" max="9" width="255.7109375" bestFit="1" customWidth="1"/>
    <col min="10" max="10" width="25.42578125" bestFit="1" customWidth="1"/>
    <col min="11" max="11" width="16.85546875" bestFit="1" customWidth="1"/>
    <col min="12" max="13" width="13" bestFit="1" customWidth="1"/>
    <col min="14" max="14" width="34.42578125" bestFit="1" customWidth="1"/>
    <col min="15" max="15" width="24.7109375" bestFit="1" customWidth="1"/>
    <col min="16" max="16" width="13" bestFit="1" customWidth="1"/>
    <col min="17" max="17" width="10.140625" bestFit="1" customWidth="1"/>
    <col min="18" max="18" width="13" bestFit="1" customWidth="1"/>
  </cols>
  <sheetData>
    <row r="1" spans="1:18"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x14ac:dyDescent="0.25">
      <c r="A2" t="s">
        <v>18</v>
      </c>
      <c r="B2">
        <v>5.4530000686645508</v>
      </c>
      <c r="C2" t="s">
        <v>521</v>
      </c>
      <c r="D2" t="s">
        <v>522</v>
      </c>
      <c r="E2" t="s">
        <v>523</v>
      </c>
      <c r="F2" t="s">
        <v>524</v>
      </c>
      <c r="G2">
        <v>20572814896.139999</v>
      </c>
      <c r="H2">
        <v>-13.81446</v>
      </c>
      <c r="I2" t="s">
        <v>525</v>
      </c>
      <c r="J2">
        <v>6.3499999046325684</v>
      </c>
      <c r="K2" t="s">
        <v>526</v>
      </c>
      <c r="L2">
        <v>0.82552939653396606</v>
      </c>
      <c r="M2">
        <v>43.311178684638229</v>
      </c>
      <c r="N2">
        <v>0.32997684421281892</v>
      </c>
      <c r="O2">
        <v>29.257496263997616</v>
      </c>
      <c r="P2">
        <v>4.2525743462473153</v>
      </c>
      <c r="Q2">
        <v>100.43</v>
      </c>
      <c r="R2">
        <v>51.2</v>
      </c>
    </row>
    <row r="3" spans="1:18" x14ac:dyDescent="0.25">
      <c r="A3" t="s">
        <v>19</v>
      </c>
      <c r="B3">
        <v>1.0900000333786011</v>
      </c>
      <c r="C3" t="s">
        <v>527</v>
      </c>
      <c r="D3" t="s">
        <v>528</v>
      </c>
      <c r="E3" t="s">
        <v>529</v>
      </c>
      <c r="F3" t="s">
        <v>530</v>
      </c>
      <c r="G3">
        <v>216843860755.47</v>
      </c>
      <c r="H3">
        <v>4.9934269999999996</v>
      </c>
      <c r="I3" t="s">
        <v>531</v>
      </c>
      <c r="J3">
        <v>4.5</v>
      </c>
      <c r="K3" t="s">
        <v>532</v>
      </c>
      <c r="L3">
        <v>1.1535063982009888</v>
      </c>
      <c r="M3">
        <v>25.42356218876553</v>
      </c>
      <c r="N3">
        <v>0.1417297824258186</v>
      </c>
      <c r="O3">
        <v>7.8261716117269744</v>
      </c>
      <c r="P3">
        <v>5.9420921142446987</v>
      </c>
      <c r="Q3">
        <v>329.14</v>
      </c>
      <c r="R3">
        <v>220.64</v>
      </c>
    </row>
    <row r="4" spans="1:18" x14ac:dyDescent="0.25">
      <c r="A4" t="s">
        <v>20</v>
      </c>
      <c r="B4">
        <v>0</v>
      </c>
      <c r="C4" t="s">
        <v>533</v>
      </c>
      <c r="D4" t="s">
        <v>534</v>
      </c>
      <c r="E4" t="s">
        <v>535</v>
      </c>
      <c r="F4" t="s">
        <v>535</v>
      </c>
      <c r="G4">
        <v>181639272728.63998</v>
      </c>
      <c r="H4">
        <v>7.7269269999999999</v>
      </c>
      <c r="I4" t="s">
        <v>536</v>
      </c>
      <c r="J4">
        <v>5.380000114440918</v>
      </c>
      <c r="K4" t="s">
        <v>526</v>
      </c>
      <c r="L4">
        <v>0.53871691226959229</v>
      </c>
      <c r="M4">
        <v>18.147483532357068</v>
      </c>
      <c r="N4">
        <v>2.8251119161829315E-2</v>
      </c>
      <c r="O4">
        <v>13.906391198535001</v>
      </c>
      <c r="P4">
        <v>2.7751085916817186</v>
      </c>
      <c r="Q4">
        <v>47.354999999999997</v>
      </c>
      <c r="R4">
        <v>37.590000000000003</v>
      </c>
    </row>
    <row r="5" spans="1:18" x14ac:dyDescent="0.25">
      <c r="A5" t="s">
        <v>21</v>
      </c>
      <c r="B5">
        <v>1.0161000490188599</v>
      </c>
      <c r="C5" t="s">
        <v>537</v>
      </c>
      <c r="D5" t="s">
        <v>538</v>
      </c>
      <c r="E5" t="s">
        <v>539</v>
      </c>
      <c r="F5" t="s">
        <v>540</v>
      </c>
      <c r="G5">
        <v>22511258478.540001</v>
      </c>
      <c r="H5">
        <v>-11.453390000000001</v>
      </c>
      <c r="I5" t="s">
        <v>541</v>
      </c>
      <c r="J5">
        <v>3.0299999713897705</v>
      </c>
      <c r="K5" t="s">
        <v>526</v>
      </c>
      <c r="L5">
        <v>1.0477292537689209</v>
      </c>
      <c r="M5">
        <v>36.755146373216583</v>
      </c>
      <c r="N5">
        <v>0.17185118932907822</v>
      </c>
      <c r="O5">
        <v>28.089231866670989</v>
      </c>
      <c r="P5">
        <v>5.3971991368174548</v>
      </c>
      <c r="Q5">
        <v>1761.85</v>
      </c>
      <c r="R5">
        <v>750</v>
      </c>
    </row>
    <row r="6" spans="1:18" x14ac:dyDescent="0.25">
      <c r="A6" t="s">
        <v>22</v>
      </c>
      <c r="B6">
        <v>0.50919997692108154</v>
      </c>
      <c r="C6" t="s">
        <v>542</v>
      </c>
      <c r="D6" t="s">
        <v>543</v>
      </c>
      <c r="E6" t="s">
        <v>544</v>
      </c>
      <c r="F6" t="s">
        <v>545</v>
      </c>
      <c r="G6">
        <v>1364853208686.22</v>
      </c>
      <c r="H6">
        <v>25.163910000000001</v>
      </c>
      <c r="I6" t="s">
        <v>546</v>
      </c>
      <c r="J6">
        <v>4.9499998092651367</v>
      </c>
      <c r="K6" t="s">
        <v>532</v>
      </c>
      <c r="L6">
        <v>1.9005293846130371</v>
      </c>
      <c r="M6">
        <v>32.643935168270232</v>
      </c>
      <c r="N6">
        <v>0.10075901392822449</v>
      </c>
      <c r="O6">
        <v>-18.907617737561392</v>
      </c>
      <c r="P6">
        <v>9.7902540348386768</v>
      </c>
      <c r="Q6">
        <v>292.57</v>
      </c>
      <c r="R6">
        <v>128.5</v>
      </c>
    </row>
    <row r="7" spans="1:18" x14ac:dyDescent="0.25">
      <c r="A7" t="s">
        <v>23</v>
      </c>
      <c r="B7">
        <v>0.77399998903274536</v>
      </c>
      <c r="C7" t="s">
        <v>547</v>
      </c>
      <c r="D7" t="s">
        <v>548</v>
      </c>
      <c r="E7" t="s">
        <v>549</v>
      </c>
      <c r="F7" t="s">
        <v>550</v>
      </c>
      <c r="G7">
        <v>175728515770.44</v>
      </c>
      <c r="H7">
        <v>31.672319999999999</v>
      </c>
      <c r="I7" t="s">
        <v>551</v>
      </c>
      <c r="J7">
        <v>4.7800002098083496</v>
      </c>
      <c r="K7" t="s">
        <v>552</v>
      </c>
      <c r="L7">
        <v>1.2639251947402954</v>
      </c>
      <c r="M7">
        <v>26.598025981739998</v>
      </c>
      <c r="N7">
        <v>0.14759508637536459</v>
      </c>
      <c r="O7">
        <v>10.381127175649331</v>
      </c>
      <c r="P7">
        <v>6.5108957734215256</v>
      </c>
      <c r="Q7">
        <v>235.21</v>
      </c>
      <c r="R7">
        <v>128.91999999999999</v>
      </c>
    </row>
    <row r="8" spans="1:18" x14ac:dyDescent="0.25">
      <c r="A8" t="s">
        <v>24</v>
      </c>
      <c r="B8">
        <v>1.1092000007629395</v>
      </c>
      <c r="C8" t="s">
        <v>553</v>
      </c>
      <c r="D8" t="s">
        <v>554</v>
      </c>
      <c r="E8" t="s">
        <v>555</v>
      </c>
      <c r="F8" t="s">
        <v>555</v>
      </c>
      <c r="G8">
        <v>12932715919.5</v>
      </c>
      <c r="H8">
        <v>13.15471</v>
      </c>
      <c r="I8" t="s">
        <v>556</v>
      </c>
      <c r="J8" t="s">
        <v>557</v>
      </c>
      <c r="K8" t="s">
        <v>558</v>
      </c>
      <c r="L8" t="s">
        <v>559</v>
      </c>
      <c r="M8">
        <v>29.870089258245574</v>
      </c>
      <c r="N8">
        <v>9.9176419792974965E-2</v>
      </c>
      <c r="O8">
        <v>131.40348747825382</v>
      </c>
      <c r="P8">
        <v>5.1513299999999997</v>
      </c>
      <c r="Q8">
        <v>85.92</v>
      </c>
      <c r="R8">
        <v>54.5</v>
      </c>
    </row>
    <row r="9" spans="1:18" x14ac:dyDescent="0.25">
      <c r="A9" t="s">
        <v>25</v>
      </c>
      <c r="B9">
        <v>0.98479998111724854</v>
      </c>
      <c r="C9" t="s">
        <v>547</v>
      </c>
      <c r="D9" t="s">
        <v>560</v>
      </c>
      <c r="E9" t="s">
        <v>561</v>
      </c>
      <c r="F9" t="s">
        <v>562</v>
      </c>
      <c r="G9">
        <v>203999121707.5</v>
      </c>
      <c r="H9">
        <v>19.569410000000001</v>
      </c>
      <c r="I9" t="s">
        <v>563</v>
      </c>
      <c r="J9">
        <v>5.0199999809265137</v>
      </c>
      <c r="K9" t="s">
        <v>532</v>
      </c>
      <c r="L9">
        <v>1.0756486654281616</v>
      </c>
      <c r="M9">
        <v>21.534517608437913</v>
      </c>
      <c r="N9">
        <v>0.21789035008451782</v>
      </c>
      <c r="O9">
        <v>10.615634226663333</v>
      </c>
      <c r="P9">
        <v>5.5410212396800516</v>
      </c>
      <c r="Q9">
        <v>434.72</v>
      </c>
      <c r="R9">
        <v>267.31</v>
      </c>
    </row>
    <row r="10" spans="1:18" x14ac:dyDescent="0.25">
      <c r="A10" t="s">
        <v>26</v>
      </c>
      <c r="B10">
        <v>0.69800001382827759</v>
      </c>
      <c r="C10" t="s">
        <v>527</v>
      </c>
      <c r="D10" t="s">
        <v>564</v>
      </c>
      <c r="E10" t="s">
        <v>565</v>
      </c>
      <c r="F10" t="s">
        <v>565</v>
      </c>
      <c r="G10">
        <v>829893196006.55994</v>
      </c>
      <c r="H10">
        <v>24.575530000000001</v>
      </c>
      <c r="I10" t="s">
        <v>566</v>
      </c>
      <c r="J10">
        <v>4.7600002288818359</v>
      </c>
      <c r="K10" t="s">
        <v>526</v>
      </c>
      <c r="L10">
        <v>1.0964080095291138</v>
      </c>
      <c r="M10">
        <v>17.295224689661858</v>
      </c>
      <c r="N10">
        <v>0.35660029931697163</v>
      </c>
      <c r="O10">
        <v>-9.7661398676292972</v>
      </c>
      <c r="P10">
        <v>5.6479594717276091</v>
      </c>
      <c r="Q10">
        <v>299.55</v>
      </c>
      <c r="R10">
        <v>190.95</v>
      </c>
    </row>
    <row r="11" spans="1:18" x14ac:dyDescent="0.25">
      <c r="A11" t="s">
        <v>27</v>
      </c>
      <c r="B11">
        <v>-0.63529998064041138</v>
      </c>
      <c r="C11" t="s">
        <v>537</v>
      </c>
      <c r="D11" t="s">
        <v>567</v>
      </c>
      <c r="E11" t="s">
        <v>568</v>
      </c>
      <c r="F11" t="s">
        <v>568</v>
      </c>
      <c r="G11">
        <v>317018472250.20001</v>
      </c>
      <c r="H11">
        <v>6.9041730000000001</v>
      </c>
      <c r="I11" t="s">
        <v>569</v>
      </c>
      <c r="J11">
        <v>5.3299999237060547</v>
      </c>
      <c r="K11" t="s">
        <v>526</v>
      </c>
      <c r="L11">
        <v>0.66785907745361328</v>
      </c>
      <c r="M11">
        <v>20.652150814950339</v>
      </c>
      <c r="N11">
        <v>2.5559906886510362E-2</v>
      </c>
      <c r="O11">
        <v>8.7144032374668647</v>
      </c>
      <c r="P11">
        <v>3.4403625014591217</v>
      </c>
      <c r="Q11">
        <v>168.95</v>
      </c>
      <c r="R11">
        <v>132.06</v>
      </c>
    </row>
    <row r="12" spans="1:18" x14ac:dyDescent="0.25">
      <c r="A12" t="s">
        <v>28</v>
      </c>
      <c r="B12">
        <v>0.10130000114440918</v>
      </c>
      <c r="C12" t="s">
        <v>570</v>
      </c>
      <c r="D12" t="s">
        <v>571</v>
      </c>
      <c r="E12" t="s">
        <v>572</v>
      </c>
      <c r="F12" t="s">
        <v>573</v>
      </c>
      <c r="G12">
        <v>297684663820.84003</v>
      </c>
      <c r="H12">
        <v>11.09862</v>
      </c>
      <c r="I12" t="s">
        <v>574</v>
      </c>
      <c r="J12">
        <v>5.130000114440918</v>
      </c>
      <c r="K12" t="s">
        <v>532</v>
      </c>
      <c r="L12">
        <v>0.43618521094322205</v>
      </c>
      <c r="M12">
        <v>15.322044456775933</v>
      </c>
      <c r="N12">
        <v>0.61471772792829926</v>
      </c>
      <c r="O12">
        <v>0.53932414663825079</v>
      </c>
      <c r="P12">
        <v>2.2469339626881477</v>
      </c>
      <c r="Q12">
        <v>74.38</v>
      </c>
      <c r="R12">
        <v>60.615000000000002</v>
      </c>
    </row>
    <row r="13" spans="1:18" x14ac:dyDescent="0.25">
      <c r="A13" t="s">
        <v>29</v>
      </c>
      <c r="B13">
        <v>-0.28819999098777771</v>
      </c>
      <c r="C13" t="s">
        <v>553</v>
      </c>
      <c r="D13" t="s">
        <v>575</v>
      </c>
      <c r="E13" t="s">
        <v>576</v>
      </c>
      <c r="F13" t="s">
        <v>576</v>
      </c>
      <c r="G13">
        <v>336111167977.55994</v>
      </c>
      <c r="H13">
        <v>7.0793489999999997</v>
      </c>
      <c r="I13" t="s">
        <v>577</v>
      </c>
      <c r="J13">
        <v>4.75</v>
      </c>
      <c r="K13" t="s">
        <v>526</v>
      </c>
      <c r="L13">
        <v>0.54606157541275024</v>
      </c>
      <c r="M13">
        <v>26.481718115685421</v>
      </c>
      <c r="N13">
        <v>7.5036727179471505E-2</v>
      </c>
      <c r="O13">
        <v>5.2167362316171504</v>
      </c>
      <c r="P13">
        <v>2.8129433752709625</v>
      </c>
      <c r="Q13">
        <v>218.6</v>
      </c>
      <c r="R13">
        <v>163.9</v>
      </c>
    </row>
    <row r="14" spans="1:18" x14ac:dyDescent="0.25">
      <c r="A14" t="s">
        <v>30</v>
      </c>
      <c r="B14">
        <v>-0.3935999870300293</v>
      </c>
      <c r="C14" t="s">
        <v>533</v>
      </c>
      <c r="D14" t="s">
        <v>578</v>
      </c>
      <c r="E14" t="s">
        <v>579</v>
      </c>
      <c r="F14" t="s">
        <v>580</v>
      </c>
      <c r="G14">
        <v>218372244397.16998</v>
      </c>
      <c r="H14">
        <v>9.0884610000000006</v>
      </c>
      <c r="I14" t="s">
        <v>581</v>
      </c>
      <c r="J14">
        <v>4.2899999618530273</v>
      </c>
      <c r="K14" t="s">
        <v>582</v>
      </c>
      <c r="L14">
        <v>0.92391639947891235</v>
      </c>
      <c r="M14">
        <v>28.015934905804901</v>
      </c>
      <c r="N14">
        <v>3.3712793787331462E-2</v>
      </c>
      <c r="O14">
        <v>4.2548228464613418</v>
      </c>
      <c r="P14">
        <v>4.7593982661277057</v>
      </c>
      <c r="Q14">
        <v>124.67</v>
      </c>
      <c r="R14">
        <v>80.099999999999994</v>
      </c>
    </row>
    <row r="15" spans="1:18" x14ac:dyDescent="0.25">
      <c r="A15" t="s">
        <v>31</v>
      </c>
      <c r="B15">
        <v>0.69550001621246338</v>
      </c>
      <c r="C15" t="s">
        <v>527</v>
      </c>
      <c r="D15" t="s">
        <v>583</v>
      </c>
      <c r="E15" t="s">
        <v>584</v>
      </c>
      <c r="F15" t="s">
        <v>585</v>
      </c>
      <c r="G15">
        <v>23676635387.369999</v>
      </c>
      <c r="H15">
        <v>-0.75350550000000005</v>
      </c>
      <c r="I15" t="s">
        <v>586</v>
      </c>
      <c r="J15">
        <v>2.940000057220459</v>
      </c>
      <c r="K15" t="s">
        <v>552</v>
      </c>
      <c r="L15">
        <v>1.1440132856369019</v>
      </c>
      <c r="M15">
        <v>34.456468607785929</v>
      </c>
      <c r="N15">
        <v>3.5706069145431245</v>
      </c>
      <c r="O15">
        <v>5.7370926966646145</v>
      </c>
      <c r="P15">
        <v>5.8931899586999412</v>
      </c>
      <c r="Q15">
        <v>400.5</v>
      </c>
      <c r="R15">
        <v>265.2</v>
      </c>
    </row>
    <row r="16" spans="1:18" x14ac:dyDescent="0.25">
      <c r="A16" t="s">
        <v>32</v>
      </c>
      <c r="B16">
        <v>0.23250000178813934</v>
      </c>
      <c r="C16" t="s">
        <v>587</v>
      </c>
      <c r="D16" t="s">
        <v>588</v>
      </c>
      <c r="E16" t="s">
        <v>589</v>
      </c>
      <c r="F16" t="s">
        <v>589</v>
      </c>
      <c r="G16">
        <v>32014133507.660004</v>
      </c>
      <c r="H16">
        <v>0.84224189999999999</v>
      </c>
      <c r="I16" t="s">
        <v>590</v>
      </c>
      <c r="J16">
        <v>4.9600000381469727</v>
      </c>
      <c r="K16" t="s">
        <v>552</v>
      </c>
      <c r="L16">
        <v>0.84666335582733154</v>
      </c>
      <c r="M16">
        <v>19.455152289320445</v>
      </c>
      <c r="N16">
        <v>0.78664243919610155</v>
      </c>
      <c r="O16">
        <v>3.9480353537932347</v>
      </c>
      <c r="P16">
        <v>4.3614423447740078</v>
      </c>
      <c r="Q16">
        <v>184.5</v>
      </c>
      <c r="R16">
        <v>121.18</v>
      </c>
    </row>
    <row r="17" spans="1:18" x14ac:dyDescent="0.25">
      <c r="A17" t="s">
        <v>33</v>
      </c>
      <c r="B17">
        <v>-0.35199999809265137</v>
      </c>
      <c r="C17" t="s">
        <v>537</v>
      </c>
      <c r="D17" t="s">
        <v>591</v>
      </c>
      <c r="E17" t="s">
        <v>568</v>
      </c>
      <c r="F17" t="s">
        <v>568</v>
      </c>
      <c r="G17">
        <v>475784125838.39996</v>
      </c>
      <c r="H17">
        <v>2.6308449999999999</v>
      </c>
      <c r="I17" t="s">
        <v>592</v>
      </c>
      <c r="J17">
        <v>5.3899998664855957</v>
      </c>
      <c r="K17" t="s">
        <v>552</v>
      </c>
      <c r="L17">
        <v>0.54432201385498047</v>
      </c>
      <c r="M17">
        <v>21.93028567971713</v>
      </c>
      <c r="N17">
        <v>0.17802506328952372</v>
      </c>
      <c r="O17">
        <v>-0.19741360194663668</v>
      </c>
      <c r="P17">
        <v>2.8039823196315763</v>
      </c>
      <c r="Q17">
        <v>126.34</v>
      </c>
      <c r="R17">
        <v>97.81</v>
      </c>
    </row>
    <row r="18" spans="1:18" x14ac:dyDescent="0.25">
      <c r="A18" t="s">
        <v>34</v>
      </c>
      <c r="B18">
        <v>0.5228000283241272</v>
      </c>
      <c r="C18" t="s">
        <v>537</v>
      </c>
      <c r="D18" t="s">
        <v>593</v>
      </c>
      <c r="E18" t="s">
        <v>594</v>
      </c>
      <c r="F18" t="s">
        <v>595</v>
      </c>
      <c r="G18">
        <v>50917432132.739998</v>
      </c>
      <c r="H18">
        <v>9.6901600000000006</v>
      </c>
      <c r="I18" t="s">
        <v>596</v>
      </c>
      <c r="J18">
        <v>4.8899998664855957</v>
      </c>
      <c r="K18" t="s">
        <v>532</v>
      </c>
      <c r="L18">
        <v>1.0064213275909424</v>
      </c>
      <c r="M18">
        <v>36.027093836904065</v>
      </c>
      <c r="N18">
        <v>0.38710082748948788</v>
      </c>
      <c r="O18">
        <v>4.015277171521439</v>
      </c>
      <c r="P18">
        <v>5.1844083774590493</v>
      </c>
      <c r="Q18">
        <v>150.1</v>
      </c>
      <c r="R18">
        <v>91.02</v>
      </c>
    </row>
    <row r="19" spans="1:18" x14ac:dyDescent="0.25">
      <c r="A19" t="s">
        <v>35</v>
      </c>
      <c r="B19">
        <v>1.3358000516891479</v>
      </c>
      <c r="C19" t="s">
        <v>547</v>
      </c>
      <c r="D19" t="s">
        <v>597</v>
      </c>
      <c r="E19" t="s">
        <v>549</v>
      </c>
      <c r="F19" t="s">
        <v>598</v>
      </c>
      <c r="G19">
        <v>288004733115.32996</v>
      </c>
      <c r="H19">
        <v>62.833509999999997</v>
      </c>
      <c r="I19" t="s">
        <v>599</v>
      </c>
      <c r="J19">
        <v>4.8499999046325684</v>
      </c>
      <c r="K19" t="s">
        <v>582</v>
      </c>
      <c r="L19">
        <v>1.2045161724090576</v>
      </c>
      <c r="M19">
        <v>23.462489423709417</v>
      </c>
      <c r="N19">
        <v>0.18881736714700231</v>
      </c>
      <c r="O19">
        <v>2.2208597037662519</v>
      </c>
      <c r="P19">
        <v>6.2048602944159503</v>
      </c>
      <c r="Q19">
        <v>272.77499999999998</v>
      </c>
      <c r="R19">
        <v>150.24</v>
      </c>
    </row>
    <row r="20" spans="1:18" x14ac:dyDescent="0.25">
      <c r="A20" t="s">
        <v>36</v>
      </c>
      <c r="B20">
        <v>-3.8899999111890793E-2</v>
      </c>
      <c r="C20" t="s">
        <v>542</v>
      </c>
      <c r="D20" t="s">
        <v>600</v>
      </c>
      <c r="E20" t="s">
        <v>601</v>
      </c>
      <c r="F20" t="s">
        <v>602</v>
      </c>
      <c r="G20">
        <v>24120527507.039997</v>
      </c>
      <c r="H20">
        <v>-21.299420000000001</v>
      </c>
      <c r="I20" t="s">
        <v>603</v>
      </c>
      <c r="J20">
        <v>5.0100002288818359</v>
      </c>
      <c r="K20" t="s">
        <v>532</v>
      </c>
      <c r="L20">
        <v>1.0827046632766724</v>
      </c>
      <c r="M20">
        <v>34.59173520568352</v>
      </c>
      <c r="N20">
        <v>0.25834280963498468</v>
      </c>
      <c r="O20">
        <v>-1.2313598687070477</v>
      </c>
      <c r="P20">
        <v>5.5773690130770204</v>
      </c>
      <c r="Q20">
        <v>39.79</v>
      </c>
      <c r="R20">
        <v>21.21</v>
      </c>
    </row>
    <row r="21" spans="1:18" x14ac:dyDescent="0.25">
      <c r="A21" t="s">
        <v>37</v>
      </c>
      <c r="B21">
        <v>0.6031000018119812</v>
      </c>
      <c r="C21" t="s">
        <v>604</v>
      </c>
      <c r="D21" t="s">
        <v>605</v>
      </c>
      <c r="E21" t="s">
        <v>606</v>
      </c>
      <c r="F21" t="s">
        <v>607</v>
      </c>
      <c r="G21">
        <v>373436269889.90002</v>
      </c>
      <c r="H21">
        <v>-3.5090849999999998</v>
      </c>
      <c r="I21" t="s">
        <v>608</v>
      </c>
      <c r="J21">
        <v>6.1100001335144043</v>
      </c>
      <c r="K21" t="s">
        <v>532</v>
      </c>
      <c r="L21">
        <v>0.90213066339492798</v>
      </c>
      <c r="M21">
        <v>19.37809879277118</v>
      </c>
      <c r="N21">
        <v>5.9715049591528221E-2</v>
      </c>
      <c r="O21">
        <v>4.5299338268315186</v>
      </c>
      <c r="P21">
        <v>4.6471727502661944</v>
      </c>
      <c r="Q21">
        <v>439.37</v>
      </c>
      <c r="R21">
        <v>326.31</v>
      </c>
    </row>
    <row r="22" spans="1:18" x14ac:dyDescent="0.25">
      <c r="A22" t="s">
        <v>38</v>
      </c>
      <c r="B22">
        <v>0.23559999465942383</v>
      </c>
      <c r="C22" t="s">
        <v>542</v>
      </c>
      <c r="D22" t="s">
        <v>609</v>
      </c>
      <c r="E22" t="s">
        <v>544</v>
      </c>
      <c r="F22" t="s">
        <v>610</v>
      </c>
      <c r="G22">
        <v>34218878400</v>
      </c>
      <c r="H22">
        <v>20.784179999999999</v>
      </c>
      <c r="I22" t="s">
        <v>611</v>
      </c>
      <c r="J22">
        <v>4.2100000381469727</v>
      </c>
      <c r="K22" t="s">
        <v>526</v>
      </c>
      <c r="L22">
        <v>1.9004740715026855</v>
      </c>
      <c r="M22">
        <v>41.070071052571606</v>
      </c>
      <c r="N22">
        <v>3.4664619883040935</v>
      </c>
      <c r="O22">
        <v>-2.6692132983904497</v>
      </c>
      <c r="P22">
        <v>9.7899690987539287</v>
      </c>
      <c r="Q22">
        <v>958</v>
      </c>
      <c r="R22">
        <v>439.55</v>
      </c>
    </row>
    <row r="23" spans="1:18" x14ac:dyDescent="0.25">
      <c r="A23" t="s">
        <v>39</v>
      </c>
      <c r="B23">
        <v>-0.30329999327659607</v>
      </c>
      <c r="C23" t="s">
        <v>542</v>
      </c>
      <c r="D23" t="s">
        <v>612</v>
      </c>
      <c r="E23" t="s">
        <v>613</v>
      </c>
      <c r="F23" t="s">
        <v>614</v>
      </c>
      <c r="G23">
        <v>241934177532.24002</v>
      </c>
      <c r="H23">
        <v>18.14584</v>
      </c>
      <c r="I23" t="s">
        <v>615</v>
      </c>
      <c r="J23">
        <v>5.440000057220459</v>
      </c>
      <c r="K23" t="s">
        <v>532</v>
      </c>
      <c r="L23">
        <v>0.71784371137619019</v>
      </c>
      <c r="M23">
        <v>26.109934891017684</v>
      </c>
      <c r="N23">
        <v>9.8205027883483217E-2</v>
      </c>
      <c r="O23">
        <v>14.193578038297378</v>
      </c>
      <c r="P23">
        <v>3.6978498457235096</v>
      </c>
      <c r="Q23">
        <v>296.10000000000002</v>
      </c>
      <c r="R23">
        <v>182</v>
      </c>
    </row>
    <row r="24" spans="1:18" x14ac:dyDescent="0.25">
      <c r="A24" t="s">
        <v>40</v>
      </c>
      <c r="B24">
        <v>-0.74309998750686646</v>
      </c>
      <c r="C24" t="s">
        <v>553</v>
      </c>
      <c r="D24" t="s">
        <v>616</v>
      </c>
      <c r="E24" t="s">
        <v>576</v>
      </c>
      <c r="F24" t="s">
        <v>576</v>
      </c>
      <c r="G24">
        <v>405323432157.60004</v>
      </c>
      <c r="H24">
        <v>16.373950000000001</v>
      </c>
      <c r="I24" t="s">
        <v>617</v>
      </c>
      <c r="J24">
        <v>6.619999885559082</v>
      </c>
      <c r="K24" t="s">
        <v>526</v>
      </c>
      <c r="L24">
        <v>0.47261416912078857</v>
      </c>
      <c r="M24">
        <v>20.704203703252936</v>
      </c>
      <c r="N24">
        <v>7.8453286269084196E-2</v>
      </c>
      <c r="O24">
        <v>6.0436458179743937</v>
      </c>
      <c r="P24">
        <v>2.4345915478169915</v>
      </c>
      <c r="Q24">
        <v>169.99</v>
      </c>
      <c r="R24">
        <v>140.68</v>
      </c>
    </row>
    <row r="25" spans="1:18" x14ac:dyDescent="0.25">
      <c r="A25" t="s">
        <v>41</v>
      </c>
      <c r="B25">
        <v>0.33840000629425049</v>
      </c>
      <c r="C25" t="s">
        <v>604</v>
      </c>
      <c r="D25" t="s">
        <v>618</v>
      </c>
      <c r="E25" t="s">
        <v>619</v>
      </c>
      <c r="F25" t="s">
        <v>620</v>
      </c>
      <c r="G25">
        <v>26297674147.130005</v>
      </c>
      <c r="H25">
        <v>-42.61918</v>
      </c>
      <c r="I25" t="s">
        <v>621</v>
      </c>
      <c r="J25">
        <v>4.4699997901916504</v>
      </c>
      <c r="K25" t="s">
        <v>532</v>
      </c>
      <c r="L25">
        <v>0.88668692111968994</v>
      </c>
      <c r="M25">
        <v>59.069714195925791</v>
      </c>
      <c r="N25">
        <v>0.66525145254834417</v>
      </c>
      <c r="O25">
        <v>6.1512271717678866</v>
      </c>
      <c r="P25">
        <v>4.5676169373714925</v>
      </c>
      <c r="Q25">
        <v>423.32</v>
      </c>
      <c r="R25">
        <v>216.49</v>
      </c>
    </row>
    <row r="26" spans="1:18" x14ac:dyDescent="0.25">
      <c r="A26" t="s">
        <v>42</v>
      </c>
      <c r="B26">
        <v>1.3549000024795532</v>
      </c>
      <c r="C26" t="s">
        <v>604</v>
      </c>
      <c r="D26" t="s">
        <v>622</v>
      </c>
      <c r="E26" t="s">
        <v>623</v>
      </c>
      <c r="F26" t="s">
        <v>624</v>
      </c>
      <c r="G26">
        <v>213415818027.69003</v>
      </c>
      <c r="H26">
        <v>2.9597380000000002</v>
      </c>
      <c r="I26" t="s">
        <v>625</v>
      </c>
      <c r="J26">
        <v>4.75</v>
      </c>
      <c r="K26" t="s">
        <v>526</v>
      </c>
      <c r="L26">
        <v>0.56160223484039307</v>
      </c>
      <c r="M26">
        <v>15.753290040125769</v>
      </c>
      <c r="N26">
        <v>3.2425121256692169E-2</v>
      </c>
      <c r="O26">
        <v>-0.10197904319458098</v>
      </c>
      <c r="P26">
        <v>2.8929984404003619</v>
      </c>
      <c r="Q26">
        <v>326.32</v>
      </c>
      <c r="R26">
        <v>250.35</v>
      </c>
    </row>
    <row r="27" spans="1:18" x14ac:dyDescent="0.25">
      <c r="A27" t="s">
        <v>43</v>
      </c>
      <c r="B27">
        <v>0.71340000629425049</v>
      </c>
      <c r="C27" t="s">
        <v>553</v>
      </c>
      <c r="D27" t="s">
        <v>626</v>
      </c>
      <c r="E27" t="s">
        <v>576</v>
      </c>
      <c r="F27" t="s">
        <v>576</v>
      </c>
      <c r="G27">
        <v>212709457441.62997</v>
      </c>
      <c r="H27">
        <v>-14.84721</v>
      </c>
      <c r="I27" t="s">
        <v>627</v>
      </c>
      <c r="J27">
        <v>5.820000171661377</v>
      </c>
      <c r="K27" t="s">
        <v>526</v>
      </c>
      <c r="L27">
        <v>0.595417320728302</v>
      </c>
      <c r="M27">
        <v>31.191545782112229</v>
      </c>
      <c r="N27">
        <v>5.3097201814712759E-2</v>
      </c>
      <c r="O27">
        <v>30.025634789803394</v>
      </c>
      <c r="P27">
        <v>3.0671911067873237</v>
      </c>
      <c r="Q27">
        <v>127.99</v>
      </c>
      <c r="R27">
        <v>73.319999999999993</v>
      </c>
    </row>
    <row r="28" spans="1:18" x14ac:dyDescent="0.25">
      <c r="A28" t="s">
        <v>44</v>
      </c>
      <c r="B28">
        <v>1.3194999694824219</v>
      </c>
      <c r="C28" t="s">
        <v>547</v>
      </c>
      <c r="D28" t="s">
        <v>628</v>
      </c>
      <c r="E28" t="s">
        <v>629</v>
      </c>
      <c r="F28" t="s">
        <v>629</v>
      </c>
      <c r="G28">
        <v>80570895021.539993</v>
      </c>
      <c r="H28">
        <v>17.181809999999999</v>
      </c>
      <c r="I28" t="s">
        <v>630</v>
      </c>
      <c r="J28">
        <v>6.0100002288818359</v>
      </c>
      <c r="K28" t="s">
        <v>631</v>
      </c>
      <c r="L28">
        <v>0.99000829458236694</v>
      </c>
      <c r="M28">
        <v>24.983476885775001</v>
      </c>
      <c r="N28">
        <v>0.10287273698781725</v>
      </c>
      <c r="O28">
        <v>14.286367719259562</v>
      </c>
      <c r="P28">
        <v>5.0998594281309844</v>
      </c>
      <c r="Q28">
        <v>164</v>
      </c>
      <c r="R28">
        <v>119.8</v>
      </c>
    </row>
    <row r="29" spans="1:18" x14ac:dyDescent="0.25">
      <c r="A29" t="s">
        <v>45</v>
      </c>
      <c r="B29">
        <v>-0.13519999384880066</v>
      </c>
      <c r="C29" t="s">
        <v>632</v>
      </c>
      <c r="D29" t="s">
        <v>633</v>
      </c>
      <c r="E29" t="s">
        <v>634</v>
      </c>
      <c r="F29" t="s">
        <v>635</v>
      </c>
      <c r="G29">
        <v>27364029816.799995</v>
      </c>
      <c r="H29">
        <v>12.71588</v>
      </c>
      <c r="I29" t="s">
        <v>636</v>
      </c>
      <c r="J29">
        <v>4.5300002098083496</v>
      </c>
      <c r="K29" t="s">
        <v>526</v>
      </c>
      <c r="L29">
        <v>0.39829862117767334</v>
      </c>
      <c r="M29">
        <v>23.615103058536366</v>
      </c>
      <c r="N29">
        <v>0.16368564741789718</v>
      </c>
      <c r="O29">
        <v>19.546988348881889</v>
      </c>
      <c r="P29">
        <v>2.0517676362311841</v>
      </c>
      <c r="Q29">
        <v>155.29499999999999</v>
      </c>
      <c r="R29">
        <v>118.84</v>
      </c>
    </row>
    <row r="30" spans="1:18" x14ac:dyDescent="0.25">
      <c r="A30" t="s">
        <v>46</v>
      </c>
      <c r="B30">
        <v>0.12399999797344208</v>
      </c>
      <c r="C30" t="s">
        <v>527</v>
      </c>
      <c r="D30" t="s">
        <v>637</v>
      </c>
      <c r="E30" t="s">
        <v>565</v>
      </c>
      <c r="F30" t="s">
        <v>565</v>
      </c>
      <c r="G30">
        <v>360307121048.25</v>
      </c>
      <c r="H30">
        <v>10.238910000000001</v>
      </c>
      <c r="I30" t="s">
        <v>638</v>
      </c>
      <c r="J30">
        <v>5.4600000381469727</v>
      </c>
      <c r="K30" t="s">
        <v>526</v>
      </c>
      <c r="L30">
        <v>1.1591707468032837</v>
      </c>
      <c r="M30">
        <v>19.308278008085338</v>
      </c>
      <c r="N30">
        <v>0.17149816956735661</v>
      </c>
      <c r="O30">
        <v>15.125950707292446</v>
      </c>
      <c r="P30">
        <v>5.9712710431301588</v>
      </c>
      <c r="Q30">
        <v>49.305</v>
      </c>
      <c r="R30">
        <v>33.07</v>
      </c>
    </row>
    <row r="31" spans="1:18" x14ac:dyDescent="0.25">
      <c r="A31" t="s">
        <v>47</v>
      </c>
      <c r="B31">
        <v>-2.2091000080108643</v>
      </c>
      <c r="C31" t="s">
        <v>553</v>
      </c>
      <c r="D31" t="s">
        <v>639</v>
      </c>
      <c r="E31" t="s">
        <v>576</v>
      </c>
      <c r="F31" t="s">
        <v>576</v>
      </c>
      <c r="G31">
        <v>140940212901.72998</v>
      </c>
      <c r="H31">
        <v>-6.5586149999999996</v>
      </c>
      <c r="I31" t="s">
        <v>640</v>
      </c>
      <c r="J31">
        <v>4.9699997901916504</v>
      </c>
      <c r="K31" t="s">
        <v>582</v>
      </c>
      <c r="L31">
        <v>0.52954429388046265</v>
      </c>
      <c r="M31">
        <v>26.26271777663387</v>
      </c>
      <c r="N31">
        <v>5.0008741741516732E-2</v>
      </c>
      <c r="O31">
        <v>2.9829851584218487</v>
      </c>
      <c r="P31">
        <v>2.7278574073952435</v>
      </c>
      <c r="Q31">
        <v>31.535</v>
      </c>
      <c r="R31">
        <v>20.914999999999999</v>
      </c>
    </row>
    <row r="32" spans="1:18" x14ac:dyDescent="0.25">
      <c r="A32" t="s">
        <v>48</v>
      </c>
      <c r="B32">
        <v>-0.32109999656677246</v>
      </c>
      <c r="C32" t="s">
        <v>570</v>
      </c>
      <c r="D32" t="s">
        <v>641</v>
      </c>
      <c r="E32" t="s">
        <v>642</v>
      </c>
      <c r="F32" t="s">
        <v>642</v>
      </c>
      <c r="G32">
        <v>371141003982.20007</v>
      </c>
      <c r="H32">
        <v>-5.5770920000000004</v>
      </c>
      <c r="I32" t="s">
        <v>643</v>
      </c>
      <c r="J32">
        <v>5.1100001335144043</v>
      </c>
      <c r="K32" t="s">
        <v>532</v>
      </c>
      <c r="L32">
        <v>0.43971958756446838</v>
      </c>
      <c r="M32">
        <v>15.908583657767128</v>
      </c>
      <c r="N32">
        <v>6.2263968583203017E-2</v>
      </c>
      <c r="O32">
        <v>-1.3853360527424035</v>
      </c>
      <c r="P32">
        <v>2.2651407030084729</v>
      </c>
      <c r="Q32">
        <v>180.4</v>
      </c>
      <c r="R32">
        <v>151.9</v>
      </c>
    </row>
    <row r="33" spans="1:18" x14ac:dyDescent="0.25">
      <c r="A33" t="s">
        <v>49</v>
      </c>
      <c r="B33">
        <v>0.28650000691413879</v>
      </c>
      <c r="C33" t="s">
        <v>533</v>
      </c>
      <c r="D33" t="s">
        <v>644</v>
      </c>
      <c r="E33" t="s">
        <v>535</v>
      </c>
      <c r="F33" t="s">
        <v>535</v>
      </c>
      <c r="G33">
        <v>200210793440.00003</v>
      </c>
      <c r="H33">
        <v>22.968820000000001</v>
      </c>
      <c r="I33" t="s">
        <v>645</v>
      </c>
      <c r="J33">
        <v>5.3299999237060547</v>
      </c>
      <c r="K33" t="s">
        <v>582</v>
      </c>
      <c r="L33">
        <v>0.49012818932533264</v>
      </c>
      <c r="M33">
        <v>20.481706648935987</v>
      </c>
      <c r="N33">
        <v>0.10605615222397113</v>
      </c>
      <c r="O33">
        <v>-0.252726427879577</v>
      </c>
      <c r="P33">
        <v>2.5248120455172658</v>
      </c>
      <c r="Q33">
        <v>29.19</v>
      </c>
      <c r="R33">
        <v>18.77</v>
      </c>
    </row>
    <row r="34" spans="1:18" x14ac:dyDescent="0.25">
      <c r="A34" t="s">
        <v>50</v>
      </c>
      <c r="B34">
        <v>-0.35879999399185181</v>
      </c>
      <c r="C34" t="s">
        <v>527</v>
      </c>
      <c r="D34" t="s">
        <v>646</v>
      </c>
      <c r="E34" t="s">
        <v>647</v>
      </c>
      <c r="F34" t="s">
        <v>648</v>
      </c>
      <c r="G34">
        <v>58771189193.049995</v>
      </c>
      <c r="H34">
        <v>8.3689649999999993</v>
      </c>
      <c r="I34" t="s">
        <v>649</v>
      </c>
      <c r="J34">
        <v>2.6800000667572021</v>
      </c>
      <c r="K34" t="s">
        <v>526</v>
      </c>
      <c r="L34">
        <v>0.64314442873001099</v>
      </c>
      <c r="M34">
        <v>21.350348491360368</v>
      </c>
      <c r="N34">
        <v>0.5228389086845241</v>
      </c>
      <c r="O34">
        <v>8.7814442466292189</v>
      </c>
      <c r="P34">
        <v>3.3130491900497674</v>
      </c>
      <c r="Q34">
        <v>277.68</v>
      </c>
      <c r="R34">
        <v>206.74</v>
      </c>
    </row>
    <row r="35" spans="1:18" x14ac:dyDescent="0.25">
      <c r="A35" t="s">
        <v>51</v>
      </c>
      <c r="B35">
        <v>1.0693999528884888</v>
      </c>
      <c r="C35" t="s">
        <v>547</v>
      </c>
      <c r="D35" t="s">
        <v>650</v>
      </c>
      <c r="E35" t="s">
        <v>651</v>
      </c>
      <c r="F35" t="s">
        <v>651</v>
      </c>
      <c r="G35">
        <v>209990441819.75998</v>
      </c>
      <c r="H35">
        <v>35.56861</v>
      </c>
      <c r="I35" t="s">
        <v>652</v>
      </c>
      <c r="J35">
        <v>5.190000057220459</v>
      </c>
      <c r="K35" t="s">
        <v>582</v>
      </c>
      <c r="L35">
        <v>0.71458131074905396</v>
      </c>
      <c r="M35">
        <v>21.567501843971961</v>
      </c>
      <c r="N35">
        <v>8.6215074685740162E-2</v>
      </c>
      <c r="O35">
        <v>-3.9214757897955059</v>
      </c>
      <c r="P35">
        <v>3.681044143500924</v>
      </c>
      <c r="Q35">
        <v>157.31</v>
      </c>
      <c r="R35">
        <v>112.31</v>
      </c>
    </row>
    <row r="36" spans="1:18" x14ac:dyDescent="0.25">
      <c r="A36" t="s">
        <v>52</v>
      </c>
      <c r="B36">
        <v>0.64050000905990601</v>
      </c>
      <c r="C36" t="s">
        <v>542</v>
      </c>
      <c r="D36" t="s">
        <v>653</v>
      </c>
      <c r="E36" t="s">
        <v>544</v>
      </c>
      <c r="F36" t="s">
        <v>654</v>
      </c>
      <c r="G36">
        <v>113055264012.71999</v>
      </c>
      <c r="H36">
        <v>7.2295930000000004</v>
      </c>
      <c r="I36" t="s">
        <v>655</v>
      </c>
      <c r="J36">
        <v>5.2399997711181641</v>
      </c>
      <c r="K36" t="s">
        <v>631</v>
      </c>
      <c r="L36">
        <v>1.3343981504440308</v>
      </c>
      <c r="M36">
        <v>28.600714219721741</v>
      </c>
      <c r="N36">
        <v>0.43430236160050539</v>
      </c>
      <c r="O36">
        <v>4.1697561460163604</v>
      </c>
      <c r="P36">
        <v>6.8739252243268485</v>
      </c>
      <c r="Q36">
        <v>247.68</v>
      </c>
      <c r="R36">
        <v>158.65</v>
      </c>
    </row>
    <row r="37" spans="1:18" x14ac:dyDescent="0.25">
      <c r="A37" t="s">
        <v>53</v>
      </c>
      <c r="B37">
        <v>0.90060001611709595</v>
      </c>
      <c r="C37" t="s">
        <v>570</v>
      </c>
      <c r="D37" t="s">
        <v>656</v>
      </c>
      <c r="E37" t="s">
        <v>657</v>
      </c>
      <c r="F37" t="s">
        <v>658</v>
      </c>
      <c r="G37">
        <v>777851358445.07996</v>
      </c>
      <c r="H37">
        <v>7.8804670000000003</v>
      </c>
      <c r="I37" t="s">
        <v>659</v>
      </c>
      <c r="J37">
        <v>3.8299999237060547</v>
      </c>
      <c r="K37" t="s">
        <v>582</v>
      </c>
      <c r="L37">
        <v>0.77721047401428223</v>
      </c>
      <c r="M37">
        <v>15.244790225015784</v>
      </c>
      <c r="N37">
        <v>0.20159586433317148</v>
      </c>
      <c r="O37">
        <v>4.4895413490162959</v>
      </c>
      <c r="P37">
        <v>4.0036676311039923</v>
      </c>
      <c r="Q37">
        <v>105.23</v>
      </c>
      <c r="R37">
        <v>66.7</v>
      </c>
    </row>
    <row r="38" spans="1:18" x14ac:dyDescent="0.25">
      <c r="A38" t="s">
        <v>54</v>
      </c>
      <c r="B38">
        <v>0.58569997549057007</v>
      </c>
      <c r="C38" t="s">
        <v>542</v>
      </c>
      <c r="D38" t="s">
        <v>660</v>
      </c>
      <c r="E38" t="s">
        <v>661</v>
      </c>
      <c r="F38" t="s">
        <v>662</v>
      </c>
      <c r="G38">
        <v>272012274984.20007</v>
      </c>
      <c r="H38">
        <v>16.0304</v>
      </c>
      <c r="I38" t="s">
        <v>663</v>
      </c>
      <c r="J38">
        <v>5.4000000953674316</v>
      </c>
      <c r="K38" t="s">
        <v>532</v>
      </c>
      <c r="L38">
        <v>0.87754338979721069</v>
      </c>
      <c r="M38">
        <v>18.168958551102513</v>
      </c>
      <c r="N38">
        <v>8.2699878560544712E-2</v>
      </c>
      <c r="O38">
        <v>-7.3874263662278494</v>
      </c>
      <c r="P38">
        <v>4.5205155901640648</v>
      </c>
      <c r="Q38">
        <v>69.55</v>
      </c>
      <c r="R38">
        <v>44.65</v>
      </c>
    </row>
    <row r="39" spans="1:18" x14ac:dyDescent="0.25">
      <c r="A39" t="s">
        <v>55</v>
      </c>
      <c r="B39">
        <v>-8.5284996032714844</v>
      </c>
      <c r="C39" t="s">
        <v>542</v>
      </c>
      <c r="D39" t="s">
        <v>664</v>
      </c>
      <c r="E39" t="s">
        <v>544</v>
      </c>
      <c r="F39" t="s">
        <v>665</v>
      </c>
      <c r="G39">
        <v>90603900000</v>
      </c>
      <c r="H39">
        <v>3.2418990000000001</v>
      </c>
      <c r="I39" t="s">
        <v>666</v>
      </c>
      <c r="J39">
        <v>6.0199999809265137</v>
      </c>
      <c r="K39" t="s">
        <v>631</v>
      </c>
      <c r="L39">
        <v>1.3914724588394165</v>
      </c>
      <c r="M39">
        <v>46.892828089146839</v>
      </c>
      <c r="N39">
        <v>8.6913445053689739E-2</v>
      </c>
      <c r="O39">
        <v>54.716708558958551</v>
      </c>
      <c r="P39">
        <v>7.1679338213932509</v>
      </c>
      <c r="Q39">
        <v>31.465</v>
      </c>
      <c r="R39">
        <v>17.664999999999999</v>
      </c>
    </row>
    <row r="40" spans="1:18" x14ac:dyDescent="0.25">
      <c r="A40" t="s">
        <v>56</v>
      </c>
      <c r="B40">
        <v>2.0251998901367188</v>
      </c>
      <c r="C40" t="s">
        <v>604</v>
      </c>
      <c r="D40" t="s">
        <v>667</v>
      </c>
      <c r="E40" t="s">
        <v>668</v>
      </c>
      <c r="F40" t="s">
        <v>669</v>
      </c>
      <c r="G40">
        <v>50840954573.399994</v>
      </c>
      <c r="H40">
        <v>0.2440389</v>
      </c>
      <c r="I40" t="s">
        <v>670</v>
      </c>
      <c r="J40">
        <v>5.630000114440918</v>
      </c>
      <c r="K40" t="s">
        <v>582</v>
      </c>
      <c r="L40">
        <v>0.98751497268676758</v>
      </c>
      <c r="M40">
        <v>36.660801565028514</v>
      </c>
      <c r="N40">
        <v>0.21068782404127057</v>
      </c>
      <c r="O40">
        <v>20.89706423013639</v>
      </c>
      <c r="P40">
        <v>5.0870155042505258</v>
      </c>
      <c r="Q40">
        <v>61.14</v>
      </c>
      <c r="R40">
        <v>38.97</v>
      </c>
    </row>
    <row r="41" spans="1:18" x14ac:dyDescent="0.25">
      <c r="A41" t="s">
        <v>57</v>
      </c>
      <c r="B41">
        <v>0.55390000343322754</v>
      </c>
      <c r="C41" t="s">
        <v>542</v>
      </c>
      <c r="D41" t="s">
        <v>671</v>
      </c>
      <c r="E41" t="s">
        <v>672</v>
      </c>
      <c r="F41" t="s">
        <v>672</v>
      </c>
      <c r="G41">
        <v>3818172108889.1499</v>
      </c>
      <c r="H41">
        <v>21.876629999999999</v>
      </c>
      <c r="I41" t="s">
        <v>673</v>
      </c>
      <c r="J41">
        <v>5.2300000190734863</v>
      </c>
      <c r="K41" t="s">
        <v>526</v>
      </c>
      <c r="L41">
        <v>1.0052993297576904</v>
      </c>
      <c r="M41">
        <v>19.698507213083264</v>
      </c>
      <c r="N41">
        <v>3.5832199030372373E-2</v>
      </c>
      <c r="O41">
        <v>-5.0070905566726802</v>
      </c>
      <c r="P41">
        <v>5.1786285963606833</v>
      </c>
      <c r="Q41">
        <v>518.29</v>
      </c>
      <c r="R41">
        <v>344.83</v>
      </c>
    </row>
    <row r="42" spans="1:18" x14ac:dyDescent="0.25">
      <c r="A42" t="s">
        <v>58</v>
      </c>
      <c r="B42">
        <v>-0.17630000412464142</v>
      </c>
      <c r="C42" t="s">
        <v>570</v>
      </c>
      <c r="D42" t="s">
        <v>674</v>
      </c>
      <c r="E42" t="s">
        <v>657</v>
      </c>
      <c r="F42" t="s">
        <v>675</v>
      </c>
      <c r="G42">
        <v>23670794919.16</v>
      </c>
      <c r="H42">
        <v>41.862310000000001</v>
      </c>
      <c r="I42" t="s">
        <v>676</v>
      </c>
      <c r="J42">
        <v>2.9700000286102295</v>
      </c>
      <c r="K42" t="s">
        <v>526</v>
      </c>
      <c r="L42">
        <v>0.20659288763999939</v>
      </c>
      <c r="M42">
        <v>42.516726382608041</v>
      </c>
      <c r="N42">
        <v>0.42285263938027162</v>
      </c>
      <c r="O42">
        <v>40.184743181653232</v>
      </c>
      <c r="P42">
        <v>1.0642281398865581</v>
      </c>
      <c r="Q42">
        <v>126.96</v>
      </c>
      <c r="R42">
        <v>66.45</v>
      </c>
    </row>
    <row r="43" spans="1:18" x14ac:dyDescent="0.25">
      <c r="A43" t="s">
        <v>59</v>
      </c>
      <c r="B43">
        <v>0.83009999990463257</v>
      </c>
      <c r="C43" t="s">
        <v>553</v>
      </c>
      <c r="D43" t="s">
        <v>677</v>
      </c>
      <c r="E43" t="s">
        <v>678</v>
      </c>
      <c r="F43" t="s">
        <v>678</v>
      </c>
      <c r="G43">
        <v>79173051472.889984</v>
      </c>
      <c r="H43">
        <v>7.3259879999999997</v>
      </c>
      <c r="I43" t="s">
        <v>679</v>
      </c>
      <c r="J43">
        <v>5.7800002098083496</v>
      </c>
      <c r="K43" t="s">
        <v>532</v>
      </c>
      <c r="L43">
        <v>0.47055897116661072</v>
      </c>
      <c r="M43">
        <v>27.336286558981747</v>
      </c>
      <c r="N43">
        <v>0.40456054908502043</v>
      </c>
      <c r="O43">
        <v>4.2090380815115456</v>
      </c>
      <c r="P43">
        <v>2.4240045449396965</v>
      </c>
      <c r="Q43">
        <v>370.3</v>
      </c>
      <c r="R43">
        <v>262.11</v>
      </c>
    </row>
    <row r="44" spans="1:18" x14ac:dyDescent="0.25">
      <c r="A44" t="s">
        <v>60</v>
      </c>
      <c r="B44">
        <v>-0.10939999669790268</v>
      </c>
      <c r="C44" t="s">
        <v>537</v>
      </c>
      <c r="D44" t="s">
        <v>680</v>
      </c>
      <c r="E44" t="s">
        <v>681</v>
      </c>
      <c r="F44" t="s">
        <v>682</v>
      </c>
      <c r="G44">
        <v>60862705902.239998</v>
      </c>
      <c r="H44">
        <v>-3.649496E-2</v>
      </c>
      <c r="I44" t="s">
        <v>683</v>
      </c>
      <c r="J44">
        <v>5.7600002288818359</v>
      </c>
      <c r="K44" t="s">
        <v>631</v>
      </c>
      <c r="L44">
        <v>0.71271795034408569</v>
      </c>
      <c r="M44">
        <v>20.419084700393096</v>
      </c>
      <c r="N44">
        <v>12.74629828475868</v>
      </c>
      <c r="O44">
        <v>4.3777169969732445E-2</v>
      </c>
      <c r="P44">
        <v>3.6714453591459986</v>
      </c>
      <c r="Q44">
        <v>31.475000000000001</v>
      </c>
      <c r="R44">
        <v>19.68</v>
      </c>
    </row>
    <row r="45" spans="1:18" x14ac:dyDescent="0.25">
      <c r="A45" t="s">
        <v>61</v>
      </c>
      <c r="B45">
        <v>0.71289998292922974</v>
      </c>
      <c r="C45" t="s">
        <v>527</v>
      </c>
      <c r="D45" t="s">
        <v>684</v>
      </c>
      <c r="E45" t="s">
        <v>565</v>
      </c>
      <c r="F45" t="s">
        <v>565</v>
      </c>
      <c r="G45">
        <v>179433174637.60001</v>
      </c>
      <c r="H45">
        <v>36.482460000000003</v>
      </c>
      <c r="I45" t="s">
        <v>685</v>
      </c>
      <c r="J45">
        <v>3.9000000953674316</v>
      </c>
      <c r="K45" t="s">
        <v>526</v>
      </c>
      <c r="L45">
        <v>1.2967103719711304</v>
      </c>
      <c r="M45">
        <v>24.235919250383951</v>
      </c>
      <c r="N45">
        <v>0.25615705439318442</v>
      </c>
      <c r="O45">
        <v>11.354668051260287</v>
      </c>
      <c r="P45">
        <v>6.6797830404460425</v>
      </c>
      <c r="Q45">
        <v>96.9</v>
      </c>
      <c r="R45">
        <v>53.52</v>
      </c>
    </row>
    <row r="46" spans="1:18" x14ac:dyDescent="0.25">
      <c r="A46" t="s">
        <v>62</v>
      </c>
      <c r="B46">
        <v>1.098099946975708</v>
      </c>
      <c r="C46" t="s">
        <v>527</v>
      </c>
      <c r="D46" t="s">
        <v>686</v>
      </c>
      <c r="E46" t="s">
        <v>647</v>
      </c>
      <c r="F46" t="s">
        <v>647</v>
      </c>
      <c r="G46">
        <v>46164053826</v>
      </c>
      <c r="H46">
        <v>10.027469999999999</v>
      </c>
      <c r="I46" t="s">
        <v>687</v>
      </c>
      <c r="J46">
        <v>3.1700000762939453</v>
      </c>
      <c r="K46" t="s">
        <v>582</v>
      </c>
      <c r="L46">
        <v>0.69156032800674438</v>
      </c>
      <c r="M46">
        <v>20.619704569241012</v>
      </c>
      <c r="N46">
        <v>0.4199946928523452</v>
      </c>
      <c r="O46">
        <v>8.8728362384406729</v>
      </c>
      <c r="P46">
        <v>3.5624554644709825</v>
      </c>
      <c r="Q46">
        <v>88.06</v>
      </c>
      <c r="R46">
        <v>69</v>
      </c>
    </row>
    <row r="47" spans="1:18" x14ac:dyDescent="0.25">
      <c r="A47" t="s">
        <v>63</v>
      </c>
      <c r="B47">
        <v>0.38580000400543213</v>
      </c>
      <c r="C47" t="s">
        <v>570</v>
      </c>
      <c r="D47" t="s">
        <v>688</v>
      </c>
      <c r="E47" t="s">
        <v>689</v>
      </c>
      <c r="F47" t="s">
        <v>690</v>
      </c>
      <c r="G47">
        <v>100797596789.12001</v>
      </c>
      <c r="H47">
        <v>14.43871</v>
      </c>
      <c r="I47" t="s">
        <v>691</v>
      </c>
      <c r="J47">
        <v>4.2899999618530273</v>
      </c>
      <c r="K47" t="s">
        <v>526</v>
      </c>
      <c r="L47">
        <v>0.43120729923248291</v>
      </c>
      <c r="M47">
        <v>19.762308692891288</v>
      </c>
      <c r="N47">
        <v>0.15718471051712959</v>
      </c>
      <c r="O47">
        <v>8.4810810655782376</v>
      </c>
      <c r="P47">
        <v>2.2212910967552659</v>
      </c>
      <c r="Q47">
        <v>61.26</v>
      </c>
      <c r="R47">
        <v>47.57</v>
      </c>
    </row>
    <row r="48" spans="1:18" x14ac:dyDescent="0.25">
      <c r="A48" t="s">
        <v>64</v>
      </c>
      <c r="B48">
        <v>-2.0968000888824463</v>
      </c>
      <c r="C48" t="s">
        <v>553</v>
      </c>
      <c r="D48" t="s">
        <v>692</v>
      </c>
      <c r="E48" t="s">
        <v>693</v>
      </c>
      <c r="F48" t="s">
        <v>694</v>
      </c>
      <c r="G48">
        <v>80428666248</v>
      </c>
      <c r="H48">
        <v>11.384309999999999</v>
      </c>
      <c r="I48" t="s">
        <v>695</v>
      </c>
      <c r="J48">
        <v>4.0900001525878906</v>
      </c>
      <c r="K48" t="s">
        <v>526</v>
      </c>
      <c r="L48">
        <v>0.6579582691192627</v>
      </c>
      <c r="M48">
        <v>24.033153351852203</v>
      </c>
      <c r="N48">
        <v>1.2632334628569435</v>
      </c>
      <c r="O48">
        <v>0.47541543499750882</v>
      </c>
      <c r="P48">
        <v>3.3893601704621314</v>
      </c>
      <c r="Q48">
        <v>417.11</v>
      </c>
      <c r="R48">
        <v>290</v>
      </c>
    </row>
    <row r="49" spans="1:18" x14ac:dyDescent="0.25">
      <c r="A49" t="s">
        <v>65</v>
      </c>
      <c r="B49">
        <v>1.6058000326156616</v>
      </c>
      <c r="C49" t="s">
        <v>521</v>
      </c>
      <c r="D49" t="s">
        <v>696</v>
      </c>
      <c r="E49" t="s">
        <v>697</v>
      </c>
      <c r="F49" t="s">
        <v>698</v>
      </c>
      <c r="G49">
        <v>29393556522.240002</v>
      </c>
      <c r="H49">
        <v>3.455965</v>
      </c>
      <c r="I49" t="s">
        <v>699</v>
      </c>
      <c r="J49">
        <v>6.0900001525878906</v>
      </c>
      <c r="K49" t="s">
        <v>532</v>
      </c>
      <c r="L49">
        <v>0.83818626403808594</v>
      </c>
      <c r="M49">
        <v>33.648961323721728</v>
      </c>
      <c r="N49">
        <v>0.36946949383549771</v>
      </c>
      <c r="O49">
        <v>11.933848649833658</v>
      </c>
      <c r="P49">
        <v>4.3177740475273128</v>
      </c>
      <c r="Q49">
        <v>60.35</v>
      </c>
      <c r="R49">
        <v>43.29</v>
      </c>
    </row>
    <row r="50" spans="1:18" x14ac:dyDescent="0.25">
      <c r="A50" t="s">
        <v>66</v>
      </c>
      <c r="B50">
        <v>1.0726000070571899</v>
      </c>
      <c r="C50" t="s">
        <v>542</v>
      </c>
      <c r="D50" t="s">
        <v>700</v>
      </c>
      <c r="E50" t="s">
        <v>601</v>
      </c>
      <c r="F50" t="s">
        <v>701</v>
      </c>
      <c r="G50">
        <v>27202229802.600002</v>
      </c>
      <c r="H50">
        <v>-2.9039830000000002</v>
      </c>
      <c r="I50" t="s">
        <v>702</v>
      </c>
      <c r="J50">
        <v>4.7800002098083496</v>
      </c>
      <c r="K50" t="s">
        <v>631</v>
      </c>
      <c r="L50">
        <v>1.3997808694839478</v>
      </c>
      <c r="M50">
        <v>34.121347337429604</v>
      </c>
      <c r="N50">
        <v>0.45208518499240974</v>
      </c>
      <c r="O50">
        <v>4.4319825692882437</v>
      </c>
      <c r="P50">
        <v>7.2107331863987438</v>
      </c>
      <c r="Q50">
        <v>24.66</v>
      </c>
      <c r="R50">
        <v>11.97</v>
      </c>
    </row>
    <row r="51" spans="1:18" x14ac:dyDescent="0.25">
      <c r="A51" t="s">
        <v>67</v>
      </c>
      <c r="B51">
        <v>0.71630001068115234</v>
      </c>
      <c r="C51" t="s">
        <v>553</v>
      </c>
      <c r="D51" t="s">
        <v>703</v>
      </c>
      <c r="E51" t="s">
        <v>704</v>
      </c>
      <c r="F51" t="s">
        <v>705</v>
      </c>
      <c r="G51">
        <v>220158906281.10001</v>
      </c>
      <c r="H51">
        <v>11.8734</v>
      </c>
      <c r="I51" t="s">
        <v>706</v>
      </c>
      <c r="J51">
        <v>5.9099998474121094</v>
      </c>
      <c r="K51" t="s">
        <v>552</v>
      </c>
      <c r="L51">
        <v>0.56624382734298706</v>
      </c>
      <c r="M51">
        <v>26.107298628862136</v>
      </c>
      <c r="N51">
        <v>0.54267229784876281</v>
      </c>
      <c r="O51">
        <v>1.1529688804037717</v>
      </c>
      <c r="P51">
        <v>2.9169088151067495</v>
      </c>
      <c r="Q51">
        <v>141.01</v>
      </c>
      <c r="R51">
        <v>99.93</v>
      </c>
    </row>
    <row r="52" spans="1:18" x14ac:dyDescent="0.25">
      <c r="A52" t="s">
        <v>68</v>
      </c>
      <c r="B52">
        <v>0.89800000190734863</v>
      </c>
      <c r="C52" t="s">
        <v>527</v>
      </c>
      <c r="D52" t="s">
        <v>707</v>
      </c>
      <c r="E52" t="s">
        <v>708</v>
      </c>
      <c r="F52" t="s">
        <v>708</v>
      </c>
      <c r="G52">
        <v>55886476544.360008</v>
      </c>
      <c r="H52">
        <v>-6.7674440000000002E-2</v>
      </c>
      <c r="I52" t="s">
        <v>709</v>
      </c>
      <c r="J52">
        <v>3.4900000095367432</v>
      </c>
      <c r="K52" t="s">
        <v>532</v>
      </c>
      <c r="L52">
        <v>0.60121273994445801</v>
      </c>
      <c r="M52">
        <v>19.221190345722949</v>
      </c>
      <c r="N52">
        <v>0.73219580316103916</v>
      </c>
      <c r="O52">
        <v>1.8572981974568741</v>
      </c>
      <c r="P52">
        <v>3.0970452236580845</v>
      </c>
      <c r="Q52">
        <v>115.5</v>
      </c>
      <c r="R52">
        <v>94.08</v>
      </c>
    </row>
    <row r="53" spans="1:18" x14ac:dyDescent="0.25">
      <c r="A53" t="s">
        <v>69</v>
      </c>
      <c r="B53">
        <v>0.67960000038146973</v>
      </c>
      <c r="C53" t="s">
        <v>521</v>
      </c>
      <c r="D53" t="s">
        <v>710</v>
      </c>
      <c r="E53" t="s">
        <v>523</v>
      </c>
      <c r="F53" t="s">
        <v>711</v>
      </c>
      <c r="G53">
        <v>66594130597.359993</v>
      </c>
      <c r="H53">
        <v>3.1719729999999999</v>
      </c>
      <c r="I53" t="s">
        <v>712</v>
      </c>
      <c r="J53">
        <v>5.1999998092651367</v>
      </c>
      <c r="K53" t="s">
        <v>526</v>
      </c>
      <c r="L53">
        <v>0.85013139247894287</v>
      </c>
      <c r="M53">
        <v>18.628610071089259</v>
      </c>
      <c r="N53">
        <v>0.40865821351443898</v>
      </c>
      <c r="O53">
        <v>-1.4712491821674649</v>
      </c>
      <c r="P53">
        <v>4.3793073460185523</v>
      </c>
      <c r="Q53">
        <v>341.06</v>
      </c>
      <c r="R53">
        <v>244.2</v>
      </c>
    </row>
    <row r="54" spans="1:18" x14ac:dyDescent="0.25">
      <c r="A54" t="s">
        <v>70</v>
      </c>
      <c r="B54">
        <v>3.712899923324585</v>
      </c>
      <c r="C54" t="s">
        <v>542</v>
      </c>
      <c r="D54" t="s">
        <v>713</v>
      </c>
      <c r="E54" t="s">
        <v>601</v>
      </c>
      <c r="F54" t="s">
        <v>701</v>
      </c>
      <c r="G54">
        <v>32508657177.619995</v>
      </c>
      <c r="H54">
        <v>78.707350000000005</v>
      </c>
      <c r="I54" t="s">
        <v>714</v>
      </c>
      <c r="J54">
        <v>2.4900000095367432</v>
      </c>
      <c r="K54" t="s">
        <v>715</v>
      </c>
      <c r="L54">
        <v>2.5500552654266357</v>
      </c>
      <c r="M54">
        <v>71.161730735738843</v>
      </c>
      <c r="N54">
        <v>14.008947457313592</v>
      </c>
      <c r="O54">
        <v>-24.83452249337406</v>
      </c>
      <c r="P54">
        <v>13.136176190450191</v>
      </c>
      <c r="Q54">
        <v>73</v>
      </c>
      <c r="R54">
        <v>17.25</v>
      </c>
    </row>
    <row r="55" spans="1:18" x14ac:dyDescent="0.25">
      <c r="A55" t="s">
        <v>71</v>
      </c>
      <c r="B55">
        <v>0.98470002412796021</v>
      </c>
      <c r="C55" t="s">
        <v>604</v>
      </c>
      <c r="D55" t="s">
        <v>716</v>
      </c>
      <c r="E55" t="s">
        <v>717</v>
      </c>
      <c r="F55" t="s">
        <v>717</v>
      </c>
      <c r="G55">
        <v>95806499241.599991</v>
      </c>
      <c r="H55">
        <v>52.932510000000001</v>
      </c>
      <c r="I55" t="s">
        <v>718</v>
      </c>
      <c r="J55">
        <v>5.0500001907348633</v>
      </c>
      <c r="K55" t="s">
        <v>582</v>
      </c>
      <c r="L55">
        <v>1.4315276145935059</v>
      </c>
      <c r="M55">
        <v>31.286198799923508</v>
      </c>
      <c r="N55">
        <v>7.1179755958527089</v>
      </c>
      <c r="O55">
        <v>-0.34657214811474063</v>
      </c>
      <c r="P55">
        <v>7.3742711468839639</v>
      </c>
      <c r="Q55">
        <v>355.86</v>
      </c>
      <c r="R55">
        <v>130.1</v>
      </c>
    </row>
    <row r="56" spans="1:18" x14ac:dyDescent="0.25">
      <c r="A56" t="s">
        <v>72</v>
      </c>
      <c r="B56">
        <v>-0.55980002880096436</v>
      </c>
      <c r="C56" t="s">
        <v>547</v>
      </c>
      <c r="D56" t="s">
        <v>719</v>
      </c>
      <c r="E56" t="s">
        <v>720</v>
      </c>
      <c r="F56" t="s">
        <v>721</v>
      </c>
      <c r="G56">
        <v>23210827370.420002</v>
      </c>
      <c r="H56">
        <v>8.4556070000000005</v>
      </c>
      <c r="I56" t="s">
        <v>722</v>
      </c>
      <c r="J56">
        <v>8.3400001525878906</v>
      </c>
      <c r="K56" t="s">
        <v>631</v>
      </c>
      <c r="L56">
        <v>1.0057629346847534</v>
      </c>
      <c r="M56">
        <v>28.901709313058305</v>
      </c>
      <c r="N56">
        <v>2.3625224488587384</v>
      </c>
      <c r="O56">
        <v>-1.1369349577417134</v>
      </c>
      <c r="P56">
        <v>5.1810167783296102</v>
      </c>
      <c r="Q56">
        <v>688.71</v>
      </c>
      <c r="R56">
        <v>501.37</v>
      </c>
    </row>
    <row r="57" spans="1:18" x14ac:dyDescent="0.25">
      <c r="A57" t="s">
        <v>73</v>
      </c>
      <c r="B57">
        <v>-0.2703000009059906</v>
      </c>
      <c r="C57" t="s">
        <v>570</v>
      </c>
      <c r="D57" t="s">
        <v>723</v>
      </c>
      <c r="E57" t="s">
        <v>724</v>
      </c>
      <c r="F57" t="s">
        <v>724</v>
      </c>
      <c r="G57">
        <v>26592908330.249996</v>
      </c>
      <c r="H57">
        <v>9.5605689999999992</v>
      </c>
      <c r="I57" t="s">
        <v>725</v>
      </c>
      <c r="J57">
        <v>4.809999942779541</v>
      </c>
      <c r="K57" t="s">
        <v>532</v>
      </c>
      <c r="L57">
        <v>0.5906364917755127</v>
      </c>
      <c r="M57">
        <v>25.884254623520025</v>
      </c>
      <c r="N57">
        <v>0.94420641725465693</v>
      </c>
      <c r="O57">
        <v>7.8791210212061262</v>
      </c>
      <c r="P57">
        <v>3.0425634791779514</v>
      </c>
      <c r="Q57">
        <v>64.239999999999995</v>
      </c>
      <c r="R57">
        <v>40.99</v>
      </c>
    </row>
    <row r="58" spans="1:18" x14ac:dyDescent="0.25">
      <c r="A58" t="s">
        <v>74</v>
      </c>
      <c r="B58">
        <v>0.78039997816085815</v>
      </c>
      <c r="C58" t="s">
        <v>547</v>
      </c>
      <c r="D58" t="s">
        <v>726</v>
      </c>
      <c r="E58" t="s">
        <v>727</v>
      </c>
      <c r="F58" t="s">
        <v>728</v>
      </c>
      <c r="G58">
        <v>125279938023.86998</v>
      </c>
      <c r="H58">
        <v>5.431622</v>
      </c>
      <c r="I58" t="s">
        <v>729</v>
      </c>
      <c r="J58">
        <v>3.9000000953674316</v>
      </c>
      <c r="K58" t="s">
        <v>631</v>
      </c>
      <c r="L58">
        <v>0.72345572710037231</v>
      </c>
      <c r="M58">
        <v>16.793808979517642</v>
      </c>
      <c r="N58">
        <v>0.16536566750270426</v>
      </c>
      <c r="O58">
        <v>-0.82777572829994106</v>
      </c>
      <c r="P58">
        <v>3.7267591906839606</v>
      </c>
      <c r="Q58">
        <v>329.84</v>
      </c>
      <c r="R58">
        <v>252.72</v>
      </c>
    </row>
    <row r="59" spans="1:18" x14ac:dyDescent="0.25">
      <c r="A59" t="s">
        <v>75</v>
      </c>
      <c r="B59">
        <v>0.631600022315979</v>
      </c>
      <c r="C59" t="s">
        <v>547</v>
      </c>
      <c r="D59" t="s">
        <v>730</v>
      </c>
      <c r="E59" t="s">
        <v>584</v>
      </c>
      <c r="F59" t="s">
        <v>731</v>
      </c>
      <c r="G59">
        <v>41679859582.919991</v>
      </c>
      <c r="H59">
        <v>8.1799400000000002</v>
      </c>
      <c r="I59" t="s">
        <v>732</v>
      </c>
      <c r="J59">
        <v>3.940000057220459</v>
      </c>
      <c r="K59" t="s">
        <v>532</v>
      </c>
      <c r="L59">
        <v>0.5955578088760376</v>
      </c>
      <c r="M59">
        <v>18.942514392606874</v>
      </c>
      <c r="N59">
        <v>0.24877094680524808</v>
      </c>
      <c r="O59">
        <v>6.9500917397357531</v>
      </c>
      <c r="P59">
        <v>3.0679148075973988</v>
      </c>
      <c r="Q59">
        <v>322.87</v>
      </c>
      <c r="R59">
        <v>257.84500000000003</v>
      </c>
    </row>
    <row r="60" spans="1:18" x14ac:dyDescent="0.25">
      <c r="A60" t="s">
        <v>76</v>
      </c>
      <c r="B60">
        <v>-0.53600001335144043</v>
      </c>
      <c r="C60" t="s">
        <v>604</v>
      </c>
      <c r="D60" t="s">
        <v>733</v>
      </c>
      <c r="E60" t="s">
        <v>734</v>
      </c>
      <c r="F60" t="s">
        <v>735</v>
      </c>
      <c r="G60">
        <v>63918910609.739998</v>
      </c>
      <c r="H60">
        <v>19.328859999999999</v>
      </c>
      <c r="I60" t="s">
        <v>736</v>
      </c>
      <c r="J60">
        <v>5.0999999046325684</v>
      </c>
      <c r="K60" t="s">
        <v>582</v>
      </c>
      <c r="L60">
        <v>0.569488525390625</v>
      </c>
      <c r="M60">
        <v>22.177915370860926</v>
      </c>
      <c r="N60">
        <v>0.28639921846932603</v>
      </c>
      <c r="O60">
        <v>-9.6358180798120188</v>
      </c>
      <c r="P60">
        <v>2.9336233255004882</v>
      </c>
      <c r="Q60">
        <v>3910</v>
      </c>
      <c r="R60">
        <v>2900</v>
      </c>
    </row>
    <row r="61" spans="1:18" x14ac:dyDescent="0.25">
      <c r="A61" t="s">
        <v>77</v>
      </c>
      <c r="B61">
        <v>0.29690000414848328</v>
      </c>
      <c r="C61" t="s">
        <v>521</v>
      </c>
      <c r="D61" t="s">
        <v>737</v>
      </c>
      <c r="E61" t="s">
        <v>523</v>
      </c>
      <c r="F61" t="s">
        <v>711</v>
      </c>
      <c r="G61">
        <v>222600893199.63</v>
      </c>
      <c r="H61">
        <v>12.950530000000001</v>
      </c>
      <c r="I61" t="s">
        <v>738</v>
      </c>
      <c r="J61">
        <v>6.320000171661377</v>
      </c>
      <c r="K61" t="s">
        <v>526</v>
      </c>
      <c r="L61" t="s">
        <v>559</v>
      </c>
      <c r="M61">
        <v>13.987268712927857</v>
      </c>
      <c r="N61">
        <v>0.23871065132577549</v>
      </c>
      <c r="O61">
        <v>12.345043594283236</v>
      </c>
      <c r="P61">
        <v>3.4279383056259154</v>
      </c>
      <c r="Q61">
        <v>487.31</v>
      </c>
      <c r="R61">
        <v>408.65</v>
      </c>
    </row>
    <row r="62" spans="1:18" x14ac:dyDescent="0.25">
      <c r="A62" t="s">
        <v>78</v>
      </c>
      <c r="B62">
        <v>-0.36989998817443848</v>
      </c>
      <c r="C62" t="s">
        <v>521</v>
      </c>
      <c r="D62" t="s">
        <v>739</v>
      </c>
      <c r="E62" t="s">
        <v>740</v>
      </c>
      <c r="F62" t="s">
        <v>741</v>
      </c>
      <c r="G62">
        <v>13898833345.769999</v>
      </c>
      <c r="H62">
        <v>-4.9911849999999998</v>
      </c>
      <c r="I62" t="s">
        <v>742</v>
      </c>
      <c r="J62">
        <v>5.0799999237060547</v>
      </c>
      <c r="K62" t="s">
        <v>532</v>
      </c>
      <c r="L62">
        <v>0.73931467533111572</v>
      </c>
      <c r="M62">
        <v>23.357280845445498</v>
      </c>
      <c r="N62">
        <v>0.80730279936593996</v>
      </c>
      <c r="O62">
        <v>5.8656822740274173</v>
      </c>
      <c r="P62">
        <v>3.8084538664734362</v>
      </c>
      <c r="Q62">
        <v>224.32</v>
      </c>
      <c r="R62">
        <v>157</v>
      </c>
    </row>
    <row r="63" spans="1:18" x14ac:dyDescent="0.25">
      <c r="A63" t="s">
        <v>79</v>
      </c>
      <c r="B63">
        <v>-0.29559999704360962</v>
      </c>
      <c r="C63" t="s">
        <v>542</v>
      </c>
      <c r="D63" t="s">
        <v>743</v>
      </c>
      <c r="E63" t="s">
        <v>744</v>
      </c>
      <c r="F63" t="s">
        <v>745</v>
      </c>
      <c r="G63">
        <v>4629884801.1099987</v>
      </c>
      <c r="H63">
        <v>-48.442050000000002</v>
      </c>
      <c r="I63" t="s">
        <v>746</v>
      </c>
      <c r="J63">
        <v>5.5799999237060547</v>
      </c>
      <c r="K63" t="s">
        <v>558</v>
      </c>
      <c r="L63">
        <v>1.0013396739959717</v>
      </c>
      <c r="M63">
        <v>103.09749405016073</v>
      </c>
      <c r="N63">
        <v>3.400562749902869</v>
      </c>
      <c r="O63">
        <v>-2.1718931347257135</v>
      </c>
      <c r="P63">
        <v>5.1582311028456687</v>
      </c>
      <c r="Q63">
        <v>130.08000000000001</v>
      </c>
      <c r="R63">
        <v>33.01</v>
      </c>
    </row>
    <row r="64" spans="1:18" x14ac:dyDescent="0.25">
      <c r="A64" t="s">
        <v>80</v>
      </c>
      <c r="B64">
        <v>0.54850000143051147</v>
      </c>
      <c r="C64" t="s">
        <v>527</v>
      </c>
      <c r="D64" t="s">
        <v>747</v>
      </c>
      <c r="E64" t="s">
        <v>584</v>
      </c>
      <c r="F64" t="s">
        <v>748</v>
      </c>
      <c r="G64">
        <v>42263854228.149994</v>
      </c>
      <c r="H64">
        <v>-8.9531860000000005</v>
      </c>
      <c r="I64" t="s">
        <v>749</v>
      </c>
      <c r="J64">
        <v>4.6700000762939453</v>
      </c>
      <c r="K64" t="s">
        <v>558</v>
      </c>
      <c r="L64">
        <v>0.91735917329788208</v>
      </c>
      <c r="M64">
        <v>27.50419877529583</v>
      </c>
      <c r="N64">
        <v>3.3553931972549944</v>
      </c>
      <c r="O64">
        <v>1.4392298473238594</v>
      </c>
      <c r="P64">
        <v>4.7256198301845789</v>
      </c>
      <c r="Q64">
        <v>640.05999999999995</v>
      </c>
      <c r="R64">
        <v>487</v>
      </c>
    </row>
    <row r="65" spans="1:18" x14ac:dyDescent="0.25">
      <c r="A65" t="s">
        <v>81</v>
      </c>
      <c r="B65">
        <v>0.10180000215768814</v>
      </c>
      <c r="C65" t="s">
        <v>521</v>
      </c>
      <c r="D65" t="s">
        <v>750</v>
      </c>
      <c r="E65" t="s">
        <v>697</v>
      </c>
      <c r="F65" t="s">
        <v>751</v>
      </c>
      <c r="G65">
        <v>16370488108.800001</v>
      </c>
      <c r="H65">
        <v>7.0379079999999998</v>
      </c>
      <c r="I65" t="s">
        <v>752</v>
      </c>
      <c r="J65">
        <v>4.5999999046325684</v>
      </c>
      <c r="K65" t="s">
        <v>631</v>
      </c>
      <c r="L65">
        <v>0.73826295137405396</v>
      </c>
      <c r="M65">
        <v>21.241206646473586</v>
      </c>
      <c r="N65">
        <v>0.61206807122838325</v>
      </c>
      <c r="O65">
        <v>3.9195419108114677</v>
      </c>
      <c r="P65">
        <v>3.8030360893017052</v>
      </c>
      <c r="Q65">
        <v>68.12</v>
      </c>
      <c r="R65">
        <v>43.55</v>
      </c>
    </row>
    <row r="66" spans="1:18" x14ac:dyDescent="0.25">
      <c r="A66" t="s">
        <v>82</v>
      </c>
      <c r="B66">
        <v>3.6305000782012939</v>
      </c>
      <c r="C66" t="s">
        <v>547</v>
      </c>
      <c r="D66" t="s">
        <v>753</v>
      </c>
      <c r="E66" t="s">
        <v>651</v>
      </c>
      <c r="F66" t="s">
        <v>754</v>
      </c>
      <c r="G66">
        <v>57221125328.119987</v>
      </c>
      <c r="H66">
        <v>23.672429999999999</v>
      </c>
      <c r="I66" t="s">
        <v>755</v>
      </c>
      <c r="J66">
        <v>3.8900001049041748</v>
      </c>
      <c r="K66" t="s">
        <v>532</v>
      </c>
      <c r="L66">
        <v>1.3749808073043823</v>
      </c>
      <c r="M66">
        <v>45.578455564924397</v>
      </c>
      <c r="N66">
        <v>5.3979669575692268</v>
      </c>
      <c r="O66">
        <v>8.5208117651038719</v>
      </c>
      <c r="P66">
        <v>7.0829798820912835</v>
      </c>
      <c r="Q66">
        <v>830.09</v>
      </c>
      <c r="R66">
        <v>279.42</v>
      </c>
    </row>
    <row r="67" spans="1:18" x14ac:dyDescent="0.25">
      <c r="A67" t="s">
        <v>83</v>
      </c>
      <c r="B67">
        <v>0.99309998750686646</v>
      </c>
      <c r="C67" t="s">
        <v>547</v>
      </c>
      <c r="D67" t="s">
        <v>756</v>
      </c>
      <c r="E67" t="s">
        <v>757</v>
      </c>
      <c r="F67" t="s">
        <v>757</v>
      </c>
      <c r="G67">
        <v>9592864140</v>
      </c>
      <c r="H67">
        <v>-17.400880000000001</v>
      </c>
      <c r="I67" t="s">
        <v>758</v>
      </c>
      <c r="J67">
        <v>6.2199997901916504</v>
      </c>
      <c r="K67" t="s">
        <v>558</v>
      </c>
      <c r="L67">
        <v>1.2111825942993164</v>
      </c>
      <c r="M67">
        <v>38.094458312033446</v>
      </c>
      <c r="N67">
        <v>1.8488751953795666</v>
      </c>
      <c r="O67">
        <v>19.728787746844262</v>
      </c>
      <c r="P67">
        <v>6.2392012334918974</v>
      </c>
      <c r="Q67">
        <v>82.6</v>
      </c>
      <c r="R67">
        <v>48.07</v>
      </c>
    </row>
    <row r="68" spans="1:18" x14ac:dyDescent="0.25">
      <c r="A68" t="s">
        <v>84</v>
      </c>
      <c r="B68">
        <v>1.6239000558853149</v>
      </c>
      <c r="C68" t="s">
        <v>547</v>
      </c>
      <c r="D68" t="s">
        <v>759</v>
      </c>
      <c r="E68" t="s">
        <v>720</v>
      </c>
      <c r="F68" t="s">
        <v>721</v>
      </c>
      <c r="G68">
        <v>69210623948.310013</v>
      </c>
      <c r="H68">
        <v>18.268380000000001</v>
      </c>
      <c r="I68" t="s">
        <v>760</v>
      </c>
      <c r="J68">
        <v>5.9899997711181641</v>
      </c>
      <c r="K68" t="s">
        <v>532</v>
      </c>
      <c r="L68">
        <v>1.2125871181488037</v>
      </c>
      <c r="M68">
        <v>31.502150717297667</v>
      </c>
      <c r="N68">
        <v>6.0420730055809457</v>
      </c>
      <c r="O68">
        <v>0.31503423026735822</v>
      </c>
      <c r="P68">
        <v>6.2464363993334766</v>
      </c>
      <c r="Q68">
        <v>83.3</v>
      </c>
      <c r="R68">
        <v>54.325000000000003</v>
      </c>
    </row>
    <row r="69" spans="1:18" x14ac:dyDescent="0.25">
      <c r="A69" t="s">
        <v>85</v>
      </c>
      <c r="B69">
        <v>0.95029997825622559</v>
      </c>
      <c r="C69" t="s">
        <v>527</v>
      </c>
      <c r="D69" t="s">
        <v>761</v>
      </c>
      <c r="E69" t="s">
        <v>762</v>
      </c>
      <c r="F69" t="s">
        <v>762</v>
      </c>
      <c r="G69">
        <v>72201628042.199997</v>
      </c>
      <c r="H69">
        <v>31.354939999999999</v>
      </c>
      <c r="I69" t="s">
        <v>763</v>
      </c>
      <c r="J69">
        <v>4.4099998474121094</v>
      </c>
      <c r="K69" t="s">
        <v>532</v>
      </c>
      <c r="L69">
        <v>0.96301966905593872</v>
      </c>
      <c r="M69">
        <v>15.901410928856638</v>
      </c>
      <c r="N69">
        <v>0.33828263970570038</v>
      </c>
      <c r="O69">
        <v>5.4383142477935307</v>
      </c>
      <c r="P69">
        <v>4.9608321117979282</v>
      </c>
      <c r="Q69">
        <v>101.15</v>
      </c>
      <c r="R69">
        <v>60.98</v>
      </c>
    </row>
    <row r="70" spans="1:18" x14ac:dyDescent="0.25">
      <c r="A70" t="s">
        <v>86</v>
      </c>
      <c r="B70">
        <v>0.66140002012252808</v>
      </c>
      <c r="C70" t="s">
        <v>547</v>
      </c>
      <c r="D70" t="s">
        <v>764</v>
      </c>
      <c r="E70" t="s">
        <v>720</v>
      </c>
      <c r="F70" t="s">
        <v>765</v>
      </c>
      <c r="G70">
        <v>35240350811.910004</v>
      </c>
      <c r="H70">
        <v>-3.0450279999999998</v>
      </c>
      <c r="I70" t="s">
        <v>766</v>
      </c>
      <c r="J70">
        <v>4.820000171661377</v>
      </c>
      <c r="K70" t="s">
        <v>526</v>
      </c>
      <c r="L70">
        <v>0.70118224620819092</v>
      </c>
      <c r="M70">
        <v>32.017772911290272</v>
      </c>
      <c r="N70">
        <v>0.14143364982042175</v>
      </c>
      <c r="O70">
        <v>7.0304455970537765</v>
      </c>
      <c r="P70">
        <v>3.6120211403596398</v>
      </c>
      <c r="Q70">
        <v>106.79</v>
      </c>
      <c r="R70">
        <v>86.33</v>
      </c>
    </row>
    <row r="71" spans="1:18" x14ac:dyDescent="0.25">
      <c r="A71" t="s">
        <v>87</v>
      </c>
      <c r="B71">
        <v>1.5641000270843506</v>
      </c>
      <c r="C71" t="s">
        <v>553</v>
      </c>
      <c r="D71" t="s">
        <v>767</v>
      </c>
      <c r="E71" t="s">
        <v>555</v>
      </c>
      <c r="F71" t="s">
        <v>768</v>
      </c>
      <c r="G71">
        <v>14994962484.059999</v>
      </c>
      <c r="H71">
        <v>0.20576179999999999</v>
      </c>
      <c r="I71" t="s">
        <v>769</v>
      </c>
      <c r="J71">
        <v>4.9000000953674316</v>
      </c>
      <c r="K71" t="s">
        <v>582</v>
      </c>
      <c r="L71">
        <v>0.74552899599075317</v>
      </c>
      <c r="M71">
        <v>29.638868312857735</v>
      </c>
      <c r="N71">
        <v>0.4707894739918928</v>
      </c>
      <c r="O71">
        <v>9.9584556119513845</v>
      </c>
      <c r="P71">
        <v>3.8404658829170462</v>
      </c>
      <c r="Q71">
        <v>40.454999999999998</v>
      </c>
      <c r="R71">
        <v>26.25</v>
      </c>
    </row>
    <row r="72" spans="1:18" x14ac:dyDescent="0.25">
      <c r="A72" t="s">
        <v>88</v>
      </c>
      <c r="B72">
        <v>0.92030000686645508</v>
      </c>
      <c r="C72" t="s">
        <v>553</v>
      </c>
      <c r="D72" t="s">
        <v>770</v>
      </c>
      <c r="E72" t="s">
        <v>771</v>
      </c>
      <c r="F72" t="s">
        <v>772</v>
      </c>
      <c r="G72">
        <v>53114085962.480003</v>
      </c>
      <c r="H72">
        <v>-18.314450000000001</v>
      </c>
      <c r="I72" t="s">
        <v>773</v>
      </c>
      <c r="J72">
        <v>5.0500001907348633</v>
      </c>
      <c r="K72" t="s">
        <v>582</v>
      </c>
      <c r="L72">
        <v>0.55691128969192505</v>
      </c>
      <c r="M72">
        <v>47.323439962307091</v>
      </c>
      <c r="N72">
        <v>0.16662654209207439</v>
      </c>
      <c r="O72">
        <v>3.6931528264810933</v>
      </c>
      <c r="P72">
        <v>2.8688338339287043</v>
      </c>
      <c r="Q72">
        <v>251.91</v>
      </c>
      <c r="R72">
        <v>163.34</v>
      </c>
    </row>
    <row r="73" spans="1:18" x14ac:dyDescent="0.25">
      <c r="A73" t="s">
        <v>89</v>
      </c>
      <c r="B73">
        <v>0.72200000286102295</v>
      </c>
      <c r="C73" t="s">
        <v>527</v>
      </c>
      <c r="D73" t="s">
        <v>774</v>
      </c>
      <c r="E73" t="s">
        <v>647</v>
      </c>
      <c r="F73" t="s">
        <v>647</v>
      </c>
      <c r="G73">
        <v>1044363890330.7299</v>
      </c>
      <c r="H73">
        <v>6.7927109999999997</v>
      </c>
      <c r="I73" t="s">
        <v>775</v>
      </c>
      <c r="J73">
        <v>1.4700000286102295</v>
      </c>
      <c r="K73" t="s">
        <v>552</v>
      </c>
      <c r="L73">
        <v>0.679698646068573</v>
      </c>
      <c r="M73">
        <v>17.078961662009942</v>
      </c>
      <c r="N73">
        <v>0.37719108653890643</v>
      </c>
      <c r="O73">
        <v>-1.6953970859348709E-2</v>
      </c>
      <c r="P73">
        <v>3.4622310389202831</v>
      </c>
      <c r="Q73">
        <v>542.03</v>
      </c>
      <c r="R73">
        <v>406.13</v>
      </c>
    </row>
    <row r="74" spans="1:18" x14ac:dyDescent="0.25">
      <c r="A74" t="s">
        <v>90</v>
      </c>
      <c r="B74">
        <v>0.22290000319480896</v>
      </c>
      <c r="C74" t="s">
        <v>604</v>
      </c>
      <c r="D74" t="s">
        <v>776</v>
      </c>
      <c r="E74" t="s">
        <v>777</v>
      </c>
      <c r="F74" t="s">
        <v>777</v>
      </c>
      <c r="G74">
        <v>14253221043.359999</v>
      </c>
      <c r="H74">
        <v>-21.398599999999998</v>
      </c>
      <c r="I74" t="s">
        <v>778</v>
      </c>
      <c r="J74">
        <v>7.5300002098083496</v>
      </c>
      <c r="K74" t="s">
        <v>631</v>
      </c>
      <c r="L74">
        <v>1.0010758638381958</v>
      </c>
      <c r="M74">
        <v>38.327220828574859</v>
      </c>
      <c r="N74">
        <v>0.56464091376870329</v>
      </c>
      <c r="O74">
        <v>9.8132072223912079</v>
      </c>
      <c r="P74">
        <v>5.1568721296656133</v>
      </c>
      <c r="Q74">
        <v>103.47</v>
      </c>
      <c r="R74">
        <v>55</v>
      </c>
    </row>
    <row r="75" spans="1:18" x14ac:dyDescent="0.25">
      <c r="A75" t="s">
        <v>91</v>
      </c>
      <c r="B75">
        <v>-6.589999794960022E-2</v>
      </c>
      <c r="C75" t="s">
        <v>553</v>
      </c>
      <c r="D75" t="s">
        <v>779</v>
      </c>
      <c r="E75" t="s">
        <v>704</v>
      </c>
      <c r="F75" t="s">
        <v>705</v>
      </c>
      <c r="G75">
        <v>157028435058.29999</v>
      </c>
      <c r="H75">
        <v>18.83117</v>
      </c>
      <c r="I75" t="s">
        <v>780</v>
      </c>
      <c r="J75">
        <v>5.7300000190734863</v>
      </c>
      <c r="K75" t="s">
        <v>582</v>
      </c>
      <c r="L75">
        <v>0.88974785804748535</v>
      </c>
      <c r="M75">
        <v>18.791409787501038</v>
      </c>
      <c r="N75">
        <v>0.18391080107013033</v>
      </c>
      <c r="O75">
        <v>-2.0283790216538029</v>
      </c>
      <c r="P75">
        <v>4.5833848335957521</v>
      </c>
      <c r="Q75">
        <v>108.87</v>
      </c>
      <c r="R75">
        <v>71.88</v>
      </c>
    </row>
    <row r="76" spans="1:18" x14ac:dyDescent="0.25">
      <c r="A76" t="s">
        <v>92</v>
      </c>
      <c r="B76">
        <v>-1.0420999526977539</v>
      </c>
      <c r="C76" t="s">
        <v>553</v>
      </c>
      <c r="D76" t="s">
        <v>781</v>
      </c>
      <c r="E76" t="s">
        <v>576</v>
      </c>
      <c r="F76" t="s">
        <v>576</v>
      </c>
      <c r="G76">
        <v>98558963628.300003</v>
      </c>
      <c r="H76">
        <v>-14.37412</v>
      </c>
      <c r="I76" t="s">
        <v>782</v>
      </c>
      <c r="J76">
        <v>6.3499999046325684</v>
      </c>
      <c r="K76" t="s">
        <v>526</v>
      </c>
      <c r="L76">
        <v>0.4552772045135498</v>
      </c>
      <c r="M76">
        <v>30.318245713995733</v>
      </c>
      <c r="N76">
        <v>7.6658439148122356E-2</v>
      </c>
      <c r="O76">
        <v>10.170147678724852</v>
      </c>
      <c r="P76">
        <v>2.3452831219267845</v>
      </c>
      <c r="Q76">
        <v>63.33</v>
      </c>
      <c r="R76">
        <v>44</v>
      </c>
    </row>
    <row r="77" spans="1:18" x14ac:dyDescent="0.25">
      <c r="A77" t="s">
        <v>93</v>
      </c>
      <c r="B77">
        <v>-0.61000001430511475</v>
      </c>
      <c r="C77" t="s">
        <v>570</v>
      </c>
      <c r="D77" t="s">
        <v>783</v>
      </c>
      <c r="E77" t="s">
        <v>784</v>
      </c>
      <c r="F77" t="s">
        <v>785</v>
      </c>
      <c r="G77">
        <v>14599211427.92</v>
      </c>
      <c r="H77">
        <v>-18.483409999999999</v>
      </c>
      <c r="I77" t="s">
        <v>786</v>
      </c>
      <c r="J77">
        <v>4.9699997901916504</v>
      </c>
      <c r="K77" t="s">
        <v>532</v>
      </c>
      <c r="L77">
        <v>0.73391038179397583</v>
      </c>
      <c r="M77">
        <v>51.755254592494317</v>
      </c>
      <c r="N77">
        <v>3.3112087556721819</v>
      </c>
      <c r="O77">
        <v>-3.8464115445713918</v>
      </c>
      <c r="P77">
        <v>3.7806145670467615</v>
      </c>
      <c r="Q77">
        <v>49.88</v>
      </c>
      <c r="R77">
        <v>25.53</v>
      </c>
    </row>
    <row r="78" spans="1:18" x14ac:dyDescent="0.25">
      <c r="A78" t="s">
        <v>94</v>
      </c>
      <c r="B78">
        <v>-0.5471000075340271</v>
      </c>
      <c r="C78" t="s">
        <v>537</v>
      </c>
      <c r="D78" t="s">
        <v>787</v>
      </c>
      <c r="E78" t="s">
        <v>539</v>
      </c>
      <c r="F78" t="s">
        <v>788</v>
      </c>
      <c r="G78">
        <v>18035851286.200001</v>
      </c>
      <c r="H78">
        <v>-7.4784680000000003</v>
      </c>
      <c r="I78" t="s">
        <v>789</v>
      </c>
      <c r="J78">
        <v>5.320000171661377</v>
      </c>
      <c r="K78" t="s">
        <v>582</v>
      </c>
      <c r="L78">
        <v>0.7071986198425293</v>
      </c>
      <c r="M78">
        <v>33.882122386004738</v>
      </c>
      <c r="N78">
        <v>1.5149384738399343</v>
      </c>
      <c r="O78">
        <v>4.0188697831135416</v>
      </c>
      <c r="P78">
        <v>3.6430134663534162</v>
      </c>
      <c r="Q78">
        <v>29.95</v>
      </c>
      <c r="R78">
        <v>22.305</v>
      </c>
    </row>
    <row r="79" spans="1:18" x14ac:dyDescent="0.25">
      <c r="A79" t="s">
        <v>95</v>
      </c>
      <c r="B79">
        <v>2.2723000049591064</v>
      </c>
      <c r="C79" t="s">
        <v>604</v>
      </c>
      <c r="D79" t="s">
        <v>790</v>
      </c>
      <c r="E79" t="s">
        <v>791</v>
      </c>
      <c r="F79" t="s">
        <v>792</v>
      </c>
      <c r="G79">
        <v>64360770508.449989</v>
      </c>
      <c r="H79">
        <v>10.717750000000001</v>
      </c>
      <c r="I79" t="s">
        <v>793</v>
      </c>
      <c r="J79">
        <v>6.559999942779541</v>
      </c>
      <c r="K79" t="s">
        <v>526</v>
      </c>
      <c r="L79">
        <v>0.97246289253234863</v>
      </c>
      <c r="M79">
        <v>23.200374500159285</v>
      </c>
      <c r="N79">
        <v>1.9825720427154119</v>
      </c>
      <c r="O79">
        <v>2.9421422381535156</v>
      </c>
      <c r="P79">
        <v>5.0094772721886631</v>
      </c>
      <c r="Q79">
        <v>279.2</v>
      </c>
      <c r="R79">
        <v>196.07</v>
      </c>
    </row>
    <row r="80" spans="1:18" x14ac:dyDescent="0.25">
      <c r="A80" t="s">
        <v>96</v>
      </c>
      <c r="B80">
        <v>-0.10069999843835831</v>
      </c>
      <c r="C80" t="s">
        <v>604</v>
      </c>
      <c r="D80" t="s">
        <v>794</v>
      </c>
      <c r="E80" t="s">
        <v>717</v>
      </c>
      <c r="F80" t="s">
        <v>717</v>
      </c>
      <c r="G80">
        <v>38726301723.76712</v>
      </c>
      <c r="H80">
        <v>19.382020000000001</v>
      </c>
      <c r="I80" t="s">
        <v>795</v>
      </c>
      <c r="J80">
        <v>5.880000114440918</v>
      </c>
      <c r="K80" t="s">
        <v>552</v>
      </c>
      <c r="L80">
        <v>1.5950900316238403</v>
      </c>
      <c r="M80">
        <v>41.226115842776501</v>
      </c>
      <c r="N80">
        <v>7.7111136231929969</v>
      </c>
      <c r="O80">
        <v>0.26376252519424309</v>
      </c>
      <c r="P80">
        <v>8.216835132604837</v>
      </c>
      <c r="Q80">
        <v>31</v>
      </c>
      <c r="R80">
        <v>13.78</v>
      </c>
    </row>
    <row r="81" spans="1:18" x14ac:dyDescent="0.25">
      <c r="A81" t="s">
        <v>97</v>
      </c>
      <c r="B81">
        <v>2.7637999057769775</v>
      </c>
      <c r="C81" t="s">
        <v>547</v>
      </c>
      <c r="D81" t="s">
        <v>796</v>
      </c>
      <c r="E81" t="s">
        <v>606</v>
      </c>
      <c r="F81" t="s">
        <v>797</v>
      </c>
      <c r="G81">
        <v>15080852064.279999</v>
      </c>
      <c r="H81">
        <v>-4.5266859999999998</v>
      </c>
      <c r="I81" t="s">
        <v>798</v>
      </c>
      <c r="J81">
        <v>3.9000000953674316</v>
      </c>
      <c r="K81" t="s">
        <v>526</v>
      </c>
      <c r="L81">
        <v>1.2727515697479248</v>
      </c>
      <c r="M81">
        <v>51.646263115667637</v>
      </c>
      <c r="N81">
        <v>2.9177766235834479</v>
      </c>
      <c r="O81">
        <v>25.029225798421674</v>
      </c>
      <c r="P81">
        <v>6.5563633437895774</v>
      </c>
      <c r="Q81">
        <v>203.11</v>
      </c>
      <c r="R81">
        <v>102.63</v>
      </c>
    </row>
    <row r="82" spans="1:18" x14ac:dyDescent="0.25">
      <c r="A82" t="s">
        <v>98</v>
      </c>
      <c r="B82">
        <v>-0.24690000712871552</v>
      </c>
      <c r="C82" t="s">
        <v>587</v>
      </c>
      <c r="D82" t="s">
        <v>799</v>
      </c>
      <c r="E82" t="s">
        <v>800</v>
      </c>
      <c r="F82" t="s">
        <v>801</v>
      </c>
      <c r="G82">
        <v>13387664813.579998</v>
      </c>
      <c r="H82">
        <v>-6.9108499999999999</v>
      </c>
      <c r="I82" t="s">
        <v>802</v>
      </c>
      <c r="J82">
        <v>5.5399999618530273</v>
      </c>
      <c r="K82" t="s">
        <v>715</v>
      </c>
      <c r="L82">
        <v>0.80867660045623779</v>
      </c>
      <c r="M82">
        <v>18.920600708194154</v>
      </c>
      <c r="N82">
        <v>0.48193366773741175</v>
      </c>
      <c r="O82">
        <v>6.0351089171084372E-2</v>
      </c>
      <c r="P82">
        <v>4.1657600322282313</v>
      </c>
      <c r="Q82">
        <v>47.54</v>
      </c>
      <c r="R82">
        <v>36.634999999999998</v>
      </c>
    </row>
    <row r="83" spans="1:18" x14ac:dyDescent="0.25">
      <c r="A83" t="s">
        <v>99</v>
      </c>
      <c r="B83">
        <v>-0.46419999003410339</v>
      </c>
      <c r="C83" t="s">
        <v>570</v>
      </c>
      <c r="D83" t="s">
        <v>803</v>
      </c>
      <c r="E83" t="s">
        <v>804</v>
      </c>
      <c r="F83" t="s">
        <v>804</v>
      </c>
      <c r="G83">
        <v>16122699683.669998</v>
      </c>
      <c r="H83">
        <v>-19.45693</v>
      </c>
      <c r="I83" t="s">
        <v>805</v>
      </c>
      <c r="J83">
        <v>5.8400001525878906</v>
      </c>
      <c r="K83" t="s">
        <v>631</v>
      </c>
      <c r="L83">
        <v>0.53985035419464111</v>
      </c>
      <c r="M83">
        <v>22.564681498157107</v>
      </c>
      <c r="N83">
        <v>0.33845990679319249</v>
      </c>
      <c r="O83">
        <v>-0.82636511332594298</v>
      </c>
      <c r="P83">
        <v>2.7809473250734804</v>
      </c>
      <c r="Q83">
        <v>171.31</v>
      </c>
      <c r="R83">
        <v>117.37</v>
      </c>
    </row>
    <row r="84" spans="1:18" x14ac:dyDescent="0.25">
      <c r="A84" t="s">
        <v>100</v>
      </c>
      <c r="B84">
        <v>0.35719999670982361</v>
      </c>
      <c r="C84" t="s">
        <v>547</v>
      </c>
      <c r="D84" t="s">
        <v>806</v>
      </c>
      <c r="E84" t="s">
        <v>757</v>
      </c>
      <c r="F84" t="s">
        <v>807</v>
      </c>
      <c r="G84">
        <v>13807357494.000002</v>
      </c>
      <c r="H84">
        <v>16.504850000000001</v>
      </c>
      <c r="I84" t="s">
        <v>808</v>
      </c>
      <c r="J84">
        <v>3.5499999523162842</v>
      </c>
      <c r="K84" t="s">
        <v>532</v>
      </c>
      <c r="L84">
        <v>0.78583598136901855</v>
      </c>
      <c r="M84">
        <v>31.370183854907584</v>
      </c>
      <c r="N84">
        <v>5.7609405504277431</v>
      </c>
      <c r="O84">
        <v>2.3980664958680635</v>
      </c>
      <c r="P84">
        <v>4.0481004659056659</v>
      </c>
      <c r="Q84">
        <v>267.19</v>
      </c>
      <c r="R84">
        <v>152.56</v>
      </c>
    </row>
    <row r="85" spans="1:18" x14ac:dyDescent="0.25">
      <c r="A85" t="s">
        <v>101</v>
      </c>
      <c r="B85">
        <v>-0.15090000629425049</v>
      </c>
      <c r="C85" t="s">
        <v>632</v>
      </c>
      <c r="D85" t="s">
        <v>809</v>
      </c>
      <c r="E85" t="s">
        <v>810</v>
      </c>
      <c r="F85" t="s">
        <v>810</v>
      </c>
      <c r="G85">
        <v>21770226161.099998</v>
      </c>
      <c r="H85">
        <v>9.1972970000000007</v>
      </c>
      <c r="I85" t="s">
        <v>811</v>
      </c>
      <c r="J85">
        <v>5.6100001335144043</v>
      </c>
      <c r="K85" t="s">
        <v>532</v>
      </c>
      <c r="L85">
        <v>0.39073413610458374</v>
      </c>
      <c r="M85">
        <v>17.376620838676075</v>
      </c>
      <c r="N85">
        <v>0.58889014812266627</v>
      </c>
      <c r="O85">
        <v>10.01111034086076</v>
      </c>
      <c r="P85">
        <v>2.0128004773396251</v>
      </c>
      <c r="Q85">
        <v>76.39</v>
      </c>
      <c r="R85">
        <v>62.75</v>
      </c>
    </row>
    <row r="86" spans="1:18" x14ac:dyDescent="0.25">
      <c r="A86" t="s">
        <v>102</v>
      </c>
      <c r="B86">
        <v>-0.58789998292922974</v>
      </c>
      <c r="C86" t="s">
        <v>570</v>
      </c>
      <c r="D86" t="s">
        <v>812</v>
      </c>
      <c r="E86" t="s">
        <v>642</v>
      </c>
      <c r="F86" t="s">
        <v>642</v>
      </c>
      <c r="G86">
        <v>71260240975.740005</v>
      </c>
      <c r="H86">
        <v>-3.277971</v>
      </c>
      <c r="I86" t="s">
        <v>813</v>
      </c>
      <c r="J86">
        <v>5.5999999046325684</v>
      </c>
      <c r="K86" t="s">
        <v>631</v>
      </c>
      <c r="L86">
        <v>0.42921015620231628</v>
      </c>
      <c r="M86">
        <v>16.955658393576602</v>
      </c>
      <c r="N86">
        <v>0.15966311793105822</v>
      </c>
      <c r="O86">
        <v>18.464108984541298</v>
      </c>
      <c r="P86">
        <v>2.2110031539496777</v>
      </c>
      <c r="Q86">
        <v>109.3</v>
      </c>
      <c r="R86">
        <v>85.32</v>
      </c>
    </row>
    <row r="87" spans="1:18" x14ac:dyDescent="0.25">
      <c r="A87" t="s">
        <v>103</v>
      </c>
      <c r="B87">
        <v>1.059499979019165</v>
      </c>
      <c r="C87" t="s">
        <v>542</v>
      </c>
      <c r="D87" t="s">
        <v>814</v>
      </c>
      <c r="E87" t="s">
        <v>613</v>
      </c>
      <c r="F87" t="s">
        <v>815</v>
      </c>
      <c r="G87">
        <v>9672882168.7400017</v>
      </c>
      <c r="H87">
        <v>-26.978020000000001</v>
      </c>
      <c r="I87" t="s">
        <v>816</v>
      </c>
      <c r="J87">
        <v>3.3499999046325684</v>
      </c>
      <c r="K87" t="s">
        <v>558</v>
      </c>
      <c r="L87">
        <v>1.1191271543502808</v>
      </c>
      <c r="M87">
        <v>38.200926652065995</v>
      </c>
      <c r="N87">
        <v>3.5626422041667918</v>
      </c>
      <c r="O87">
        <v>5.1975046557070126</v>
      </c>
      <c r="P87">
        <v>5.7649932840192317</v>
      </c>
      <c r="Q87">
        <v>268.7</v>
      </c>
      <c r="R87">
        <v>138.16999999999999</v>
      </c>
    </row>
    <row r="88" spans="1:18" x14ac:dyDescent="0.25">
      <c r="A88" t="s">
        <v>104</v>
      </c>
      <c r="B88">
        <v>-0.46630001068115234</v>
      </c>
      <c r="C88" t="s">
        <v>570</v>
      </c>
      <c r="D88" t="s">
        <v>817</v>
      </c>
      <c r="E88" t="s">
        <v>818</v>
      </c>
      <c r="F88" t="s">
        <v>819</v>
      </c>
      <c r="G88">
        <v>9171679933.9500008</v>
      </c>
      <c r="H88">
        <v>-30.77477</v>
      </c>
      <c r="I88" t="s">
        <v>820</v>
      </c>
      <c r="J88">
        <v>4.7600002288818359</v>
      </c>
      <c r="K88" t="s">
        <v>532</v>
      </c>
      <c r="L88">
        <v>0.31519350409507751</v>
      </c>
      <c r="M88">
        <v>23.975850418991378</v>
      </c>
      <c r="N88">
        <v>0.77391418661494671</v>
      </c>
      <c r="O88">
        <v>17.936149882909</v>
      </c>
      <c r="P88">
        <v>1.6236657534500956</v>
      </c>
      <c r="Q88">
        <v>33.229999999999997</v>
      </c>
      <c r="R88">
        <v>18.664999999999999</v>
      </c>
    </row>
    <row r="89" spans="1:18" x14ac:dyDescent="0.25">
      <c r="A89" t="s">
        <v>105</v>
      </c>
      <c r="B89">
        <v>-0.21889999508857727</v>
      </c>
      <c r="C89" t="s">
        <v>604</v>
      </c>
      <c r="D89" t="s">
        <v>821</v>
      </c>
      <c r="E89" t="s">
        <v>822</v>
      </c>
      <c r="F89" t="s">
        <v>823</v>
      </c>
      <c r="G89">
        <v>88721000926.349991</v>
      </c>
      <c r="H89">
        <v>7.5336699999999999</v>
      </c>
      <c r="I89" t="s">
        <v>824</v>
      </c>
      <c r="J89">
        <v>2.940000057220459</v>
      </c>
      <c r="K89" t="s">
        <v>552</v>
      </c>
      <c r="L89">
        <v>1.2046620845794678</v>
      </c>
      <c r="M89">
        <v>27.141959501198503</v>
      </c>
      <c r="N89">
        <v>3.2567748285415337</v>
      </c>
      <c r="O89">
        <v>-8.2695906284023657</v>
      </c>
      <c r="P89">
        <v>6.2056119361567497</v>
      </c>
      <c r="Q89">
        <v>163.92</v>
      </c>
      <c r="R89">
        <v>99.89</v>
      </c>
    </row>
    <row r="90" spans="1:18" x14ac:dyDescent="0.25">
      <c r="A90" t="s">
        <v>106</v>
      </c>
      <c r="B90">
        <v>0.20579999685287476</v>
      </c>
      <c r="C90" t="s">
        <v>632</v>
      </c>
      <c r="D90" t="s">
        <v>825</v>
      </c>
      <c r="E90" t="s">
        <v>826</v>
      </c>
      <c r="F90" t="s">
        <v>827</v>
      </c>
      <c r="G90">
        <v>36843881640.239998</v>
      </c>
      <c r="H90">
        <v>14.60271</v>
      </c>
      <c r="I90" t="s">
        <v>828</v>
      </c>
      <c r="J90">
        <v>5.429999828338623</v>
      </c>
      <c r="K90" t="s">
        <v>526</v>
      </c>
      <c r="L90">
        <v>0.28024160861968994</v>
      </c>
      <c r="M90">
        <v>20.515309774001786</v>
      </c>
      <c r="N90">
        <v>0.2086278846759651</v>
      </c>
      <c r="O90">
        <v>5.0972419023515627</v>
      </c>
      <c r="P90">
        <v>1.4436170057308673</v>
      </c>
      <c r="Q90">
        <v>114.82</v>
      </c>
      <c r="R90">
        <v>87.31</v>
      </c>
    </row>
    <row r="91" spans="1:18" x14ac:dyDescent="0.25">
      <c r="A91" t="s">
        <v>107</v>
      </c>
      <c r="B91">
        <v>-0.64609998464584351</v>
      </c>
      <c r="C91" t="s">
        <v>542</v>
      </c>
      <c r="D91" t="s">
        <v>829</v>
      </c>
      <c r="E91" t="s">
        <v>661</v>
      </c>
      <c r="F91" t="s">
        <v>830</v>
      </c>
      <c r="G91">
        <v>47414259305.919998</v>
      </c>
      <c r="H91">
        <v>16.49832</v>
      </c>
      <c r="I91" t="s">
        <v>831</v>
      </c>
      <c r="J91">
        <v>3.0799999237060547</v>
      </c>
      <c r="K91" t="s">
        <v>582</v>
      </c>
      <c r="L91">
        <v>1.1148625612258911</v>
      </c>
      <c r="M91">
        <v>20.654256979319403</v>
      </c>
      <c r="N91">
        <v>0.2555532157757982</v>
      </c>
      <c r="O91">
        <v>3.7358829614627229</v>
      </c>
      <c r="P91">
        <v>5.7430249575197694</v>
      </c>
      <c r="Q91">
        <v>56.25</v>
      </c>
      <c r="R91">
        <v>37.200000000000003</v>
      </c>
    </row>
    <row r="92" spans="1:18" x14ac:dyDescent="0.25">
      <c r="A92" t="s">
        <v>108</v>
      </c>
      <c r="B92">
        <v>-0.19239999353885651</v>
      </c>
      <c r="C92" t="s">
        <v>542</v>
      </c>
      <c r="D92" t="s">
        <v>832</v>
      </c>
      <c r="E92" t="s">
        <v>822</v>
      </c>
      <c r="F92" t="s">
        <v>833</v>
      </c>
      <c r="G92">
        <v>23648769209.52</v>
      </c>
      <c r="H92">
        <v>-15.9092</v>
      </c>
      <c r="I92" t="s">
        <v>834</v>
      </c>
      <c r="J92">
        <v>5.5799999237060547</v>
      </c>
      <c r="K92" t="s">
        <v>532</v>
      </c>
      <c r="L92">
        <v>1.0531183481216431</v>
      </c>
      <c r="M92">
        <v>25.821596986619859</v>
      </c>
      <c r="N92">
        <v>0.67079309023484046</v>
      </c>
      <c r="O92">
        <v>19.841390248948347</v>
      </c>
      <c r="P92">
        <v>5.4249601402294632</v>
      </c>
      <c r="Q92">
        <v>215.65</v>
      </c>
      <c r="R92">
        <v>140.52000000000001</v>
      </c>
    </row>
    <row r="93" spans="1:18" x14ac:dyDescent="0.25">
      <c r="A93" t="s">
        <v>109</v>
      </c>
      <c r="B93">
        <v>1.1634999513626099</v>
      </c>
      <c r="C93" t="s">
        <v>547</v>
      </c>
      <c r="D93" t="s">
        <v>835</v>
      </c>
      <c r="E93" t="s">
        <v>836</v>
      </c>
      <c r="F93" t="s">
        <v>837</v>
      </c>
      <c r="G93">
        <v>50903189539.439995</v>
      </c>
      <c r="H93">
        <v>6.0011460000000003</v>
      </c>
      <c r="I93" t="s">
        <v>838</v>
      </c>
      <c r="J93">
        <v>5.059999942779541</v>
      </c>
      <c r="K93" t="s">
        <v>631</v>
      </c>
      <c r="L93">
        <v>1.0467145442962646</v>
      </c>
      <c r="M93">
        <v>25.533676294374452</v>
      </c>
      <c r="N93">
        <v>0.54194904101414898</v>
      </c>
      <c r="O93">
        <v>10.146427713611661</v>
      </c>
      <c r="P93">
        <v>5.3919720334696768</v>
      </c>
      <c r="Q93">
        <v>387.23</v>
      </c>
      <c r="R93">
        <v>260.20999999999998</v>
      </c>
    </row>
    <row r="94" spans="1:18" x14ac:dyDescent="0.25">
      <c r="A94" t="s">
        <v>110</v>
      </c>
      <c r="B94">
        <v>3.1403000354766846</v>
      </c>
      <c r="C94" t="s">
        <v>604</v>
      </c>
      <c r="D94" t="s">
        <v>839</v>
      </c>
      <c r="E94" t="s">
        <v>840</v>
      </c>
      <c r="F94" t="s">
        <v>841</v>
      </c>
      <c r="G94">
        <v>6147537597.6400003</v>
      </c>
      <c r="H94">
        <v>-11.54997</v>
      </c>
      <c r="I94" t="s">
        <v>842</v>
      </c>
      <c r="J94">
        <v>6.619999885559082</v>
      </c>
      <c r="K94" t="s">
        <v>558</v>
      </c>
      <c r="L94">
        <v>1.447906494140625</v>
      </c>
      <c r="M94">
        <v>44.59403092813001</v>
      </c>
      <c r="N94">
        <v>0.93078921603842124</v>
      </c>
      <c r="O94">
        <v>11.149361082054561</v>
      </c>
      <c r="P94">
        <v>7.4586441604614251</v>
      </c>
      <c r="Q94">
        <v>45.89</v>
      </c>
      <c r="R94">
        <v>21.42</v>
      </c>
    </row>
    <row r="95" spans="1:18" x14ac:dyDescent="0.25">
      <c r="A95" t="s">
        <v>111</v>
      </c>
      <c r="B95">
        <v>1.3164999485015869</v>
      </c>
      <c r="C95" t="s">
        <v>553</v>
      </c>
      <c r="D95" t="s">
        <v>843</v>
      </c>
      <c r="E95" t="s">
        <v>844</v>
      </c>
      <c r="F95" t="s">
        <v>844</v>
      </c>
      <c r="G95">
        <v>147134280713.19998</v>
      </c>
      <c r="H95">
        <v>-10.48573</v>
      </c>
      <c r="I95" t="s">
        <v>845</v>
      </c>
      <c r="J95">
        <v>4.5100002288818359</v>
      </c>
      <c r="K95" t="s">
        <v>532</v>
      </c>
      <c r="L95">
        <v>0.93112444877624512</v>
      </c>
      <c r="M95">
        <v>32.501165888649489</v>
      </c>
      <c r="N95">
        <v>8.8602139091652035</v>
      </c>
      <c r="O95">
        <v>-1.9902056651098128</v>
      </c>
      <c r="P95">
        <v>4.7965293067145343</v>
      </c>
      <c r="Q95">
        <v>281.38</v>
      </c>
      <c r="R95">
        <v>171</v>
      </c>
    </row>
    <row r="96" spans="1:18" x14ac:dyDescent="0.25">
      <c r="A96" t="s">
        <v>112</v>
      </c>
      <c r="B96">
        <v>0.21739999949932098</v>
      </c>
      <c r="C96" t="s">
        <v>570</v>
      </c>
      <c r="D96" t="s">
        <v>846</v>
      </c>
      <c r="E96" t="s">
        <v>657</v>
      </c>
      <c r="F96" t="s">
        <v>658</v>
      </c>
      <c r="G96">
        <v>48185503801.049995</v>
      </c>
      <c r="H96">
        <v>-21.549040000000002</v>
      </c>
      <c r="I96" t="s">
        <v>847</v>
      </c>
      <c r="J96">
        <v>5.130000114440918</v>
      </c>
      <c r="K96" t="s">
        <v>532</v>
      </c>
      <c r="L96">
        <v>0.79125505685806274</v>
      </c>
      <c r="M96">
        <v>35.216504128920363</v>
      </c>
      <c r="N96">
        <v>0.34727615355817854</v>
      </c>
      <c r="O96">
        <v>5.3188577367271721</v>
      </c>
      <c r="P96">
        <v>4.0760159120446442</v>
      </c>
      <c r="Q96">
        <v>167.33</v>
      </c>
      <c r="R96">
        <v>87.35</v>
      </c>
    </row>
    <row r="97" spans="1:18" x14ac:dyDescent="0.25">
      <c r="A97" t="s">
        <v>113</v>
      </c>
      <c r="B97">
        <v>0.64810001850128174</v>
      </c>
      <c r="C97" t="s">
        <v>604</v>
      </c>
      <c r="D97" t="s">
        <v>848</v>
      </c>
      <c r="E97" t="s">
        <v>606</v>
      </c>
      <c r="F97" t="s">
        <v>849</v>
      </c>
      <c r="G97">
        <v>22349977664.310001</v>
      </c>
      <c r="H97">
        <v>-1.8738490000000001</v>
      </c>
      <c r="I97" t="s">
        <v>850</v>
      </c>
      <c r="J97">
        <v>6.5100002288818359</v>
      </c>
      <c r="K97" t="s">
        <v>631</v>
      </c>
      <c r="L97">
        <v>1.3084893226623535</v>
      </c>
      <c r="M97">
        <v>35.936048153805686</v>
      </c>
      <c r="N97">
        <v>1.2137309438113273</v>
      </c>
      <c r="O97">
        <v>3.3396302559633289</v>
      </c>
      <c r="P97">
        <v>6.740460302510261</v>
      </c>
      <c r="Q97">
        <v>219.93</v>
      </c>
      <c r="R97">
        <v>125.85</v>
      </c>
    </row>
    <row r="98" spans="1:18" x14ac:dyDescent="0.25">
      <c r="A98" t="s">
        <v>114</v>
      </c>
      <c r="B98">
        <v>0.5285000205039978</v>
      </c>
      <c r="C98" t="s">
        <v>547</v>
      </c>
      <c r="D98" t="s">
        <v>851</v>
      </c>
      <c r="E98" t="s">
        <v>852</v>
      </c>
      <c r="F98" t="s">
        <v>853</v>
      </c>
      <c r="G98">
        <v>140120501715.89999</v>
      </c>
      <c r="H98">
        <v>22.10998</v>
      </c>
      <c r="I98" t="s">
        <v>854</v>
      </c>
      <c r="J98">
        <v>5.5399999618530273</v>
      </c>
      <c r="K98" t="s">
        <v>532</v>
      </c>
      <c r="L98">
        <v>0.95676338672637939</v>
      </c>
      <c r="M98">
        <v>22.274193420042725</v>
      </c>
      <c r="N98">
        <v>0.19681294010089834</v>
      </c>
      <c r="O98">
        <v>-4.438318733517983</v>
      </c>
      <c r="P98">
        <v>4.9286039369451995</v>
      </c>
      <c r="Q98">
        <v>533.72</v>
      </c>
      <c r="R98">
        <v>340.8</v>
      </c>
    </row>
    <row r="99" spans="1:18" x14ac:dyDescent="0.25">
      <c r="A99" t="s">
        <v>115</v>
      </c>
      <c r="B99">
        <v>0</v>
      </c>
      <c r="C99" t="s">
        <v>632</v>
      </c>
      <c r="D99" t="s">
        <v>855</v>
      </c>
      <c r="E99" t="s">
        <v>810</v>
      </c>
      <c r="F99" t="s">
        <v>810</v>
      </c>
      <c r="G99">
        <v>50101446046.25</v>
      </c>
      <c r="H99">
        <v>9.0790930000000003</v>
      </c>
      <c r="I99" t="s">
        <v>856</v>
      </c>
      <c r="J99">
        <v>5.2899999618530273</v>
      </c>
      <c r="K99" t="s">
        <v>532</v>
      </c>
      <c r="L99">
        <v>0.54288792610168457</v>
      </c>
      <c r="M99">
        <v>18.716412133279757</v>
      </c>
      <c r="N99">
        <v>0.1536135014973195</v>
      </c>
      <c r="O99">
        <v>6.5565556346902101</v>
      </c>
      <c r="P99">
        <v>2.7965948603653907</v>
      </c>
      <c r="Q99">
        <v>61.97</v>
      </c>
      <c r="R99">
        <v>48.07</v>
      </c>
    </row>
    <row r="100" spans="1:18" x14ac:dyDescent="0.25">
      <c r="A100" t="s">
        <v>116</v>
      </c>
      <c r="B100">
        <v>1.3411999940872192</v>
      </c>
      <c r="C100" t="s">
        <v>533</v>
      </c>
      <c r="D100" t="s">
        <v>857</v>
      </c>
      <c r="E100" t="s">
        <v>858</v>
      </c>
      <c r="F100" t="s">
        <v>858</v>
      </c>
      <c r="G100">
        <v>42116014746.779999</v>
      </c>
      <c r="H100">
        <v>-26.708069999999999</v>
      </c>
      <c r="I100" t="s">
        <v>859</v>
      </c>
      <c r="J100">
        <v>1.8700000047683716</v>
      </c>
      <c r="K100" t="s">
        <v>552</v>
      </c>
      <c r="L100">
        <v>1.4655402898788452</v>
      </c>
      <c r="M100">
        <v>56.006744789248671</v>
      </c>
      <c r="N100">
        <v>0.63556514855182056</v>
      </c>
      <c r="O100">
        <v>20.861110411779944</v>
      </c>
      <c r="P100">
        <v>7.5494816614615914</v>
      </c>
      <c r="Q100">
        <v>141.52000000000001</v>
      </c>
      <c r="R100">
        <v>42.984999999999999</v>
      </c>
    </row>
    <row r="101" spans="1:18" x14ac:dyDescent="0.25">
      <c r="A101" t="s">
        <v>117</v>
      </c>
      <c r="B101">
        <v>-6.9700002670288086E-2</v>
      </c>
      <c r="C101" t="s">
        <v>547</v>
      </c>
      <c r="D101" t="s">
        <v>860</v>
      </c>
      <c r="E101" t="s">
        <v>629</v>
      </c>
      <c r="F101" t="s">
        <v>629</v>
      </c>
      <c r="G101">
        <v>25575575484.5</v>
      </c>
      <c r="H101">
        <v>-0.58635720000000002</v>
      </c>
      <c r="I101" t="s">
        <v>861</v>
      </c>
      <c r="J101">
        <v>5.0500001907348633</v>
      </c>
      <c r="K101" t="s">
        <v>532</v>
      </c>
      <c r="L101">
        <v>1.1065328121185303</v>
      </c>
      <c r="M101">
        <v>20.126440950874155</v>
      </c>
      <c r="N101">
        <v>0.67945557099052389</v>
      </c>
      <c r="O101">
        <v>2.5443267972561459</v>
      </c>
      <c r="P101">
        <v>5.7001156710505478</v>
      </c>
      <c r="Q101">
        <v>222.31</v>
      </c>
      <c r="R101">
        <v>143.15</v>
      </c>
    </row>
    <row r="102" spans="1:18" x14ac:dyDescent="0.25">
      <c r="A102" t="s">
        <v>118</v>
      </c>
      <c r="B102">
        <v>-0.414000004529953</v>
      </c>
      <c r="C102" t="s">
        <v>632</v>
      </c>
      <c r="D102" t="s">
        <v>862</v>
      </c>
      <c r="E102" t="s">
        <v>810</v>
      </c>
      <c r="F102" t="s">
        <v>810</v>
      </c>
      <c r="G102">
        <v>16681546857.059996</v>
      </c>
      <c r="H102">
        <v>9.8072379999999999</v>
      </c>
      <c r="I102" t="s">
        <v>863</v>
      </c>
      <c r="J102">
        <v>5.7399997711181641</v>
      </c>
      <c r="K102" t="s">
        <v>532</v>
      </c>
      <c r="L102">
        <v>0.47568154335021973</v>
      </c>
      <c r="M102">
        <v>18.205100770350441</v>
      </c>
      <c r="N102">
        <v>0.36259000250315038</v>
      </c>
      <c r="O102">
        <v>6.7837021044500023</v>
      </c>
      <c r="P102">
        <v>2.4503926047062872</v>
      </c>
      <c r="Q102">
        <v>66.540000000000006</v>
      </c>
      <c r="R102">
        <v>54.99</v>
      </c>
    </row>
    <row r="103" spans="1:18" x14ac:dyDescent="0.25">
      <c r="A103" t="s">
        <v>119</v>
      </c>
      <c r="B103">
        <v>3.1538000106811523</v>
      </c>
      <c r="C103" t="s">
        <v>521</v>
      </c>
      <c r="D103" t="s">
        <v>864</v>
      </c>
      <c r="E103" t="s">
        <v>865</v>
      </c>
      <c r="F103" t="s">
        <v>865</v>
      </c>
      <c r="G103">
        <v>19422220597.079998</v>
      </c>
      <c r="H103">
        <v>14.692729999999999</v>
      </c>
      <c r="I103" t="s">
        <v>866</v>
      </c>
      <c r="J103">
        <v>7.0399999618530273</v>
      </c>
      <c r="K103" t="s">
        <v>532</v>
      </c>
      <c r="L103">
        <v>1.1075236797332764</v>
      </c>
      <c r="M103">
        <v>36.308039466674309</v>
      </c>
      <c r="N103">
        <v>6.5276506713531939</v>
      </c>
      <c r="O103">
        <v>1.2191882683511477</v>
      </c>
      <c r="P103">
        <v>5.7052199571204181</v>
      </c>
      <c r="Q103">
        <v>155.56</v>
      </c>
      <c r="R103">
        <v>103.345</v>
      </c>
    </row>
    <row r="104" spans="1:18" x14ac:dyDescent="0.25">
      <c r="A104" t="s">
        <v>120</v>
      </c>
      <c r="B104">
        <v>0.15029999613761902</v>
      </c>
      <c r="C104" t="s">
        <v>632</v>
      </c>
      <c r="D104" t="s">
        <v>867</v>
      </c>
      <c r="E104" t="s">
        <v>810</v>
      </c>
      <c r="F104" t="s">
        <v>810</v>
      </c>
      <c r="G104">
        <v>93188210442.190048</v>
      </c>
      <c r="H104">
        <v>11.31428</v>
      </c>
      <c r="I104" t="s">
        <v>868</v>
      </c>
      <c r="J104">
        <v>5.7300000190734863</v>
      </c>
      <c r="K104" t="s">
        <v>532</v>
      </c>
      <c r="L104">
        <v>0.32729822397232056</v>
      </c>
      <c r="M104">
        <v>17.320789085506767</v>
      </c>
      <c r="N104">
        <v>0.19039013955466108</v>
      </c>
      <c r="O104">
        <v>15.04948799159463</v>
      </c>
      <c r="P104">
        <v>1.6860211600953339</v>
      </c>
      <c r="Q104">
        <v>125.27</v>
      </c>
      <c r="R104">
        <v>105.22</v>
      </c>
    </row>
    <row r="105" spans="1:18" x14ac:dyDescent="0.25">
      <c r="A105" t="s">
        <v>121</v>
      </c>
      <c r="B105">
        <v>-0.48930001258850098</v>
      </c>
      <c r="C105" t="s">
        <v>587</v>
      </c>
      <c r="D105" t="s">
        <v>869</v>
      </c>
      <c r="E105" t="s">
        <v>870</v>
      </c>
      <c r="F105" t="s">
        <v>871</v>
      </c>
      <c r="G105">
        <v>13322548056.52</v>
      </c>
      <c r="H105">
        <v>-3.719735</v>
      </c>
      <c r="I105" t="s">
        <v>872</v>
      </c>
      <c r="J105">
        <v>5.7899999618530273</v>
      </c>
      <c r="K105" t="s">
        <v>526</v>
      </c>
      <c r="L105">
        <v>0.64630699157714844</v>
      </c>
      <c r="M105">
        <v>16.514768443655665</v>
      </c>
      <c r="N105">
        <v>0.77981656404778732</v>
      </c>
      <c r="O105">
        <v>-1.6491671782174315</v>
      </c>
      <c r="P105">
        <v>3.3293405949211117</v>
      </c>
      <c r="Q105">
        <v>78.17</v>
      </c>
      <c r="R105">
        <v>63.445</v>
      </c>
    </row>
    <row r="106" spans="1:18" x14ac:dyDescent="0.25">
      <c r="A106" t="s">
        <v>122</v>
      </c>
      <c r="B106">
        <v>1.8888000249862671</v>
      </c>
      <c r="C106" t="s">
        <v>547</v>
      </c>
      <c r="D106" t="s">
        <v>873</v>
      </c>
      <c r="E106" t="s">
        <v>874</v>
      </c>
      <c r="F106" t="s">
        <v>875</v>
      </c>
      <c r="G106">
        <v>153456121000</v>
      </c>
      <c r="H106">
        <v>18.16977</v>
      </c>
      <c r="I106" t="s">
        <v>876</v>
      </c>
      <c r="J106">
        <v>8.2799997329711914</v>
      </c>
      <c r="K106" t="s">
        <v>526</v>
      </c>
      <c r="L106">
        <v>1.2838606834411621</v>
      </c>
      <c r="M106">
        <v>24.244638351474354</v>
      </c>
      <c r="N106">
        <v>0.21818170201891135</v>
      </c>
      <c r="O106">
        <v>-4.8602621693213086</v>
      </c>
      <c r="P106">
        <v>6.6135900544309614</v>
      </c>
      <c r="Q106">
        <v>393</v>
      </c>
      <c r="R106">
        <v>234</v>
      </c>
    </row>
    <row r="107" spans="1:18" x14ac:dyDescent="0.25">
      <c r="A107" t="s">
        <v>123</v>
      </c>
      <c r="B107">
        <v>0.71160000562667847</v>
      </c>
      <c r="C107" t="s">
        <v>521</v>
      </c>
      <c r="D107" t="s">
        <v>877</v>
      </c>
      <c r="E107" t="s">
        <v>740</v>
      </c>
      <c r="F107" t="s">
        <v>740</v>
      </c>
      <c r="G107">
        <v>77044553941.5</v>
      </c>
      <c r="H107">
        <v>15.973879999999999</v>
      </c>
      <c r="I107" t="s">
        <v>878</v>
      </c>
      <c r="J107">
        <v>6.5199999809265137</v>
      </c>
      <c r="K107" t="s">
        <v>631</v>
      </c>
      <c r="L107">
        <v>0.81775343418121338</v>
      </c>
      <c r="M107">
        <v>14.690833996742683</v>
      </c>
      <c r="N107">
        <v>0.15334776302711059</v>
      </c>
      <c r="O107">
        <v>6.3604821492584129</v>
      </c>
      <c r="P107">
        <v>4.21251779810071</v>
      </c>
      <c r="Q107">
        <v>274.08999999999997</v>
      </c>
      <c r="R107">
        <v>222.22</v>
      </c>
    </row>
    <row r="108" spans="1:18" x14ac:dyDescent="0.25">
      <c r="A108" t="s">
        <v>124</v>
      </c>
      <c r="B108">
        <v>1.667199969291687</v>
      </c>
      <c r="C108" t="s">
        <v>553</v>
      </c>
      <c r="D108" t="s">
        <v>879</v>
      </c>
      <c r="E108" t="s">
        <v>844</v>
      </c>
      <c r="F108" t="s">
        <v>844</v>
      </c>
      <c r="G108">
        <v>12219547652.200001</v>
      </c>
      <c r="H108">
        <v>-7.114058</v>
      </c>
      <c r="I108" t="s">
        <v>880</v>
      </c>
      <c r="J108">
        <v>4.7800002098083496</v>
      </c>
      <c r="K108" t="s">
        <v>631</v>
      </c>
      <c r="L108">
        <v>0.77121573686599731</v>
      </c>
      <c r="M108">
        <v>38.21426721876346</v>
      </c>
      <c r="N108">
        <v>0.45906708848839012</v>
      </c>
      <c r="O108">
        <v>10.827755429751186</v>
      </c>
      <c r="P108">
        <v>3.972786761789918</v>
      </c>
      <c r="Q108">
        <v>129.5</v>
      </c>
      <c r="R108">
        <v>87.91</v>
      </c>
    </row>
    <row r="109" spans="1:18" x14ac:dyDescent="0.25">
      <c r="A109" t="s">
        <v>125</v>
      </c>
      <c r="B109">
        <v>2.2360999584197998</v>
      </c>
      <c r="C109" t="s">
        <v>542</v>
      </c>
      <c r="D109" t="s">
        <v>881</v>
      </c>
      <c r="E109" t="s">
        <v>601</v>
      </c>
      <c r="F109" t="s">
        <v>602</v>
      </c>
      <c r="G109">
        <v>89078627978.280014</v>
      </c>
      <c r="H109">
        <v>13.866720000000001</v>
      </c>
      <c r="I109" t="s">
        <v>882</v>
      </c>
      <c r="J109">
        <v>5.0999999046325684</v>
      </c>
      <c r="K109" t="s">
        <v>526</v>
      </c>
      <c r="L109">
        <v>1.7178761959075928</v>
      </c>
      <c r="M109">
        <v>34.496185998860526</v>
      </c>
      <c r="N109">
        <v>9.2551638265743161</v>
      </c>
      <c r="O109">
        <v>-23.863326297657053</v>
      </c>
      <c r="P109">
        <v>8.8493471842646603</v>
      </c>
      <c r="Q109">
        <v>147.66</v>
      </c>
      <c r="R109">
        <v>66.260000000000005</v>
      </c>
    </row>
    <row r="110" spans="1:18" x14ac:dyDescent="0.25">
      <c r="A110" t="s">
        <v>126</v>
      </c>
      <c r="B110">
        <v>1.9139000177383423</v>
      </c>
      <c r="C110" t="s">
        <v>547</v>
      </c>
      <c r="D110" t="s">
        <v>883</v>
      </c>
      <c r="E110" t="s">
        <v>629</v>
      </c>
      <c r="F110" t="s">
        <v>629</v>
      </c>
      <c r="G110">
        <v>84166875000</v>
      </c>
      <c r="H110">
        <v>20.73751</v>
      </c>
      <c r="I110" t="s">
        <v>884</v>
      </c>
      <c r="J110">
        <v>7.3000001907348633</v>
      </c>
      <c r="K110" t="s">
        <v>582</v>
      </c>
      <c r="L110">
        <v>1.1238480806350708</v>
      </c>
      <c r="M110">
        <v>21.370392632772205</v>
      </c>
      <c r="N110">
        <v>0.41279331788444429</v>
      </c>
      <c r="O110">
        <v>-1.4430214633989109</v>
      </c>
      <c r="P110">
        <v>5.7893123332178593</v>
      </c>
      <c r="Q110">
        <v>149.84</v>
      </c>
      <c r="R110">
        <v>90.11</v>
      </c>
    </row>
    <row r="111" spans="1:18" x14ac:dyDescent="0.25">
      <c r="A111" t="s">
        <v>127</v>
      </c>
      <c r="B111">
        <v>-0.55440002679824829</v>
      </c>
      <c r="C111" t="s">
        <v>537</v>
      </c>
      <c r="D111" t="s">
        <v>885</v>
      </c>
      <c r="E111" t="s">
        <v>539</v>
      </c>
      <c r="F111" t="s">
        <v>788</v>
      </c>
      <c r="G111">
        <v>64615724113.900002</v>
      </c>
      <c r="H111">
        <v>-3.418177</v>
      </c>
      <c r="I111" t="s">
        <v>886</v>
      </c>
      <c r="J111">
        <v>5.3000001907348633</v>
      </c>
      <c r="K111" t="s">
        <v>526</v>
      </c>
      <c r="L111">
        <v>0.73196476697921753</v>
      </c>
      <c r="M111">
        <v>24.512919332342769</v>
      </c>
      <c r="N111">
        <v>0.37121237534056317</v>
      </c>
      <c r="O111">
        <v>3.2879098122692638</v>
      </c>
      <c r="P111">
        <v>3.7705920630830523</v>
      </c>
      <c r="Q111">
        <v>138.15</v>
      </c>
      <c r="R111">
        <v>102.52</v>
      </c>
    </row>
    <row r="112" spans="1:18" x14ac:dyDescent="0.25">
      <c r="A112" t="s">
        <v>128</v>
      </c>
      <c r="B112">
        <v>4.5651998519897461</v>
      </c>
      <c r="C112" t="s">
        <v>527</v>
      </c>
      <c r="D112" t="s">
        <v>887</v>
      </c>
      <c r="E112" t="s">
        <v>888</v>
      </c>
      <c r="F112" t="s">
        <v>888</v>
      </c>
      <c r="G112">
        <v>80405001755.330002</v>
      </c>
      <c r="H112">
        <v>3.8228080000000002</v>
      </c>
      <c r="I112" t="s">
        <v>889</v>
      </c>
      <c r="J112">
        <v>4.0199999809265137</v>
      </c>
      <c r="K112" t="s">
        <v>526</v>
      </c>
      <c r="L112">
        <v>0.54649704694747925</v>
      </c>
      <c r="M112">
        <v>20.779859955247506</v>
      </c>
      <c r="N112">
        <v>1.1668545471662586</v>
      </c>
      <c r="O112">
        <v>3.595899588610632</v>
      </c>
      <c r="P112">
        <v>2.8151866328519581</v>
      </c>
      <c r="Q112">
        <v>412.87</v>
      </c>
      <c r="R112">
        <v>316.58999999999997</v>
      </c>
    </row>
    <row r="113" spans="1:18" x14ac:dyDescent="0.25">
      <c r="A113" t="s">
        <v>129</v>
      </c>
      <c r="B113">
        <v>1.1300000362098217E-2</v>
      </c>
      <c r="C113" t="s">
        <v>632</v>
      </c>
      <c r="D113" t="s">
        <v>890</v>
      </c>
      <c r="E113" t="s">
        <v>810</v>
      </c>
      <c r="F113" t="s">
        <v>810</v>
      </c>
      <c r="G113">
        <v>37977045449.439995</v>
      </c>
      <c r="H113">
        <v>16.275390000000002</v>
      </c>
      <c r="I113" t="s">
        <v>891</v>
      </c>
      <c r="J113">
        <v>6.1100001335144043</v>
      </c>
      <c r="K113" t="s">
        <v>582</v>
      </c>
      <c r="L113">
        <v>0.56484335660934448</v>
      </c>
      <c r="M113">
        <v>16.990186623729031</v>
      </c>
      <c r="N113">
        <v>0.2523554689105032</v>
      </c>
      <c r="O113">
        <v>1.811012929116971</v>
      </c>
      <c r="P113">
        <v>2.9096945282024143</v>
      </c>
      <c r="Q113">
        <v>89.35</v>
      </c>
      <c r="R113">
        <v>56.465000000000003</v>
      </c>
    </row>
    <row r="114" spans="1:18" x14ac:dyDescent="0.25">
      <c r="A114" t="s">
        <v>130</v>
      </c>
      <c r="B114">
        <v>0.11379999667406082</v>
      </c>
      <c r="C114" t="s">
        <v>547</v>
      </c>
      <c r="D114" t="s">
        <v>892</v>
      </c>
      <c r="E114" t="s">
        <v>584</v>
      </c>
      <c r="F114" t="s">
        <v>893</v>
      </c>
      <c r="G114">
        <v>30486342798.799999</v>
      </c>
      <c r="H114">
        <v>-3.3706119999999999</v>
      </c>
      <c r="I114" t="s">
        <v>894</v>
      </c>
      <c r="J114">
        <v>3.0099999904632568</v>
      </c>
      <c r="K114" t="s">
        <v>582</v>
      </c>
      <c r="L114">
        <v>1.2986396551132202</v>
      </c>
      <c r="M114">
        <v>31.341018663518248</v>
      </c>
      <c r="N114">
        <v>0.5742099591752331</v>
      </c>
      <c r="O114">
        <v>9.4190082581022523</v>
      </c>
      <c r="P114">
        <v>6.6897214145743842</v>
      </c>
      <c r="Q114">
        <v>309</v>
      </c>
      <c r="R114">
        <v>200</v>
      </c>
    </row>
    <row r="115" spans="1:18" x14ac:dyDescent="0.25">
      <c r="A115" t="s">
        <v>131</v>
      </c>
      <c r="B115">
        <v>-3.4054999351501465</v>
      </c>
      <c r="C115" t="s">
        <v>537</v>
      </c>
      <c r="D115" t="s">
        <v>895</v>
      </c>
      <c r="E115" t="s">
        <v>539</v>
      </c>
      <c r="F115" t="s">
        <v>788</v>
      </c>
      <c r="G115">
        <v>32569534830</v>
      </c>
      <c r="H115">
        <v>13.18586</v>
      </c>
      <c r="I115" t="s">
        <v>896</v>
      </c>
      <c r="J115">
        <v>6.4899997711181641</v>
      </c>
      <c r="K115" t="s">
        <v>532</v>
      </c>
      <c r="L115">
        <v>0.91811543703079224</v>
      </c>
      <c r="M115">
        <v>39.504127653350636</v>
      </c>
      <c r="N115">
        <v>0.74121450444430548</v>
      </c>
      <c r="O115">
        <v>16.868104256553934</v>
      </c>
      <c r="P115">
        <v>4.7295155942398308</v>
      </c>
      <c r="Q115">
        <v>61</v>
      </c>
      <c r="R115">
        <v>30.02</v>
      </c>
    </row>
    <row r="116" spans="1:18" x14ac:dyDescent="0.25">
      <c r="A116" t="s">
        <v>132</v>
      </c>
      <c r="B116">
        <v>-0.82160001993179321</v>
      </c>
      <c r="C116" t="s">
        <v>553</v>
      </c>
      <c r="D116" t="s">
        <v>897</v>
      </c>
      <c r="E116" t="s">
        <v>898</v>
      </c>
      <c r="F116" t="s">
        <v>899</v>
      </c>
      <c r="G116">
        <v>33858900000</v>
      </c>
      <c r="H116">
        <v>1.3536239999999999</v>
      </c>
      <c r="I116" t="s">
        <v>900</v>
      </c>
      <c r="J116">
        <v>3.809999942779541</v>
      </c>
      <c r="K116" t="s">
        <v>532</v>
      </c>
      <c r="L116">
        <v>0.94380861520767212</v>
      </c>
      <c r="M116">
        <v>50.388588464288645</v>
      </c>
      <c r="N116">
        <v>0.90480058823529419</v>
      </c>
      <c r="O116">
        <v>2.3143368756019815</v>
      </c>
      <c r="P116">
        <v>4.8618696337777374</v>
      </c>
      <c r="Q116">
        <v>252.85</v>
      </c>
      <c r="R116">
        <v>134.69499999999999</v>
      </c>
    </row>
    <row r="117" spans="1:18" x14ac:dyDescent="0.25">
      <c r="A117" t="s">
        <v>133</v>
      </c>
      <c r="B117">
        <v>0.14040000736713409</v>
      </c>
      <c r="C117" t="s">
        <v>542</v>
      </c>
      <c r="D117" t="s">
        <v>901</v>
      </c>
      <c r="E117" t="s">
        <v>613</v>
      </c>
      <c r="F117" t="s">
        <v>613</v>
      </c>
      <c r="G117">
        <v>27449488411.68</v>
      </c>
      <c r="H117">
        <v>-26.385529999999999</v>
      </c>
      <c r="I117" t="s">
        <v>902</v>
      </c>
      <c r="J117">
        <v>4.630000114440918</v>
      </c>
      <c r="K117" t="s">
        <v>631</v>
      </c>
      <c r="L117">
        <v>1.0631992816925049</v>
      </c>
      <c r="M117">
        <v>20.719067293855012</v>
      </c>
      <c r="N117">
        <v>2.7685821990584532</v>
      </c>
      <c r="O117">
        <v>2.7706050700138802</v>
      </c>
      <c r="P117">
        <v>5.4768903557610509</v>
      </c>
      <c r="Q117">
        <v>583.39</v>
      </c>
      <c r="R117">
        <v>352.55</v>
      </c>
    </row>
    <row r="118" spans="1:18" x14ac:dyDescent="0.25">
      <c r="A118" t="s">
        <v>134</v>
      </c>
      <c r="B118">
        <v>2.8285999298095703</v>
      </c>
      <c r="C118" t="s">
        <v>547</v>
      </c>
      <c r="D118" t="s">
        <v>903</v>
      </c>
      <c r="E118" t="s">
        <v>904</v>
      </c>
      <c r="F118" t="s">
        <v>904</v>
      </c>
      <c r="G118">
        <v>57370660633.599991</v>
      </c>
      <c r="H118">
        <v>-13.553470000000001</v>
      </c>
      <c r="I118" t="s">
        <v>905</v>
      </c>
      <c r="J118">
        <v>4.4899997711181641</v>
      </c>
      <c r="K118" t="s">
        <v>526</v>
      </c>
      <c r="L118">
        <v>0.88197457790374756</v>
      </c>
      <c r="M118">
        <v>29.212183492342458</v>
      </c>
      <c r="N118">
        <v>8.5380707260010738</v>
      </c>
      <c r="O118">
        <v>0.36644467638161732</v>
      </c>
      <c r="P118">
        <v>4.5433421023929119</v>
      </c>
      <c r="Q118">
        <v>308.52</v>
      </c>
      <c r="R118">
        <v>194.34</v>
      </c>
    </row>
    <row r="119" spans="1:18" x14ac:dyDescent="0.25">
      <c r="A119" t="s">
        <v>135</v>
      </c>
      <c r="B119">
        <v>0.58380001783370972</v>
      </c>
      <c r="C119" t="s">
        <v>527</v>
      </c>
      <c r="D119" t="s">
        <v>906</v>
      </c>
      <c r="E119" t="s">
        <v>888</v>
      </c>
      <c r="F119" t="s">
        <v>888</v>
      </c>
      <c r="G119">
        <v>33691099533.600006</v>
      </c>
      <c r="H119">
        <v>1.333075</v>
      </c>
      <c r="I119" t="s">
        <v>907</v>
      </c>
      <c r="J119">
        <v>3.9000000953674316</v>
      </c>
      <c r="K119" t="s">
        <v>582</v>
      </c>
      <c r="L119">
        <v>0.60485309362411499</v>
      </c>
      <c r="M119">
        <v>17.620475166851765</v>
      </c>
      <c r="N119">
        <v>14.364617575500382</v>
      </c>
      <c r="O119">
        <v>0.1839657960540243</v>
      </c>
      <c r="P119">
        <v>3.1157978867787119</v>
      </c>
      <c r="Q119">
        <v>125.67</v>
      </c>
      <c r="R119">
        <v>97.87</v>
      </c>
    </row>
    <row r="120" spans="1:18" x14ac:dyDescent="0.25">
      <c r="A120" t="s">
        <v>136</v>
      </c>
      <c r="B120">
        <v>1.8650000095367432</v>
      </c>
      <c r="C120" t="s">
        <v>604</v>
      </c>
      <c r="D120" t="s">
        <v>908</v>
      </c>
      <c r="E120" t="s">
        <v>668</v>
      </c>
      <c r="F120" t="s">
        <v>669</v>
      </c>
      <c r="G120">
        <v>45611015252.150002</v>
      </c>
      <c r="H120">
        <v>15.85859</v>
      </c>
      <c r="I120" t="s">
        <v>909</v>
      </c>
      <c r="J120">
        <v>5.9800000190734863</v>
      </c>
      <c r="K120" t="s">
        <v>552</v>
      </c>
      <c r="L120">
        <v>0.93577378988265991</v>
      </c>
      <c r="M120">
        <v>25.987889573242295</v>
      </c>
      <c r="N120">
        <v>0.31533096397390786</v>
      </c>
      <c r="O120">
        <v>11.828380333037023</v>
      </c>
      <c r="P120">
        <v>4.8204795970362424</v>
      </c>
      <c r="Q120">
        <v>11.97</v>
      </c>
      <c r="R120">
        <v>8.4450000000000003</v>
      </c>
    </row>
    <row r="121" spans="1:18" x14ac:dyDescent="0.25">
      <c r="A121" t="s">
        <v>137</v>
      </c>
      <c r="B121">
        <v>-0.16670000553131104</v>
      </c>
      <c r="C121" t="s">
        <v>632</v>
      </c>
      <c r="D121" t="s">
        <v>910</v>
      </c>
      <c r="E121" t="s">
        <v>810</v>
      </c>
      <c r="F121" t="s">
        <v>810</v>
      </c>
      <c r="G121">
        <v>147960172447.79996</v>
      </c>
      <c r="H121">
        <v>0.22317970000000001</v>
      </c>
      <c r="I121" t="s">
        <v>911</v>
      </c>
      <c r="J121">
        <v>6.880000114440918</v>
      </c>
      <c r="K121" t="s">
        <v>532</v>
      </c>
      <c r="L121">
        <v>0.62756550312042236</v>
      </c>
      <c r="M121">
        <v>32.918055880318519</v>
      </c>
      <c r="N121">
        <v>8.7732780133764343E-2</v>
      </c>
      <c r="O121">
        <v>13.900289372647665</v>
      </c>
      <c r="P121">
        <v>3.2327970031893254</v>
      </c>
      <c r="Q121">
        <v>86.1</v>
      </c>
      <c r="R121">
        <v>61.75</v>
      </c>
    </row>
    <row r="122" spans="1:18" x14ac:dyDescent="0.25">
      <c r="A122" t="s">
        <v>138</v>
      </c>
      <c r="B122">
        <v>0.40450000762939453</v>
      </c>
      <c r="C122" t="s">
        <v>527</v>
      </c>
      <c r="D122" t="s">
        <v>912</v>
      </c>
      <c r="E122" t="s">
        <v>913</v>
      </c>
      <c r="F122" t="s">
        <v>913</v>
      </c>
      <c r="G122">
        <v>13043438541.900002</v>
      </c>
      <c r="H122">
        <v>22.326260000000001</v>
      </c>
      <c r="I122" t="s">
        <v>914</v>
      </c>
      <c r="J122">
        <v>6.7100000381469727</v>
      </c>
      <c r="K122" t="s">
        <v>558</v>
      </c>
      <c r="L122">
        <v>0.99538862705230713</v>
      </c>
      <c r="M122">
        <v>25.882773221290556</v>
      </c>
      <c r="N122">
        <v>22.544084853458841</v>
      </c>
      <c r="O122">
        <v>0.81038728106813362</v>
      </c>
      <c r="P122">
        <v>5.1275752961933607</v>
      </c>
      <c r="Q122">
        <v>25.35</v>
      </c>
      <c r="R122">
        <v>16.25</v>
      </c>
    </row>
    <row r="123" spans="1:18" x14ac:dyDescent="0.25">
      <c r="A123" t="s">
        <v>139</v>
      </c>
      <c r="B123">
        <v>1.6917999982833862</v>
      </c>
      <c r="C123" t="s">
        <v>604</v>
      </c>
      <c r="D123" t="s">
        <v>915</v>
      </c>
      <c r="E123" t="s">
        <v>916</v>
      </c>
      <c r="F123" t="s">
        <v>917</v>
      </c>
      <c r="G123">
        <v>45368543277.279999</v>
      </c>
      <c r="H123">
        <v>14.23931</v>
      </c>
      <c r="I123" t="s">
        <v>918</v>
      </c>
      <c r="J123">
        <v>3.5199999809265137</v>
      </c>
      <c r="K123" t="s">
        <v>526</v>
      </c>
      <c r="L123">
        <v>1.0056698322296143</v>
      </c>
      <c r="M123">
        <v>20.090136096585034</v>
      </c>
      <c r="N123">
        <v>15.223303776069056</v>
      </c>
      <c r="O123">
        <v>-21.392957681505003</v>
      </c>
      <c r="P123">
        <v>5.1805371768593789</v>
      </c>
      <c r="Q123">
        <v>246.5</v>
      </c>
      <c r="R123">
        <v>160.78</v>
      </c>
    </row>
    <row r="124" spans="1:18" x14ac:dyDescent="0.25">
      <c r="A124" t="s">
        <v>140</v>
      </c>
      <c r="B124">
        <v>0.69539999961853027</v>
      </c>
      <c r="C124" t="s">
        <v>521</v>
      </c>
      <c r="D124" t="s">
        <v>919</v>
      </c>
      <c r="E124" t="s">
        <v>920</v>
      </c>
      <c r="F124" t="s">
        <v>921</v>
      </c>
      <c r="G124">
        <v>64471029357.170006</v>
      </c>
      <c r="H124">
        <v>17.883400000000002</v>
      </c>
      <c r="I124" t="s">
        <v>922</v>
      </c>
      <c r="J124">
        <v>7.4000000953674316</v>
      </c>
      <c r="K124" t="s">
        <v>582</v>
      </c>
      <c r="L124">
        <v>1.3594260215759277</v>
      </c>
      <c r="M124">
        <v>32.303630563989159</v>
      </c>
      <c r="N124">
        <v>0.61479341317365266</v>
      </c>
      <c r="O124">
        <v>3.8155126753820157</v>
      </c>
      <c r="P124">
        <v>7.0028520477247236</v>
      </c>
      <c r="Q124">
        <v>52.61</v>
      </c>
      <c r="R124">
        <v>27.92</v>
      </c>
    </row>
    <row r="125" spans="1:18" x14ac:dyDescent="0.25">
      <c r="A125" t="s">
        <v>141</v>
      </c>
      <c r="B125">
        <v>-1.4357000589370728</v>
      </c>
      <c r="C125" t="s">
        <v>537</v>
      </c>
      <c r="D125" t="s">
        <v>923</v>
      </c>
      <c r="E125" t="s">
        <v>539</v>
      </c>
      <c r="F125" t="s">
        <v>788</v>
      </c>
      <c r="G125">
        <v>23362441526.629997</v>
      </c>
      <c r="H125">
        <v>-1.3862410000000001</v>
      </c>
      <c r="I125" t="s">
        <v>924</v>
      </c>
      <c r="J125">
        <v>4.8400001525878906</v>
      </c>
      <c r="K125" t="s">
        <v>582</v>
      </c>
      <c r="L125">
        <v>0.72046911716461182</v>
      </c>
      <c r="M125">
        <v>31.664774554764879</v>
      </c>
      <c r="N125">
        <v>0.25830386999883181</v>
      </c>
      <c r="O125">
        <v>35.799796314665123</v>
      </c>
      <c r="P125">
        <v>3.7113741773235795</v>
      </c>
      <c r="Q125">
        <v>123.29</v>
      </c>
      <c r="R125">
        <v>69.180000000000007</v>
      </c>
    </row>
    <row r="126" spans="1:18" x14ac:dyDescent="0.25">
      <c r="A126" t="s">
        <v>142</v>
      </c>
      <c r="B126">
        <v>2.5940001010894775</v>
      </c>
      <c r="C126" t="s">
        <v>553</v>
      </c>
      <c r="D126" t="s">
        <v>925</v>
      </c>
      <c r="E126" t="s">
        <v>771</v>
      </c>
      <c r="F126" t="s">
        <v>772</v>
      </c>
      <c r="G126">
        <v>34893646513.989998</v>
      </c>
      <c r="H126">
        <v>14.427160000000001</v>
      </c>
      <c r="I126" t="s">
        <v>926</v>
      </c>
      <c r="J126">
        <v>6.5999999046325684</v>
      </c>
      <c r="K126" t="s">
        <v>582</v>
      </c>
      <c r="L126">
        <v>1.0702426433563232</v>
      </c>
      <c r="M126">
        <v>44.154108737032772</v>
      </c>
      <c r="N126">
        <v>0.67891789879051023</v>
      </c>
      <c r="O126">
        <v>15.042547481571978</v>
      </c>
      <c r="P126">
        <v>5.5131730360007287</v>
      </c>
      <c r="Q126">
        <v>93.23</v>
      </c>
      <c r="R126">
        <v>57.52</v>
      </c>
    </row>
    <row r="127" spans="1:18" x14ac:dyDescent="0.25">
      <c r="A127" t="s">
        <v>143</v>
      </c>
      <c r="B127">
        <v>-7.0000000298023224E-2</v>
      </c>
      <c r="C127" t="s">
        <v>547</v>
      </c>
      <c r="D127" t="s">
        <v>927</v>
      </c>
      <c r="E127" t="s">
        <v>651</v>
      </c>
      <c r="F127" t="s">
        <v>651</v>
      </c>
      <c r="G127">
        <v>84469289254.839981</v>
      </c>
      <c r="H127">
        <v>19.177199999999999</v>
      </c>
      <c r="I127" t="s">
        <v>928</v>
      </c>
      <c r="J127">
        <v>7.6999998092651367</v>
      </c>
      <c r="K127" t="s">
        <v>582</v>
      </c>
      <c r="L127">
        <v>0.69171953201293945</v>
      </c>
      <c r="M127">
        <v>19.886930846728852</v>
      </c>
      <c r="N127">
        <v>0.66977441519918868</v>
      </c>
      <c r="O127">
        <v>3.3856515931692579</v>
      </c>
      <c r="P127">
        <v>3.563275576844215</v>
      </c>
      <c r="Q127">
        <v>322.44</v>
      </c>
      <c r="R127">
        <v>239.75</v>
      </c>
    </row>
    <row r="128" spans="1:18" x14ac:dyDescent="0.25">
      <c r="A128" t="s">
        <v>144</v>
      </c>
      <c r="B128">
        <v>0.23549999296665192</v>
      </c>
      <c r="C128" t="s">
        <v>570</v>
      </c>
      <c r="D128" t="s">
        <v>929</v>
      </c>
      <c r="E128" t="s">
        <v>818</v>
      </c>
      <c r="F128" t="s">
        <v>818</v>
      </c>
      <c r="G128">
        <v>27701771914.300003</v>
      </c>
      <c r="H128">
        <v>-19.915320000000001</v>
      </c>
      <c r="I128" t="s">
        <v>930</v>
      </c>
      <c r="J128">
        <v>6.4800000190734863</v>
      </c>
      <c r="K128" t="s">
        <v>631</v>
      </c>
      <c r="L128">
        <v>0.27338743209838867</v>
      </c>
      <c r="M128">
        <v>22.319668589272979</v>
      </c>
      <c r="N128">
        <v>0.46719505143083634</v>
      </c>
      <c r="O128">
        <v>8.3072649485882923</v>
      </c>
      <c r="P128">
        <v>1.4083088805913924</v>
      </c>
      <c r="Q128">
        <v>75.89</v>
      </c>
      <c r="R128">
        <v>49.05</v>
      </c>
    </row>
    <row r="129" spans="1:18" x14ac:dyDescent="0.25">
      <c r="A129" t="s">
        <v>145</v>
      </c>
      <c r="B129">
        <v>0.36779999732971191</v>
      </c>
      <c r="C129" t="s">
        <v>604</v>
      </c>
      <c r="D129" t="s">
        <v>931</v>
      </c>
      <c r="E129" t="s">
        <v>734</v>
      </c>
      <c r="F129" t="s">
        <v>735</v>
      </c>
      <c r="G129">
        <v>18596639707.799995</v>
      </c>
      <c r="H129">
        <v>14.50839</v>
      </c>
      <c r="I129" t="s">
        <v>932</v>
      </c>
      <c r="J129">
        <v>5.5799999237060547</v>
      </c>
      <c r="K129" t="s">
        <v>532</v>
      </c>
      <c r="L129">
        <v>0.76453113555908203</v>
      </c>
      <c r="M129">
        <v>26.476870432429212</v>
      </c>
      <c r="N129">
        <v>0.50948111433918342</v>
      </c>
      <c r="O129">
        <v>0.4136142717469854</v>
      </c>
      <c r="P129">
        <v>3.938352174539566</v>
      </c>
      <c r="Q129">
        <v>149</v>
      </c>
      <c r="R129">
        <v>104.24</v>
      </c>
    </row>
    <row r="130" spans="1:18" x14ac:dyDescent="0.25">
      <c r="A130" t="s">
        <v>146</v>
      </c>
      <c r="B130">
        <v>-0.55159997940063477</v>
      </c>
      <c r="C130" t="s">
        <v>632</v>
      </c>
      <c r="D130" t="s">
        <v>933</v>
      </c>
      <c r="E130" t="s">
        <v>934</v>
      </c>
      <c r="F130" t="s">
        <v>935</v>
      </c>
      <c r="G130">
        <v>24911973749.759998</v>
      </c>
      <c r="H130">
        <v>12.615780000000001</v>
      </c>
      <c r="I130" t="s">
        <v>936</v>
      </c>
      <c r="J130">
        <v>4.1599998474121094</v>
      </c>
      <c r="K130" t="s">
        <v>532</v>
      </c>
      <c r="L130">
        <v>0.51834046840667725</v>
      </c>
      <c r="M130">
        <v>15.962953299936663</v>
      </c>
      <c r="N130">
        <v>0.35161613548237214</v>
      </c>
      <c r="O130">
        <v>16.818655036809108</v>
      </c>
      <c r="P130">
        <v>2.6701428051173686</v>
      </c>
      <c r="Q130">
        <v>166.67</v>
      </c>
      <c r="R130">
        <v>125.77</v>
      </c>
    </row>
    <row r="131" spans="1:18" x14ac:dyDescent="0.25">
      <c r="A131" t="s">
        <v>147</v>
      </c>
      <c r="B131">
        <v>0.17200000584125519</v>
      </c>
      <c r="C131" t="s">
        <v>547</v>
      </c>
      <c r="D131" t="s">
        <v>937</v>
      </c>
      <c r="E131" t="s">
        <v>938</v>
      </c>
      <c r="F131" t="s">
        <v>939</v>
      </c>
      <c r="G131">
        <v>50634291286.260002</v>
      </c>
      <c r="H131">
        <v>-2.850797E-3</v>
      </c>
      <c r="I131" t="s">
        <v>940</v>
      </c>
      <c r="J131">
        <v>3.6400001049041748</v>
      </c>
      <c r="K131" t="s">
        <v>631</v>
      </c>
      <c r="L131">
        <v>0.89333266019821167</v>
      </c>
      <c r="M131">
        <v>18.821884841245502</v>
      </c>
      <c r="N131">
        <v>6.325380871167531</v>
      </c>
      <c r="O131">
        <v>0.33902435480696713</v>
      </c>
      <c r="P131">
        <v>4.6018513324588532</v>
      </c>
      <c r="Q131">
        <v>1226.8</v>
      </c>
      <c r="R131">
        <v>900.02</v>
      </c>
    </row>
    <row r="132" spans="1:18" x14ac:dyDescent="0.25">
      <c r="A132" t="s">
        <v>148</v>
      </c>
      <c r="B132">
        <v>0.13379999995231628</v>
      </c>
      <c r="C132" t="s">
        <v>537</v>
      </c>
      <c r="D132" t="s">
        <v>941</v>
      </c>
      <c r="E132" t="s">
        <v>942</v>
      </c>
      <c r="F132" t="s">
        <v>943</v>
      </c>
      <c r="G132">
        <v>19140917189.899998</v>
      </c>
      <c r="H132">
        <v>-17.432880000000001</v>
      </c>
      <c r="I132" t="s">
        <v>944</v>
      </c>
      <c r="J132">
        <v>5.7899999618530273</v>
      </c>
      <c r="K132" t="s">
        <v>526</v>
      </c>
      <c r="L132">
        <v>0.83908259868621826</v>
      </c>
      <c r="M132">
        <v>40.459478109027572</v>
      </c>
      <c r="N132">
        <v>0.44658828250598948</v>
      </c>
      <c r="O132">
        <v>6.0382364785374492</v>
      </c>
      <c r="P132">
        <v>4.3223913630902766</v>
      </c>
      <c r="Q132">
        <v>34.97</v>
      </c>
      <c r="R132">
        <v>18.72</v>
      </c>
    </row>
    <row r="133" spans="1:18" x14ac:dyDescent="0.25">
      <c r="A133" t="s">
        <v>149</v>
      </c>
      <c r="B133">
        <v>-1.4421000480651855</v>
      </c>
      <c r="C133" t="s">
        <v>547</v>
      </c>
      <c r="D133" t="s">
        <v>945</v>
      </c>
      <c r="E133" t="s">
        <v>651</v>
      </c>
      <c r="F133" t="s">
        <v>946</v>
      </c>
      <c r="G133">
        <v>50380887205.439987</v>
      </c>
      <c r="H133">
        <v>28.057829999999999</v>
      </c>
      <c r="I133" t="s">
        <v>947</v>
      </c>
      <c r="J133">
        <v>6.809999942779541</v>
      </c>
      <c r="K133" t="s">
        <v>526</v>
      </c>
      <c r="L133">
        <v>0.73706161975860596</v>
      </c>
      <c r="M133">
        <v>19.496612289846851</v>
      </c>
      <c r="N133">
        <v>0.34684948486008177</v>
      </c>
      <c r="O133">
        <v>4.5259010873676324</v>
      </c>
      <c r="P133">
        <v>3.7968476337110992</v>
      </c>
      <c r="Q133">
        <v>280</v>
      </c>
      <c r="R133">
        <v>193.09</v>
      </c>
    </row>
    <row r="134" spans="1:18" x14ac:dyDescent="0.25">
      <c r="A134" t="s">
        <v>150</v>
      </c>
      <c r="B134">
        <v>-6.7302999496459961</v>
      </c>
      <c r="C134" t="s">
        <v>587</v>
      </c>
      <c r="D134" t="s">
        <v>948</v>
      </c>
      <c r="E134" t="s">
        <v>949</v>
      </c>
      <c r="F134" t="s">
        <v>949</v>
      </c>
      <c r="G134">
        <v>12230652772.799999</v>
      </c>
      <c r="H134">
        <v>-13.172180000000001</v>
      </c>
      <c r="I134" t="s">
        <v>950</v>
      </c>
      <c r="J134">
        <v>5.5300002098083496</v>
      </c>
      <c r="K134" t="s">
        <v>532</v>
      </c>
      <c r="L134">
        <v>0.73968559503555298</v>
      </c>
      <c r="M134">
        <v>25.456948764870923</v>
      </c>
      <c r="N134">
        <v>0.33813592431397121</v>
      </c>
      <c r="O134">
        <v>7.4337679082112018</v>
      </c>
      <c r="P134">
        <v>3.810364596274495</v>
      </c>
      <c r="Q134">
        <v>23.26</v>
      </c>
      <c r="R134">
        <v>16.635000000000002</v>
      </c>
    </row>
    <row r="135" spans="1:18" x14ac:dyDescent="0.25">
      <c r="A135" t="s">
        <v>151</v>
      </c>
      <c r="B135">
        <v>1.2702000141143799</v>
      </c>
      <c r="C135" t="s">
        <v>553</v>
      </c>
      <c r="D135" t="s">
        <v>951</v>
      </c>
      <c r="E135" t="s">
        <v>771</v>
      </c>
      <c r="F135" t="s">
        <v>772</v>
      </c>
      <c r="G135">
        <v>20424210153.060001</v>
      </c>
      <c r="H135">
        <v>11.16558</v>
      </c>
      <c r="I135" t="s">
        <v>952</v>
      </c>
      <c r="J135">
        <v>5.3899998664855957</v>
      </c>
      <c r="K135" t="s">
        <v>526</v>
      </c>
      <c r="L135">
        <v>1.073062539100647</v>
      </c>
      <c r="M135">
        <v>45.427597939321132</v>
      </c>
      <c r="N135">
        <v>0.55781093605506049</v>
      </c>
      <c r="O135">
        <v>16.286558109361067</v>
      </c>
      <c r="P135">
        <v>5.5276992495453356</v>
      </c>
      <c r="Q135">
        <v>329.33</v>
      </c>
      <c r="R135">
        <v>174.21</v>
      </c>
    </row>
    <row r="136" spans="1:18" x14ac:dyDescent="0.25">
      <c r="A136" t="s">
        <v>152</v>
      </c>
      <c r="B136">
        <v>0.90090000629425049</v>
      </c>
      <c r="C136" t="s">
        <v>547</v>
      </c>
      <c r="D136" t="s">
        <v>953</v>
      </c>
      <c r="E136" t="s">
        <v>954</v>
      </c>
      <c r="F136" t="s">
        <v>954</v>
      </c>
      <c r="G136">
        <v>17510735014.080002</v>
      </c>
      <c r="H136">
        <v>-8.8164189999999998</v>
      </c>
      <c r="I136" t="s">
        <v>955</v>
      </c>
      <c r="J136">
        <v>4.809999942779541</v>
      </c>
      <c r="K136" t="s">
        <v>532</v>
      </c>
      <c r="L136">
        <v>0.98534369468688965</v>
      </c>
      <c r="M136">
        <v>24.245215324604807</v>
      </c>
      <c r="N136">
        <v>0.50161184739540721</v>
      </c>
      <c r="O136">
        <v>20.879504070588816</v>
      </c>
      <c r="P136">
        <v>5.0758305347514154</v>
      </c>
      <c r="Q136">
        <v>62.754199999999997</v>
      </c>
      <c r="R136">
        <v>45.491199999999999</v>
      </c>
    </row>
    <row r="137" spans="1:18" x14ac:dyDescent="0.25">
      <c r="A137" t="s">
        <v>153</v>
      </c>
      <c r="B137">
        <v>1.7510000467300415</v>
      </c>
      <c r="C137" t="s">
        <v>570</v>
      </c>
      <c r="D137" t="s">
        <v>956</v>
      </c>
      <c r="E137" t="s">
        <v>818</v>
      </c>
      <c r="F137" t="s">
        <v>957</v>
      </c>
      <c r="G137">
        <v>37911221184.800003</v>
      </c>
      <c r="H137">
        <v>10.49306</v>
      </c>
      <c r="I137" t="s">
        <v>958</v>
      </c>
      <c r="J137">
        <v>6.440000057220459</v>
      </c>
      <c r="K137" t="s">
        <v>526</v>
      </c>
      <c r="L137">
        <v>0.40503218770027161</v>
      </c>
      <c r="M137">
        <v>30.912335422027642</v>
      </c>
      <c r="N137">
        <v>0.45778495077042208</v>
      </c>
      <c r="O137">
        <v>43.226018571656056</v>
      </c>
      <c r="P137">
        <v>2.0864544594660401</v>
      </c>
      <c r="Q137">
        <v>208.03</v>
      </c>
      <c r="R137">
        <v>140.13</v>
      </c>
    </row>
    <row r="138" spans="1:18" x14ac:dyDescent="0.25">
      <c r="A138" t="s">
        <v>154</v>
      </c>
      <c r="B138">
        <v>1.5178999900817871</v>
      </c>
      <c r="C138" t="s">
        <v>527</v>
      </c>
      <c r="D138" t="s">
        <v>959</v>
      </c>
      <c r="E138" t="s">
        <v>529</v>
      </c>
      <c r="F138" t="s">
        <v>530</v>
      </c>
      <c r="G138">
        <v>27122995249.200001</v>
      </c>
      <c r="H138">
        <v>12.15385</v>
      </c>
      <c r="I138" t="s">
        <v>960</v>
      </c>
      <c r="J138">
        <v>4.1599998474121094</v>
      </c>
      <c r="K138" t="s">
        <v>532</v>
      </c>
      <c r="L138">
        <v>1.230919361114502</v>
      </c>
      <c r="M138">
        <v>30.981097131214856</v>
      </c>
      <c r="N138">
        <v>0.8494872432352526</v>
      </c>
      <c r="O138">
        <v>-7.8135258781991359</v>
      </c>
      <c r="P138">
        <v>6.3408718324899667</v>
      </c>
      <c r="Q138">
        <v>73.42</v>
      </c>
      <c r="R138">
        <v>40.549999999999997</v>
      </c>
    </row>
    <row r="139" spans="1:18" x14ac:dyDescent="0.25">
      <c r="A139" t="s">
        <v>155</v>
      </c>
      <c r="B139">
        <v>-0.20479999482631683</v>
      </c>
      <c r="C139" t="s">
        <v>570</v>
      </c>
      <c r="D139" t="s">
        <v>961</v>
      </c>
      <c r="E139" t="s">
        <v>818</v>
      </c>
      <c r="F139" t="s">
        <v>962</v>
      </c>
      <c r="G139">
        <v>16078917782.359999</v>
      </c>
      <c r="H139">
        <v>-6.7899289999999999</v>
      </c>
      <c r="I139" t="s">
        <v>963</v>
      </c>
      <c r="J139">
        <v>5.0399999618530273</v>
      </c>
      <c r="K139" t="s">
        <v>532</v>
      </c>
      <c r="L139">
        <v>0.42117658257484436</v>
      </c>
      <c r="M139">
        <v>21.102385199934311</v>
      </c>
      <c r="N139">
        <v>0.54746839958057392</v>
      </c>
      <c r="O139">
        <v>4.0960418999682622</v>
      </c>
      <c r="P139">
        <v>2.1696195651152728</v>
      </c>
      <c r="Q139">
        <v>33.78</v>
      </c>
      <c r="R139">
        <v>27.6</v>
      </c>
    </row>
    <row r="140" spans="1:18" x14ac:dyDescent="0.25">
      <c r="A140" t="s">
        <v>156</v>
      </c>
      <c r="B140">
        <v>1.9673000574111938</v>
      </c>
      <c r="C140" t="s">
        <v>527</v>
      </c>
      <c r="D140" t="s">
        <v>964</v>
      </c>
      <c r="E140" t="s">
        <v>888</v>
      </c>
      <c r="F140" t="s">
        <v>888</v>
      </c>
      <c r="G140">
        <v>80707354000</v>
      </c>
      <c r="H140">
        <v>11.023429999999999</v>
      </c>
      <c r="I140" t="s">
        <v>965</v>
      </c>
      <c r="J140">
        <v>4.0300002098083496</v>
      </c>
      <c r="K140" t="s">
        <v>582</v>
      </c>
      <c r="L140">
        <v>0.56541532278060913</v>
      </c>
      <c r="M140">
        <v>22.018933497115746</v>
      </c>
      <c r="N140">
        <v>0.77443903740726239</v>
      </c>
      <c r="O140">
        <v>0.95870132295316002</v>
      </c>
      <c r="P140">
        <v>2.912640914699435</v>
      </c>
      <c r="Q140">
        <v>351.17500000000001</v>
      </c>
      <c r="R140">
        <v>274.33</v>
      </c>
    </row>
    <row r="141" spans="1:18" x14ac:dyDescent="0.25">
      <c r="A141" t="s">
        <v>157</v>
      </c>
      <c r="B141">
        <v>0.56999999284744263</v>
      </c>
      <c r="C141" t="s">
        <v>570</v>
      </c>
      <c r="D141" t="s">
        <v>966</v>
      </c>
      <c r="E141" t="s">
        <v>818</v>
      </c>
      <c r="F141" t="s">
        <v>967</v>
      </c>
      <c r="G141">
        <v>91388069026.339981</v>
      </c>
      <c r="H141">
        <v>18.16508</v>
      </c>
      <c r="I141" t="s">
        <v>968</v>
      </c>
      <c r="J141">
        <v>6.5399999618530273</v>
      </c>
      <c r="K141" t="s">
        <v>526</v>
      </c>
      <c r="L141">
        <v>0.37945067882537842</v>
      </c>
      <c r="M141">
        <v>18.477548075752125</v>
      </c>
      <c r="N141">
        <v>0.21452995215532722</v>
      </c>
      <c r="O141">
        <v>11.743645402475945</v>
      </c>
      <c r="P141">
        <v>1.9546756653535364</v>
      </c>
      <c r="Q141">
        <v>76.05</v>
      </c>
      <c r="R141">
        <v>53.95</v>
      </c>
    </row>
    <row r="142" spans="1:18" x14ac:dyDescent="0.25">
      <c r="A142" t="s">
        <v>158</v>
      </c>
      <c r="B142">
        <v>1.3741999864578247</v>
      </c>
      <c r="C142" t="s">
        <v>632</v>
      </c>
      <c r="D142" t="s">
        <v>969</v>
      </c>
      <c r="E142" t="s">
        <v>810</v>
      </c>
      <c r="F142" t="s">
        <v>810</v>
      </c>
      <c r="G142">
        <v>25038661347.279999</v>
      </c>
      <c r="H142">
        <v>20.895050000000001</v>
      </c>
      <c r="I142" t="s">
        <v>970</v>
      </c>
      <c r="J142">
        <v>5.2199997901916504</v>
      </c>
      <c r="K142" t="s">
        <v>526</v>
      </c>
      <c r="L142">
        <v>0.5122218132019043</v>
      </c>
      <c r="M142">
        <v>16.025764986483974</v>
      </c>
      <c r="N142">
        <v>0.49137604553440606</v>
      </c>
      <c r="O142">
        <v>8.2767083701868227</v>
      </c>
      <c r="P142">
        <v>2.6386235930013657</v>
      </c>
      <c r="Q142">
        <v>39.299999999999997</v>
      </c>
      <c r="R142">
        <v>25.41</v>
      </c>
    </row>
    <row r="143" spans="1:18" x14ac:dyDescent="0.25">
      <c r="A143" t="s">
        <v>159</v>
      </c>
      <c r="B143">
        <v>3.826200008392334</v>
      </c>
      <c r="C143" t="s">
        <v>553</v>
      </c>
      <c r="D143" t="s">
        <v>971</v>
      </c>
      <c r="E143" t="s">
        <v>678</v>
      </c>
      <c r="F143" t="s">
        <v>972</v>
      </c>
      <c r="G143">
        <v>28722633180.499996</v>
      </c>
      <c r="H143">
        <v>-6.1999950000000004</v>
      </c>
      <c r="I143" t="s">
        <v>973</v>
      </c>
      <c r="J143">
        <v>6.7899999618530273</v>
      </c>
      <c r="K143" t="s">
        <v>532</v>
      </c>
      <c r="L143">
        <v>0.51395398378372192</v>
      </c>
      <c r="M143">
        <v>40.419015574729066</v>
      </c>
      <c r="N143">
        <v>0.31252138681867708</v>
      </c>
      <c r="O143">
        <v>31.937793603766522</v>
      </c>
      <c r="P143">
        <v>2.6475465752846001</v>
      </c>
      <c r="Q143">
        <v>405.93</v>
      </c>
      <c r="R143">
        <v>206.99</v>
      </c>
    </row>
    <row r="144" spans="1:18" x14ac:dyDescent="0.25">
      <c r="A144" t="s">
        <v>160</v>
      </c>
      <c r="B144">
        <v>1.4186999797821045</v>
      </c>
      <c r="C144" t="s">
        <v>527</v>
      </c>
      <c r="D144" t="s">
        <v>974</v>
      </c>
      <c r="E144" t="s">
        <v>888</v>
      </c>
      <c r="F144" t="s">
        <v>888</v>
      </c>
      <c r="G144">
        <v>31044791060.010002</v>
      </c>
      <c r="H144">
        <v>-4.1498609999999998E-2</v>
      </c>
      <c r="I144" t="s">
        <v>975</v>
      </c>
      <c r="J144">
        <v>4.679999828338623</v>
      </c>
      <c r="K144" t="s">
        <v>532</v>
      </c>
      <c r="L144">
        <v>0.52541166543960571</v>
      </c>
      <c r="M144">
        <v>16.570585921101934</v>
      </c>
      <c r="N144">
        <v>0.44401418419544819</v>
      </c>
      <c r="O144">
        <v>7.9142819811911043</v>
      </c>
      <c r="P144">
        <v>2.7065688745290037</v>
      </c>
      <c r="Q144">
        <v>342.54</v>
      </c>
      <c r="R144">
        <v>273.79000000000002</v>
      </c>
    </row>
    <row r="145" spans="1:18" x14ac:dyDescent="0.25">
      <c r="A145" t="s">
        <v>161</v>
      </c>
      <c r="B145">
        <v>-4.9699999392032623E-2</v>
      </c>
      <c r="C145" t="s">
        <v>547</v>
      </c>
      <c r="D145" t="s">
        <v>976</v>
      </c>
      <c r="E145" t="s">
        <v>629</v>
      </c>
      <c r="F145" t="s">
        <v>629</v>
      </c>
      <c r="G145">
        <v>76678099999.999985</v>
      </c>
      <c r="H145">
        <v>3.2102870000000001</v>
      </c>
      <c r="I145" t="s">
        <v>977</v>
      </c>
      <c r="J145">
        <v>5.940000057220459</v>
      </c>
      <c r="K145" t="s">
        <v>582</v>
      </c>
      <c r="L145">
        <v>0.84753137826919556</v>
      </c>
      <c r="M145">
        <v>17.759932331709102</v>
      </c>
      <c r="N145">
        <v>0.36438577883959039</v>
      </c>
      <c r="O145">
        <v>3.8014567670707962</v>
      </c>
      <c r="P145">
        <v>4.3659138148194545</v>
      </c>
      <c r="Q145">
        <v>279.04000000000002</v>
      </c>
      <c r="R145">
        <v>214.69</v>
      </c>
    </row>
    <row r="146" spans="1:18" x14ac:dyDescent="0.25">
      <c r="A146" t="s">
        <v>162</v>
      </c>
      <c r="B146">
        <v>0.17139999568462372</v>
      </c>
      <c r="C146" t="s">
        <v>542</v>
      </c>
      <c r="D146" t="s">
        <v>978</v>
      </c>
      <c r="E146" t="s">
        <v>613</v>
      </c>
      <c r="F146" t="s">
        <v>613</v>
      </c>
      <c r="G146">
        <v>23853448071.000004</v>
      </c>
      <c r="H146">
        <v>4.0795260000000004</v>
      </c>
      <c r="I146" t="s">
        <v>979</v>
      </c>
      <c r="J146">
        <v>5.2800002098083496</v>
      </c>
      <c r="K146" t="s">
        <v>526</v>
      </c>
      <c r="L146">
        <v>1.0501358509063721</v>
      </c>
      <c r="M146">
        <v>29.268135652100053</v>
      </c>
      <c r="N146">
        <v>0.42572389304189079</v>
      </c>
      <c r="O146">
        <v>25.301042817630794</v>
      </c>
      <c r="P146">
        <v>5.409596312849521</v>
      </c>
      <c r="Q146">
        <v>237.03</v>
      </c>
      <c r="R146">
        <v>137.31</v>
      </c>
    </row>
    <row r="147" spans="1:18" x14ac:dyDescent="0.25">
      <c r="A147" t="s">
        <v>163</v>
      </c>
      <c r="B147">
        <v>2.2393999099731445</v>
      </c>
      <c r="C147" t="s">
        <v>547</v>
      </c>
      <c r="D147" t="s">
        <v>980</v>
      </c>
      <c r="E147" t="s">
        <v>720</v>
      </c>
      <c r="F147" t="s">
        <v>721</v>
      </c>
      <c r="G147">
        <v>105280110564.48999</v>
      </c>
      <c r="H147">
        <v>27.811019999999999</v>
      </c>
      <c r="I147" t="s">
        <v>981</v>
      </c>
      <c r="J147">
        <v>4.8299999237060547</v>
      </c>
      <c r="K147" t="s">
        <v>631</v>
      </c>
      <c r="L147">
        <v>1.1926896572113037</v>
      </c>
      <c r="M147">
        <v>17.941829946914243</v>
      </c>
      <c r="N147">
        <v>0.3340458453129343</v>
      </c>
      <c r="O147">
        <v>4.8278130163637391E-2</v>
      </c>
      <c r="P147">
        <v>6.1439380118823053</v>
      </c>
      <c r="Q147">
        <v>473.07</v>
      </c>
      <c r="R147">
        <v>301.62</v>
      </c>
    </row>
    <row r="148" spans="1:18" x14ac:dyDescent="0.25">
      <c r="A148" t="s">
        <v>164</v>
      </c>
      <c r="B148">
        <v>-0.98820000886917114</v>
      </c>
      <c r="C148" t="s">
        <v>533</v>
      </c>
      <c r="D148" t="s">
        <v>982</v>
      </c>
      <c r="E148" t="s">
        <v>858</v>
      </c>
      <c r="F148" t="s">
        <v>983</v>
      </c>
      <c r="G148">
        <v>9541239459.5000019</v>
      </c>
      <c r="H148">
        <v>-7.0306940000000004</v>
      </c>
      <c r="I148" t="s">
        <v>984</v>
      </c>
      <c r="J148">
        <v>6</v>
      </c>
      <c r="K148" t="s">
        <v>558</v>
      </c>
      <c r="L148">
        <v>0.89963662624359131</v>
      </c>
      <c r="M148">
        <v>32.696621637696502</v>
      </c>
      <c r="N148">
        <v>0.44442706183258956</v>
      </c>
      <c r="O148">
        <v>17.207152587967268</v>
      </c>
      <c r="P148">
        <v>4.6343251418673992</v>
      </c>
      <c r="Q148">
        <v>33</v>
      </c>
      <c r="R148">
        <v>22.53</v>
      </c>
    </row>
    <row r="149" spans="1:18" x14ac:dyDescent="0.25">
      <c r="A149" t="s">
        <v>165</v>
      </c>
      <c r="B149">
        <v>0.98839998245239258</v>
      </c>
      <c r="C149" t="s">
        <v>521</v>
      </c>
      <c r="D149" t="s">
        <v>985</v>
      </c>
      <c r="E149" t="s">
        <v>740</v>
      </c>
      <c r="F149" t="s">
        <v>986</v>
      </c>
      <c r="G149">
        <v>19601214137.349998</v>
      </c>
      <c r="H149">
        <v>-9.3672419999999992</v>
      </c>
      <c r="I149" t="s">
        <v>987</v>
      </c>
      <c r="J149">
        <v>4.8000001907348633</v>
      </c>
      <c r="K149" t="s">
        <v>526</v>
      </c>
      <c r="L149">
        <v>0.77590405941009521</v>
      </c>
      <c r="M149">
        <v>28.016307721531408</v>
      </c>
      <c r="N149">
        <v>0.14130925840424752</v>
      </c>
      <c r="O149">
        <v>45.298544291434737</v>
      </c>
      <c r="P149">
        <v>3.9969378583610058</v>
      </c>
      <c r="Q149">
        <v>106.77</v>
      </c>
      <c r="R149">
        <v>65.94</v>
      </c>
    </row>
    <row r="150" spans="1:18" x14ac:dyDescent="0.25">
      <c r="A150" t="s">
        <v>166</v>
      </c>
      <c r="B150">
        <v>2.3273999691009521</v>
      </c>
      <c r="C150" t="s">
        <v>547</v>
      </c>
      <c r="D150" t="s">
        <v>988</v>
      </c>
      <c r="E150" t="s">
        <v>874</v>
      </c>
      <c r="F150" t="s">
        <v>989</v>
      </c>
      <c r="G150">
        <v>9273455470.079998</v>
      </c>
      <c r="H150">
        <v>1.231859</v>
      </c>
      <c r="I150" t="s">
        <v>990</v>
      </c>
      <c r="J150">
        <v>5.6500000953674316</v>
      </c>
      <c r="K150" t="s">
        <v>558</v>
      </c>
      <c r="L150">
        <v>1.4543453454971313</v>
      </c>
      <c r="M150">
        <v>30.608125063160109</v>
      </c>
      <c r="N150">
        <v>1.6661349166788673</v>
      </c>
      <c r="O150">
        <v>1.0759820556709563</v>
      </c>
      <c r="P150">
        <v>7.4918128086197369</v>
      </c>
      <c r="Q150">
        <v>195.86</v>
      </c>
      <c r="R150">
        <v>99.5</v>
      </c>
    </row>
    <row r="151" spans="1:18" x14ac:dyDescent="0.25">
      <c r="A151" t="s">
        <v>167</v>
      </c>
      <c r="B151">
        <v>-0.50800001621246338</v>
      </c>
      <c r="C151" t="s">
        <v>542</v>
      </c>
      <c r="D151" t="s">
        <v>991</v>
      </c>
      <c r="E151" t="s">
        <v>544</v>
      </c>
      <c r="F151" t="s">
        <v>654</v>
      </c>
      <c r="G151">
        <v>56294667917.549995</v>
      </c>
      <c r="H151">
        <v>7.4284309999999998</v>
      </c>
      <c r="I151" t="s">
        <v>992</v>
      </c>
      <c r="J151">
        <v>6.190000057220459</v>
      </c>
      <c r="K151" t="s">
        <v>631</v>
      </c>
      <c r="L151">
        <v>1.345407247543335</v>
      </c>
      <c r="M151">
        <v>36.035684168501085</v>
      </c>
      <c r="N151">
        <v>0.15302493600132638</v>
      </c>
      <c r="O151">
        <v>-1.7638287297369961</v>
      </c>
      <c r="P151">
        <v>12.180399496410702</v>
      </c>
      <c r="Q151">
        <v>264.45</v>
      </c>
      <c r="R151">
        <v>148.09</v>
      </c>
    </row>
    <row r="152" spans="1:18" x14ac:dyDescent="0.25">
      <c r="A152" t="s">
        <v>168</v>
      </c>
      <c r="B152">
        <v>-3.7599999457597733E-2</v>
      </c>
      <c r="C152" t="s">
        <v>570</v>
      </c>
      <c r="D152" t="s">
        <v>993</v>
      </c>
      <c r="E152" t="s">
        <v>818</v>
      </c>
      <c r="F152" t="s">
        <v>994</v>
      </c>
      <c r="G152">
        <v>27696146277.420002</v>
      </c>
      <c r="H152">
        <v>-1.4079299999999999</v>
      </c>
      <c r="I152" t="s">
        <v>995</v>
      </c>
      <c r="J152">
        <v>4.369999885559082</v>
      </c>
      <c r="K152" t="s">
        <v>631</v>
      </c>
      <c r="L152">
        <v>0.38262811303138733</v>
      </c>
      <c r="M152">
        <v>7.5357801250449441</v>
      </c>
      <c r="N152">
        <v>0.8984188400500257</v>
      </c>
      <c r="O152">
        <v>11.531126632952311</v>
      </c>
      <c r="P152">
        <v>1.9710436775019764</v>
      </c>
      <c r="Q152">
        <v>83.2</v>
      </c>
      <c r="R152">
        <v>56.66</v>
      </c>
    </row>
    <row r="153" spans="1:18" x14ac:dyDescent="0.25">
      <c r="A153" t="s">
        <v>169</v>
      </c>
      <c r="B153">
        <v>0.27669999003410339</v>
      </c>
      <c r="C153" t="s">
        <v>547</v>
      </c>
      <c r="D153" t="s">
        <v>996</v>
      </c>
      <c r="E153" t="s">
        <v>584</v>
      </c>
      <c r="F153" t="s">
        <v>584</v>
      </c>
      <c r="G153">
        <v>29799300093.600002</v>
      </c>
      <c r="H153">
        <v>12.20753</v>
      </c>
      <c r="I153" t="s">
        <v>997</v>
      </c>
      <c r="J153">
        <v>5.0799999237060547</v>
      </c>
      <c r="K153" t="s">
        <v>631</v>
      </c>
      <c r="L153">
        <v>0.73555070161819458</v>
      </c>
      <c r="M153">
        <v>21.370651964265011</v>
      </c>
      <c r="N153">
        <v>0.65801586485662744</v>
      </c>
      <c r="O153">
        <v>-8.2147731959379406</v>
      </c>
      <c r="P153">
        <v>3.7890643957668542</v>
      </c>
      <c r="Q153">
        <v>257.64999999999998</v>
      </c>
      <c r="R153">
        <v>206.48</v>
      </c>
    </row>
    <row r="154" spans="1:18" x14ac:dyDescent="0.25">
      <c r="A154" t="s">
        <v>170</v>
      </c>
      <c r="B154">
        <v>-0.9099000096321106</v>
      </c>
      <c r="C154" t="s">
        <v>587</v>
      </c>
      <c r="D154" t="s">
        <v>998</v>
      </c>
      <c r="E154" t="s">
        <v>870</v>
      </c>
      <c r="F154" t="s">
        <v>871</v>
      </c>
      <c r="G154">
        <v>14799480096.060003</v>
      </c>
      <c r="H154">
        <v>-7.0422549999999999</v>
      </c>
      <c r="I154" t="s">
        <v>999</v>
      </c>
      <c r="J154">
        <v>6.119999885559082</v>
      </c>
      <c r="K154" t="s">
        <v>582</v>
      </c>
      <c r="L154">
        <v>0.88148367404937744</v>
      </c>
      <c r="M154">
        <v>21.942677000529372</v>
      </c>
      <c r="N154">
        <v>2.2582972209214263</v>
      </c>
      <c r="O154">
        <v>1.4829577837559791</v>
      </c>
      <c r="P154">
        <v>4.5408132946407793</v>
      </c>
      <c r="Q154">
        <v>25.83</v>
      </c>
      <c r="R154">
        <v>17.934999999999999</v>
      </c>
    </row>
    <row r="155" spans="1:18" x14ac:dyDescent="0.25">
      <c r="A155" t="s">
        <v>171</v>
      </c>
      <c r="B155">
        <v>0.94300001859664917</v>
      </c>
      <c r="C155" t="s">
        <v>542</v>
      </c>
      <c r="D155" t="s">
        <v>1000</v>
      </c>
      <c r="E155" t="s">
        <v>672</v>
      </c>
      <c r="F155" t="s">
        <v>672</v>
      </c>
      <c r="G155">
        <v>688501144960.00012</v>
      </c>
      <c r="H155">
        <v>47.09554</v>
      </c>
      <c r="I155" t="s">
        <v>1001</v>
      </c>
      <c r="J155">
        <v>4.1399998664855957</v>
      </c>
      <c r="K155" t="s">
        <v>526</v>
      </c>
      <c r="L155">
        <v>1.2633814811706543</v>
      </c>
      <c r="M155">
        <v>41.71749945029871</v>
      </c>
      <c r="N155">
        <v>41.467271494958943</v>
      </c>
      <c r="O155">
        <v>1.0548788475219444</v>
      </c>
      <c r="P155">
        <v>6.5080949253988258</v>
      </c>
      <c r="Q155">
        <v>251.51</v>
      </c>
      <c r="R155">
        <v>119.01</v>
      </c>
    </row>
    <row r="156" spans="1:18" x14ac:dyDescent="0.25">
      <c r="A156" t="s">
        <v>172</v>
      </c>
      <c r="B156">
        <v>-1.2711000442504883</v>
      </c>
      <c r="C156" t="s">
        <v>570</v>
      </c>
      <c r="D156" t="s">
        <v>1002</v>
      </c>
      <c r="E156" t="s">
        <v>1003</v>
      </c>
      <c r="F156" t="s">
        <v>1004</v>
      </c>
      <c r="G156">
        <v>47246196183.479996</v>
      </c>
      <c r="H156">
        <v>16.86018</v>
      </c>
      <c r="I156" t="s">
        <v>1005</v>
      </c>
      <c r="J156">
        <v>6.1599998474121094</v>
      </c>
      <c r="K156" t="s">
        <v>526</v>
      </c>
      <c r="L156">
        <v>0.32414260506629944</v>
      </c>
      <c r="M156">
        <v>28.422081829728267</v>
      </c>
      <c r="N156">
        <v>0.8803511437999938</v>
      </c>
      <c r="O156">
        <v>0.43519961675040364</v>
      </c>
      <c r="P156">
        <v>1.6697655257561803</v>
      </c>
      <c r="Q156">
        <v>74.099999999999994</v>
      </c>
      <c r="R156">
        <v>50.7</v>
      </c>
    </row>
    <row r="157" spans="1:18" x14ac:dyDescent="0.25">
      <c r="A157" t="s">
        <v>173</v>
      </c>
      <c r="B157">
        <v>1.6033999919891357</v>
      </c>
      <c r="C157" t="s">
        <v>604</v>
      </c>
      <c r="D157" t="s">
        <v>1006</v>
      </c>
      <c r="E157" t="s">
        <v>1007</v>
      </c>
      <c r="F157" t="s">
        <v>1007</v>
      </c>
      <c r="G157">
        <v>29729934676.889996</v>
      </c>
      <c r="H157">
        <v>-11.99006</v>
      </c>
      <c r="I157" t="s">
        <v>1008</v>
      </c>
      <c r="J157">
        <v>2.0699999332427979</v>
      </c>
      <c r="K157" t="s">
        <v>582</v>
      </c>
      <c r="L157">
        <v>0.91524529457092285</v>
      </c>
      <c r="M157">
        <v>39.01913649132991</v>
      </c>
      <c r="N157">
        <v>2.540531788880219</v>
      </c>
      <c r="O157">
        <v>-2.8642842791857812</v>
      </c>
      <c r="P157">
        <v>4.7147305432820321</v>
      </c>
      <c r="Q157">
        <v>185.45949999999999</v>
      </c>
      <c r="R157">
        <v>98.88</v>
      </c>
    </row>
    <row r="158" spans="1:18" x14ac:dyDescent="0.25">
      <c r="A158" t="s">
        <v>174</v>
      </c>
      <c r="B158">
        <v>0.90140002965927124</v>
      </c>
      <c r="C158" t="s">
        <v>553</v>
      </c>
      <c r="D158" t="s">
        <v>1009</v>
      </c>
      <c r="E158" t="s">
        <v>576</v>
      </c>
      <c r="F158" t="s">
        <v>576</v>
      </c>
      <c r="G158">
        <v>770215286211.19006</v>
      </c>
      <c r="H158">
        <v>5.2707249999999997</v>
      </c>
      <c r="I158" t="s">
        <v>1010</v>
      </c>
      <c r="J158">
        <v>5.690000057220459</v>
      </c>
      <c r="K158" t="s">
        <v>526</v>
      </c>
      <c r="L158">
        <v>0.80148863792419434</v>
      </c>
      <c r="M158">
        <v>41.409899691135877</v>
      </c>
      <c r="N158">
        <v>0.17704032696035402</v>
      </c>
      <c r="O158">
        <v>9.035925974956049</v>
      </c>
      <c r="P158">
        <v>4.1287324651980395</v>
      </c>
      <c r="Q158">
        <v>972.24</v>
      </c>
      <c r="R158">
        <v>678.02</v>
      </c>
    </row>
    <row r="159" spans="1:18" x14ac:dyDescent="0.25">
      <c r="A159" t="s">
        <v>175</v>
      </c>
      <c r="B159">
        <v>-18.486799240112305</v>
      </c>
      <c r="C159" t="s">
        <v>533</v>
      </c>
      <c r="D159" t="s">
        <v>1011</v>
      </c>
      <c r="E159" t="s">
        <v>1012</v>
      </c>
      <c r="F159" t="s">
        <v>1012</v>
      </c>
      <c r="G159">
        <v>47411073753.749992</v>
      </c>
      <c r="H159">
        <v>-9.6332789999999999</v>
      </c>
      <c r="I159" t="s">
        <v>1013</v>
      </c>
      <c r="J159">
        <v>4.820000171661377</v>
      </c>
      <c r="K159" t="s">
        <v>582</v>
      </c>
      <c r="L159">
        <v>0.80968552827835083</v>
      </c>
      <c r="M159">
        <v>51.467409651742166</v>
      </c>
      <c r="N159">
        <v>0.29951900198402531</v>
      </c>
      <c r="O159">
        <v>2.6315393376247411</v>
      </c>
      <c r="P159">
        <v>4.1709573523861172</v>
      </c>
      <c r="Q159">
        <v>436.56</v>
      </c>
      <c r="R159">
        <v>307.33999999999997</v>
      </c>
    </row>
    <row r="160" spans="1:18" x14ac:dyDescent="0.25">
      <c r="A160" t="s">
        <v>176</v>
      </c>
      <c r="B160">
        <v>0.43830001354217529</v>
      </c>
      <c r="C160" t="s">
        <v>527</v>
      </c>
      <c r="D160" t="s">
        <v>1014</v>
      </c>
      <c r="E160" t="s">
        <v>647</v>
      </c>
      <c r="F160" t="s">
        <v>647</v>
      </c>
      <c r="G160">
        <v>19220783756.48</v>
      </c>
      <c r="H160">
        <v>8.2300120000000003</v>
      </c>
      <c r="I160" t="s">
        <v>1015</v>
      </c>
      <c r="J160">
        <v>1.6699999570846558</v>
      </c>
      <c r="K160" t="s">
        <v>552</v>
      </c>
      <c r="L160">
        <v>0.61436396837234497</v>
      </c>
      <c r="M160">
        <v>15.403791704062025</v>
      </c>
      <c r="N160">
        <v>7.9585556745105439</v>
      </c>
      <c r="O160">
        <v>0.4896706038799708</v>
      </c>
      <c r="P160">
        <v>3.1647915411955116</v>
      </c>
      <c r="Q160">
        <v>93.21</v>
      </c>
      <c r="R160">
        <v>75.16</v>
      </c>
    </row>
    <row r="161" spans="1:18" x14ac:dyDescent="0.25">
      <c r="A161" t="s">
        <v>177</v>
      </c>
      <c r="B161">
        <v>0.54970002174377441</v>
      </c>
      <c r="C161" t="s">
        <v>604</v>
      </c>
      <c r="D161" t="s">
        <v>1016</v>
      </c>
      <c r="E161" t="s">
        <v>606</v>
      </c>
      <c r="F161" t="s">
        <v>607</v>
      </c>
      <c r="G161">
        <v>127107261061.20004</v>
      </c>
      <c r="H161">
        <v>-8.1037289999999995</v>
      </c>
      <c r="I161" t="s">
        <v>1017</v>
      </c>
      <c r="J161">
        <v>5.179999828338623</v>
      </c>
      <c r="K161" t="s">
        <v>532</v>
      </c>
      <c r="L161">
        <v>0.89792513847351074</v>
      </c>
      <c r="M161">
        <v>23.096144287935946</v>
      </c>
      <c r="N161">
        <v>0.11633756583470385</v>
      </c>
      <c r="O161">
        <v>15.966374618692663</v>
      </c>
      <c r="P161">
        <v>4.6255087035727502</v>
      </c>
      <c r="Q161">
        <v>286.99</v>
      </c>
      <c r="R161">
        <v>206.58</v>
      </c>
    </row>
    <row r="162" spans="1:18" x14ac:dyDescent="0.25">
      <c r="A162" t="s">
        <v>178</v>
      </c>
      <c r="B162">
        <v>1.1519999504089355</v>
      </c>
      <c r="C162" t="s">
        <v>547</v>
      </c>
      <c r="D162" t="s">
        <v>1018</v>
      </c>
      <c r="E162" t="s">
        <v>1019</v>
      </c>
      <c r="F162" t="s">
        <v>1019</v>
      </c>
      <c r="G162">
        <v>23619508191.299999</v>
      </c>
      <c r="H162">
        <v>5.6458700000000004</v>
      </c>
      <c r="I162" t="s">
        <v>1020</v>
      </c>
      <c r="J162">
        <v>5.8499999046325684</v>
      </c>
      <c r="K162" t="s">
        <v>532</v>
      </c>
      <c r="L162">
        <v>1.1466436386108398</v>
      </c>
      <c r="M162">
        <v>28.357991784080301</v>
      </c>
      <c r="N162">
        <v>0.41237772752311108</v>
      </c>
      <c r="O162">
        <v>16.586088550654114</v>
      </c>
      <c r="P162">
        <v>5.9067397748851773</v>
      </c>
      <c r="Q162">
        <v>479.74</v>
      </c>
      <c r="R162">
        <v>299.42500000000001</v>
      </c>
    </row>
    <row r="163" spans="1:18" x14ac:dyDescent="0.25">
      <c r="A163" t="s">
        <v>179</v>
      </c>
      <c r="B163">
        <v>1.1052999496459961</v>
      </c>
      <c r="C163" t="s">
        <v>547</v>
      </c>
      <c r="D163" t="s">
        <v>1021</v>
      </c>
      <c r="E163" t="s">
        <v>1022</v>
      </c>
      <c r="F163" t="s">
        <v>1022</v>
      </c>
      <c r="G163">
        <v>14027877888.139999</v>
      </c>
      <c r="H163">
        <v>-11.27622</v>
      </c>
      <c r="I163" t="s">
        <v>1023</v>
      </c>
      <c r="J163">
        <v>4.3899998664855957</v>
      </c>
      <c r="K163" t="s">
        <v>532</v>
      </c>
      <c r="L163">
        <v>0.95076048374176025</v>
      </c>
      <c r="M163">
        <v>23.257907592578004</v>
      </c>
      <c r="N163">
        <v>0.24240114549535699</v>
      </c>
      <c r="O163">
        <v>18.821010284527787</v>
      </c>
      <c r="P163">
        <v>4.8976810027134414</v>
      </c>
      <c r="Q163">
        <v>238.19</v>
      </c>
      <c r="R163">
        <v>154.5</v>
      </c>
    </row>
    <row r="164" spans="1:18" x14ac:dyDescent="0.25">
      <c r="A164" t="s">
        <v>180</v>
      </c>
      <c r="B164">
        <v>0.99849998950958252</v>
      </c>
      <c r="C164" t="s">
        <v>527</v>
      </c>
      <c r="D164" t="s">
        <v>1024</v>
      </c>
      <c r="E164" t="s">
        <v>888</v>
      </c>
      <c r="F164" t="s">
        <v>888</v>
      </c>
      <c r="G164">
        <v>103437698647.2</v>
      </c>
      <c r="H164">
        <v>-0.94628480000000004</v>
      </c>
      <c r="I164" t="s">
        <v>1025</v>
      </c>
      <c r="J164">
        <v>6.0999999046325684</v>
      </c>
      <c r="K164" t="s">
        <v>532</v>
      </c>
      <c r="L164">
        <v>0.57565373182296753</v>
      </c>
      <c r="M164">
        <v>16.450027181177791</v>
      </c>
      <c r="N164">
        <v>0.12590917886433534</v>
      </c>
      <c r="O164">
        <v>8.8071037793615616</v>
      </c>
      <c r="P164">
        <v>2.9653823383516071</v>
      </c>
      <c r="Q164">
        <v>248</v>
      </c>
      <c r="R164">
        <v>208.1</v>
      </c>
    </row>
    <row r="165" spans="1:18" x14ac:dyDescent="0.25">
      <c r="A165" t="s">
        <v>181</v>
      </c>
      <c r="B165">
        <v>0.47459998726844788</v>
      </c>
      <c r="C165" t="s">
        <v>547</v>
      </c>
      <c r="D165" t="s">
        <v>1026</v>
      </c>
      <c r="E165" t="s">
        <v>1027</v>
      </c>
      <c r="F165" t="s">
        <v>1028</v>
      </c>
      <c r="G165">
        <v>14291321990.499998</v>
      </c>
      <c r="H165">
        <v>-6.6418629999999999</v>
      </c>
      <c r="I165" t="s">
        <v>1029</v>
      </c>
      <c r="J165">
        <v>4.6599998474121094</v>
      </c>
      <c r="K165" t="s">
        <v>582</v>
      </c>
      <c r="L165">
        <v>1.0081179141998291</v>
      </c>
      <c r="M165">
        <v>35.496848718290003</v>
      </c>
      <c r="N165">
        <v>0.45404554142844955</v>
      </c>
      <c r="O165">
        <v>3.8979660137153602</v>
      </c>
      <c r="P165">
        <v>5.1931480549550058</v>
      </c>
      <c r="Q165">
        <v>86.64</v>
      </c>
      <c r="R165">
        <v>56.96</v>
      </c>
    </row>
    <row r="166" spans="1:18" x14ac:dyDescent="0.25">
      <c r="A166" t="s">
        <v>182</v>
      </c>
      <c r="B166">
        <v>0.77230000495910645</v>
      </c>
      <c r="C166" t="s">
        <v>527</v>
      </c>
      <c r="D166" t="s">
        <v>1030</v>
      </c>
      <c r="E166" t="s">
        <v>584</v>
      </c>
      <c r="F166" t="s">
        <v>748</v>
      </c>
      <c r="G166">
        <v>167920805000.00003</v>
      </c>
      <c r="H166">
        <v>7.413208</v>
      </c>
      <c r="I166" t="s">
        <v>1031</v>
      </c>
      <c r="J166">
        <v>6.3299999237060547</v>
      </c>
      <c r="K166" t="s">
        <v>532</v>
      </c>
      <c r="L166">
        <v>0.97101253271102905</v>
      </c>
      <c r="M166">
        <v>14.620606199641662</v>
      </c>
      <c r="N166">
        <v>9.4060474036317288E-2</v>
      </c>
      <c r="O166">
        <v>8.8301359541515989</v>
      </c>
      <c r="P166">
        <v>5.0020059901303053</v>
      </c>
      <c r="Q166">
        <v>545.33000000000004</v>
      </c>
      <c r="R166">
        <v>427.15</v>
      </c>
    </row>
    <row r="167" spans="1:18" x14ac:dyDescent="0.25">
      <c r="A167" t="s">
        <v>183</v>
      </c>
      <c r="B167">
        <v>0.67159998416900635</v>
      </c>
      <c r="C167" t="s">
        <v>553</v>
      </c>
      <c r="D167" t="s">
        <v>1032</v>
      </c>
      <c r="E167" t="s">
        <v>704</v>
      </c>
      <c r="F167" t="s">
        <v>704</v>
      </c>
      <c r="G167">
        <v>119080741496.82001</v>
      </c>
      <c r="H167">
        <v>16.349530000000001</v>
      </c>
      <c r="I167" t="s">
        <v>1033</v>
      </c>
      <c r="J167">
        <v>7.3000001907348633</v>
      </c>
      <c r="K167" t="s">
        <v>552</v>
      </c>
      <c r="L167">
        <v>0.68404668569564819</v>
      </c>
      <c r="M167">
        <v>19.007599824335877</v>
      </c>
      <c r="N167">
        <v>0.10057529082586349</v>
      </c>
      <c r="O167">
        <v>4.4278911763085134</v>
      </c>
      <c r="P167">
        <v>3.5237502134245631</v>
      </c>
      <c r="Q167">
        <v>96.21</v>
      </c>
      <c r="R167">
        <v>78.62</v>
      </c>
    </row>
    <row r="168" spans="1:18" x14ac:dyDescent="0.25">
      <c r="A168" t="s">
        <v>184</v>
      </c>
      <c r="B168">
        <v>0.64170002937316895</v>
      </c>
      <c r="C168" t="s">
        <v>553</v>
      </c>
      <c r="D168" t="s">
        <v>1034</v>
      </c>
      <c r="E168" t="s">
        <v>1035</v>
      </c>
      <c r="F168" t="s">
        <v>1036</v>
      </c>
      <c r="G168">
        <v>11044347281.24</v>
      </c>
      <c r="H168">
        <v>-24.417670000000001</v>
      </c>
      <c r="I168" t="s">
        <v>1037</v>
      </c>
      <c r="J168">
        <v>4.1700000762939453</v>
      </c>
      <c r="K168" t="s">
        <v>558</v>
      </c>
      <c r="L168">
        <v>0.82532334327697754</v>
      </c>
      <c r="M168">
        <v>33.914013738366869</v>
      </c>
      <c r="N168">
        <v>0.50390991767787185</v>
      </c>
      <c r="O168">
        <v>27.384460573343151</v>
      </c>
      <c r="P168">
        <v>4.2515128979229928</v>
      </c>
      <c r="Q168">
        <v>13.545</v>
      </c>
      <c r="R168">
        <v>6.86</v>
      </c>
    </row>
    <row r="169" spans="1:18" x14ac:dyDescent="0.25">
      <c r="A169" t="s">
        <v>185</v>
      </c>
      <c r="B169">
        <v>3.3190999031066895</v>
      </c>
      <c r="C169" t="s">
        <v>553</v>
      </c>
      <c r="D169" t="s">
        <v>1038</v>
      </c>
      <c r="E169" t="s">
        <v>1039</v>
      </c>
      <c r="F169" t="s">
        <v>1040</v>
      </c>
      <c r="G169">
        <v>76786679340.300003</v>
      </c>
      <c r="H169">
        <v>35.219430000000003</v>
      </c>
      <c r="I169" t="s">
        <v>1041</v>
      </c>
      <c r="J169">
        <v>4.070000171661377</v>
      </c>
      <c r="K169" t="s">
        <v>582</v>
      </c>
      <c r="L169">
        <v>0.68895387649536133</v>
      </c>
      <c r="M169">
        <v>31.833056653060204</v>
      </c>
      <c r="N169">
        <v>0.88757850403827909</v>
      </c>
      <c r="O169">
        <v>-23.606188797155074</v>
      </c>
      <c r="P169">
        <v>3.5490287726068495</v>
      </c>
      <c r="Q169">
        <v>72.41</v>
      </c>
      <c r="R169">
        <v>43.575000000000003</v>
      </c>
    </row>
    <row r="170" spans="1:18" x14ac:dyDescent="0.25">
      <c r="A170" t="s">
        <v>186</v>
      </c>
      <c r="B170">
        <v>1.2968000173568726</v>
      </c>
      <c r="C170" t="s">
        <v>521</v>
      </c>
      <c r="D170" t="s">
        <v>1042</v>
      </c>
      <c r="E170" t="s">
        <v>523</v>
      </c>
      <c r="F170" t="s">
        <v>523</v>
      </c>
      <c r="G170">
        <v>31709646877.849995</v>
      </c>
      <c r="H170">
        <v>-0.62950819999999996</v>
      </c>
      <c r="I170" t="s">
        <v>1043</v>
      </c>
      <c r="J170">
        <v>5.8499999046325684</v>
      </c>
      <c r="K170" t="s">
        <v>526</v>
      </c>
      <c r="L170">
        <v>0.97680550813674927</v>
      </c>
      <c r="M170">
        <v>28.588197077208587</v>
      </c>
      <c r="N170">
        <v>0.26346845796653601</v>
      </c>
      <c r="O170">
        <v>23.371297274623252</v>
      </c>
      <c r="P170">
        <v>5.0318475182300801</v>
      </c>
      <c r="Q170">
        <v>90.04</v>
      </c>
      <c r="R170">
        <v>53.87</v>
      </c>
    </row>
    <row r="171" spans="1:18" x14ac:dyDescent="0.25">
      <c r="A171" t="s">
        <v>187</v>
      </c>
      <c r="B171">
        <v>-0.42070001363754272</v>
      </c>
      <c r="C171" t="s">
        <v>542</v>
      </c>
      <c r="D171" t="s">
        <v>1044</v>
      </c>
      <c r="E171" t="s">
        <v>544</v>
      </c>
      <c r="F171" t="s">
        <v>1045</v>
      </c>
      <c r="G171">
        <v>124513858737.25998</v>
      </c>
      <c r="H171">
        <v>32.200560000000003</v>
      </c>
      <c r="I171" t="s">
        <v>1046</v>
      </c>
      <c r="J171">
        <v>5.880000114440918</v>
      </c>
      <c r="K171" t="s">
        <v>526</v>
      </c>
      <c r="L171">
        <v>1.855461597442627</v>
      </c>
      <c r="M171">
        <v>37.479567267968349</v>
      </c>
      <c r="N171">
        <v>0.25036095163632305</v>
      </c>
      <c r="O171">
        <v>-12.709941809784853</v>
      </c>
      <c r="P171">
        <v>9.5580949907541264</v>
      </c>
      <c r="Q171">
        <v>129.75</v>
      </c>
      <c r="R171">
        <v>61.57</v>
      </c>
    </row>
    <row r="172" spans="1:18" x14ac:dyDescent="0.25">
      <c r="A172" t="s">
        <v>188</v>
      </c>
      <c r="B172">
        <v>0.74620002508163452</v>
      </c>
      <c r="C172" t="s">
        <v>542</v>
      </c>
      <c r="D172" t="s">
        <v>1047</v>
      </c>
      <c r="E172" t="s">
        <v>661</v>
      </c>
      <c r="F172" t="s">
        <v>1048</v>
      </c>
      <c r="G172">
        <v>71439964540</v>
      </c>
      <c r="H172">
        <v>-7.4054060000000002</v>
      </c>
      <c r="I172" t="s">
        <v>1049</v>
      </c>
      <c r="J172">
        <v>3.9500000476837158</v>
      </c>
      <c r="K172" t="s">
        <v>532</v>
      </c>
      <c r="L172">
        <v>0.86854398250579834</v>
      </c>
      <c r="M172">
        <v>21.935429775008906</v>
      </c>
      <c r="N172">
        <v>0.43064339014041814</v>
      </c>
      <c r="O172">
        <v>15.393621090457374</v>
      </c>
      <c r="P172">
        <v>4.4741566734015938</v>
      </c>
      <c r="Q172">
        <v>507.505</v>
      </c>
      <c r="R172">
        <v>388.9</v>
      </c>
    </row>
    <row r="173" spans="1:18" x14ac:dyDescent="0.25">
      <c r="A173" t="s">
        <v>189</v>
      </c>
      <c r="B173">
        <v>0.24400000274181366</v>
      </c>
      <c r="C173" t="s">
        <v>527</v>
      </c>
      <c r="D173" t="s">
        <v>1050</v>
      </c>
      <c r="E173" t="s">
        <v>1051</v>
      </c>
      <c r="F173" t="s">
        <v>1051</v>
      </c>
      <c r="G173">
        <v>25812886922.459999</v>
      </c>
      <c r="H173">
        <v>26.156610000000001</v>
      </c>
      <c r="I173" t="s">
        <v>1052</v>
      </c>
      <c r="J173">
        <v>8.4799995422363281</v>
      </c>
      <c r="K173" t="s">
        <v>532</v>
      </c>
      <c r="L173">
        <v>0.26571670174598694</v>
      </c>
      <c r="M173">
        <v>22.646095861760259</v>
      </c>
      <c r="N173">
        <v>0.42303795219900436</v>
      </c>
      <c r="O173">
        <v>3.8752400627504686</v>
      </c>
      <c r="P173">
        <v>1.3687944172051549</v>
      </c>
      <c r="Q173">
        <v>248.77</v>
      </c>
      <c r="R173">
        <v>181.33</v>
      </c>
    </row>
    <row r="174" spans="1:18" x14ac:dyDescent="0.25">
      <c r="A174" t="s">
        <v>190</v>
      </c>
      <c r="B174">
        <v>6.8931999206542969</v>
      </c>
      <c r="C174" t="s">
        <v>521</v>
      </c>
      <c r="D174" t="s">
        <v>1053</v>
      </c>
      <c r="E174" t="s">
        <v>1054</v>
      </c>
      <c r="F174" t="s">
        <v>1055</v>
      </c>
      <c r="G174">
        <v>72223069418.749985</v>
      </c>
      <c r="H174">
        <v>76.652330000000006</v>
      </c>
      <c r="I174" t="s">
        <v>1056</v>
      </c>
      <c r="J174">
        <v>7.2699999809265137</v>
      </c>
      <c r="K174" t="s">
        <v>532</v>
      </c>
      <c r="L174">
        <v>0.79234850406646729</v>
      </c>
      <c r="M174">
        <v>39.927254293757919</v>
      </c>
      <c r="N174">
        <v>0.1463285538713642</v>
      </c>
      <c r="O174">
        <v>7.0173487914702832</v>
      </c>
      <c r="P174">
        <v>4.0816486194527144</v>
      </c>
      <c r="Q174">
        <v>66.56</v>
      </c>
      <c r="R174">
        <v>36.86</v>
      </c>
    </row>
    <row r="175" spans="1:18" x14ac:dyDescent="0.25">
      <c r="A175" t="s">
        <v>191</v>
      </c>
      <c r="B175">
        <v>1.1269999742507935</v>
      </c>
      <c r="C175" t="s">
        <v>604</v>
      </c>
      <c r="D175" t="s">
        <v>1057</v>
      </c>
      <c r="E175" t="s">
        <v>1058</v>
      </c>
      <c r="F175" t="s">
        <v>1059</v>
      </c>
      <c r="G175">
        <v>112643429334.84</v>
      </c>
      <c r="H175">
        <v>0.79291909999999999</v>
      </c>
      <c r="I175" t="s">
        <v>1060</v>
      </c>
      <c r="J175">
        <v>5.0199999809265137</v>
      </c>
      <c r="K175" t="s">
        <v>552</v>
      </c>
      <c r="L175">
        <v>0.92224198579788208</v>
      </c>
      <c r="M175">
        <v>44.752034448525144</v>
      </c>
      <c r="N175">
        <v>0.68985345598039083</v>
      </c>
      <c r="O175">
        <v>-1.7280983387861633</v>
      </c>
      <c r="P175">
        <v>4.7507728087002032</v>
      </c>
      <c r="Q175">
        <v>90.62</v>
      </c>
      <c r="R175">
        <v>52.28</v>
      </c>
    </row>
    <row r="176" spans="1:18" x14ac:dyDescent="0.25">
      <c r="A176" t="s">
        <v>192</v>
      </c>
      <c r="B176">
        <v>0.66829997301101685</v>
      </c>
      <c r="C176" t="s">
        <v>632</v>
      </c>
      <c r="D176" t="s">
        <v>1061</v>
      </c>
      <c r="E176" t="s">
        <v>934</v>
      </c>
      <c r="F176" t="s">
        <v>935</v>
      </c>
      <c r="G176">
        <v>19854248912.519997</v>
      </c>
      <c r="H176">
        <v>14.744289999999999</v>
      </c>
      <c r="I176" t="s">
        <v>1062</v>
      </c>
      <c r="J176">
        <v>5.1399998664855957</v>
      </c>
      <c r="K176" t="s">
        <v>631</v>
      </c>
      <c r="L176">
        <v>0.59236478805541992</v>
      </c>
      <c r="M176">
        <v>18.9706086672197</v>
      </c>
      <c r="N176">
        <v>0.33881004151450944</v>
      </c>
      <c r="O176">
        <v>14.032014942169074</v>
      </c>
      <c r="P176">
        <v>3.051466503653526</v>
      </c>
      <c r="Q176">
        <v>42.255000000000003</v>
      </c>
      <c r="R176">
        <v>30.53</v>
      </c>
    </row>
    <row r="177" spans="1:18" x14ac:dyDescent="0.25">
      <c r="A177" t="s">
        <v>193</v>
      </c>
      <c r="B177">
        <v>1.5755000114440918</v>
      </c>
      <c r="C177" t="s">
        <v>547</v>
      </c>
      <c r="D177" t="s">
        <v>1063</v>
      </c>
      <c r="E177" t="s">
        <v>1064</v>
      </c>
      <c r="F177" t="s">
        <v>1064</v>
      </c>
      <c r="G177">
        <v>63660735812.379997</v>
      </c>
      <c r="H177">
        <v>20.315300000000001</v>
      </c>
      <c r="I177" t="s">
        <v>1065</v>
      </c>
      <c r="J177">
        <v>5.2399997711181641</v>
      </c>
      <c r="K177" t="s">
        <v>582</v>
      </c>
      <c r="L177">
        <v>0.9252091646194458</v>
      </c>
      <c r="M177">
        <v>22.342060286455421</v>
      </c>
      <c r="N177">
        <v>3.3434226225196116E-2</v>
      </c>
      <c r="O177">
        <v>16.44695937943073</v>
      </c>
      <c r="P177">
        <v>4.7660577259790893</v>
      </c>
      <c r="Q177">
        <v>286.95</v>
      </c>
      <c r="R177">
        <v>202.01</v>
      </c>
    </row>
    <row r="178" spans="1:18" x14ac:dyDescent="0.25">
      <c r="A178" t="s">
        <v>194</v>
      </c>
      <c r="B178">
        <v>0.89630001783370972</v>
      </c>
      <c r="C178" t="s">
        <v>527</v>
      </c>
      <c r="D178" t="s">
        <v>1066</v>
      </c>
      <c r="E178" t="s">
        <v>708</v>
      </c>
      <c r="F178" t="s">
        <v>708</v>
      </c>
      <c r="G178">
        <v>18170662232.699997</v>
      </c>
      <c r="H178">
        <v>4.7022300000000001</v>
      </c>
      <c r="I178" t="s">
        <v>1067</v>
      </c>
      <c r="J178">
        <v>2.7999999523162842</v>
      </c>
      <c r="K178" t="s">
        <v>526</v>
      </c>
      <c r="L178">
        <v>0.94148194789886475</v>
      </c>
      <c r="M178">
        <v>21.989629554360071</v>
      </c>
      <c r="N178">
        <v>0.81109082085437934</v>
      </c>
      <c r="O178">
        <v>16.044227721969825</v>
      </c>
      <c r="P178">
        <v>4.849884202669859</v>
      </c>
      <c r="Q178">
        <v>91.97</v>
      </c>
      <c r="R178">
        <v>68.5</v>
      </c>
    </row>
    <row r="179" spans="1:18" x14ac:dyDescent="0.25">
      <c r="A179" t="s">
        <v>195</v>
      </c>
      <c r="B179">
        <v>0.31619998812675476</v>
      </c>
      <c r="C179" t="s">
        <v>632</v>
      </c>
      <c r="D179" t="s">
        <v>1068</v>
      </c>
      <c r="E179" t="s">
        <v>826</v>
      </c>
      <c r="F179" t="s">
        <v>826</v>
      </c>
      <c r="G179">
        <v>24475175908.959999</v>
      </c>
      <c r="H179">
        <v>16.002089999999999</v>
      </c>
      <c r="I179" t="s">
        <v>1069</v>
      </c>
      <c r="J179">
        <v>5.059999942779541</v>
      </c>
      <c r="K179" t="s">
        <v>532</v>
      </c>
      <c r="L179">
        <v>0.48562997579574585</v>
      </c>
      <c r="M179">
        <v>20.741062976153845</v>
      </c>
      <c r="N179">
        <v>0.10974923295683436</v>
      </c>
      <c r="O179">
        <v>20.82117236708838</v>
      </c>
      <c r="P179">
        <v>2.5016402632158994</v>
      </c>
      <c r="Q179">
        <v>69.010000000000005</v>
      </c>
      <c r="R179">
        <v>52.31</v>
      </c>
    </row>
    <row r="180" spans="1:18" x14ac:dyDescent="0.25">
      <c r="A180" t="s">
        <v>196</v>
      </c>
      <c r="B180">
        <v>0.2215999960899353</v>
      </c>
      <c r="C180" t="s">
        <v>547</v>
      </c>
      <c r="D180" t="s">
        <v>1070</v>
      </c>
      <c r="E180" t="s">
        <v>651</v>
      </c>
      <c r="F180" t="s">
        <v>651</v>
      </c>
      <c r="G180">
        <v>81577072164.679993</v>
      </c>
      <c r="H180">
        <v>21.404669999999999</v>
      </c>
      <c r="I180" t="s">
        <v>1071</v>
      </c>
      <c r="J180">
        <v>4.8600001335144043</v>
      </c>
      <c r="K180" t="s">
        <v>526</v>
      </c>
      <c r="L180">
        <v>0.50268733501434326</v>
      </c>
      <c r="M180">
        <v>27.656746113094506</v>
      </c>
      <c r="N180">
        <v>0.31724819210381117</v>
      </c>
      <c r="O180">
        <v>1.8980618068712012</v>
      </c>
      <c r="P180">
        <v>2.5895083494794369</v>
      </c>
      <c r="Q180">
        <v>576.75</v>
      </c>
      <c r="R180">
        <v>427</v>
      </c>
    </row>
    <row r="181" spans="1:18" x14ac:dyDescent="0.25">
      <c r="A181" t="s">
        <v>197</v>
      </c>
      <c r="B181">
        <v>0.53649997711181641</v>
      </c>
      <c r="C181" t="s">
        <v>527</v>
      </c>
      <c r="D181" t="s">
        <v>1072</v>
      </c>
      <c r="E181" t="s">
        <v>1073</v>
      </c>
      <c r="F181" t="s">
        <v>1073</v>
      </c>
      <c r="G181">
        <v>274392663846.71994</v>
      </c>
      <c r="H181">
        <v>20.045559999999998</v>
      </c>
      <c r="I181" t="s">
        <v>1074</v>
      </c>
      <c r="J181">
        <v>4.869999885559082</v>
      </c>
      <c r="K181" t="s">
        <v>552</v>
      </c>
      <c r="L181">
        <v>1.0412775278091431</v>
      </c>
      <c r="M181">
        <v>23.905663702511454</v>
      </c>
      <c r="N181">
        <v>0.14296558590453756</v>
      </c>
      <c r="O181">
        <v>24.950242976105645</v>
      </c>
      <c r="P181">
        <v>5.3639641673290726</v>
      </c>
      <c r="Q181">
        <v>84.83</v>
      </c>
      <c r="R181">
        <v>50.21</v>
      </c>
    </row>
    <row r="182" spans="1:18" x14ac:dyDescent="0.25">
      <c r="A182" t="s">
        <v>198</v>
      </c>
      <c r="B182">
        <v>3.1110999584197998</v>
      </c>
      <c r="C182" t="s">
        <v>521</v>
      </c>
      <c r="D182" t="s">
        <v>1075</v>
      </c>
      <c r="E182" t="s">
        <v>865</v>
      </c>
      <c r="F182" t="s">
        <v>865</v>
      </c>
      <c r="G182">
        <v>33650346289.98</v>
      </c>
      <c r="H182">
        <v>24.95073</v>
      </c>
      <c r="I182" t="s">
        <v>1076</v>
      </c>
      <c r="J182">
        <v>6.1700000762939453</v>
      </c>
      <c r="K182" t="s">
        <v>532</v>
      </c>
      <c r="L182">
        <v>1.0927337408065796</v>
      </c>
      <c r="M182">
        <v>36.827043208503888</v>
      </c>
      <c r="N182">
        <v>0.70781619931484419</v>
      </c>
      <c r="O182">
        <v>6.7121934074645733</v>
      </c>
      <c r="P182">
        <v>5.6290321010291571</v>
      </c>
      <c r="Q182">
        <v>170.505</v>
      </c>
      <c r="R182">
        <v>97.65</v>
      </c>
    </row>
    <row r="183" spans="1:18" x14ac:dyDescent="0.25">
      <c r="A183" t="s">
        <v>199</v>
      </c>
      <c r="B183">
        <v>0.17929999530315399</v>
      </c>
      <c r="C183" t="s">
        <v>537</v>
      </c>
      <c r="D183" t="s">
        <v>1077</v>
      </c>
      <c r="E183" t="s">
        <v>539</v>
      </c>
      <c r="F183" t="s">
        <v>788</v>
      </c>
      <c r="G183">
        <v>44000572033.380005</v>
      </c>
      <c r="H183">
        <v>-9.5122440000000008</v>
      </c>
      <c r="I183" t="s">
        <v>1078</v>
      </c>
      <c r="J183">
        <v>5.8400001525878906</v>
      </c>
      <c r="K183" t="s">
        <v>526</v>
      </c>
      <c r="L183">
        <v>0.62005323171615601</v>
      </c>
      <c r="M183">
        <v>35.063699666327864</v>
      </c>
      <c r="N183">
        <v>0.38041699051357608</v>
      </c>
      <c r="O183">
        <v>19.537610938763208</v>
      </c>
      <c r="P183">
        <v>3.1940988141363857</v>
      </c>
      <c r="Q183">
        <v>61.35</v>
      </c>
      <c r="R183">
        <v>34.79</v>
      </c>
    </row>
    <row r="184" spans="1:18" x14ac:dyDescent="0.25">
      <c r="A184" t="s">
        <v>200</v>
      </c>
      <c r="B184">
        <v>-0.75269997119903564</v>
      </c>
      <c r="C184" t="s">
        <v>533</v>
      </c>
      <c r="D184" t="s">
        <v>1079</v>
      </c>
      <c r="E184" t="s">
        <v>858</v>
      </c>
      <c r="F184" t="s">
        <v>983</v>
      </c>
      <c r="G184">
        <v>14815926550.719999</v>
      </c>
      <c r="H184">
        <v>-11.11111</v>
      </c>
      <c r="I184" t="s">
        <v>1080</v>
      </c>
      <c r="J184">
        <v>6.4000000953674316</v>
      </c>
      <c r="K184" t="s">
        <v>552</v>
      </c>
      <c r="L184">
        <v>0.87421935796737671</v>
      </c>
      <c r="M184">
        <v>31.732258826136352</v>
      </c>
      <c r="N184">
        <v>1.2907095098204702</v>
      </c>
      <c r="O184">
        <v>8.3325610709793985</v>
      </c>
      <c r="P184">
        <v>4.5033924052780865</v>
      </c>
      <c r="Q184">
        <v>107</v>
      </c>
      <c r="R184">
        <v>68.39</v>
      </c>
    </row>
    <row r="185" spans="1:18" x14ac:dyDescent="0.25">
      <c r="A185" t="s">
        <v>201</v>
      </c>
      <c r="B185">
        <v>-0.57309997081756592</v>
      </c>
      <c r="C185" t="s">
        <v>537</v>
      </c>
      <c r="D185" t="s">
        <v>1081</v>
      </c>
      <c r="E185" t="s">
        <v>681</v>
      </c>
      <c r="F185" t="s">
        <v>681</v>
      </c>
      <c r="G185">
        <v>51333010176.779999</v>
      </c>
      <c r="H185">
        <v>-18.784859999999998</v>
      </c>
      <c r="I185" t="s">
        <v>1082</v>
      </c>
      <c r="J185">
        <v>5.320000171661377</v>
      </c>
      <c r="K185" t="s">
        <v>631</v>
      </c>
      <c r="L185">
        <v>0.89943033456802368</v>
      </c>
      <c r="M185">
        <v>24.919269409239416</v>
      </c>
      <c r="N185">
        <v>0.20385882793876642</v>
      </c>
      <c r="O185">
        <v>5.8995705748573251</v>
      </c>
      <c r="P185">
        <v>4.6332624653702972</v>
      </c>
      <c r="Q185">
        <v>118.03</v>
      </c>
      <c r="R185">
        <v>75.48</v>
      </c>
    </row>
    <row r="186" spans="1:18" x14ac:dyDescent="0.25">
      <c r="A186" t="s">
        <v>202</v>
      </c>
      <c r="B186">
        <v>1.0128999948501587</v>
      </c>
      <c r="C186" t="s">
        <v>527</v>
      </c>
      <c r="D186" t="s">
        <v>1083</v>
      </c>
      <c r="E186" t="s">
        <v>1084</v>
      </c>
      <c r="F186" t="s">
        <v>1084</v>
      </c>
      <c r="G186">
        <v>34001692289.140003</v>
      </c>
      <c r="H186">
        <v>8.4980349999999998</v>
      </c>
      <c r="I186" t="s">
        <v>1085</v>
      </c>
      <c r="J186">
        <v>3.2799999713897705</v>
      </c>
      <c r="K186" t="s">
        <v>532</v>
      </c>
      <c r="L186">
        <v>1.0908252000808716</v>
      </c>
      <c r="M186">
        <v>21.301076763876793</v>
      </c>
      <c r="N186">
        <v>10.19744716078204</v>
      </c>
      <c r="O186">
        <v>6.0657535469980699E-2</v>
      </c>
      <c r="P186">
        <v>5.6192005779325962</v>
      </c>
      <c r="Q186">
        <v>174.23</v>
      </c>
      <c r="R186">
        <v>104.4</v>
      </c>
    </row>
    <row r="187" spans="1:18" x14ac:dyDescent="0.25">
      <c r="A187" t="s">
        <v>203</v>
      </c>
      <c r="B187">
        <v>1.660599946975708</v>
      </c>
      <c r="C187" t="s">
        <v>632</v>
      </c>
      <c r="D187" t="s">
        <v>1086</v>
      </c>
      <c r="E187" t="s">
        <v>810</v>
      </c>
      <c r="F187" t="s">
        <v>810</v>
      </c>
      <c r="G187">
        <v>30943404983.039997</v>
      </c>
      <c r="H187">
        <v>-30.22795</v>
      </c>
      <c r="I187" t="s">
        <v>1087</v>
      </c>
      <c r="J187">
        <v>6.570000171661377</v>
      </c>
      <c r="K187" t="s">
        <v>582</v>
      </c>
      <c r="L187">
        <v>0.58173143863677979</v>
      </c>
      <c r="M187">
        <v>29.127408999639805</v>
      </c>
      <c r="N187">
        <v>0.20651373649999885</v>
      </c>
      <c r="O187">
        <v>36.332284905910043</v>
      </c>
      <c r="P187">
        <v>2.9966906117928027</v>
      </c>
      <c r="Q187">
        <v>21.72</v>
      </c>
      <c r="R187">
        <v>12.97</v>
      </c>
    </row>
    <row r="188" spans="1:18" x14ac:dyDescent="0.25">
      <c r="A188" t="s">
        <v>204</v>
      </c>
      <c r="B188">
        <v>1.2609000205993652</v>
      </c>
      <c r="C188" t="s">
        <v>547</v>
      </c>
      <c r="D188" t="s">
        <v>1088</v>
      </c>
      <c r="E188" t="s">
        <v>629</v>
      </c>
      <c r="F188" t="s">
        <v>629</v>
      </c>
      <c r="G188">
        <v>94404944915.280014</v>
      </c>
      <c r="H188">
        <v>16.161180000000002</v>
      </c>
      <c r="I188" t="s">
        <v>1089</v>
      </c>
      <c r="J188">
        <v>6.0399999618530273</v>
      </c>
      <c r="K188" t="s">
        <v>526</v>
      </c>
      <c r="L188">
        <v>1.2022444009780884</v>
      </c>
      <c r="M188">
        <v>18.919738492546617</v>
      </c>
      <c r="N188">
        <v>0.56656351641127578</v>
      </c>
      <c r="O188">
        <v>5.8396153581927788</v>
      </c>
      <c r="P188">
        <v>6.1931576500904555</v>
      </c>
      <c r="Q188">
        <v>740.25</v>
      </c>
      <c r="R188">
        <v>489.91</v>
      </c>
    </row>
    <row r="189" spans="1:18" x14ac:dyDescent="0.25">
      <c r="A189" t="s">
        <v>205</v>
      </c>
      <c r="B189">
        <v>0.10339999943971634</v>
      </c>
      <c r="C189" t="s">
        <v>547</v>
      </c>
      <c r="D189" t="s">
        <v>1090</v>
      </c>
      <c r="E189" t="s">
        <v>1091</v>
      </c>
      <c r="F189" t="s">
        <v>1092</v>
      </c>
      <c r="G189">
        <v>28152737774.27</v>
      </c>
      <c r="H189">
        <v>25.32902</v>
      </c>
      <c r="I189" t="s">
        <v>1093</v>
      </c>
      <c r="J189">
        <v>2.119999885559082</v>
      </c>
      <c r="K189" t="s">
        <v>582</v>
      </c>
      <c r="L189">
        <v>0.66791754961013794</v>
      </c>
      <c r="M189">
        <v>18.832577962470925</v>
      </c>
      <c r="N189">
        <v>1.5024304638494552</v>
      </c>
      <c r="O189">
        <v>-0.63328823102752063</v>
      </c>
      <c r="P189">
        <v>3.4406637108331917</v>
      </c>
      <c r="Q189">
        <v>58.62</v>
      </c>
      <c r="R189">
        <v>45.34</v>
      </c>
    </row>
    <row r="190" spans="1:18" x14ac:dyDescent="0.25">
      <c r="A190" t="s">
        <v>206</v>
      </c>
      <c r="B190">
        <v>-2.7300000190734863E-2</v>
      </c>
      <c r="C190" t="s">
        <v>632</v>
      </c>
      <c r="D190" t="s">
        <v>1094</v>
      </c>
      <c r="E190" t="s">
        <v>810</v>
      </c>
      <c r="F190" t="s">
        <v>810</v>
      </c>
      <c r="G190">
        <v>27034881261.84</v>
      </c>
      <c r="H190">
        <v>12.66174</v>
      </c>
      <c r="I190" t="s">
        <v>1095</v>
      </c>
      <c r="J190">
        <v>5.5999999046325684</v>
      </c>
      <c r="K190" t="s">
        <v>582</v>
      </c>
      <c r="L190">
        <v>0.48376086354255676</v>
      </c>
      <c r="M190">
        <v>17.631888951620773</v>
      </c>
      <c r="N190">
        <v>0.12900845367939651</v>
      </c>
      <c r="O190">
        <v>57.44376720806558</v>
      </c>
      <c r="P190">
        <v>2.4920118491926786</v>
      </c>
      <c r="Q190">
        <v>36.94</v>
      </c>
      <c r="R190">
        <v>29.37</v>
      </c>
    </row>
    <row r="191" spans="1:18" x14ac:dyDescent="0.25">
      <c r="A191" t="s">
        <v>207</v>
      </c>
      <c r="B191">
        <v>0.63870000839233398</v>
      </c>
      <c r="C191" t="s">
        <v>604</v>
      </c>
      <c r="D191" t="s">
        <v>1096</v>
      </c>
      <c r="E191" t="s">
        <v>1097</v>
      </c>
      <c r="F191" t="s">
        <v>1098</v>
      </c>
      <c r="G191">
        <v>15439268974.989998</v>
      </c>
      <c r="H191">
        <v>17.245370000000001</v>
      </c>
      <c r="I191" t="s">
        <v>1099</v>
      </c>
      <c r="J191">
        <v>5.4800000190734863</v>
      </c>
      <c r="K191" t="s">
        <v>532</v>
      </c>
      <c r="L191">
        <v>0.91235238313674927</v>
      </c>
      <c r="M191">
        <v>33.953903985442274</v>
      </c>
      <c r="N191">
        <v>1.4376534293541787</v>
      </c>
      <c r="O191">
        <v>21.686358708096343</v>
      </c>
      <c r="P191">
        <v>4.6998282018238307</v>
      </c>
      <c r="Q191">
        <v>80.92</v>
      </c>
      <c r="R191">
        <v>47.2</v>
      </c>
    </row>
    <row r="192" spans="1:18" x14ac:dyDescent="0.25">
      <c r="A192" t="s">
        <v>208</v>
      </c>
      <c r="B192">
        <v>-0.70069998502731323</v>
      </c>
      <c r="C192" t="s">
        <v>537</v>
      </c>
      <c r="D192" t="s">
        <v>1100</v>
      </c>
      <c r="E192" t="s">
        <v>539</v>
      </c>
      <c r="F192" t="s">
        <v>1101</v>
      </c>
      <c r="G192">
        <v>119865831968.7</v>
      </c>
      <c r="H192">
        <v>-4.2553169999999998</v>
      </c>
      <c r="I192" t="s">
        <v>1102</v>
      </c>
      <c r="J192">
        <v>6.0199999809265137</v>
      </c>
      <c r="K192" t="s">
        <v>526</v>
      </c>
      <c r="L192">
        <v>0.7413061261177063</v>
      </c>
      <c r="M192">
        <v>29.071435488364948</v>
      </c>
      <c r="N192">
        <v>0.10223911547753897</v>
      </c>
      <c r="O192">
        <v>8.3386227899861467</v>
      </c>
      <c r="P192">
        <v>3.8187124866539239</v>
      </c>
      <c r="Q192">
        <v>116.04</v>
      </c>
      <c r="R192">
        <v>79.88</v>
      </c>
    </row>
    <row r="193" spans="1:18" x14ac:dyDescent="0.25">
      <c r="A193" t="s">
        <v>209</v>
      </c>
      <c r="B193">
        <v>0.27579998970031738</v>
      </c>
      <c r="C193" t="s">
        <v>604</v>
      </c>
      <c r="D193" t="s">
        <v>1103</v>
      </c>
      <c r="E193" t="s">
        <v>1007</v>
      </c>
      <c r="F193" t="s">
        <v>1104</v>
      </c>
      <c r="G193">
        <v>22955572734.899998</v>
      </c>
      <c r="H193">
        <v>6.8411369999999998</v>
      </c>
      <c r="I193" t="s">
        <v>1105</v>
      </c>
      <c r="J193">
        <v>4.4099998474121094</v>
      </c>
      <c r="K193" t="s">
        <v>526</v>
      </c>
      <c r="L193">
        <v>0.9196276068687439</v>
      </c>
      <c r="M193">
        <v>39.442258061756355</v>
      </c>
      <c r="N193">
        <v>0.6798176612386565</v>
      </c>
      <c r="O193">
        <v>1.5736654970121451</v>
      </c>
      <c r="P193">
        <v>4.7373052800911664</v>
      </c>
      <c r="Q193">
        <v>149.47</v>
      </c>
      <c r="R193">
        <v>88.46</v>
      </c>
    </row>
    <row r="194" spans="1:18" x14ac:dyDescent="0.25">
      <c r="A194" t="s">
        <v>210</v>
      </c>
      <c r="B194">
        <v>-1.0341999530792236</v>
      </c>
      <c r="C194" t="s">
        <v>632</v>
      </c>
      <c r="D194" t="s">
        <v>1106</v>
      </c>
      <c r="E194" t="s">
        <v>810</v>
      </c>
      <c r="F194" t="s">
        <v>810</v>
      </c>
      <c r="G194">
        <v>10854563908.189999</v>
      </c>
      <c r="H194">
        <v>7.2431330000000003</v>
      </c>
      <c r="I194" t="s">
        <v>1107</v>
      </c>
      <c r="J194">
        <v>5.179999828338623</v>
      </c>
      <c r="K194" t="s">
        <v>558</v>
      </c>
      <c r="L194">
        <v>0.44684717059135437</v>
      </c>
      <c r="M194">
        <v>16.659032123434688</v>
      </c>
      <c r="N194">
        <v>0.29572860744227342</v>
      </c>
      <c r="O194">
        <v>43.916217306775245</v>
      </c>
      <c r="P194">
        <v>2.3018572352823612</v>
      </c>
      <c r="Q194">
        <v>96.5</v>
      </c>
      <c r="R194">
        <v>81.62</v>
      </c>
    </row>
    <row r="195" spans="1:18" x14ac:dyDescent="0.25">
      <c r="A195" t="s">
        <v>211</v>
      </c>
      <c r="B195">
        <v>-5.0999999046325684E-2</v>
      </c>
      <c r="C195" t="s">
        <v>527</v>
      </c>
      <c r="D195" t="s">
        <v>1108</v>
      </c>
      <c r="E195" t="s">
        <v>1073</v>
      </c>
      <c r="F195" t="s">
        <v>1073</v>
      </c>
      <c r="G195">
        <v>77550912114.449997</v>
      </c>
      <c r="H195">
        <v>1.6593169999999999</v>
      </c>
      <c r="I195" t="s">
        <v>1109</v>
      </c>
      <c r="J195">
        <v>5.2600002288818359</v>
      </c>
      <c r="K195" t="s">
        <v>532</v>
      </c>
      <c r="L195">
        <v>1.0437817573547363</v>
      </c>
      <c r="M195">
        <v>21.820514629252347</v>
      </c>
      <c r="N195">
        <v>0.41166528047081785</v>
      </c>
      <c r="O195">
        <v>5.0158838255836002</v>
      </c>
      <c r="P195">
        <v>5.3768642801141739</v>
      </c>
      <c r="Q195">
        <v>216.11</v>
      </c>
      <c r="R195">
        <v>145.13999999999999</v>
      </c>
    </row>
    <row r="196" spans="1:18" x14ac:dyDescent="0.25">
      <c r="A196" t="s">
        <v>212</v>
      </c>
      <c r="B196">
        <v>0.80860000848770142</v>
      </c>
      <c r="C196" t="s">
        <v>521</v>
      </c>
      <c r="D196" t="s">
        <v>1110</v>
      </c>
      <c r="E196" t="s">
        <v>740</v>
      </c>
      <c r="F196" t="s">
        <v>1111</v>
      </c>
      <c r="G196">
        <v>26320650000</v>
      </c>
      <c r="H196">
        <v>-2.930094</v>
      </c>
      <c r="I196" t="s">
        <v>1112</v>
      </c>
      <c r="J196">
        <v>5.369999885559082</v>
      </c>
      <c r="K196" t="s">
        <v>631</v>
      </c>
      <c r="L196">
        <v>0.92488884925842285</v>
      </c>
      <c r="M196">
        <v>24.919007657847125</v>
      </c>
      <c r="N196">
        <v>0.30456833920704846</v>
      </c>
      <c r="O196">
        <v>2.4954890177802369</v>
      </c>
      <c r="P196">
        <v>4.764407675850391</v>
      </c>
      <c r="Q196">
        <v>137.22</v>
      </c>
      <c r="R196">
        <v>90.25</v>
      </c>
    </row>
    <row r="197" spans="1:18" x14ac:dyDescent="0.25">
      <c r="A197" t="s">
        <v>213</v>
      </c>
      <c r="B197">
        <v>2.5564999580383301</v>
      </c>
      <c r="C197" t="s">
        <v>604</v>
      </c>
      <c r="D197" t="s">
        <v>1113</v>
      </c>
      <c r="E197" t="s">
        <v>822</v>
      </c>
      <c r="F197" t="s">
        <v>1114</v>
      </c>
      <c r="G197">
        <v>105901931784</v>
      </c>
      <c r="H197">
        <v>48.983609999999999</v>
      </c>
      <c r="I197" t="s">
        <v>1115</v>
      </c>
      <c r="J197">
        <v>2.130000114440918</v>
      </c>
      <c r="K197" t="s">
        <v>582</v>
      </c>
      <c r="L197">
        <v>1.4334466457366943</v>
      </c>
      <c r="M197">
        <v>37.737407131942277</v>
      </c>
      <c r="N197">
        <v>0.87588708251344127</v>
      </c>
      <c r="O197">
        <v>-20.336399355663076</v>
      </c>
      <c r="P197">
        <v>7.5133862775707243</v>
      </c>
      <c r="Q197">
        <v>250.22</v>
      </c>
      <c r="R197">
        <v>104.86</v>
      </c>
    </row>
    <row r="198" spans="1:18" x14ac:dyDescent="0.25">
      <c r="A198" t="s">
        <v>214</v>
      </c>
      <c r="B198">
        <v>1.0994999408721924</v>
      </c>
      <c r="C198" t="s">
        <v>527</v>
      </c>
      <c r="D198" t="s">
        <v>1116</v>
      </c>
      <c r="E198" t="s">
        <v>647</v>
      </c>
      <c r="F198" t="s">
        <v>1117</v>
      </c>
      <c r="G198">
        <v>146614533114.29996</v>
      </c>
      <c r="H198">
        <v>6.3425209999999996</v>
      </c>
      <c r="I198" t="s">
        <v>1118</v>
      </c>
      <c r="J198">
        <v>2.5299999713897705</v>
      </c>
      <c r="K198" t="s">
        <v>526</v>
      </c>
      <c r="L198">
        <v>0.62092792987823486</v>
      </c>
      <c r="M198">
        <v>21.474519776488691</v>
      </c>
      <c r="N198">
        <v>0.26569719096945255</v>
      </c>
      <c r="O198">
        <v>-5.4127775039699388</v>
      </c>
      <c r="P198">
        <v>3.1986046730196476</v>
      </c>
      <c r="Q198">
        <v>292.99</v>
      </c>
      <c r="R198">
        <v>204.29480000000001</v>
      </c>
    </row>
    <row r="199" spans="1:18" x14ac:dyDescent="0.25">
      <c r="A199" t="s">
        <v>215</v>
      </c>
      <c r="B199">
        <v>9.7000002861022949E-3</v>
      </c>
      <c r="C199" t="s">
        <v>547</v>
      </c>
      <c r="D199" t="s">
        <v>1119</v>
      </c>
      <c r="E199" t="s">
        <v>1120</v>
      </c>
      <c r="F199" t="s">
        <v>1121</v>
      </c>
      <c r="G199">
        <v>25599101327.759998</v>
      </c>
      <c r="H199">
        <v>1.4040269999999999</v>
      </c>
      <c r="I199" t="s">
        <v>1122</v>
      </c>
      <c r="J199">
        <v>4.5</v>
      </c>
      <c r="K199" t="s">
        <v>631</v>
      </c>
      <c r="L199">
        <v>0.81205219030380249</v>
      </c>
      <c r="M199">
        <v>16.643229261257904</v>
      </c>
      <c r="N199">
        <v>0.10806532042933706</v>
      </c>
      <c r="O199">
        <v>-5.5395683453237403</v>
      </c>
      <c r="P199">
        <v>4.1831488094776867</v>
      </c>
      <c r="Q199">
        <v>115</v>
      </c>
      <c r="R199">
        <v>83.864999999999995</v>
      </c>
    </row>
    <row r="200" spans="1:18" x14ac:dyDescent="0.25">
      <c r="A200" t="s">
        <v>216</v>
      </c>
      <c r="B200">
        <v>0.74769997596740723</v>
      </c>
      <c r="C200" t="s">
        <v>632</v>
      </c>
      <c r="D200" t="s">
        <v>1123</v>
      </c>
      <c r="E200" t="s">
        <v>810</v>
      </c>
      <c r="F200" t="s">
        <v>810</v>
      </c>
      <c r="G200">
        <v>43702236957.800003</v>
      </c>
      <c r="H200">
        <v>3.6572399999999998</v>
      </c>
      <c r="I200" t="s">
        <v>1124</v>
      </c>
      <c r="J200">
        <v>6.2899999618530273</v>
      </c>
      <c r="K200" t="s">
        <v>532</v>
      </c>
      <c r="L200">
        <v>0.59098953008651733</v>
      </c>
      <c r="M200">
        <v>18.074785664711065</v>
      </c>
      <c r="N200">
        <v>0.25648925779046361</v>
      </c>
      <c r="O200">
        <v>15.726162388918317</v>
      </c>
      <c r="P200">
        <v>3.0443820960205792</v>
      </c>
      <c r="Q200">
        <v>95.11</v>
      </c>
      <c r="R200">
        <v>74.790000000000006</v>
      </c>
    </row>
    <row r="201" spans="1:18" x14ac:dyDescent="0.25">
      <c r="A201" t="s">
        <v>217</v>
      </c>
      <c r="B201">
        <v>1.0705000162124634</v>
      </c>
      <c r="C201" t="s">
        <v>553</v>
      </c>
      <c r="D201" t="s">
        <v>1125</v>
      </c>
      <c r="E201" t="s">
        <v>555</v>
      </c>
      <c r="F201" t="s">
        <v>1126</v>
      </c>
      <c r="G201">
        <v>14881637673.359999</v>
      </c>
      <c r="H201">
        <v>-18.862179999999999</v>
      </c>
      <c r="I201" t="s">
        <v>1127</v>
      </c>
      <c r="J201">
        <v>7.0199999809265137</v>
      </c>
      <c r="K201" t="s">
        <v>532</v>
      </c>
      <c r="L201">
        <v>0.89198583364486694</v>
      </c>
      <c r="M201">
        <v>42.141461837648116</v>
      </c>
      <c r="N201">
        <v>0.81992606979512561</v>
      </c>
      <c r="O201">
        <v>5.872770552852411</v>
      </c>
      <c r="P201">
        <v>4.6042625426673887</v>
      </c>
      <c r="Q201">
        <v>112.34</v>
      </c>
      <c r="R201">
        <v>65</v>
      </c>
    </row>
    <row r="202" spans="1:18" x14ac:dyDescent="0.25">
      <c r="A202" t="s">
        <v>218</v>
      </c>
      <c r="B202">
        <v>2.9755001068115234</v>
      </c>
      <c r="C202" t="s">
        <v>632</v>
      </c>
      <c r="D202" t="s">
        <v>1128</v>
      </c>
      <c r="E202" t="s">
        <v>810</v>
      </c>
      <c r="F202" t="s">
        <v>810</v>
      </c>
      <c r="G202">
        <v>20373235902.900002</v>
      </c>
      <c r="H202">
        <v>-33.679859999999998</v>
      </c>
      <c r="I202" t="s">
        <v>1129</v>
      </c>
      <c r="J202">
        <v>6.5</v>
      </c>
      <c r="K202" t="s">
        <v>526</v>
      </c>
      <c r="L202">
        <v>0.61177492141723633</v>
      </c>
      <c r="M202">
        <v>31.301447718887975</v>
      </c>
      <c r="N202">
        <v>0.16075594755950209</v>
      </c>
      <c r="O202">
        <v>21.865322906857383</v>
      </c>
      <c r="P202">
        <v>3.151454505944252</v>
      </c>
      <c r="Q202">
        <v>88.77</v>
      </c>
      <c r="R202">
        <v>47.74</v>
      </c>
    </row>
    <row r="203" spans="1:18" x14ac:dyDescent="0.25">
      <c r="A203" t="s">
        <v>219</v>
      </c>
      <c r="B203">
        <v>0.65270000696182251</v>
      </c>
      <c r="C203" t="s">
        <v>537</v>
      </c>
      <c r="D203" t="s">
        <v>1130</v>
      </c>
      <c r="E203" t="s">
        <v>942</v>
      </c>
      <c r="F203" t="s">
        <v>943</v>
      </c>
      <c r="G203">
        <v>53234817997.37999</v>
      </c>
      <c r="H203">
        <v>-7.4856550000000004</v>
      </c>
      <c r="I203" t="s">
        <v>1131</v>
      </c>
      <c r="J203">
        <v>6.190000057220459</v>
      </c>
      <c r="K203" t="s">
        <v>526</v>
      </c>
      <c r="L203">
        <v>0.84597223997116089</v>
      </c>
      <c r="M203">
        <v>32.580118337000229</v>
      </c>
      <c r="N203">
        <v>0.23612134796424139</v>
      </c>
      <c r="O203">
        <v>0.80182226903556342</v>
      </c>
      <c r="P203">
        <v>4.3578821789306401</v>
      </c>
      <c r="Q203">
        <v>48.81</v>
      </c>
      <c r="R203">
        <v>31.14</v>
      </c>
    </row>
    <row r="204" spans="1:18" x14ac:dyDescent="0.25">
      <c r="A204" t="s">
        <v>220</v>
      </c>
      <c r="B204">
        <v>0.580299973487854</v>
      </c>
      <c r="C204" t="s">
        <v>527</v>
      </c>
      <c r="D204" t="s">
        <v>1132</v>
      </c>
      <c r="E204" t="s">
        <v>1084</v>
      </c>
      <c r="F204" t="s">
        <v>1133</v>
      </c>
      <c r="G204">
        <v>181294887410.67999</v>
      </c>
      <c r="H204">
        <v>31.144439999999999</v>
      </c>
      <c r="I204" t="s">
        <v>1134</v>
      </c>
      <c r="J204">
        <v>3.5899999141693115</v>
      </c>
      <c r="K204" t="s">
        <v>582</v>
      </c>
      <c r="L204">
        <v>1.0758881568908691</v>
      </c>
      <c r="M204">
        <v>14.681786360128832</v>
      </c>
      <c r="N204">
        <v>5.6406379837531695</v>
      </c>
      <c r="O204">
        <v>-1.3903188872694194</v>
      </c>
      <c r="P204">
        <v>5.5422549392366403</v>
      </c>
      <c r="Q204">
        <v>98.254999999999995</v>
      </c>
      <c r="R204">
        <v>61.16</v>
      </c>
    </row>
    <row r="205" spans="1:18" x14ac:dyDescent="0.25">
      <c r="A205" t="s">
        <v>221</v>
      </c>
      <c r="B205">
        <v>-3.229999914765358E-2</v>
      </c>
      <c r="C205" t="s">
        <v>521</v>
      </c>
      <c r="D205" t="s">
        <v>1135</v>
      </c>
      <c r="E205" t="s">
        <v>740</v>
      </c>
      <c r="F205" t="s">
        <v>1111</v>
      </c>
      <c r="G205">
        <v>84798260771.600006</v>
      </c>
      <c r="H205">
        <v>5.001245E-2</v>
      </c>
      <c r="I205" t="s">
        <v>1136</v>
      </c>
      <c r="J205">
        <v>4.679999828338623</v>
      </c>
      <c r="K205" t="s">
        <v>532</v>
      </c>
      <c r="L205">
        <v>0.88921356201171875</v>
      </c>
      <c r="M205">
        <v>22.293977153393165</v>
      </c>
      <c r="N205">
        <v>0.34133389723715207</v>
      </c>
      <c r="O205">
        <v>5.4957957637043942</v>
      </c>
      <c r="P205">
        <v>4.5806324983978266</v>
      </c>
      <c r="Q205">
        <v>400.28</v>
      </c>
      <c r="R205">
        <v>308.83999999999997</v>
      </c>
    </row>
    <row r="206" spans="1:18" x14ac:dyDescent="0.25">
      <c r="A206" t="s">
        <v>222</v>
      </c>
      <c r="B206">
        <v>-5.5858001708984375</v>
      </c>
      <c r="C206" t="s">
        <v>553</v>
      </c>
      <c r="D206" t="s">
        <v>1137</v>
      </c>
      <c r="E206" t="s">
        <v>555</v>
      </c>
      <c r="F206" t="s">
        <v>768</v>
      </c>
      <c r="G206">
        <v>18948299210.75</v>
      </c>
      <c r="H206">
        <v>-19.55367</v>
      </c>
      <c r="I206" t="s">
        <v>1138</v>
      </c>
      <c r="J206">
        <v>2.9000000953674316</v>
      </c>
      <c r="K206" t="s">
        <v>532</v>
      </c>
      <c r="L206">
        <v>0.86435174942016602</v>
      </c>
      <c r="M206">
        <v>54.078879359484155</v>
      </c>
      <c r="N206">
        <v>0.58032323630984484</v>
      </c>
      <c r="O206">
        <v>3.663674393153165</v>
      </c>
      <c r="P206">
        <v>4.4525610973405838</v>
      </c>
      <c r="Q206">
        <v>351.43</v>
      </c>
      <c r="R206">
        <v>187.46</v>
      </c>
    </row>
    <row r="207" spans="1:18" x14ac:dyDescent="0.25">
      <c r="A207" t="s">
        <v>223</v>
      </c>
      <c r="B207">
        <v>0.3497999906539917</v>
      </c>
      <c r="C207" t="s">
        <v>570</v>
      </c>
      <c r="D207" t="s">
        <v>1139</v>
      </c>
      <c r="E207" t="s">
        <v>818</v>
      </c>
      <c r="F207" t="s">
        <v>818</v>
      </c>
      <c r="G207">
        <v>11630654357.519999</v>
      </c>
      <c r="H207">
        <v>-0.99891269999999999</v>
      </c>
      <c r="I207" t="s">
        <v>1140</v>
      </c>
      <c r="J207">
        <v>5.2899999618530273</v>
      </c>
      <c r="K207" t="s">
        <v>532</v>
      </c>
      <c r="L207">
        <v>0.47006648778915405</v>
      </c>
      <c r="M207">
        <v>42.552357859114302</v>
      </c>
      <c r="N207">
        <v>3.4888382395811171</v>
      </c>
      <c r="O207">
        <v>2.6958468169280114</v>
      </c>
      <c r="P207">
        <v>2.4214676005429028</v>
      </c>
      <c r="Q207">
        <v>125.12</v>
      </c>
      <c r="R207">
        <v>93.47</v>
      </c>
    </row>
    <row r="208" spans="1:18" x14ac:dyDescent="0.25">
      <c r="A208" t="s">
        <v>224</v>
      </c>
      <c r="B208">
        <v>-1.8200000748038292E-2</v>
      </c>
      <c r="C208" t="s">
        <v>547</v>
      </c>
      <c r="D208" t="s">
        <v>1141</v>
      </c>
      <c r="E208" t="s">
        <v>1142</v>
      </c>
      <c r="F208" t="s">
        <v>1143</v>
      </c>
      <c r="G208">
        <v>17227996540.169998</v>
      </c>
      <c r="H208">
        <v>-2.7129759999999998</v>
      </c>
      <c r="I208" t="s">
        <v>1144</v>
      </c>
      <c r="J208">
        <v>2.9300000667572021</v>
      </c>
      <c r="K208" t="s">
        <v>582</v>
      </c>
      <c r="L208">
        <v>0.85681474208831787</v>
      </c>
      <c r="M208">
        <v>24.329699778187834</v>
      </c>
      <c r="N208">
        <v>2.2014194627379311</v>
      </c>
      <c r="O208">
        <v>5.5198943643854763</v>
      </c>
      <c r="P208">
        <v>4.4137354853618147</v>
      </c>
      <c r="Q208">
        <v>373.42</v>
      </c>
      <c r="R208">
        <v>267.16000000000003</v>
      </c>
    </row>
    <row r="209" spans="1:18" x14ac:dyDescent="0.25">
      <c r="A209" t="s">
        <v>225</v>
      </c>
      <c r="B209">
        <v>0.20589999854564667</v>
      </c>
      <c r="C209" t="s">
        <v>547</v>
      </c>
      <c r="D209" t="s">
        <v>1145</v>
      </c>
      <c r="E209" t="s">
        <v>954</v>
      </c>
      <c r="F209" t="s">
        <v>1146</v>
      </c>
      <c r="G209">
        <v>41578995148.019997</v>
      </c>
      <c r="H209">
        <v>-9.4305180000000002E-2</v>
      </c>
      <c r="I209" t="s">
        <v>1147</v>
      </c>
      <c r="J209">
        <v>2.4500000476837158</v>
      </c>
      <c r="K209" t="s">
        <v>582</v>
      </c>
      <c r="L209">
        <v>0.92919075489044189</v>
      </c>
      <c r="M209">
        <v>17.611875562358133</v>
      </c>
      <c r="N209">
        <v>0.46386418860095546</v>
      </c>
      <c r="O209">
        <v>3.74300728937108</v>
      </c>
      <c r="P209">
        <v>4.7865682113897794</v>
      </c>
      <c r="Q209">
        <v>198.02</v>
      </c>
      <c r="R209">
        <v>145.41999999999999</v>
      </c>
    </row>
    <row r="210" spans="1:18" x14ac:dyDescent="0.25">
      <c r="A210" t="s">
        <v>226</v>
      </c>
      <c r="B210">
        <v>0.46219998598098755</v>
      </c>
      <c r="C210" t="s">
        <v>547</v>
      </c>
      <c r="D210" t="s">
        <v>1148</v>
      </c>
      <c r="E210" t="s">
        <v>822</v>
      </c>
      <c r="F210" t="s">
        <v>1149</v>
      </c>
      <c r="G210">
        <v>190902735666.42001</v>
      </c>
      <c r="H210">
        <v>51.342840000000002</v>
      </c>
      <c r="I210" t="s">
        <v>1150</v>
      </c>
      <c r="J210">
        <v>6.6500000953674316</v>
      </c>
      <c r="K210" t="s">
        <v>526</v>
      </c>
      <c r="L210">
        <v>1.2593299150466919</v>
      </c>
      <c r="M210">
        <v>33.163836317808837</v>
      </c>
      <c r="N210">
        <v>0.19304699574591808</v>
      </c>
      <c r="O210">
        <v>11.492864980502944</v>
      </c>
      <c r="P210">
        <v>6.4872239712774746</v>
      </c>
      <c r="Q210">
        <v>97.71</v>
      </c>
      <c r="R210">
        <v>54.99</v>
      </c>
    </row>
    <row r="211" spans="1:18" x14ac:dyDescent="0.25">
      <c r="A211" t="s">
        <v>227</v>
      </c>
      <c r="B211">
        <v>0.36840000748634338</v>
      </c>
      <c r="C211" t="s">
        <v>632</v>
      </c>
      <c r="D211" t="s">
        <v>1151</v>
      </c>
      <c r="E211" t="s">
        <v>810</v>
      </c>
      <c r="F211" t="s">
        <v>810</v>
      </c>
      <c r="G211">
        <v>104903463574.00002</v>
      </c>
      <c r="H211">
        <v>15.828469999999999</v>
      </c>
      <c r="I211" t="s">
        <v>1152</v>
      </c>
      <c r="J211">
        <v>6.0799999237060547</v>
      </c>
      <c r="K211" t="s">
        <v>526</v>
      </c>
      <c r="L211">
        <v>0.39575165510177612</v>
      </c>
      <c r="M211">
        <v>16.961787416799503</v>
      </c>
      <c r="N211">
        <v>0.19935757422781794</v>
      </c>
      <c r="O211">
        <v>6.7169826652620461</v>
      </c>
      <c r="P211">
        <v>2.0386473734754325</v>
      </c>
      <c r="Q211">
        <v>96.4</v>
      </c>
      <c r="R211">
        <v>80.459999999999994</v>
      </c>
    </row>
    <row r="212" spans="1:18" x14ac:dyDescent="0.25">
      <c r="A212" t="s">
        <v>228</v>
      </c>
      <c r="B212">
        <v>0.37380000948905945</v>
      </c>
      <c r="C212" t="s">
        <v>527</v>
      </c>
      <c r="D212" t="s">
        <v>1153</v>
      </c>
      <c r="E212" t="s">
        <v>1073</v>
      </c>
      <c r="F212" t="s">
        <v>1073</v>
      </c>
      <c r="G212">
        <v>59780453569.649994</v>
      </c>
      <c r="H212">
        <v>5.2328239999999999</v>
      </c>
      <c r="I212" t="s">
        <v>1154</v>
      </c>
      <c r="J212">
        <v>3.8900001049041748</v>
      </c>
      <c r="K212" t="s">
        <v>582</v>
      </c>
      <c r="L212">
        <v>1.1521066427230835</v>
      </c>
      <c r="M212">
        <v>24.444008054237997</v>
      </c>
      <c r="N212">
        <v>0.32146836107973864</v>
      </c>
      <c r="O212">
        <v>3.6336426757182996</v>
      </c>
      <c r="P212">
        <v>5.9348815118587011</v>
      </c>
      <c r="Q212">
        <v>49.05</v>
      </c>
      <c r="R212">
        <v>33.57</v>
      </c>
    </row>
    <row r="213" spans="1:18" x14ac:dyDescent="0.25">
      <c r="A213" t="s">
        <v>229</v>
      </c>
      <c r="B213">
        <v>-0.15029999613761902</v>
      </c>
      <c r="C213" t="s">
        <v>547</v>
      </c>
      <c r="D213" t="s">
        <v>1155</v>
      </c>
      <c r="E213" t="s">
        <v>1156</v>
      </c>
      <c r="F213" t="s">
        <v>1157</v>
      </c>
      <c r="G213">
        <v>17441483815.889999</v>
      </c>
      <c r="H213">
        <v>-1.219509</v>
      </c>
      <c r="I213" t="s">
        <v>1158</v>
      </c>
      <c r="J213">
        <v>7.2699999809265137</v>
      </c>
      <c r="K213" t="s">
        <v>558</v>
      </c>
      <c r="L213">
        <v>1.0257171392440796</v>
      </c>
      <c r="M213">
        <v>40.95662772302272</v>
      </c>
      <c r="N213">
        <v>1.3477931731836066</v>
      </c>
      <c r="O213">
        <v>7.472449992930895</v>
      </c>
      <c r="P213">
        <v>5.2838074709022038</v>
      </c>
      <c r="Q213">
        <v>37.96</v>
      </c>
      <c r="R213">
        <v>23.585000000000001</v>
      </c>
    </row>
    <row r="214" spans="1:18" x14ac:dyDescent="0.25">
      <c r="A214" t="s">
        <v>230</v>
      </c>
      <c r="B214">
        <v>0.65659999847412109</v>
      </c>
      <c r="C214" t="s">
        <v>527</v>
      </c>
      <c r="D214" t="s">
        <v>1159</v>
      </c>
      <c r="E214" t="s">
        <v>647</v>
      </c>
      <c r="F214" t="s">
        <v>648</v>
      </c>
      <c r="G214">
        <v>26171759470.589996</v>
      </c>
      <c r="H214">
        <v>18.696079999999998</v>
      </c>
      <c r="I214" t="s">
        <v>1160</v>
      </c>
      <c r="J214">
        <v>1.6799999475479126</v>
      </c>
      <c r="K214" t="s">
        <v>552</v>
      </c>
      <c r="L214">
        <v>0.57033389806747437</v>
      </c>
      <c r="M214">
        <v>17.658519818826782</v>
      </c>
      <c r="N214">
        <v>24.439910764511836</v>
      </c>
      <c r="O214">
        <v>2.9950437528312522E-2</v>
      </c>
      <c r="P214">
        <v>2.9379781191319227</v>
      </c>
      <c r="Q214">
        <v>75.713200000000001</v>
      </c>
      <c r="R214">
        <v>52.637099999999997</v>
      </c>
    </row>
    <row r="215" spans="1:18" x14ac:dyDescent="0.25">
      <c r="A215" t="s">
        <v>231</v>
      </c>
      <c r="B215">
        <v>1.6646000146865845</v>
      </c>
      <c r="C215" t="s">
        <v>547</v>
      </c>
      <c r="D215" t="s">
        <v>1161</v>
      </c>
      <c r="E215" t="s">
        <v>1142</v>
      </c>
      <c r="F215" t="s">
        <v>1162</v>
      </c>
      <c r="G215">
        <v>11433255893.1</v>
      </c>
      <c r="H215">
        <v>-7.9586509999999997</v>
      </c>
      <c r="I215" t="s">
        <v>1163</v>
      </c>
      <c r="J215">
        <v>5.1999998092651367</v>
      </c>
      <c r="K215" t="s">
        <v>558</v>
      </c>
      <c r="L215">
        <v>1.1209515333175659</v>
      </c>
      <c r="M215">
        <v>45.50604253101239</v>
      </c>
      <c r="N215">
        <v>0.27783990084834775</v>
      </c>
      <c r="O215">
        <v>20.775866765502307</v>
      </c>
      <c r="P215">
        <v>5.7743912621247766</v>
      </c>
      <c r="Q215">
        <v>110.61</v>
      </c>
      <c r="R215">
        <v>53.98</v>
      </c>
    </row>
    <row r="216" spans="1:18" x14ac:dyDescent="0.25">
      <c r="A216" t="s">
        <v>232</v>
      </c>
      <c r="B216">
        <v>0.15659999847412109</v>
      </c>
      <c r="C216" t="s">
        <v>587</v>
      </c>
      <c r="D216" t="s">
        <v>1164</v>
      </c>
      <c r="E216" t="s">
        <v>589</v>
      </c>
      <c r="F216" t="s">
        <v>589</v>
      </c>
      <c r="G216">
        <v>50482123549.439995</v>
      </c>
      <c r="H216">
        <v>-3.9006150000000002</v>
      </c>
      <c r="I216" t="s">
        <v>1165</v>
      </c>
      <c r="J216">
        <v>5.2699999809265137</v>
      </c>
      <c r="K216" t="s">
        <v>558</v>
      </c>
      <c r="L216">
        <v>0.72360873222351074</v>
      </c>
      <c r="M216">
        <v>17.290209959370927</v>
      </c>
      <c r="N216">
        <v>10.190423698621625</v>
      </c>
      <c r="O216">
        <v>-2.2214963078324998E-3</v>
      </c>
      <c r="P216">
        <v>3.7275473705649373</v>
      </c>
      <c r="Q216">
        <v>368.17</v>
      </c>
      <c r="R216">
        <v>256.60000000000002</v>
      </c>
    </row>
    <row r="217" spans="1:18" x14ac:dyDescent="0.25">
      <c r="A217" t="s">
        <v>233</v>
      </c>
      <c r="B217">
        <v>0.21050000190734863</v>
      </c>
      <c r="C217" t="s">
        <v>542</v>
      </c>
      <c r="D217" t="s">
        <v>1166</v>
      </c>
      <c r="E217" t="s">
        <v>661</v>
      </c>
      <c r="F217" t="s">
        <v>662</v>
      </c>
      <c r="G217">
        <v>143526701134.68002</v>
      </c>
      <c r="H217">
        <v>3.3927450000000001</v>
      </c>
      <c r="I217" t="s">
        <v>1167</v>
      </c>
      <c r="J217">
        <v>3.3599998950958252</v>
      </c>
      <c r="K217" t="s">
        <v>532</v>
      </c>
      <c r="L217">
        <v>1.7778328657150269</v>
      </c>
      <c r="M217">
        <v>47.195197492125885</v>
      </c>
      <c r="N217">
        <v>21.186728464608841</v>
      </c>
      <c r="O217">
        <v>-0.45664827105580547</v>
      </c>
      <c r="P217">
        <v>9.1582037761437896</v>
      </c>
      <c r="Q217">
        <v>133.04</v>
      </c>
      <c r="R217">
        <v>59.51</v>
      </c>
    </row>
    <row r="218" spans="1:18" x14ac:dyDescent="0.25">
      <c r="A218" t="s">
        <v>234</v>
      </c>
      <c r="B218">
        <v>0.55099999904632568</v>
      </c>
      <c r="C218" t="s">
        <v>570</v>
      </c>
      <c r="D218" t="s">
        <v>1168</v>
      </c>
      <c r="E218" t="s">
        <v>1169</v>
      </c>
      <c r="F218" t="s">
        <v>1169</v>
      </c>
      <c r="G218">
        <v>38925559984.299995</v>
      </c>
      <c r="H218">
        <v>5.0222350000000002</v>
      </c>
      <c r="I218" t="s">
        <v>1170</v>
      </c>
      <c r="J218">
        <v>4.0300002098083496</v>
      </c>
      <c r="K218" t="s">
        <v>526</v>
      </c>
      <c r="L218">
        <v>0.50021070241928101</v>
      </c>
      <c r="M218">
        <v>16.849964950564186</v>
      </c>
      <c r="N218">
        <v>0.28707459922265349</v>
      </c>
      <c r="O218">
        <v>0.54701778747097451</v>
      </c>
      <c r="P218">
        <v>2.5767503976935147</v>
      </c>
      <c r="Q218">
        <v>82.23</v>
      </c>
      <c r="R218">
        <v>67.260000000000005</v>
      </c>
    </row>
    <row r="219" spans="1:18" x14ac:dyDescent="0.25">
      <c r="A219" t="s">
        <v>235</v>
      </c>
      <c r="B219">
        <v>0.42399999499320984</v>
      </c>
      <c r="C219" t="s">
        <v>521</v>
      </c>
      <c r="D219" t="s">
        <v>1171</v>
      </c>
      <c r="E219" t="s">
        <v>1172</v>
      </c>
      <c r="F219" t="s">
        <v>1173</v>
      </c>
      <c r="G219">
        <v>50153760756.26001</v>
      </c>
      <c r="H219">
        <v>28.915030000000002</v>
      </c>
      <c r="I219" t="s">
        <v>1174</v>
      </c>
      <c r="J219">
        <v>6.4800000190734863</v>
      </c>
      <c r="K219" t="s">
        <v>582</v>
      </c>
      <c r="L219">
        <v>0.79733991622924805</v>
      </c>
      <c r="M219">
        <v>19.813076609664808</v>
      </c>
      <c r="N219">
        <v>0.21253801838203742</v>
      </c>
      <c r="O219">
        <v>-1.389821031381649</v>
      </c>
      <c r="P219">
        <v>4.1073610306692121</v>
      </c>
      <c r="Q219">
        <v>77.400000000000006</v>
      </c>
      <c r="R219">
        <v>50.3</v>
      </c>
    </row>
    <row r="220" spans="1:18" x14ac:dyDescent="0.25">
      <c r="A220" t="s">
        <v>236</v>
      </c>
      <c r="B220">
        <v>-0.37700000405311584</v>
      </c>
      <c r="C220" t="s">
        <v>542</v>
      </c>
      <c r="D220" t="s">
        <v>1175</v>
      </c>
      <c r="E220" t="s">
        <v>544</v>
      </c>
      <c r="F220" t="s">
        <v>654</v>
      </c>
      <c r="G220">
        <v>168058249894.21002</v>
      </c>
      <c r="H220">
        <v>-1.343925</v>
      </c>
      <c r="I220" t="s">
        <v>1176</v>
      </c>
      <c r="J220">
        <v>5.320000171661377</v>
      </c>
      <c r="K220" t="s">
        <v>631</v>
      </c>
      <c r="L220">
        <v>1.1073116064071655</v>
      </c>
      <c r="M220">
        <v>42.526359668965064</v>
      </c>
      <c r="N220">
        <v>0.16795969738641395</v>
      </c>
      <c r="O220">
        <v>9.3987135525612242</v>
      </c>
      <c r="P220">
        <v>5.704127497433424</v>
      </c>
      <c r="Q220">
        <v>221.69</v>
      </c>
      <c r="R220">
        <v>139.96</v>
      </c>
    </row>
    <row r="221" spans="1:18" x14ac:dyDescent="0.25">
      <c r="A221" t="s">
        <v>237</v>
      </c>
      <c r="B221">
        <v>-1.7669999599456787</v>
      </c>
      <c r="C221" t="s">
        <v>547</v>
      </c>
      <c r="D221" t="s">
        <v>1177</v>
      </c>
      <c r="E221" t="s">
        <v>549</v>
      </c>
      <c r="F221" t="s">
        <v>550</v>
      </c>
      <c r="G221">
        <v>14167320952.499998</v>
      </c>
      <c r="H221">
        <v>3.9351579999999999</v>
      </c>
      <c r="I221" t="s">
        <v>1178</v>
      </c>
      <c r="J221">
        <v>5.0100002288818359</v>
      </c>
      <c r="K221" t="s">
        <v>526</v>
      </c>
      <c r="L221">
        <v>0.99561858177185059</v>
      </c>
      <c r="M221">
        <v>27.814444801127731</v>
      </c>
      <c r="N221">
        <v>0.89151470466927707</v>
      </c>
      <c r="O221">
        <v>4.8013759252842014</v>
      </c>
      <c r="P221">
        <v>5.1287598688387872</v>
      </c>
      <c r="Q221">
        <v>93.98</v>
      </c>
      <c r="R221">
        <v>57.9</v>
      </c>
    </row>
    <row r="222" spans="1:18" x14ac:dyDescent="0.25">
      <c r="A222" t="s">
        <v>238</v>
      </c>
      <c r="B222">
        <v>0.69260001182556152</v>
      </c>
      <c r="C222" t="s">
        <v>553</v>
      </c>
      <c r="D222" t="s">
        <v>1179</v>
      </c>
      <c r="E222" t="s">
        <v>844</v>
      </c>
      <c r="F222" t="s">
        <v>1180</v>
      </c>
      <c r="G222">
        <v>180562887987.84</v>
      </c>
      <c r="H222">
        <v>-8.0560489999999998</v>
      </c>
      <c r="I222" t="s">
        <v>1181</v>
      </c>
      <c r="J222">
        <v>4.119999885559082</v>
      </c>
      <c r="K222" t="s">
        <v>552</v>
      </c>
      <c r="L222">
        <v>0.85202890634536743</v>
      </c>
      <c r="M222">
        <v>39.155836516421246</v>
      </c>
      <c r="N222">
        <v>0.1172405168666301</v>
      </c>
      <c r="O222">
        <v>15.410815140401372</v>
      </c>
      <c r="P222">
        <v>4.3890820661240815</v>
      </c>
      <c r="Q222">
        <v>627.88</v>
      </c>
      <c r="R222">
        <v>385.54</v>
      </c>
    </row>
    <row r="223" spans="1:18" x14ac:dyDescent="0.25">
      <c r="A223" t="s">
        <v>239</v>
      </c>
      <c r="B223">
        <v>0.14259999990463257</v>
      </c>
      <c r="C223" t="s">
        <v>604</v>
      </c>
      <c r="D223" t="s">
        <v>1182</v>
      </c>
      <c r="E223" t="s">
        <v>619</v>
      </c>
      <c r="F223" t="s">
        <v>1183</v>
      </c>
      <c r="G223">
        <v>141058439498.56</v>
      </c>
      <c r="H223">
        <v>4.6602119999999996</v>
      </c>
      <c r="I223" t="s">
        <v>1184</v>
      </c>
      <c r="J223">
        <v>3.3599998950958252</v>
      </c>
      <c r="K223" t="s">
        <v>526</v>
      </c>
      <c r="L223">
        <v>0.67449182271957397</v>
      </c>
      <c r="M223">
        <v>16.901021633278042</v>
      </c>
      <c r="N223">
        <v>0.17505180994177208</v>
      </c>
      <c r="O223">
        <v>9.0302373880613693</v>
      </c>
      <c r="P223">
        <v>3.4745299611300227</v>
      </c>
      <c r="Q223">
        <v>135.85</v>
      </c>
      <c r="R223">
        <v>107.76</v>
      </c>
    </row>
    <row r="224" spans="1:18" x14ac:dyDescent="0.25">
      <c r="A224" t="s">
        <v>240</v>
      </c>
      <c r="B224">
        <v>2.7448000907897949</v>
      </c>
      <c r="C224" t="s">
        <v>527</v>
      </c>
      <c r="D224" t="s">
        <v>1185</v>
      </c>
      <c r="E224" t="s">
        <v>708</v>
      </c>
      <c r="F224" t="s">
        <v>708</v>
      </c>
      <c r="G224">
        <v>11154018969.009998</v>
      </c>
      <c r="H224">
        <v>21.17109</v>
      </c>
      <c r="I224" t="s">
        <v>1186</v>
      </c>
      <c r="J224">
        <v>2.2300000190734863</v>
      </c>
      <c r="K224" t="s">
        <v>558</v>
      </c>
      <c r="L224">
        <v>0.77891808748245239</v>
      </c>
      <c r="M224">
        <v>26.340740844995441</v>
      </c>
      <c r="N224">
        <v>2.572508091915378</v>
      </c>
      <c r="O224">
        <v>2.2646907744315778</v>
      </c>
      <c r="P224">
        <v>4.0124641115909814</v>
      </c>
      <c r="Q224">
        <v>138.36000000000001</v>
      </c>
      <c r="R224">
        <v>86.69</v>
      </c>
    </row>
    <row r="225" spans="1:18" x14ac:dyDescent="0.25">
      <c r="A225" t="s">
        <v>241</v>
      </c>
      <c r="B225">
        <v>1.5542999505996704</v>
      </c>
      <c r="C225" t="s">
        <v>547</v>
      </c>
      <c r="D225" t="s">
        <v>1187</v>
      </c>
      <c r="E225" t="s">
        <v>720</v>
      </c>
      <c r="F225" t="s">
        <v>1188</v>
      </c>
      <c r="G225">
        <v>73523625387.650024</v>
      </c>
      <c r="H225">
        <v>41.555810000000001</v>
      </c>
      <c r="I225" t="s">
        <v>1189</v>
      </c>
      <c r="J225">
        <v>6.9699997901916504</v>
      </c>
      <c r="K225" t="s">
        <v>532</v>
      </c>
      <c r="L225">
        <v>1.1273880004882813</v>
      </c>
      <c r="M225">
        <v>17.731536511400819</v>
      </c>
      <c r="N225">
        <v>0.34199238525862796</v>
      </c>
      <c r="O225">
        <v>-11.68316367079715</v>
      </c>
      <c r="P225">
        <v>5.8075476285552972</v>
      </c>
      <c r="Q225">
        <v>112</v>
      </c>
      <c r="R225">
        <v>64.36</v>
      </c>
    </row>
    <row r="226" spans="1:18" x14ac:dyDescent="0.25">
      <c r="A226" t="s">
        <v>242</v>
      </c>
      <c r="B226">
        <v>0.27259999513626099</v>
      </c>
      <c r="C226" t="s">
        <v>604</v>
      </c>
      <c r="D226" t="s">
        <v>1190</v>
      </c>
      <c r="E226" t="s">
        <v>1191</v>
      </c>
      <c r="F226" t="s">
        <v>1192</v>
      </c>
      <c r="G226">
        <v>23144739294.75</v>
      </c>
      <c r="H226">
        <v>18.39836</v>
      </c>
      <c r="I226" t="s">
        <v>1193</v>
      </c>
      <c r="J226">
        <v>6.7699999809265137</v>
      </c>
      <c r="K226" t="s">
        <v>532</v>
      </c>
      <c r="L226">
        <v>0.7888033390045166</v>
      </c>
      <c r="M226">
        <v>31.062832887854842</v>
      </c>
      <c r="N226">
        <v>0.27003972134319681</v>
      </c>
      <c r="O226">
        <v>30.209629661416987</v>
      </c>
      <c r="P226">
        <v>4.0633863043141361</v>
      </c>
      <c r="Q226">
        <v>515.99</v>
      </c>
      <c r="R226">
        <v>309.02</v>
      </c>
    </row>
    <row r="227" spans="1:18" x14ac:dyDescent="0.25">
      <c r="A227" t="s">
        <v>243</v>
      </c>
      <c r="B227">
        <v>1.9136999845504761</v>
      </c>
      <c r="C227" t="s">
        <v>547</v>
      </c>
      <c r="D227" t="s">
        <v>1194</v>
      </c>
      <c r="E227" t="s">
        <v>1064</v>
      </c>
      <c r="F227" t="s">
        <v>1195</v>
      </c>
      <c r="G227">
        <v>133280633496.84</v>
      </c>
      <c r="H227">
        <v>-1.447112</v>
      </c>
      <c r="I227" t="s">
        <v>1196</v>
      </c>
      <c r="J227">
        <v>5.119999885559082</v>
      </c>
      <c r="K227" t="s">
        <v>532</v>
      </c>
      <c r="L227">
        <v>0.82157820463180542</v>
      </c>
      <c r="M227">
        <v>23.167972953692171</v>
      </c>
      <c r="N227">
        <v>0.11097013075090417</v>
      </c>
      <c r="O227">
        <v>21.184134761651123</v>
      </c>
      <c r="P227">
        <v>4.2322204528659579</v>
      </c>
      <c r="Q227">
        <v>258</v>
      </c>
      <c r="R227">
        <v>204.72</v>
      </c>
    </row>
    <row r="228" spans="1:18" x14ac:dyDescent="0.25">
      <c r="A228" t="s">
        <v>244</v>
      </c>
      <c r="B228">
        <v>0.50720000267028809</v>
      </c>
      <c r="C228" t="s">
        <v>542</v>
      </c>
      <c r="D228" t="s">
        <v>1197</v>
      </c>
      <c r="E228" t="s">
        <v>954</v>
      </c>
      <c r="F228" t="s">
        <v>1198</v>
      </c>
      <c r="G228">
        <v>28647519580.549995</v>
      </c>
      <c r="H228">
        <v>3.62323</v>
      </c>
      <c r="I228" t="s">
        <v>1199</v>
      </c>
      <c r="J228">
        <v>5.1399998664855957</v>
      </c>
      <c r="K228" t="s">
        <v>631</v>
      </c>
      <c r="L228">
        <v>1.4150466918945313</v>
      </c>
      <c r="M228">
        <v>21.581459634552193</v>
      </c>
      <c r="N228">
        <v>0.77351063251232199</v>
      </c>
      <c r="O228">
        <v>2.2332998272573077</v>
      </c>
      <c r="P228">
        <v>7.2893724753570552</v>
      </c>
      <c r="Q228">
        <v>186.13</v>
      </c>
      <c r="R228">
        <v>119.73</v>
      </c>
    </row>
    <row r="229" spans="1:18" x14ac:dyDescent="0.25">
      <c r="A229" t="s">
        <v>245</v>
      </c>
      <c r="B229">
        <v>0.89020001888275146</v>
      </c>
      <c r="C229" t="s">
        <v>553</v>
      </c>
      <c r="D229" t="s">
        <v>1200</v>
      </c>
      <c r="E229" t="s">
        <v>678</v>
      </c>
      <c r="F229" t="s">
        <v>678</v>
      </c>
      <c r="G229">
        <v>254960892347.45999</v>
      </c>
      <c r="H229">
        <v>-44.439169999999997</v>
      </c>
      <c r="I229" t="s">
        <v>1201</v>
      </c>
      <c r="J229">
        <v>6.2100000381469727</v>
      </c>
      <c r="K229" t="s">
        <v>582</v>
      </c>
      <c r="L229">
        <v>0.24680550396442413</v>
      </c>
      <c r="M229">
        <v>60.436059368543347</v>
      </c>
      <c r="N229">
        <v>0.19407518743515337</v>
      </c>
      <c r="O229">
        <v>10.333427762068395</v>
      </c>
      <c r="P229">
        <v>1.2713765967370569</v>
      </c>
      <c r="Q229">
        <v>630.44500000000005</v>
      </c>
      <c r="R229">
        <v>248.92</v>
      </c>
    </row>
    <row r="230" spans="1:18" x14ac:dyDescent="0.25">
      <c r="A230" t="s">
        <v>246</v>
      </c>
      <c r="B230">
        <v>-5.59999980032444E-3</v>
      </c>
      <c r="C230" t="s">
        <v>527</v>
      </c>
      <c r="D230" t="s">
        <v>1202</v>
      </c>
      <c r="E230" t="s">
        <v>1203</v>
      </c>
      <c r="F230" t="s">
        <v>1203</v>
      </c>
      <c r="G230">
        <v>218667717736</v>
      </c>
      <c r="H230">
        <v>3.2942830000000001</v>
      </c>
      <c r="I230" t="s">
        <v>1204</v>
      </c>
      <c r="J230">
        <v>2.369999885559082</v>
      </c>
      <c r="K230" t="s">
        <v>552</v>
      </c>
      <c r="L230">
        <v>1.2665832042694092</v>
      </c>
      <c r="M230">
        <v>32.0444453351287</v>
      </c>
      <c r="N230">
        <v>0.98386814614718332</v>
      </c>
      <c r="O230">
        <v>8.2645151328247586</v>
      </c>
      <c r="P230">
        <v>6.5245880576491349</v>
      </c>
      <c r="Q230">
        <v>200.76</v>
      </c>
      <c r="R230">
        <v>115.66</v>
      </c>
    </row>
    <row r="231" spans="1:18" x14ac:dyDescent="0.25">
      <c r="A231" t="s">
        <v>247</v>
      </c>
      <c r="B231">
        <v>-0.96859997510910034</v>
      </c>
      <c r="C231" t="s">
        <v>587</v>
      </c>
      <c r="D231" t="s">
        <v>1205</v>
      </c>
      <c r="E231" t="s">
        <v>949</v>
      </c>
      <c r="F231" t="s">
        <v>949</v>
      </c>
      <c r="G231">
        <v>29993287676.400002</v>
      </c>
      <c r="H231">
        <v>12.854480000000001</v>
      </c>
      <c r="I231" t="s">
        <v>1206</v>
      </c>
      <c r="J231">
        <v>6.4600000381469727</v>
      </c>
      <c r="K231" t="s">
        <v>582</v>
      </c>
      <c r="L231">
        <v>0.61695152521133423</v>
      </c>
      <c r="M231">
        <v>20.411898744023144</v>
      </c>
      <c r="N231">
        <v>0.51578669901925167</v>
      </c>
      <c r="O231">
        <v>6.9436979288146583</v>
      </c>
      <c r="P231">
        <v>3.1781209003669022</v>
      </c>
      <c r="Q231">
        <v>71.33</v>
      </c>
      <c r="R231">
        <v>53.5</v>
      </c>
    </row>
    <row r="232" spans="1:18" x14ac:dyDescent="0.25">
      <c r="A232" t="s">
        <v>248</v>
      </c>
      <c r="B232">
        <v>-1.0197999477386475</v>
      </c>
      <c r="C232" t="s">
        <v>553</v>
      </c>
      <c r="D232" t="s">
        <v>1207</v>
      </c>
      <c r="E232" t="s">
        <v>898</v>
      </c>
      <c r="F232" t="s">
        <v>1208</v>
      </c>
      <c r="G232">
        <v>22177152000</v>
      </c>
      <c r="H232">
        <v>15.541600000000001</v>
      </c>
      <c r="I232" t="s">
        <v>1209</v>
      </c>
      <c r="J232">
        <v>4.5</v>
      </c>
      <c r="K232" t="s">
        <v>532</v>
      </c>
      <c r="L232">
        <v>0.61097335815429688</v>
      </c>
      <c r="M232">
        <v>25.4754986594236</v>
      </c>
      <c r="N232">
        <v>0.3881443364396655</v>
      </c>
      <c r="O232">
        <v>12.22779579995963</v>
      </c>
      <c r="P232">
        <v>3.147325389060974</v>
      </c>
      <c r="Q232">
        <v>282.74</v>
      </c>
      <c r="R232">
        <v>209.5</v>
      </c>
    </row>
    <row r="233" spans="1:18" x14ac:dyDescent="0.25">
      <c r="A233" t="s">
        <v>249</v>
      </c>
      <c r="B233">
        <v>1.2563999891281128</v>
      </c>
      <c r="C233" t="s">
        <v>521</v>
      </c>
      <c r="D233" t="s">
        <v>1210</v>
      </c>
      <c r="E233" t="s">
        <v>1211</v>
      </c>
      <c r="F233" t="s">
        <v>1212</v>
      </c>
      <c r="G233">
        <v>36306009302.279991</v>
      </c>
      <c r="H233">
        <v>6.8421209999999997</v>
      </c>
      <c r="I233" t="s">
        <v>1213</v>
      </c>
      <c r="J233">
        <v>4.3400001525878906</v>
      </c>
      <c r="K233" t="s">
        <v>526</v>
      </c>
      <c r="L233">
        <v>0.91656118631362915</v>
      </c>
      <c r="M233">
        <v>19.676851742193101</v>
      </c>
      <c r="N233">
        <v>0.11857529361447652</v>
      </c>
      <c r="O233">
        <v>-7.9329039289579351</v>
      </c>
      <c r="P233">
        <v>4.7215091358929868</v>
      </c>
      <c r="Q233">
        <v>297.75</v>
      </c>
      <c r="R233">
        <v>215.2</v>
      </c>
    </row>
    <row r="234" spans="1:18" x14ac:dyDescent="0.25">
      <c r="A234" t="s">
        <v>250</v>
      </c>
      <c r="B234">
        <v>3.0762999057769775</v>
      </c>
      <c r="C234" t="s">
        <v>587</v>
      </c>
      <c r="D234" t="s">
        <v>1214</v>
      </c>
      <c r="E234" t="s">
        <v>1215</v>
      </c>
      <c r="F234" t="s">
        <v>1215</v>
      </c>
      <c r="G234">
        <v>19098396170</v>
      </c>
      <c r="H234">
        <v>-5.9680270000000002</v>
      </c>
      <c r="I234" t="s">
        <v>1216</v>
      </c>
      <c r="J234">
        <v>5</v>
      </c>
      <c r="K234" t="s">
        <v>532</v>
      </c>
      <c r="L234">
        <v>0.86192846298217773</v>
      </c>
      <c r="M234">
        <v>26.571944184681218</v>
      </c>
      <c r="N234">
        <v>0.3213073330829328</v>
      </c>
      <c r="O234">
        <v>16.768968310160595</v>
      </c>
      <c r="P234">
        <v>4.4400779492139817</v>
      </c>
      <c r="Q234">
        <v>34.024999999999999</v>
      </c>
      <c r="R234">
        <v>24.1</v>
      </c>
    </row>
    <row r="235" spans="1:18" x14ac:dyDescent="0.25">
      <c r="A235" t="s">
        <v>251</v>
      </c>
      <c r="B235">
        <v>-1.5829999446868896</v>
      </c>
      <c r="C235" t="s">
        <v>537</v>
      </c>
      <c r="D235" t="s">
        <v>1217</v>
      </c>
      <c r="E235" t="s">
        <v>681</v>
      </c>
      <c r="F235" t="s">
        <v>681</v>
      </c>
      <c r="G235">
        <v>70598588833.779999</v>
      </c>
      <c r="H235">
        <v>6.8366610000000003</v>
      </c>
      <c r="I235" t="s">
        <v>1218</v>
      </c>
      <c r="J235">
        <v>6.130000114440918</v>
      </c>
      <c r="K235" t="s">
        <v>532</v>
      </c>
      <c r="L235">
        <v>0.7420428991317749</v>
      </c>
      <c r="M235">
        <v>25.401500138710848</v>
      </c>
      <c r="N235">
        <v>0.48533348189935177</v>
      </c>
      <c r="O235">
        <v>7.3431005285042374</v>
      </c>
      <c r="P235">
        <v>3.822507847584486</v>
      </c>
      <c r="Q235">
        <v>63.44</v>
      </c>
      <c r="R235">
        <v>40.409999999999997</v>
      </c>
    </row>
    <row r="236" spans="1:18" x14ac:dyDescent="0.25">
      <c r="A236" t="s">
        <v>252</v>
      </c>
      <c r="B236">
        <v>1.7657999992370605</v>
      </c>
      <c r="C236" t="s">
        <v>632</v>
      </c>
      <c r="D236" t="s">
        <v>1219</v>
      </c>
      <c r="E236" t="s">
        <v>1220</v>
      </c>
      <c r="F236" t="s">
        <v>1221</v>
      </c>
      <c r="G236">
        <v>103154839381.64999</v>
      </c>
      <c r="H236">
        <v>46.327829999999999</v>
      </c>
      <c r="I236" t="s">
        <v>1222</v>
      </c>
      <c r="J236">
        <v>5.8000001907348633</v>
      </c>
      <c r="K236" t="s">
        <v>582</v>
      </c>
      <c r="L236">
        <v>1.4386087656021118</v>
      </c>
      <c r="M236">
        <v>41.924762887043329</v>
      </c>
      <c r="N236">
        <v>0.16416651513752339</v>
      </c>
      <c r="O236">
        <v>20.597669745387744</v>
      </c>
      <c r="P236">
        <v>7.4107484925091267</v>
      </c>
      <c r="Q236">
        <v>352</v>
      </c>
      <c r="R236">
        <v>156.24</v>
      </c>
    </row>
    <row r="237" spans="1:18" x14ac:dyDescent="0.25">
      <c r="A237" t="s">
        <v>253</v>
      </c>
      <c r="B237">
        <v>-1.8300000578165054E-2</v>
      </c>
      <c r="C237" t="s">
        <v>632</v>
      </c>
      <c r="D237" t="s">
        <v>1223</v>
      </c>
      <c r="E237" t="s">
        <v>810</v>
      </c>
      <c r="F237" t="s">
        <v>810</v>
      </c>
      <c r="G237">
        <v>34951501029.519997</v>
      </c>
      <c r="H237">
        <v>16.461079999999999</v>
      </c>
      <c r="I237" t="s">
        <v>1224</v>
      </c>
      <c r="J237">
        <v>6.309999942779541</v>
      </c>
      <c r="K237" t="s">
        <v>526</v>
      </c>
      <c r="L237">
        <v>0.41342440247535706</v>
      </c>
      <c r="M237">
        <v>16.879475022896447</v>
      </c>
      <c r="N237">
        <v>0.17448354256134191</v>
      </c>
      <c r="O237">
        <v>-0.35146778475731971</v>
      </c>
      <c r="P237">
        <v>2.1296855272033808</v>
      </c>
      <c r="Q237">
        <v>110.94</v>
      </c>
      <c r="R237">
        <v>83.13</v>
      </c>
    </row>
    <row r="238" spans="1:18" x14ac:dyDescent="0.25">
      <c r="A238" t="s">
        <v>254</v>
      </c>
      <c r="B238">
        <v>-0.25560000538825989</v>
      </c>
      <c r="C238" t="s">
        <v>542</v>
      </c>
      <c r="D238" t="s">
        <v>1225</v>
      </c>
      <c r="E238" t="s">
        <v>757</v>
      </c>
      <c r="F238" t="s">
        <v>1226</v>
      </c>
      <c r="G238">
        <v>157267908000.00003</v>
      </c>
      <c r="H238">
        <v>-16.627690000000001</v>
      </c>
      <c r="I238" t="s">
        <v>1227</v>
      </c>
      <c r="J238">
        <v>6.0100002288818359</v>
      </c>
      <c r="K238" t="s">
        <v>631</v>
      </c>
      <c r="L238">
        <v>1.077907919883728</v>
      </c>
      <c r="M238">
        <v>25.432691518346939</v>
      </c>
      <c r="N238">
        <v>0.26802034344648751</v>
      </c>
      <c r="O238">
        <v>2.2057608021445589</v>
      </c>
      <c r="P238">
        <v>5.5526594049346443</v>
      </c>
      <c r="Q238">
        <v>587.55999999999995</v>
      </c>
      <c r="R238">
        <v>332.01</v>
      </c>
    </row>
    <row r="239" spans="1:18" x14ac:dyDescent="0.25">
      <c r="A239" t="s">
        <v>255</v>
      </c>
      <c r="B239">
        <v>-2.0587000846862793</v>
      </c>
      <c r="C239" t="s">
        <v>632</v>
      </c>
      <c r="D239" t="s">
        <v>1228</v>
      </c>
      <c r="E239" t="s">
        <v>1220</v>
      </c>
      <c r="F239" t="s">
        <v>1229</v>
      </c>
      <c r="G239">
        <v>65219601558.799995</v>
      </c>
      <c r="H239">
        <v>39.406689999999998</v>
      </c>
      <c r="I239" t="s">
        <v>1230</v>
      </c>
      <c r="J239">
        <v>5.5300002098083496</v>
      </c>
      <c r="K239" t="s">
        <v>552</v>
      </c>
      <c r="L239">
        <v>1.6823686361312866</v>
      </c>
      <c r="M239">
        <v>44.377516872204708</v>
      </c>
      <c r="N239">
        <v>0.88036855645798207</v>
      </c>
      <c r="O239">
        <v>4.0104669748151922</v>
      </c>
      <c r="P239">
        <v>8.6664360263621809</v>
      </c>
      <c r="Q239">
        <v>207.07</v>
      </c>
      <c r="R239">
        <v>66.78</v>
      </c>
    </row>
    <row r="240" spans="1:18" x14ac:dyDescent="0.25">
      <c r="A240" t="s">
        <v>256</v>
      </c>
      <c r="B240">
        <v>0</v>
      </c>
      <c r="C240" t="s">
        <v>632</v>
      </c>
      <c r="D240" t="s">
        <v>1231</v>
      </c>
      <c r="E240" t="s">
        <v>810</v>
      </c>
      <c r="F240" t="s">
        <v>810</v>
      </c>
      <c r="G240">
        <v>9824534847</v>
      </c>
      <c r="H240">
        <v>7.226108</v>
      </c>
      <c r="I240" t="s">
        <v>1232</v>
      </c>
      <c r="J240">
        <v>5.5999999046325684</v>
      </c>
      <c r="K240" t="s">
        <v>558</v>
      </c>
      <c r="L240">
        <v>1.0213278532028198</v>
      </c>
      <c r="M240">
        <v>63.639409391718857</v>
      </c>
      <c r="N240">
        <v>0.50726890612296727</v>
      </c>
      <c r="O240">
        <v>12.076755705610692</v>
      </c>
      <c r="P240">
        <v>5.2611968100392819</v>
      </c>
      <c r="Q240">
        <v>20.29</v>
      </c>
      <c r="R240">
        <v>9.4600000000000009</v>
      </c>
    </row>
    <row r="241" spans="1:18" x14ac:dyDescent="0.25">
      <c r="A241" t="s">
        <v>257</v>
      </c>
      <c r="B241">
        <v>-0.11980000138282776</v>
      </c>
      <c r="C241" t="s">
        <v>547</v>
      </c>
      <c r="D241" t="s">
        <v>1233</v>
      </c>
      <c r="E241" t="s">
        <v>1234</v>
      </c>
      <c r="F241" t="s">
        <v>1235</v>
      </c>
      <c r="G241">
        <v>15981838018.499998</v>
      </c>
      <c r="H241">
        <v>5.3534379999999997</v>
      </c>
      <c r="I241" t="s">
        <v>1236</v>
      </c>
      <c r="J241">
        <v>4.6700000762939453</v>
      </c>
      <c r="K241" t="s">
        <v>631</v>
      </c>
      <c r="L241">
        <v>0.78431349992752075</v>
      </c>
      <c r="M241">
        <v>27.0986419650405</v>
      </c>
      <c r="N241">
        <v>0.75360442021466501</v>
      </c>
      <c r="O241">
        <v>2.4198567946731124</v>
      </c>
      <c r="P241">
        <v>4.0354702440887689</v>
      </c>
      <c r="Q241">
        <v>131.58000000000001</v>
      </c>
      <c r="R241">
        <v>100.81</v>
      </c>
    </row>
    <row r="242" spans="1:18" x14ac:dyDescent="0.25">
      <c r="A242" t="s">
        <v>258</v>
      </c>
      <c r="B242">
        <v>-0.63849997520446777</v>
      </c>
      <c r="C242" t="s">
        <v>553</v>
      </c>
      <c r="D242" t="s">
        <v>1237</v>
      </c>
      <c r="E242" t="s">
        <v>1238</v>
      </c>
      <c r="F242" t="s">
        <v>1238</v>
      </c>
      <c r="G242">
        <v>164849941656.43997</v>
      </c>
      <c r="H242">
        <v>17.62584</v>
      </c>
      <c r="I242" t="s">
        <v>1239</v>
      </c>
      <c r="J242">
        <v>5.2199997901916504</v>
      </c>
      <c r="K242" t="s">
        <v>526</v>
      </c>
      <c r="L242">
        <v>0.562813401222229</v>
      </c>
      <c r="M242">
        <v>29.043125009650922</v>
      </c>
      <c r="N242">
        <v>0.19521697728554691</v>
      </c>
      <c r="O242">
        <v>2.3044706218120532</v>
      </c>
      <c r="P242">
        <v>2.8992375581181049</v>
      </c>
      <c r="Q242">
        <v>340.5</v>
      </c>
      <c r="R242">
        <v>253.3</v>
      </c>
    </row>
    <row r="243" spans="1:18" x14ac:dyDescent="0.25">
      <c r="A243" t="s">
        <v>259</v>
      </c>
      <c r="B243">
        <v>5.6099999696016312E-2</v>
      </c>
      <c r="C243" t="s">
        <v>542</v>
      </c>
      <c r="D243" t="s">
        <v>1240</v>
      </c>
      <c r="E243" t="s">
        <v>661</v>
      </c>
      <c r="F243" t="s">
        <v>1241</v>
      </c>
      <c r="G243">
        <v>3194474464880.0005</v>
      </c>
      <c r="H243">
        <v>-14.59149</v>
      </c>
      <c r="I243" t="s">
        <v>1242</v>
      </c>
      <c r="J243">
        <v>5.690000057220459</v>
      </c>
      <c r="K243" t="s">
        <v>582</v>
      </c>
      <c r="L243">
        <v>1.0673792362213135</v>
      </c>
      <c r="M243">
        <v>23.871770835495763</v>
      </c>
      <c r="N243">
        <v>6.8111259970152313E-2</v>
      </c>
      <c r="O243">
        <v>0.47889791254794312</v>
      </c>
      <c r="P243">
        <v>5.4984226809239383</v>
      </c>
      <c r="Q243">
        <v>260.08999999999997</v>
      </c>
      <c r="R243">
        <v>169.22</v>
      </c>
    </row>
    <row r="244" spans="1:18" x14ac:dyDescent="0.25">
      <c r="A244" t="s">
        <v>260</v>
      </c>
      <c r="B244">
        <v>0.72399997711181641</v>
      </c>
      <c r="C244" t="s">
        <v>542</v>
      </c>
      <c r="D244" t="s">
        <v>1243</v>
      </c>
      <c r="E244" t="s">
        <v>757</v>
      </c>
      <c r="F244" t="s">
        <v>1244</v>
      </c>
      <c r="G244">
        <v>64901919999.999992</v>
      </c>
      <c r="H244">
        <v>2.608517</v>
      </c>
      <c r="I244" t="s">
        <v>1245</v>
      </c>
      <c r="J244">
        <v>5.3299999237060547</v>
      </c>
      <c r="K244" t="s">
        <v>631</v>
      </c>
      <c r="L244">
        <v>1.1137958765029907</v>
      </c>
      <c r="M244">
        <v>25.559619442629067</v>
      </c>
      <c r="N244">
        <v>0.24712850467289721</v>
      </c>
      <c r="O244">
        <v>21.10785676500695</v>
      </c>
      <c r="P244">
        <v>5.7375301125061506</v>
      </c>
      <c r="Q244">
        <v>326.55</v>
      </c>
      <c r="R244">
        <v>223.09</v>
      </c>
    </row>
    <row r="245" spans="1:18" x14ac:dyDescent="0.25">
      <c r="A245" t="s">
        <v>261</v>
      </c>
      <c r="B245">
        <v>0.30509999394416809</v>
      </c>
      <c r="C245" t="s">
        <v>547</v>
      </c>
      <c r="D245" t="s">
        <v>1246</v>
      </c>
      <c r="E245" t="s">
        <v>1247</v>
      </c>
      <c r="F245" t="s">
        <v>1248</v>
      </c>
      <c r="G245">
        <v>90270613448.279999</v>
      </c>
      <c r="H245">
        <v>22.364529999999998</v>
      </c>
      <c r="I245" t="s">
        <v>1249</v>
      </c>
      <c r="J245">
        <v>6.4899997711181641</v>
      </c>
      <c r="K245" t="s">
        <v>526</v>
      </c>
      <c r="L245">
        <v>0.88275027275085449</v>
      </c>
      <c r="M245">
        <v>17.286895700792673</v>
      </c>
      <c r="N245">
        <v>1.6007543581145507</v>
      </c>
      <c r="O245">
        <v>-1.2375399067946819E-2</v>
      </c>
      <c r="P245">
        <v>4.5473379625296593</v>
      </c>
      <c r="Q245">
        <v>229.185</v>
      </c>
      <c r="R245">
        <v>180.8</v>
      </c>
    </row>
    <row r="246" spans="1:18" x14ac:dyDescent="0.25">
      <c r="A246" t="s">
        <v>262</v>
      </c>
      <c r="B246">
        <v>-4.7781000137329102</v>
      </c>
      <c r="C246" t="s">
        <v>533</v>
      </c>
      <c r="D246" t="s">
        <v>1250</v>
      </c>
      <c r="E246" t="s">
        <v>1012</v>
      </c>
      <c r="F246" t="s">
        <v>1012</v>
      </c>
      <c r="G246">
        <v>125751148262.64479</v>
      </c>
      <c r="H246">
        <v>-10.258459999999999</v>
      </c>
      <c r="I246" t="s">
        <v>1251</v>
      </c>
      <c r="J246">
        <v>3.6500000953674316</v>
      </c>
      <c r="K246" t="s">
        <v>582</v>
      </c>
      <c r="L246">
        <v>0.68581682443618774</v>
      </c>
      <c r="M246">
        <v>21.316984403555956</v>
      </c>
      <c r="N246">
        <v>0.77522747348735022</v>
      </c>
      <c r="O246">
        <v>0.92099384730066647</v>
      </c>
      <c r="P246">
        <v>3.532868782222867</v>
      </c>
      <c r="Q246">
        <v>45.31</v>
      </c>
      <c r="R246">
        <v>31.44</v>
      </c>
    </row>
    <row r="247" spans="1:18" x14ac:dyDescent="0.25">
      <c r="A247" t="s">
        <v>263</v>
      </c>
      <c r="B247">
        <v>0.62910002470016479</v>
      </c>
      <c r="C247" t="s">
        <v>570</v>
      </c>
      <c r="D247" t="s">
        <v>1252</v>
      </c>
      <c r="E247" t="s">
        <v>784</v>
      </c>
      <c r="F247" t="s">
        <v>1253</v>
      </c>
      <c r="G247">
        <v>10376004565.625</v>
      </c>
      <c r="H247">
        <v>-10.69435</v>
      </c>
      <c r="I247" t="s">
        <v>1254</v>
      </c>
      <c r="J247">
        <v>4.1100001335144043</v>
      </c>
      <c r="K247" t="s">
        <v>631</v>
      </c>
      <c r="L247">
        <v>0.49143072962760925</v>
      </c>
      <c r="M247">
        <v>20.960889496171202</v>
      </c>
      <c r="N247">
        <v>0.92892246105221554</v>
      </c>
      <c r="O247">
        <v>16.870058966446614</v>
      </c>
      <c r="P247">
        <v>2.5315218604525924</v>
      </c>
      <c r="Q247">
        <v>64.66</v>
      </c>
      <c r="R247">
        <v>46.98</v>
      </c>
    </row>
    <row r="248" spans="1:18" x14ac:dyDescent="0.25">
      <c r="A248" t="s">
        <v>264</v>
      </c>
      <c r="B248">
        <v>-0.23109999299049377</v>
      </c>
      <c r="C248" t="s">
        <v>542</v>
      </c>
      <c r="D248" t="s">
        <v>1255</v>
      </c>
      <c r="E248" t="s">
        <v>1256</v>
      </c>
      <c r="F248" t="s">
        <v>1257</v>
      </c>
      <c r="G248">
        <v>119293671588.70001</v>
      </c>
      <c r="H248">
        <v>43.161619999999999</v>
      </c>
      <c r="I248" t="s">
        <v>1258</v>
      </c>
      <c r="J248">
        <v>5.5100002288818359</v>
      </c>
      <c r="K248" t="s">
        <v>526</v>
      </c>
      <c r="L248">
        <v>1.5536699295043945</v>
      </c>
      <c r="M248">
        <v>33.867938695527194</v>
      </c>
      <c r="N248">
        <v>0.18711383273316826</v>
      </c>
      <c r="O248">
        <v>-11.680709093516821</v>
      </c>
      <c r="P248">
        <v>8.0034665179538731</v>
      </c>
      <c r="Q248">
        <v>945.87</v>
      </c>
      <c r="R248">
        <v>553.74</v>
      </c>
    </row>
    <row r="249" spans="1:18" x14ac:dyDescent="0.25">
      <c r="A249" t="s">
        <v>265</v>
      </c>
      <c r="B249">
        <v>2.283099889755249</v>
      </c>
      <c r="C249" t="s">
        <v>604</v>
      </c>
      <c r="D249" t="s">
        <v>1259</v>
      </c>
      <c r="E249" t="s">
        <v>791</v>
      </c>
      <c r="F249" t="s">
        <v>1260</v>
      </c>
      <c r="G249">
        <v>76447145774.090012</v>
      </c>
      <c r="H249">
        <v>6.0944129999999999E-2</v>
      </c>
      <c r="I249" t="s">
        <v>1261</v>
      </c>
      <c r="J249">
        <v>5.2399997711181641</v>
      </c>
      <c r="K249" t="s">
        <v>582</v>
      </c>
      <c r="L249">
        <v>1.0639337301254272</v>
      </c>
      <c r="M249">
        <v>23.433167545298346</v>
      </c>
      <c r="N249">
        <v>1.3556476932311192</v>
      </c>
      <c r="O249">
        <v>0.9282669130275244</v>
      </c>
      <c r="P249">
        <v>5.4806737420070171</v>
      </c>
      <c r="Q249">
        <v>307.33999999999997</v>
      </c>
      <c r="R249">
        <v>204.69</v>
      </c>
    </row>
    <row r="250" spans="1:18" x14ac:dyDescent="0.25">
      <c r="A250" t="s">
        <v>266</v>
      </c>
      <c r="B250">
        <v>1.3920999765396118</v>
      </c>
      <c r="C250" t="s">
        <v>527</v>
      </c>
      <c r="D250" t="s">
        <v>1262</v>
      </c>
      <c r="E250" t="s">
        <v>584</v>
      </c>
      <c r="F250" t="s">
        <v>585</v>
      </c>
      <c r="G250">
        <v>77206539355.400024</v>
      </c>
      <c r="H250">
        <v>-30.858730000000001</v>
      </c>
      <c r="I250" t="s">
        <v>1263</v>
      </c>
      <c r="J250">
        <v>4.1500000953674316</v>
      </c>
      <c r="K250" t="s">
        <v>532</v>
      </c>
      <c r="L250">
        <v>0.67730593681335449</v>
      </c>
      <c r="M250">
        <v>53.675910964149196</v>
      </c>
      <c r="N250">
        <v>0.78859025462422994</v>
      </c>
      <c r="O250">
        <v>6.7897456286740159</v>
      </c>
      <c r="P250">
        <v>3.489026391484737</v>
      </c>
      <c r="Q250">
        <v>238.48</v>
      </c>
      <c r="R250">
        <v>128.47</v>
      </c>
    </row>
    <row r="251" spans="1:18" x14ac:dyDescent="0.25">
      <c r="A251" t="s">
        <v>267</v>
      </c>
      <c r="B251">
        <v>0.16789999604225159</v>
      </c>
      <c r="C251" t="s">
        <v>570</v>
      </c>
      <c r="D251" t="s">
        <v>1264</v>
      </c>
      <c r="E251" t="s">
        <v>818</v>
      </c>
      <c r="F251" t="s">
        <v>1265</v>
      </c>
      <c r="G251">
        <v>19207622218.859997</v>
      </c>
      <c r="H251">
        <v>-6.1253909999999996</v>
      </c>
      <c r="I251" t="s">
        <v>1266</v>
      </c>
      <c r="J251">
        <v>5.1500000953674316</v>
      </c>
      <c r="K251" t="s">
        <v>532</v>
      </c>
      <c r="L251">
        <v>0.4916401207447052</v>
      </c>
      <c r="M251">
        <v>22.65835734114324</v>
      </c>
      <c r="N251">
        <v>0.13924916811965801</v>
      </c>
      <c r="O251">
        <v>-6.3270295822184659</v>
      </c>
      <c r="P251">
        <v>2.5326005031958223</v>
      </c>
      <c r="Q251">
        <v>86.22</v>
      </c>
      <c r="R251">
        <v>69.98</v>
      </c>
    </row>
    <row r="252" spans="1:18" x14ac:dyDescent="0.25">
      <c r="A252" t="s">
        <v>268</v>
      </c>
      <c r="B252">
        <v>0.1379999965429306</v>
      </c>
      <c r="C252" t="s">
        <v>547</v>
      </c>
      <c r="D252" t="s">
        <v>1267</v>
      </c>
      <c r="E252" t="s">
        <v>836</v>
      </c>
      <c r="F252" t="s">
        <v>836</v>
      </c>
      <c r="G252">
        <v>53320128797.25</v>
      </c>
      <c r="H252">
        <v>-2.3553130000000002</v>
      </c>
      <c r="I252" t="s">
        <v>1268</v>
      </c>
      <c r="J252">
        <v>4.380000114440918</v>
      </c>
      <c r="K252" t="s">
        <v>582</v>
      </c>
      <c r="L252">
        <v>0.87963205575942993</v>
      </c>
      <c r="M252">
        <v>26.474199083540352</v>
      </c>
      <c r="N252">
        <v>1.9250091953777761</v>
      </c>
      <c r="O252">
        <v>3.4581325383747599</v>
      </c>
      <c r="P252">
        <v>4.531274997795224</v>
      </c>
      <c r="Q252">
        <v>115.4753</v>
      </c>
      <c r="R252">
        <v>84.73</v>
      </c>
    </row>
    <row r="253" spans="1:18" x14ac:dyDescent="0.25">
      <c r="A253" t="s">
        <v>269</v>
      </c>
      <c r="B253">
        <v>0.17990000545978546</v>
      </c>
      <c r="C253" t="s">
        <v>570</v>
      </c>
      <c r="D253" t="s">
        <v>1269</v>
      </c>
      <c r="E253" t="s">
        <v>657</v>
      </c>
      <c r="F253" t="s">
        <v>1270</v>
      </c>
      <c r="G253">
        <v>414863944411.27997</v>
      </c>
      <c r="H253">
        <v>2.0965410000000002</v>
      </c>
      <c r="I253" t="s">
        <v>1271</v>
      </c>
      <c r="J253">
        <v>3.8599998950958252</v>
      </c>
      <c r="K253" t="s">
        <v>582</v>
      </c>
      <c r="L253">
        <v>0.75415670871734619</v>
      </c>
      <c r="M253">
        <v>17.407985283218405</v>
      </c>
      <c r="N253">
        <v>0.23453665566948104</v>
      </c>
      <c r="O253">
        <v>-2.5956529778242836</v>
      </c>
      <c r="P253">
        <v>3.8849100783169268</v>
      </c>
      <c r="Q253">
        <v>1078.01</v>
      </c>
      <c r="R253">
        <v>793.34</v>
      </c>
    </row>
    <row r="254" spans="1:18" x14ac:dyDescent="0.25">
      <c r="A254" t="s">
        <v>270</v>
      </c>
      <c r="B254">
        <v>1.7319999933242798</v>
      </c>
      <c r="C254" t="s">
        <v>553</v>
      </c>
      <c r="D254" t="s">
        <v>1272</v>
      </c>
      <c r="E254" t="s">
        <v>704</v>
      </c>
      <c r="F254" t="s">
        <v>704</v>
      </c>
      <c r="G254">
        <v>154214987973.44998</v>
      </c>
      <c r="H254">
        <v>12.0761</v>
      </c>
      <c r="I254" t="s">
        <v>1273</v>
      </c>
      <c r="J254">
        <v>5.940000057220459</v>
      </c>
      <c r="K254" t="s">
        <v>526</v>
      </c>
      <c r="L254">
        <v>0.78331416845321655</v>
      </c>
      <c r="M254">
        <v>15.575986593846666</v>
      </c>
      <c r="N254">
        <v>4.5758817725018703</v>
      </c>
      <c r="O254">
        <v>-5.7764505864222375</v>
      </c>
      <c r="P254">
        <v>4.0351097753781078</v>
      </c>
      <c r="Q254">
        <v>405.59</v>
      </c>
      <c r="R254">
        <v>314.99</v>
      </c>
    </row>
    <row r="255" spans="1:18" x14ac:dyDescent="0.25">
      <c r="A255" t="s">
        <v>271</v>
      </c>
      <c r="B255">
        <v>-0.11110000312328339</v>
      </c>
      <c r="C255" t="s">
        <v>570</v>
      </c>
      <c r="D255" t="s">
        <v>1274</v>
      </c>
      <c r="E255" t="s">
        <v>818</v>
      </c>
      <c r="F255" t="s">
        <v>1275</v>
      </c>
      <c r="G255">
        <v>19215282619.02</v>
      </c>
      <c r="H255">
        <v>-6.0933130000000002</v>
      </c>
      <c r="I255" t="s">
        <v>1276</v>
      </c>
      <c r="J255">
        <v>2.9500000476837158</v>
      </c>
      <c r="K255" t="s">
        <v>582</v>
      </c>
      <c r="L255">
        <v>0.42487508058547974</v>
      </c>
      <c r="M255">
        <v>24.780183123950923</v>
      </c>
      <c r="N255">
        <v>1.6541961968784042</v>
      </c>
      <c r="O255">
        <v>0.72442005165476808</v>
      </c>
      <c r="P255">
        <v>2.188671748872399</v>
      </c>
      <c r="Q255">
        <v>66.86</v>
      </c>
      <c r="R255">
        <v>52.71</v>
      </c>
    </row>
    <row r="256" spans="1:18" x14ac:dyDescent="0.25">
      <c r="A256" t="s">
        <v>272</v>
      </c>
      <c r="B256">
        <v>3.838900089263916</v>
      </c>
      <c r="C256" t="s">
        <v>570</v>
      </c>
      <c r="D256" t="s">
        <v>1277</v>
      </c>
      <c r="E256" t="s">
        <v>818</v>
      </c>
      <c r="F256" t="s">
        <v>1278</v>
      </c>
      <c r="G256">
        <v>8477847479.1800003</v>
      </c>
      <c r="H256">
        <v>-8.9331160000000001</v>
      </c>
      <c r="I256" t="s">
        <v>1279</v>
      </c>
      <c r="J256">
        <v>4.820000171661377</v>
      </c>
      <c r="K256" t="s">
        <v>558</v>
      </c>
      <c r="L256">
        <v>0.64651620388031006</v>
      </c>
      <c r="M256">
        <v>43.04258639223535</v>
      </c>
      <c r="N256">
        <v>0.79207678635011425</v>
      </c>
      <c r="O256">
        <v>1.8655560667131785</v>
      </c>
      <c r="P256">
        <v>3.3304183165347574</v>
      </c>
      <c r="Q256">
        <v>83.95</v>
      </c>
      <c r="R256">
        <v>47.87</v>
      </c>
    </row>
    <row r="257" spans="1:18" x14ac:dyDescent="0.25">
      <c r="A257" t="s">
        <v>273</v>
      </c>
      <c r="B257">
        <v>-1.291700005531311</v>
      </c>
      <c r="C257" t="s">
        <v>542</v>
      </c>
      <c r="D257" t="s">
        <v>1280</v>
      </c>
      <c r="E257" t="s">
        <v>1256</v>
      </c>
      <c r="F257" t="s">
        <v>1257</v>
      </c>
      <c r="G257">
        <v>149015893914.73001</v>
      </c>
      <c r="H257">
        <v>14.17942</v>
      </c>
      <c r="I257" t="s">
        <v>1281</v>
      </c>
      <c r="J257">
        <v>6.7199997901916504</v>
      </c>
      <c r="K257" t="s">
        <v>631</v>
      </c>
      <c r="L257">
        <v>1.4982515573501587</v>
      </c>
      <c r="M257">
        <v>33.228407668636223</v>
      </c>
      <c r="N257">
        <v>0.3942916009032793</v>
      </c>
      <c r="O257">
        <v>1.6219714293055163</v>
      </c>
      <c r="P257">
        <v>7.717988194924593</v>
      </c>
      <c r="Q257">
        <v>215.7</v>
      </c>
      <c r="R257">
        <v>123.93</v>
      </c>
    </row>
    <row r="258" spans="1:18" x14ac:dyDescent="0.25">
      <c r="A258" t="s">
        <v>274</v>
      </c>
      <c r="B258">
        <v>-0.72020000219345093</v>
      </c>
      <c r="C258" t="s">
        <v>553</v>
      </c>
      <c r="D258" t="s">
        <v>1282</v>
      </c>
      <c r="E258" t="s">
        <v>1039</v>
      </c>
      <c r="F258" t="s">
        <v>1283</v>
      </c>
      <c r="G258">
        <v>37505704565.699989</v>
      </c>
      <c r="H258">
        <v>32.865479999999998</v>
      </c>
      <c r="I258" t="s">
        <v>1284</v>
      </c>
      <c r="J258">
        <v>4.5199999809265137</v>
      </c>
      <c r="K258" t="s">
        <v>631</v>
      </c>
      <c r="L258">
        <v>0.63286757469177246</v>
      </c>
      <c r="M258">
        <v>21.118358751798961</v>
      </c>
      <c r="N258">
        <v>0.70714103160338027</v>
      </c>
      <c r="O258">
        <v>-1.2157063809513777</v>
      </c>
      <c r="P258">
        <v>3.260109723536968</v>
      </c>
      <c r="Q258">
        <v>168.41</v>
      </c>
      <c r="R258">
        <v>96.31</v>
      </c>
    </row>
    <row r="259" spans="1:18" x14ac:dyDescent="0.25">
      <c r="A259" t="s">
        <v>275</v>
      </c>
      <c r="B259">
        <v>1.0347000360488892</v>
      </c>
      <c r="C259" t="s">
        <v>527</v>
      </c>
      <c r="D259" t="s">
        <v>1285</v>
      </c>
      <c r="E259" t="s">
        <v>647</v>
      </c>
      <c r="F259" t="s">
        <v>648</v>
      </c>
      <c r="G259">
        <v>23351759334.000004</v>
      </c>
      <c r="H259">
        <v>3.966599</v>
      </c>
      <c r="I259" t="s">
        <v>1286</v>
      </c>
      <c r="J259">
        <v>1.9500000476837158</v>
      </c>
      <c r="K259" t="s">
        <v>582</v>
      </c>
      <c r="L259">
        <v>0.64183354377746582</v>
      </c>
      <c r="M259">
        <v>19.755221437222595</v>
      </c>
      <c r="N259">
        <v>1.7859919454830213</v>
      </c>
      <c r="O259">
        <v>2.2929314198244963</v>
      </c>
      <c r="P259">
        <v>3.3062963890671728</v>
      </c>
      <c r="Q259">
        <v>161.64500000000001</v>
      </c>
      <c r="R259">
        <v>123.15</v>
      </c>
    </row>
    <row r="260" spans="1:18" x14ac:dyDescent="0.25">
      <c r="A260" t="s">
        <v>276</v>
      </c>
      <c r="B260">
        <v>-1.5836999416351318</v>
      </c>
      <c r="C260" t="s">
        <v>533</v>
      </c>
      <c r="D260" t="s">
        <v>1287</v>
      </c>
      <c r="E260" t="s">
        <v>579</v>
      </c>
      <c r="F260" t="s">
        <v>1288</v>
      </c>
      <c r="G260">
        <v>9210891104.8500023</v>
      </c>
      <c r="H260">
        <v>24.76099</v>
      </c>
      <c r="I260" t="s">
        <v>1289</v>
      </c>
      <c r="J260">
        <v>3.9100000858306885</v>
      </c>
      <c r="K260" t="s">
        <v>558</v>
      </c>
      <c r="L260">
        <v>0.69573020935058594</v>
      </c>
      <c r="M260">
        <v>19.636298627127001</v>
      </c>
      <c r="N260">
        <v>0.67416301486877295</v>
      </c>
      <c r="O260">
        <v>2.450819398799672</v>
      </c>
      <c r="P260">
        <v>3.5839358993339538</v>
      </c>
      <c r="Q260">
        <v>13.585000000000001</v>
      </c>
      <c r="R260">
        <v>9.9499999999999993</v>
      </c>
    </row>
    <row r="261" spans="1:18" x14ac:dyDescent="0.25">
      <c r="A261" t="s">
        <v>277</v>
      </c>
      <c r="B261">
        <v>0.42849999666213989</v>
      </c>
      <c r="C261" t="s">
        <v>604</v>
      </c>
      <c r="D261" t="s">
        <v>1290</v>
      </c>
      <c r="E261" t="s">
        <v>1007</v>
      </c>
      <c r="F261" t="s">
        <v>1104</v>
      </c>
      <c r="G261">
        <v>43323311234.279991</v>
      </c>
      <c r="H261">
        <v>3.933624</v>
      </c>
      <c r="I261" t="s">
        <v>1291</v>
      </c>
      <c r="J261">
        <v>4.7699999809265137</v>
      </c>
      <c r="K261" t="s">
        <v>526</v>
      </c>
      <c r="L261">
        <v>0.841258704662323</v>
      </c>
      <c r="M261">
        <v>47.250020409051437</v>
      </c>
      <c r="N261">
        <v>2.1242206669383661</v>
      </c>
      <c r="O261">
        <v>0.8985720005550949</v>
      </c>
      <c r="P261">
        <v>4.3336012030881639</v>
      </c>
      <c r="Q261">
        <v>199.6</v>
      </c>
      <c r="R261">
        <v>110.66</v>
      </c>
    </row>
    <row r="262" spans="1:18" x14ac:dyDescent="0.25">
      <c r="A262" t="s">
        <v>278</v>
      </c>
      <c r="B262">
        <v>-0.62889999151229858</v>
      </c>
      <c r="C262" t="s">
        <v>533</v>
      </c>
      <c r="D262" t="s">
        <v>1292</v>
      </c>
      <c r="E262" t="s">
        <v>1293</v>
      </c>
      <c r="F262" t="s">
        <v>1294</v>
      </c>
      <c r="G262">
        <v>38112917848.32</v>
      </c>
      <c r="H262">
        <v>3.6773729999999998</v>
      </c>
      <c r="I262" t="s">
        <v>1295</v>
      </c>
      <c r="J262">
        <v>4.9899997711181641</v>
      </c>
      <c r="K262" t="s">
        <v>532</v>
      </c>
      <c r="L262">
        <v>0.66360372304916382</v>
      </c>
      <c r="M262">
        <v>22.060367961820461</v>
      </c>
      <c r="N262">
        <v>0.33339143772144836</v>
      </c>
      <c r="O262">
        <v>6.2855091108861201</v>
      </c>
      <c r="P262">
        <v>3.418441766654849</v>
      </c>
      <c r="Q262">
        <v>168.5</v>
      </c>
      <c r="R262">
        <v>115.22</v>
      </c>
    </row>
    <row r="263" spans="1:18" x14ac:dyDescent="0.25">
      <c r="A263" t="s">
        <v>279</v>
      </c>
      <c r="B263">
        <v>-3.0631999969482422</v>
      </c>
      <c r="C263" t="s">
        <v>527</v>
      </c>
      <c r="D263" t="s">
        <v>1296</v>
      </c>
      <c r="E263" t="s">
        <v>647</v>
      </c>
      <c r="F263" t="s">
        <v>647</v>
      </c>
      <c r="G263">
        <v>18599506047.599998</v>
      </c>
      <c r="H263">
        <v>-13.71322</v>
      </c>
      <c r="I263" t="s">
        <v>1297</v>
      </c>
      <c r="J263">
        <v>1.6100000143051147</v>
      </c>
      <c r="K263" t="s">
        <v>715</v>
      </c>
      <c r="L263">
        <v>0.52846348285675049</v>
      </c>
      <c r="M263">
        <v>26.262395839713221</v>
      </c>
      <c r="N263">
        <v>9.2499788066743935</v>
      </c>
      <c r="O263">
        <v>1.8394810653406166E-3</v>
      </c>
      <c r="P263">
        <v>2.7222897931444643</v>
      </c>
      <c r="Q263">
        <v>545.82000000000005</v>
      </c>
      <c r="R263">
        <v>332.76</v>
      </c>
    </row>
    <row r="264" spans="1:18" x14ac:dyDescent="0.25">
      <c r="A264" t="s">
        <v>280</v>
      </c>
      <c r="B264">
        <v>-0.21359999477863312</v>
      </c>
      <c r="C264" t="s">
        <v>542</v>
      </c>
      <c r="D264" t="s">
        <v>1298</v>
      </c>
      <c r="E264" t="s">
        <v>584</v>
      </c>
      <c r="F264" t="s">
        <v>893</v>
      </c>
      <c r="G264">
        <v>37304126758.800003</v>
      </c>
      <c r="H264">
        <v>-23.024920000000002</v>
      </c>
      <c r="I264" t="s">
        <v>1299</v>
      </c>
      <c r="J264">
        <v>2.2799999713897705</v>
      </c>
      <c r="K264" t="s">
        <v>532</v>
      </c>
      <c r="L264">
        <v>1.2220737934112549</v>
      </c>
      <c r="M264">
        <v>60.656712222599751</v>
      </c>
      <c r="N264">
        <v>2.9239498625608986</v>
      </c>
      <c r="O264">
        <v>0.1483076580843202</v>
      </c>
      <c r="P264">
        <v>6.2953053942131989</v>
      </c>
      <c r="Q264">
        <v>2400</v>
      </c>
      <c r="R264">
        <v>1478.4599609375</v>
      </c>
    </row>
    <row r="265" spans="1:18" x14ac:dyDescent="0.25">
      <c r="A265" t="s">
        <v>281</v>
      </c>
      <c r="B265">
        <v>-0.37549999356269836</v>
      </c>
      <c r="C265" t="s">
        <v>547</v>
      </c>
      <c r="D265" t="s">
        <v>1300</v>
      </c>
      <c r="E265" t="s">
        <v>938</v>
      </c>
      <c r="F265" t="s">
        <v>939</v>
      </c>
      <c r="G265">
        <v>54799648461.749992</v>
      </c>
      <c r="H265">
        <v>32.80489</v>
      </c>
      <c r="I265" t="s">
        <v>1301</v>
      </c>
      <c r="J265">
        <v>4.1700000762939453</v>
      </c>
      <c r="K265" t="s">
        <v>582</v>
      </c>
      <c r="L265">
        <v>0.82892793416976929</v>
      </c>
      <c r="M265">
        <v>21.056232515870896</v>
      </c>
      <c r="N265">
        <v>0.18111266890140351</v>
      </c>
      <c r="O265">
        <v>-8.6599497530471007E-4</v>
      </c>
      <c r="P265">
        <v>4.2700813351267577</v>
      </c>
      <c r="Q265">
        <v>48.06</v>
      </c>
      <c r="R265">
        <v>32.049999999999997</v>
      </c>
    </row>
    <row r="266" spans="1:18" x14ac:dyDescent="0.25">
      <c r="A266" t="s">
        <v>282</v>
      </c>
      <c r="B266">
        <v>5.1600001752376556E-2</v>
      </c>
      <c r="C266" t="s">
        <v>527</v>
      </c>
      <c r="D266" t="s">
        <v>1302</v>
      </c>
      <c r="E266" t="s">
        <v>1073</v>
      </c>
      <c r="F266" t="s">
        <v>1073</v>
      </c>
      <c r="G266">
        <v>31103193264.570004</v>
      </c>
      <c r="H266">
        <v>3.0636700000000001</v>
      </c>
      <c r="I266" t="s">
        <v>1303</v>
      </c>
      <c r="J266">
        <v>3.809999942779541</v>
      </c>
      <c r="K266" t="s">
        <v>582</v>
      </c>
      <c r="L266">
        <v>0.97967594861984253</v>
      </c>
      <c r="M266">
        <v>23.606974297593023</v>
      </c>
      <c r="N266">
        <v>0.52462354805751443</v>
      </c>
      <c r="O266">
        <v>4.3178760789147921</v>
      </c>
      <c r="P266">
        <v>5.0466341044038527</v>
      </c>
      <c r="Q266">
        <v>225.46</v>
      </c>
      <c r="R266">
        <v>150.82</v>
      </c>
    </row>
    <row r="267" spans="1:18" x14ac:dyDescent="0.25">
      <c r="A267" t="s">
        <v>283</v>
      </c>
      <c r="B267">
        <v>-0.16490000486373901</v>
      </c>
      <c r="C267" t="s">
        <v>632</v>
      </c>
      <c r="D267" t="s">
        <v>1304</v>
      </c>
      <c r="E267" t="s">
        <v>810</v>
      </c>
      <c r="F267" t="s">
        <v>810</v>
      </c>
      <c r="G267">
        <v>41907426140.579994</v>
      </c>
      <c r="H267">
        <v>7.612565</v>
      </c>
      <c r="I267" t="s">
        <v>1305</v>
      </c>
      <c r="J267">
        <v>6.1999998092651367</v>
      </c>
      <c r="K267" t="s">
        <v>532</v>
      </c>
      <c r="L267">
        <v>0.44837653636932373</v>
      </c>
      <c r="M267">
        <v>20.440701414259639</v>
      </c>
      <c r="N267">
        <v>0.2159272412158528</v>
      </c>
      <c r="O267">
        <v>13.188442217271183</v>
      </c>
      <c r="P267">
        <v>2.3097355030953883</v>
      </c>
      <c r="Q267">
        <v>73.545000000000002</v>
      </c>
      <c r="R267">
        <v>56.87</v>
      </c>
    </row>
    <row r="268" spans="1:18" x14ac:dyDescent="0.25">
      <c r="A268" t="s">
        <v>284</v>
      </c>
      <c r="B268">
        <v>0.3513999879360199</v>
      </c>
      <c r="C268" t="s">
        <v>527</v>
      </c>
      <c r="D268" t="s">
        <v>1306</v>
      </c>
      <c r="E268" t="s">
        <v>1073</v>
      </c>
      <c r="F268" t="s">
        <v>1073</v>
      </c>
      <c r="G268">
        <v>28595365034.040001</v>
      </c>
      <c r="H268">
        <v>1.324506</v>
      </c>
      <c r="I268" t="s">
        <v>1307</v>
      </c>
      <c r="J268">
        <v>3.440000057220459</v>
      </c>
      <c r="K268" t="s">
        <v>526</v>
      </c>
      <c r="L268">
        <v>1.1603590250015259</v>
      </c>
      <c r="M268">
        <v>23.568223682282316</v>
      </c>
      <c r="N268">
        <v>0.68796886104436872</v>
      </c>
      <c r="O268">
        <v>6.7473842147505971</v>
      </c>
      <c r="P268">
        <v>5.9773922562611101</v>
      </c>
      <c r="Q268">
        <v>49.07</v>
      </c>
      <c r="R268">
        <v>32.270000000000003</v>
      </c>
    </row>
    <row r="269" spans="1:18" x14ac:dyDescent="0.25">
      <c r="A269" t="s">
        <v>285</v>
      </c>
      <c r="B269">
        <v>2.6501998901367188</v>
      </c>
      <c r="C269" t="s">
        <v>553</v>
      </c>
      <c r="D269" t="s">
        <v>1308</v>
      </c>
      <c r="E269" t="s">
        <v>1238</v>
      </c>
      <c r="F269" t="s">
        <v>1238</v>
      </c>
      <c r="G269">
        <v>144544563860.19998</v>
      </c>
      <c r="H269">
        <v>25.79842</v>
      </c>
      <c r="I269" t="s">
        <v>1309</v>
      </c>
      <c r="J269">
        <v>6.380000114440918</v>
      </c>
      <c r="K269" t="s">
        <v>631</v>
      </c>
      <c r="L269">
        <v>0.58404654264450073</v>
      </c>
      <c r="M269">
        <v>33.252151594313226</v>
      </c>
      <c r="N269">
        <v>9.9935124914685647E-2</v>
      </c>
      <c r="O269">
        <v>21.013610991591207</v>
      </c>
      <c r="P269">
        <v>3.0086164765208956</v>
      </c>
      <c r="Q269">
        <v>119.95</v>
      </c>
      <c r="R269">
        <v>72.430000000000007</v>
      </c>
    </row>
    <row r="270" spans="1:18" x14ac:dyDescent="0.25">
      <c r="A270" t="s">
        <v>286</v>
      </c>
      <c r="B270">
        <v>-9.3299999833106995E-2</v>
      </c>
      <c r="C270" t="s">
        <v>604</v>
      </c>
      <c r="D270" t="s">
        <v>1310</v>
      </c>
      <c r="E270" t="s">
        <v>1311</v>
      </c>
      <c r="F270" t="s">
        <v>1311</v>
      </c>
      <c r="G270">
        <v>10506901137.339998</v>
      </c>
      <c r="H270">
        <v>34.10839</v>
      </c>
      <c r="I270" t="s">
        <v>1312</v>
      </c>
      <c r="J270">
        <v>6.9499998092651367</v>
      </c>
      <c r="K270" t="s">
        <v>558</v>
      </c>
      <c r="L270">
        <v>0.99033641815185547</v>
      </c>
      <c r="M270">
        <v>27.848095124288214</v>
      </c>
      <c r="N270">
        <v>0.81469767943058347</v>
      </c>
      <c r="O270">
        <v>13.974131309512765</v>
      </c>
      <c r="P270">
        <v>5.1015497009181976</v>
      </c>
      <c r="Q270">
        <v>78.805000000000007</v>
      </c>
      <c r="R270">
        <v>49</v>
      </c>
    </row>
    <row r="271" spans="1:18" x14ac:dyDescent="0.25">
      <c r="A271" t="s">
        <v>287</v>
      </c>
      <c r="B271">
        <v>1.2019000053405762</v>
      </c>
      <c r="C271" t="s">
        <v>527</v>
      </c>
      <c r="D271" t="s">
        <v>1313</v>
      </c>
      <c r="E271" t="s">
        <v>1073</v>
      </c>
      <c r="F271" t="s">
        <v>1073</v>
      </c>
      <c r="G271">
        <v>24532707697.639999</v>
      </c>
      <c r="H271">
        <v>3.5033780000000001</v>
      </c>
      <c r="I271" t="s">
        <v>1314</v>
      </c>
      <c r="J271">
        <v>3.8599998950958252</v>
      </c>
      <c r="K271" t="s">
        <v>526</v>
      </c>
      <c r="L271">
        <v>1.1082476377487183</v>
      </c>
      <c r="M271">
        <v>24.844374018420488</v>
      </c>
      <c r="N271">
        <v>1.444681934717726</v>
      </c>
      <c r="O271">
        <v>4.0319908548517915</v>
      </c>
      <c r="P271">
        <v>5.7089493037641041</v>
      </c>
      <c r="Q271">
        <v>18.445</v>
      </c>
      <c r="R271">
        <v>11.914999999999999</v>
      </c>
    </row>
    <row r="272" spans="1:18" x14ac:dyDescent="0.25">
      <c r="A272" t="s">
        <v>288</v>
      </c>
      <c r="B272">
        <v>9.9100001156330109E-2</v>
      </c>
      <c r="C272" t="s">
        <v>587</v>
      </c>
      <c r="D272" t="s">
        <v>1315</v>
      </c>
      <c r="E272" t="s">
        <v>949</v>
      </c>
      <c r="F272" t="s">
        <v>949</v>
      </c>
      <c r="G272">
        <v>105652416456.99998</v>
      </c>
      <c r="H272">
        <v>28.191700000000001</v>
      </c>
      <c r="I272" t="s">
        <v>1316</v>
      </c>
      <c r="J272">
        <v>5.6500000953674316</v>
      </c>
      <c r="K272" t="s">
        <v>532</v>
      </c>
      <c r="L272">
        <v>0.61370223760604858</v>
      </c>
      <c r="M272">
        <v>18.755502039139664</v>
      </c>
      <c r="N272">
        <v>4.2355146772329946E-2</v>
      </c>
      <c r="O272">
        <v>13.054791921702607</v>
      </c>
      <c r="P272">
        <v>3.1613827476471661</v>
      </c>
      <c r="Q272">
        <v>162.22</v>
      </c>
      <c r="R272">
        <v>109.37</v>
      </c>
    </row>
    <row r="273" spans="1:18" x14ac:dyDescent="0.25">
      <c r="A273" t="s">
        <v>289</v>
      </c>
      <c r="B273">
        <v>-0.80699998140335083</v>
      </c>
      <c r="C273" t="s">
        <v>553</v>
      </c>
      <c r="D273" t="s">
        <v>1317</v>
      </c>
      <c r="E273" t="s">
        <v>1238</v>
      </c>
      <c r="F273" t="s">
        <v>1238</v>
      </c>
      <c r="G273">
        <v>19271340464.640003</v>
      </c>
      <c r="H273">
        <v>-13.99424</v>
      </c>
      <c r="I273" t="s">
        <v>1318</v>
      </c>
      <c r="J273">
        <v>6.6700000762939453</v>
      </c>
      <c r="K273" t="s">
        <v>532</v>
      </c>
      <c r="L273">
        <v>0.7557070255279541</v>
      </c>
      <c r="M273">
        <v>32.638597349474971</v>
      </c>
      <c r="N273">
        <v>0.17394796925907577</v>
      </c>
      <c r="O273">
        <v>20.848117156641788</v>
      </c>
      <c r="P273">
        <v>3.8928962718129156</v>
      </c>
      <c r="Q273">
        <v>217.77</v>
      </c>
      <c r="R273">
        <v>110.06</v>
      </c>
    </row>
    <row r="274" spans="1:18" x14ac:dyDescent="0.25">
      <c r="A274" t="s">
        <v>290</v>
      </c>
      <c r="B274">
        <v>0.98629999160766602</v>
      </c>
      <c r="C274" t="s">
        <v>527</v>
      </c>
      <c r="D274" t="s">
        <v>1319</v>
      </c>
      <c r="E274" t="s">
        <v>762</v>
      </c>
      <c r="F274" t="s">
        <v>762</v>
      </c>
      <c r="G274">
        <v>25295850907.25</v>
      </c>
      <c r="H274">
        <v>26.858540000000001</v>
      </c>
      <c r="I274" t="s">
        <v>1320</v>
      </c>
      <c r="J274">
        <v>4.2399997711181641</v>
      </c>
      <c r="K274" t="s">
        <v>526</v>
      </c>
      <c r="L274">
        <v>1.1376016139984131</v>
      </c>
      <c r="M274">
        <v>30.651357948776713</v>
      </c>
      <c r="N274">
        <v>1.6808570258036191</v>
      </c>
      <c r="O274">
        <v>6.9443041877172389</v>
      </c>
      <c r="P274">
        <v>5.8601613222384445</v>
      </c>
      <c r="Q274">
        <v>133</v>
      </c>
      <c r="R274">
        <v>80.930000000000007</v>
      </c>
    </row>
    <row r="275" spans="1:18" x14ac:dyDescent="0.25">
      <c r="A275" t="s">
        <v>291</v>
      </c>
      <c r="B275">
        <v>0.29139998555183411</v>
      </c>
      <c r="C275" t="s">
        <v>521</v>
      </c>
      <c r="D275" t="s">
        <v>1321</v>
      </c>
      <c r="E275" t="s">
        <v>697</v>
      </c>
      <c r="F275" t="s">
        <v>698</v>
      </c>
      <c r="G275">
        <v>18583570226.119999</v>
      </c>
      <c r="H275">
        <v>-8.2618950000000009</v>
      </c>
      <c r="I275" t="s">
        <v>1322</v>
      </c>
      <c r="J275">
        <v>5.5199999809265137</v>
      </c>
      <c r="K275" t="s">
        <v>552</v>
      </c>
      <c r="L275">
        <v>0.76943844556808472</v>
      </c>
      <c r="M275">
        <v>25.917314796694519</v>
      </c>
      <c r="N275">
        <v>1.7705735563458544</v>
      </c>
      <c r="O275">
        <v>7.2237061970489682</v>
      </c>
      <c r="P275">
        <v>3.9636313478082417</v>
      </c>
      <c r="Q275">
        <v>250.71</v>
      </c>
      <c r="R275">
        <v>173.03</v>
      </c>
    </row>
    <row r="276" spans="1:18" x14ac:dyDescent="0.25">
      <c r="A276" t="s">
        <v>292</v>
      </c>
      <c r="B276">
        <v>1.0860999822616577</v>
      </c>
      <c r="C276" t="s">
        <v>547</v>
      </c>
      <c r="D276" t="s">
        <v>1323</v>
      </c>
      <c r="E276" t="s">
        <v>727</v>
      </c>
      <c r="F276" t="s">
        <v>728</v>
      </c>
      <c r="G276">
        <v>53312491357.230003</v>
      </c>
      <c r="H276">
        <v>5.5412910000000002</v>
      </c>
      <c r="I276" t="s">
        <v>1324</v>
      </c>
      <c r="J276">
        <v>6.6399998664855957</v>
      </c>
      <c r="K276" t="s">
        <v>532</v>
      </c>
      <c r="L276">
        <v>0.68604671955108643</v>
      </c>
      <c r="M276">
        <v>26.583639767999678</v>
      </c>
      <c r="N276">
        <v>10.60282469732312</v>
      </c>
      <c r="O276">
        <v>0.36297863639872779</v>
      </c>
      <c r="P276">
        <v>3.5340530478250978</v>
      </c>
      <c r="Q276">
        <v>161.22</v>
      </c>
      <c r="R276">
        <v>122.55</v>
      </c>
    </row>
    <row r="277" spans="1:18" x14ac:dyDescent="0.25">
      <c r="A277" t="s">
        <v>293</v>
      </c>
      <c r="B277">
        <v>-0.27700001001358032</v>
      </c>
      <c r="C277" t="s">
        <v>542</v>
      </c>
      <c r="D277" t="s">
        <v>1325</v>
      </c>
      <c r="E277" t="s">
        <v>544</v>
      </c>
      <c r="F277" t="s">
        <v>545</v>
      </c>
      <c r="G277">
        <v>173923200000</v>
      </c>
      <c r="H277">
        <v>3.111577</v>
      </c>
      <c r="I277" t="s">
        <v>1326</v>
      </c>
      <c r="J277">
        <v>7.5500001907348633</v>
      </c>
      <c r="K277" t="s">
        <v>526</v>
      </c>
      <c r="L277">
        <v>1.3854905366897583</v>
      </c>
      <c r="M277">
        <v>32.086996528481855</v>
      </c>
      <c r="N277">
        <v>9.0627716785063733E-2</v>
      </c>
      <c r="O277">
        <v>-0.27459523176365858</v>
      </c>
      <c r="P277">
        <v>7.1371189663660521</v>
      </c>
      <c r="Q277">
        <v>182.52</v>
      </c>
      <c r="R277">
        <v>120.88</v>
      </c>
    </row>
    <row r="278" spans="1:18" x14ac:dyDescent="0.25">
      <c r="A278" t="s">
        <v>294</v>
      </c>
      <c r="B278">
        <v>1.385200023651123</v>
      </c>
      <c r="C278" t="s">
        <v>604</v>
      </c>
      <c r="D278" t="s">
        <v>1327</v>
      </c>
      <c r="E278" t="s">
        <v>619</v>
      </c>
      <c r="F278" t="s">
        <v>1183</v>
      </c>
      <c r="G278">
        <v>45243665169.930008</v>
      </c>
      <c r="H278">
        <v>-8.5542429999999996</v>
      </c>
      <c r="I278" t="s">
        <v>1328</v>
      </c>
      <c r="J278">
        <v>2.2899999618530273</v>
      </c>
      <c r="K278" t="s">
        <v>582</v>
      </c>
      <c r="L278">
        <v>0.82063502073287964</v>
      </c>
      <c r="M278">
        <v>30.508425627190395</v>
      </c>
      <c r="N278">
        <v>2.2093718342069981</v>
      </c>
      <c r="O278">
        <v>2.1102280366143544</v>
      </c>
      <c r="P278">
        <v>4.227361801351905</v>
      </c>
      <c r="Q278">
        <v>163.55500000000001</v>
      </c>
      <c r="R278">
        <v>122.36</v>
      </c>
    </row>
    <row r="279" spans="1:18" x14ac:dyDescent="0.25">
      <c r="A279" t="s">
        <v>295</v>
      </c>
      <c r="B279">
        <v>2.7674000263214111</v>
      </c>
      <c r="C279" t="s">
        <v>553</v>
      </c>
      <c r="D279" t="s">
        <v>1329</v>
      </c>
      <c r="E279" t="s">
        <v>844</v>
      </c>
      <c r="F279" t="s">
        <v>1330</v>
      </c>
      <c r="G279">
        <v>45453663269.229996</v>
      </c>
      <c r="H279">
        <v>36.704239999999999</v>
      </c>
      <c r="I279" t="s">
        <v>1331</v>
      </c>
      <c r="J279">
        <v>4.7399997711181641</v>
      </c>
      <c r="K279" t="s">
        <v>631</v>
      </c>
      <c r="L279">
        <v>1.0434454679489136</v>
      </c>
      <c r="M279">
        <v>25.948731099376349</v>
      </c>
      <c r="N279">
        <v>0.9991981623915468</v>
      </c>
      <c r="O279">
        <v>1.0436649985501583</v>
      </c>
      <c r="P279">
        <v>5.3751319424092765</v>
      </c>
      <c r="Q279">
        <v>568.38</v>
      </c>
      <c r="R279">
        <v>356.98</v>
      </c>
    </row>
    <row r="280" spans="1:18" x14ac:dyDescent="0.25">
      <c r="A280" t="s">
        <v>296</v>
      </c>
      <c r="B280">
        <v>0.76840001344680786</v>
      </c>
      <c r="C280" t="s">
        <v>604</v>
      </c>
      <c r="D280" t="s">
        <v>1332</v>
      </c>
      <c r="E280" t="s">
        <v>623</v>
      </c>
      <c r="F280" t="s">
        <v>1333</v>
      </c>
      <c r="G280">
        <v>107298888000</v>
      </c>
      <c r="H280">
        <v>3.473973</v>
      </c>
      <c r="I280" t="s">
        <v>1334</v>
      </c>
      <c r="J280">
        <v>3.9800000190734863</v>
      </c>
      <c r="K280" t="s">
        <v>526</v>
      </c>
      <c r="L280">
        <v>1.0830591917037964</v>
      </c>
      <c r="M280">
        <v>30.666571619694061</v>
      </c>
      <c r="N280">
        <v>2.0717208828141502</v>
      </c>
      <c r="O280">
        <v>0.3154282544738175</v>
      </c>
      <c r="P280">
        <v>5.5791953059995167</v>
      </c>
      <c r="Q280">
        <v>117.44</v>
      </c>
      <c r="R280">
        <v>72.73</v>
      </c>
    </row>
    <row r="281" spans="1:18" x14ac:dyDescent="0.25">
      <c r="A281" t="s">
        <v>297</v>
      </c>
      <c r="B281">
        <v>0.37839999794960022</v>
      </c>
      <c r="C281" t="s">
        <v>527</v>
      </c>
      <c r="D281" t="s">
        <v>1335</v>
      </c>
      <c r="E281" t="s">
        <v>1073</v>
      </c>
      <c r="F281" t="s">
        <v>1073</v>
      </c>
      <c r="G281">
        <v>20351650999.380001</v>
      </c>
      <c r="H281">
        <v>8.3430610000000005</v>
      </c>
      <c r="I281" t="s">
        <v>1336</v>
      </c>
      <c r="J281">
        <v>3.6500000953674316</v>
      </c>
      <c r="K281" t="s">
        <v>582</v>
      </c>
      <c r="L281">
        <v>1.3375786542892456</v>
      </c>
      <c r="M281">
        <v>26.101334476167448</v>
      </c>
      <c r="N281">
        <v>0.34164107224652401</v>
      </c>
      <c r="O281">
        <v>6.747323753166051</v>
      </c>
      <c r="P281">
        <v>6.8903090491998196</v>
      </c>
      <c r="Q281">
        <v>20.03</v>
      </c>
      <c r="R281">
        <v>12.73</v>
      </c>
    </row>
    <row r="282" spans="1:18" x14ac:dyDescent="0.25">
      <c r="A282" t="s">
        <v>298</v>
      </c>
      <c r="B282">
        <v>0.71090000867843628</v>
      </c>
      <c r="C282" t="s">
        <v>533</v>
      </c>
      <c r="D282" t="s">
        <v>1337</v>
      </c>
      <c r="E282" t="s">
        <v>579</v>
      </c>
      <c r="F282" t="s">
        <v>580</v>
      </c>
      <c r="G282">
        <v>24407968936.869999</v>
      </c>
      <c r="H282">
        <v>16.652940000000001</v>
      </c>
      <c r="I282" t="s">
        <v>1338</v>
      </c>
      <c r="J282">
        <v>3.3299999237060547</v>
      </c>
      <c r="K282" t="s">
        <v>582</v>
      </c>
      <c r="L282">
        <v>0.67380815744400024</v>
      </c>
      <c r="M282">
        <v>25.312935393863444</v>
      </c>
      <c r="N282">
        <v>0.91592769854959788</v>
      </c>
      <c r="O282">
        <v>0</v>
      </c>
      <c r="P282">
        <v>3.4710081756860016</v>
      </c>
      <c r="Q282">
        <v>58.74</v>
      </c>
      <c r="R282">
        <v>36.1</v>
      </c>
    </row>
    <row r="283" spans="1:18" x14ac:dyDescent="0.25">
      <c r="A283" t="s">
        <v>299</v>
      </c>
      <c r="B283">
        <v>0.83190000057220459</v>
      </c>
      <c r="C283" t="s">
        <v>533</v>
      </c>
      <c r="D283" t="s">
        <v>1337</v>
      </c>
      <c r="E283" t="s">
        <v>579</v>
      </c>
      <c r="F283" t="s">
        <v>580</v>
      </c>
      <c r="G283">
        <v>24407968936.869999</v>
      </c>
      <c r="H283">
        <v>13.948399999999999</v>
      </c>
      <c r="I283" t="s">
        <v>1338</v>
      </c>
      <c r="J283">
        <v>3.3299999237060547</v>
      </c>
      <c r="K283" t="s">
        <v>582</v>
      </c>
      <c r="L283">
        <v>0.70213931798934937</v>
      </c>
      <c r="M283">
        <v>24.990249366869062</v>
      </c>
      <c r="N283">
        <v>0.14354256073282651</v>
      </c>
      <c r="O283">
        <v>4.5190982203017889</v>
      </c>
      <c r="P283">
        <v>3.4710081756860016</v>
      </c>
      <c r="Q283">
        <v>55</v>
      </c>
      <c r="R283">
        <v>33.72</v>
      </c>
    </row>
    <row r="284" spans="1:18" x14ac:dyDescent="0.25">
      <c r="A284" t="s">
        <v>300</v>
      </c>
      <c r="B284">
        <v>1.757099986076355</v>
      </c>
      <c r="C284" t="s">
        <v>527</v>
      </c>
      <c r="D284" t="s">
        <v>1339</v>
      </c>
      <c r="E284" t="s">
        <v>762</v>
      </c>
      <c r="F284" t="s">
        <v>762</v>
      </c>
      <c r="G284">
        <v>32205559443.16</v>
      </c>
      <c r="H284">
        <v>15.058579999999999</v>
      </c>
      <c r="I284" t="s">
        <v>1340</v>
      </c>
      <c r="J284">
        <v>6.070000171661377</v>
      </c>
      <c r="K284" t="s">
        <v>532</v>
      </c>
      <c r="L284">
        <v>1.0191217660903931</v>
      </c>
      <c r="M284">
        <v>25.034903019316019</v>
      </c>
      <c r="N284">
        <v>0.67589002937075882</v>
      </c>
      <c r="O284">
        <v>3.6976344199403584</v>
      </c>
      <c r="P284">
        <v>5.2498325273144246</v>
      </c>
      <c r="Q284">
        <v>113.69</v>
      </c>
      <c r="R284">
        <v>73.010000000000005</v>
      </c>
    </row>
    <row r="285" spans="1:18" x14ac:dyDescent="0.25">
      <c r="A285" t="s">
        <v>301</v>
      </c>
      <c r="B285">
        <v>1.3617000579833984</v>
      </c>
      <c r="C285" t="s">
        <v>604</v>
      </c>
      <c r="D285" t="s">
        <v>1341</v>
      </c>
      <c r="E285" t="s">
        <v>717</v>
      </c>
      <c r="F285" t="s">
        <v>717</v>
      </c>
      <c r="G285">
        <v>10642936237.139999</v>
      </c>
      <c r="H285">
        <v>-7.4232399999999998</v>
      </c>
      <c r="I285" t="s">
        <v>1342</v>
      </c>
      <c r="J285">
        <v>5.1500000953674316</v>
      </c>
      <c r="K285" t="s">
        <v>558</v>
      </c>
      <c r="L285">
        <v>1.4688524007797241</v>
      </c>
      <c r="M285">
        <v>44.733570663128987</v>
      </c>
      <c r="N285">
        <v>0.82793342176829487</v>
      </c>
      <c r="O285">
        <v>9.4641460034064941</v>
      </c>
      <c r="P285">
        <v>7.5665434377086163</v>
      </c>
      <c r="Q285">
        <v>29.29</v>
      </c>
      <c r="R285">
        <v>14.21</v>
      </c>
    </row>
    <row r="286" spans="1:18" x14ac:dyDescent="0.25">
      <c r="A286" t="s">
        <v>302</v>
      </c>
      <c r="B286">
        <v>0.56449997425079346</v>
      </c>
      <c r="C286" t="s">
        <v>527</v>
      </c>
      <c r="D286" t="s">
        <v>1343</v>
      </c>
      <c r="E286" t="s">
        <v>1073</v>
      </c>
      <c r="F286" t="s">
        <v>1344</v>
      </c>
      <c r="G286">
        <v>72167837644.559982</v>
      </c>
      <c r="H286">
        <v>-3.1570179999999999</v>
      </c>
      <c r="I286" t="s">
        <v>1345</v>
      </c>
      <c r="J286">
        <v>5.1999998092651367</v>
      </c>
      <c r="K286" t="s">
        <v>532</v>
      </c>
      <c r="L286">
        <v>1.1663459539413452</v>
      </c>
      <c r="M286">
        <v>22.695847175792956</v>
      </c>
      <c r="N286">
        <v>0.24366019095934094</v>
      </c>
      <c r="O286">
        <v>14.118723580525327</v>
      </c>
      <c r="P286">
        <v>6.0082329029166699</v>
      </c>
      <c r="Q286">
        <v>53.97</v>
      </c>
      <c r="R286">
        <v>35.18</v>
      </c>
    </row>
    <row r="287" spans="1:18" x14ac:dyDescent="0.25">
      <c r="A287" t="s">
        <v>303</v>
      </c>
      <c r="B287">
        <v>-2.5425999164581299</v>
      </c>
      <c r="C287" t="s">
        <v>547</v>
      </c>
      <c r="D287" t="s">
        <v>1346</v>
      </c>
      <c r="E287" t="s">
        <v>720</v>
      </c>
      <c r="F287" t="s">
        <v>1188</v>
      </c>
      <c r="G287">
        <v>10097737534.800001</v>
      </c>
      <c r="H287">
        <v>5.6443349999999999</v>
      </c>
      <c r="I287" t="s">
        <v>1347</v>
      </c>
      <c r="J287">
        <v>2.869999885559082</v>
      </c>
      <c r="K287" t="s">
        <v>558</v>
      </c>
      <c r="L287">
        <v>0.86362123489379883</v>
      </c>
      <c r="M287">
        <v>29.467519122063145</v>
      </c>
      <c r="N287">
        <v>0.79313930132724197</v>
      </c>
      <c r="O287">
        <v>3.231302891138768</v>
      </c>
      <c r="P287">
        <v>4.4487979759454728</v>
      </c>
      <c r="Q287">
        <v>92.05</v>
      </c>
      <c r="R287">
        <v>58.86</v>
      </c>
    </row>
    <row r="288" spans="1:18" x14ac:dyDescent="0.25">
      <c r="A288" t="s">
        <v>304</v>
      </c>
      <c r="B288">
        <v>0.29490000009536743</v>
      </c>
      <c r="C288" t="s">
        <v>542</v>
      </c>
      <c r="D288" t="s">
        <v>1348</v>
      </c>
      <c r="E288" t="s">
        <v>672</v>
      </c>
      <c r="F288" t="s">
        <v>1349</v>
      </c>
      <c r="G288">
        <v>18985231331.27</v>
      </c>
      <c r="H288">
        <v>11.796939999999999</v>
      </c>
      <c r="I288" t="s">
        <v>1350</v>
      </c>
      <c r="J288">
        <v>6.1100001335144043</v>
      </c>
      <c r="K288" t="s">
        <v>526</v>
      </c>
      <c r="L288">
        <v>0.91484290361404419</v>
      </c>
      <c r="M288">
        <v>26.622128776185477</v>
      </c>
      <c r="N288">
        <v>9.4634961853648747</v>
      </c>
      <c r="O288">
        <v>1.1345425397884383</v>
      </c>
      <c r="P288">
        <v>4.7126576946741343</v>
      </c>
      <c r="Q288">
        <v>31.715</v>
      </c>
      <c r="R288">
        <v>22.74</v>
      </c>
    </row>
    <row r="289" spans="1:18" x14ac:dyDescent="0.25">
      <c r="A289" t="s">
        <v>305</v>
      </c>
      <c r="B289">
        <v>-0.58569997549057007</v>
      </c>
      <c r="C289" t="s">
        <v>527</v>
      </c>
      <c r="D289" t="s">
        <v>1351</v>
      </c>
      <c r="E289" t="s">
        <v>913</v>
      </c>
      <c r="F289" t="s">
        <v>913</v>
      </c>
      <c r="G289">
        <v>23558399289.84</v>
      </c>
      <c r="H289">
        <v>-5.4469859999999999</v>
      </c>
      <c r="I289" t="s">
        <v>1352</v>
      </c>
      <c r="J289">
        <v>6.5900001525878906</v>
      </c>
      <c r="K289" t="s">
        <v>532</v>
      </c>
      <c r="L289">
        <v>1.185950756072998</v>
      </c>
      <c r="M289">
        <v>23.868337211578467</v>
      </c>
      <c r="N289">
        <v>2.271965998399573</v>
      </c>
      <c r="O289">
        <v>1.3007740616021759</v>
      </c>
      <c r="P289">
        <v>6.1092237082815171</v>
      </c>
      <c r="Q289">
        <v>125.71</v>
      </c>
      <c r="R289">
        <v>77.87</v>
      </c>
    </row>
    <row r="290" spans="1:18" x14ac:dyDescent="0.25">
      <c r="A290" t="s">
        <v>306</v>
      </c>
      <c r="B290">
        <v>-0.40759998559951782</v>
      </c>
      <c r="C290" t="s">
        <v>547</v>
      </c>
      <c r="D290" t="s">
        <v>1353</v>
      </c>
      <c r="E290" t="s">
        <v>1353</v>
      </c>
      <c r="F290" t="s">
        <v>1354</v>
      </c>
      <c r="G290">
        <v>92421039847.919983</v>
      </c>
      <c r="H290">
        <v>13.81635</v>
      </c>
      <c r="I290" t="s">
        <v>1355</v>
      </c>
      <c r="J290">
        <v>4.380000114440918</v>
      </c>
      <c r="K290" t="s">
        <v>582</v>
      </c>
      <c r="L290">
        <v>0.47748315334320068</v>
      </c>
      <c r="M290">
        <v>16.112551731873264</v>
      </c>
      <c r="N290">
        <v>0.23155589950995004</v>
      </c>
      <c r="O290">
        <v>8.0106182534114971</v>
      </c>
      <c r="P290">
        <v>2.4596732923114297</v>
      </c>
      <c r="Q290">
        <v>242.58</v>
      </c>
      <c r="R290">
        <v>197.5</v>
      </c>
    </row>
    <row r="291" spans="1:18" x14ac:dyDescent="0.25">
      <c r="A291" t="s">
        <v>307</v>
      </c>
      <c r="B291">
        <v>-6.8300001323223114E-2</v>
      </c>
      <c r="C291" t="s">
        <v>570</v>
      </c>
      <c r="D291" t="s">
        <v>1356</v>
      </c>
      <c r="E291" t="s">
        <v>784</v>
      </c>
      <c r="F291" t="s">
        <v>1253</v>
      </c>
      <c r="G291">
        <v>30943018621.120003</v>
      </c>
      <c r="H291">
        <v>-20.579190000000001</v>
      </c>
      <c r="I291" t="s">
        <v>1357</v>
      </c>
      <c r="J291">
        <v>4.0100002288818359</v>
      </c>
      <c r="K291" t="s">
        <v>526</v>
      </c>
      <c r="L291">
        <v>0.63254678249359131</v>
      </c>
      <c r="M291">
        <v>27.296773823394275</v>
      </c>
      <c r="N291">
        <v>0.13165882057932832</v>
      </c>
      <c r="O291">
        <v>9.8431420808996855</v>
      </c>
      <c r="P291">
        <v>3.2584572170627117</v>
      </c>
      <c r="Q291">
        <v>260.33999999999997</v>
      </c>
      <c r="R291">
        <v>159.35</v>
      </c>
    </row>
    <row r="292" spans="1:18" x14ac:dyDescent="0.25">
      <c r="A292" t="s">
        <v>308</v>
      </c>
      <c r="B292">
        <v>1.7732000350952148</v>
      </c>
      <c r="C292" t="s">
        <v>527</v>
      </c>
      <c r="D292" t="s">
        <v>1358</v>
      </c>
      <c r="E292" t="s">
        <v>913</v>
      </c>
      <c r="F292" t="s">
        <v>913</v>
      </c>
      <c r="G292">
        <v>9761202597.6599998</v>
      </c>
      <c r="H292">
        <v>24.771170000000001</v>
      </c>
      <c r="I292" t="s">
        <v>1359</v>
      </c>
      <c r="J292">
        <v>6.2199997901916504</v>
      </c>
      <c r="K292" t="s">
        <v>558</v>
      </c>
      <c r="L292">
        <v>1.1747803688049316</v>
      </c>
      <c r="M292">
        <v>40.611602719238086</v>
      </c>
      <c r="N292">
        <v>0.7861040052391175</v>
      </c>
      <c r="O292">
        <v>6.7576133564068233</v>
      </c>
      <c r="P292">
        <v>6.0516813572359078</v>
      </c>
      <c r="Q292">
        <v>21.83</v>
      </c>
      <c r="R292">
        <v>11.6</v>
      </c>
    </row>
    <row r="293" spans="1:18" x14ac:dyDescent="0.25">
      <c r="A293" t="s">
        <v>309</v>
      </c>
      <c r="B293">
        <v>0.60680001974105835</v>
      </c>
      <c r="C293" t="s">
        <v>542</v>
      </c>
      <c r="D293" t="s">
        <v>1360</v>
      </c>
      <c r="E293" t="s">
        <v>757</v>
      </c>
      <c r="F293" t="s">
        <v>807</v>
      </c>
      <c r="G293">
        <v>219238394650</v>
      </c>
      <c r="H293">
        <v>25.05171</v>
      </c>
      <c r="I293" t="s">
        <v>1361</v>
      </c>
      <c r="J293">
        <v>4.6599998474121094</v>
      </c>
      <c r="K293" t="s">
        <v>631</v>
      </c>
      <c r="L293">
        <v>0.91534715890884399</v>
      </c>
      <c r="M293">
        <v>24.504040405521671</v>
      </c>
      <c r="N293">
        <v>2.4666558554850924</v>
      </c>
      <c r="O293">
        <v>-4.2452338353964034</v>
      </c>
      <c r="P293">
        <v>4.7152552801018954</v>
      </c>
      <c r="Q293">
        <v>790.5</v>
      </c>
      <c r="R293">
        <v>533.28</v>
      </c>
    </row>
    <row r="294" spans="1:18" x14ac:dyDescent="0.25">
      <c r="A294" t="s">
        <v>310</v>
      </c>
      <c r="B294">
        <v>0.3578999936580658</v>
      </c>
      <c r="C294" t="s">
        <v>527</v>
      </c>
      <c r="D294" t="s">
        <v>1362</v>
      </c>
      <c r="E294" t="s">
        <v>1363</v>
      </c>
      <c r="F294" t="s">
        <v>1363</v>
      </c>
      <c r="G294">
        <v>229433682785.57999</v>
      </c>
      <c r="H294">
        <v>13.75278</v>
      </c>
      <c r="I294" t="s">
        <v>1364</v>
      </c>
      <c r="J294">
        <v>5.75</v>
      </c>
      <c r="K294" t="s">
        <v>532</v>
      </c>
      <c r="L294">
        <v>1.2978363037109375</v>
      </c>
      <c r="M294">
        <v>20.264006980000413</v>
      </c>
      <c r="N294">
        <v>0.27530390651734477</v>
      </c>
      <c r="O294">
        <v>-0.52029347008494287</v>
      </c>
      <c r="P294">
        <v>6.6855830863952637</v>
      </c>
      <c r="Q294">
        <v>145.1</v>
      </c>
      <c r="R294">
        <v>90.94</v>
      </c>
    </row>
    <row r="295" spans="1:18" x14ac:dyDescent="0.25">
      <c r="A295" t="s">
        <v>311</v>
      </c>
      <c r="B295">
        <v>2.0645999908447266</v>
      </c>
      <c r="C295" t="s">
        <v>542</v>
      </c>
      <c r="D295" t="s">
        <v>1365</v>
      </c>
      <c r="E295" t="s">
        <v>544</v>
      </c>
      <c r="F295" t="s">
        <v>544</v>
      </c>
      <c r="G295">
        <v>37350875882.339989</v>
      </c>
      <c r="H295">
        <v>20.680040000000002</v>
      </c>
      <c r="I295" t="s">
        <v>1366</v>
      </c>
      <c r="J295">
        <v>4.9699997901916504</v>
      </c>
      <c r="K295" t="s">
        <v>526</v>
      </c>
      <c r="L295">
        <v>1.5791860818862915</v>
      </c>
      <c r="M295">
        <v>48.23103079634096</v>
      </c>
      <c r="N295">
        <v>2.1136279157848081</v>
      </c>
      <c r="O295">
        <v>0.30621116575950297</v>
      </c>
      <c r="P295">
        <v>8.1349086392033101</v>
      </c>
      <c r="Q295">
        <v>89.57</v>
      </c>
      <c r="R295">
        <v>34.15</v>
      </c>
    </row>
    <row r="296" spans="1:18" x14ac:dyDescent="0.25">
      <c r="A296" t="s">
        <v>312</v>
      </c>
      <c r="B296">
        <v>1.2747999429702759</v>
      </c>
      <c r="C296" t="s">
        <v>542</v>
      </c>
      <c r="D296" t="s">
        <v>1367</v>
      </c>
      <c r="E296" t="s">
        <v>672</v>
      </c>
      <c r="F296" t="s">
        <v>672</v>
      </c>
      <c r="G296">
        <v>116628205578.08</v>
      </c>
      <c r="H296">
        <v>36.754730000000002</v>
      </c>
      <c r="I296" t="s">
        <v>1368</v>
      </c>
      <c r="J296">
        <v>1.6299999952316284</v>
      </c>
      <c r="K296" t="s">
        <v>552</v>
      </c>
      <c r="L296">
        <v>1.6163774728775024</v>
      </c>
      <c r="M296">
        <v>35.539163663423835</v>
      </c>
      <c r="N296">
        <v>1.5140550663956651</v>
      </c>
      <c r="O296">
        <v>-46.603823748352127</v>
      </c>
      <c r="P296">
        <v>8.3264937673580643</v>
      </c>
      <c r="Q296">
        <v>517.69000000000005</v>
      </c>
      <c r="R296">
        <v>201</v>
      </c>
    </row>
    <row r="297" spans="1:18" x14ac:dyDescent="0.25">
      <c r="A297" t="s">
        <v>313</v>
      </c>
      <c r="B297">
        <v>-0.38119998574256897</v>
      </c>
      <c r="C297" t="s">
        <v>527</v>
      </c>
      <c r="D297" t="s">
        <v>1369</v>
      </c>
      <c r="E297" t="s">
        <v>647</v>
      </c>
      <c r="F297" t="s">
        <v>1370</v>
      </c>
      <c r="G297">
        <v>107855324039.04999</v>
      </c>
      <c r="H297">
        <v>-2.5877629999999998</v>
      </c>
      <c r="I297" t="s">
        <v>1371</v>
      </c>
      <c r="J297">
        <v>2.309999942779541</v>
      </c>
      <c r="K297" t="s">
        <v>526</v>
      </c>
      <c r="L297">
        <v>0.51999866962432861</v>
      </c>
      <c r="M297">
        <v>19.321948116425027</v>
      </c>
      <c r="N297">
        <v>0.45707459741164597</v>
      </c>
      <c r="O297">
        <v>-4.59404267410756</v>
      </c>
      <c r="P297">
        <v>2.6786847467958927</v>
      </c>
      <c r="Q297">
        <v>306.91000000000003</v>
      </c>
      <c r="R297">
        <v>252.17</v>
      </c>
    </row>
    <row r="298" spans="1:18" x14ac:dyDescent="0.25">
      <c r="A298" t="s">
        <v>314</v>
      </c>
      <c r="B298">
        <v>0.60509997606277466</v>
      </c>
      <c r="C298" t="s">
        <v>553</v>
      </c>
      <c r="D298" t="s">
        <v>1372</v>
      </c>
      <c r="E298" t="s">
        <v>844</v>
      </c>
      <c r="F298" t="s">
        <v>1330</v>
      </c>
      <c r="G298">
        <v>14819208859</v>
      </c>
      <c r="H298">
        <v>-7.7541909999999996</v>
      </c>
      <c r="I298" t="s">
        <v>1373</v>
      </c>
      <c r="J298">
        <v>4.369999885559082</v>
      </c>
      <c r="K298" t="s">
        <v>532</v>
      </c>
      <c r="L298">
        <v>0.43395611643791199</v>
      </c>
      <c r="M298">
        <v>39.086452630055234</v>
      </c>
      <c r="N298">
        <v>1.4805788951254055</v>
      </c>
      <c r="O298">
        <v>0.64436327031746876</v>
      </c>
      <c r="P298">
        <v>2.2354511612901091</v>
      </c>
      <c r="Q298">
        <v>84.67</v>
      </c>
      <c r="R298">
        <v>51.9</v>
      </c>
    </row>
    <row r="299" spans="1:18" x14ac:dyDescent="0.25">
      <c r="A299" t="s">
        <v>315</v>
      </c>
      <c r="B299">
        <v>0.4260999858379364</v>
      </c>
      <c r="C299" t="s">
        <v>527</v>
      </c>
      <c r="D299" t="s">
        <v>1374</v>
      </c>
      <c r="E299" t="s">
        <v>1073</v>
      </c>
      <c r="F299" t="s">
        <v>1344</v>
      </c>
      <c r="G299">
        <v>21461294849.82</v>
      </c>
      <c r="H299">
        <v>13.094150000000001</v>
      </c>
      <c r="I299" t="s">
        <v>1375</v>
      </c>
      <c r="J299">
        <v>3.5699999332427979</v>
      </c>
      <c r="K299" t="s">
        <v>526</v>
      </c>
      <c r="L299">
        <v>1.252483606338501</v>
      </c>
      <c r="M299">
        <v>27.051459703764948</v>
      </c>
      <c r="N299">
        <v>0.77305509085571711</v>
      </c>
      <c r="O299">
        <v>9.2510668330656429</v>
      </c>
      <c r="P299">
        <v>6.4519563758397096</v>
      </c>
      <c r="Q299">
        <v>49.98</v>
      </c>
      <c r="R299">
        <v>32.625</v>
      </c>
    </row>
    <row r="300" spans="1:18" x14ac:dyDescent="0.25">
      <c r="A300" t="s">
        <v>316</v>
      </c>
      <c r="B300">
        <v>1.8954999446868896</v>
      </c>
      <c r="C300" t="s">
        <v>542</v>
      </c>
      <c r="D300" t="s">
        <v>1376</v>
      </c>
      <c r="E300" t="s">
        <v>1377</v>
      </c>
      <c r="F300" t="s">
        <v>1377</v>
      </c>
      <c r="G300">
        <v>23883807174.350002</v>
      </c>
      <c r="H300">
        <v>54.656019999999998</v>
      </c>
      <c r="I300" t="s">
        <v>1378</v>
      </c>
      <c r="J300">
        <v>4.7399997711181641</v>
      </c>
      <c r="K300" t="s">
        <v>526</v>
      </c>
      <c r="L300">
        <v>1.3379478454589844</v>
      </c>
      <c r="M300">
        <v>30.131456422420783</v>
      </c>
      <c r="N300">
        <v>3.1076074275895742</v>
      </c>
      <c r="O300">
        <v>-12.004083375153892</v>
      </c>
      <c r="P300">
        <v>6.8922108747482298</v>
      </c>
      <c r="Q300">
        <v>229.16</v>
      </c>
      <c r="R300">
        <v>96.08</v>
      </c>
    </row>
    <row r="301" spans="1:18" x14ac:dyDescent="0.25">
      <c r="A301" t="s">
        <v>317</v>
      </c>
      <c r="B301">
        <v>-0.50940001010894775</v>
      </c>
      <c r="C301" t="s">
        <v>604</v>
      </c>
      <c r="D301" t="s">
        <v>1379</v>
      </c>
      <c r="E301" t="s">
        <v>734</v>
      </c>
      <c r="F301" t="s">
        <v>735</v>
      </c>
      <c r="G301">
        <v>83483852629.499985</v>
      </c>
      <c r="H301">
        <v>23.536850000000001</v>
      </c>
      <c r="I301" t="s">
        <v>1380</v>
      </c>
      <c r="J301">
        <v>3.9000000953674316</v>
      </c>
      <c r="K301" t="s">
        <v>526</v>
      </c>
      <c r="L301">
        <v>0.50606876611709595</v>
      </c>
      <c r="M301">
        <v>20.640878305334542</v>
      </c>
      <c r="N301">
        <v>0.78896177047027893</v>
      </c>
      <c r="O301">
        <v>-2.2426838283254336</v>
      </c>
      <c r="P301">
        <v>2.6069272169619797</v>
      </c>
      <c r="Q301">
        <v>100.08</v>
      </c>
      <c r="R301">
        <v>73.111999999999995</v>
      </c>
    </row>
    <row r="302" spans="1:18" x14ac:dyDescent="0.25">
      <c r="A302" t="s">
        <v>318</v>
      </c>
      <c r="B302">
        <v>0.90750002861022949</v>
      </c>
      <c r="C302" t="s">
        <v>527</v>
      </c>
      <c r="D302" t="s">
        <v>1381</v>
      </c>
      <c r="E302" t="s">
        <v>647</v>
      </c>
      <c r="F302" t="s">
        <v>647</v>
      </c>
      <c r="G302">
        <v>51824785728.499992</v>
      </c>
      <c r="H302">
        <v>1.5094179999999999</v>
      </c>
      <c r="I302" t="s">
        <v>1382</v>
      </c>
      <c r="J302">
        <v>4.5900001525878906</v>
      </c>
      <c r="K302" t="s">
        <v>526</v>
      </c>
      <c r="L302">
        <v>0.65787011384963989</v>
      </c>
      <c r="M302">
        <v>22.802155645789682</v>
      </c>
      <c r="N302">
        <v>0.42439912770115262</v>
      </c>
      <c r="O302">
        <v>-5.5130938669638727</v>
      </c>
      <c r="P302">
        <v>3.3889060535770654</v>
      </c>
      <c r="Q302">
        <v>213.06</v>
      </c>
      <c r="R302">
        <v>168.36</v>
      </c>
    </row>
    <row r="303" spans="1:18" x14ac:dyDescent="0.25">
      <c r="A303" t="s">
        <v>319</v>
      </c>
      <c r="B303">
        <v>-0.4138999879360199</v>
      </c>
      <c r="C303" t="s">
        <v>587</v>
      </c>
      <c r="D303" t="s">
        <v>1383</v>
      </c>
      <c r="E303" t="s">
        <v>800</v>
      </c>
      <c r="F303" t="s">
        <v>801</v>
      </c>
      <c r="G303">
        <v>25596805047.900009</v>
      </c>
      <c r="H303">
        <v>-6.1176170000000001</v>
      </c>
      <c r="I303" t="s">
        <v>1384</v>
      </c>
      <c r="J303">
        <v>5.809999942779541</v>
      </c>
      <c r="K303" t="s">
        <v>582</v>
      </c>
      <c r="L303">
        <v>0.78426313400268555</v>
      </c>
      <c r="M303">
        <v>18.830489632662083</v>
      </c>
      <c r="N303">
        <v>1.6268128672748092</v>
      </c>
      <c r="O303">
        <v>0.2935640003433459</v>
      </c>
      <c r="P303">
        <v>4.0399982100820537</v>
      </c>
      <c r="Q303">
        <v>78.81</v>
      </c>
      <c r="R303">
        <v>59.61</v>
      </c>
    </row>
    <row r="304" spans="1:18" x14ac:dyDescent="0.25">
      <c r="A304" t="s">
        <v>320</v>
      </c>
      <c r="B304">
        <v>-0.8937000036239624</v>
      </c>
      <c r="C304" t="s">
        <v>570</v>
      </c>
      <c r="D304" t="s">
        <v>1385</v>
      </c>
      <c r="E304" t="s">
        <v>572</v>
      </c>
      <c r="F304" t="s">
        <v>572</v>
      </c>
      <c r="G304">
        <v>45195141732.330002</v>
      </c>
      <c r="H304">
        <v>3.580327</v>
      </c>
      <c r="I304" t="s">
        <v>1386</v>
      </c>
      <c r="J304">
        <v>6.4899997711181641</v>
      </c>
      <c r="K304" t="s">
        <v>532</v>
      </c>
      <c r="L304">
        <v>0.45387673377990723</v>
      </c>
      <c r="M304">
        <v>16.316145284329505</v>
      </c>
      <c r="N304">
        <v>1.0188726733336524</v>
      </c>
      <c r="O304">
        <v>-6.368820064546667</v>
      </c>
      <c r="P304">
        <v>2.3380688350224492</v>
      </c>
      <c r="Q304">
        <v>38.274999999999999</v>
      </c>
      <c r="R304">
        <v>30.12</v>
      </c>
    </row>
    <row r="305" spans="1:18" x14ac:dyDescent="0.25">
      <c r="A305" t="s">
        <v>321</v>
      </c>
      <c r="B305">
        <v>0.73040002584457397</v>
      </c>
      <c r="C305" t="s">
        <v>587</v>
      </c>
      <c r="D305" t="s">
        <v>1387</v>
      </c>
      <c r="E305" t="s">
        <v>1388</v>
      </c>
      <c r="F305" t="s">
        <v>1388</v>
      </c>
      <c r="G305">
        <v>11480973700.65</v>
      </c>
      <c r="H305">
        <v>-5.5365320000000002</v>
      </c>
      <c r="I305" t="s">
        <v>1389</v>
      </c>
      <c r="J305">
        <v>5.8600001335144043</v>
      </c>
      <c r="K305" t="s">
        <v>558</v>
      </c>
      <c r="L305">
        <v>1.0411719083786011</v>
      </c>
      <c r="M305">
        <v>27.897549244089454</v>
      </c>
      <c r="N305">
        <v>1.4788212705257378</v>
      </c>
      <c r="O305">
        <v>7.7649900408859134</v>
      </c>
      <c r="P305">
        <v>5.3634200867879391</v>
      </c>
      <c r="Q305">
        <v>19.251100000000001</v>
      </c>
      <c r="R305">
        <v>12.22</v>
      </c>
    </row>
    <row r="306" spans="1:18" x14ac:dyDescent="0.25">
      <c r="A306" t="s">
        <v>322</v>
      </c>
      <c r="B306">
        <v>-0.41139999032020569</v>
      </c>
      <c r="C306" t="s">
        <v>553</v>
      </c>
      <c r="D306" t="s">
        <v>1390</v>
      </c>
      <c r="E306" t="s">
        <v>1238</v>
      </c>
      <c r="F306" t="s">
        <v>1238</v>
      </c>
      <c r="G306">
        <v>13588609366.799999</v>
      </c>
      <c r="H306">
        <v>1.6360220000000001</v>
      </c>
      <c r="I306" t="s">
        <v>1391</v>
      </c>
      <c r="J306">
        <v>4.5300002098083496</v>
      </c>
      <c r="K306" t="s">
        <v>532</v>
      </c>
      <c r="L306">
        <v>0.70737409591674805</v>
      </c>
      <c r="M306">
        <v>30.52739658362033</v>
      </c>
      <c r="N306">
        <v>1.0525277948689338</v>
      </c>
      <c r="O306">
        <v>13.147695118666469</v>
      </c>
      <c r="P306">
        <v>3.6439174015188214</v>
      </c>
      <c r="Q306">
        <v>83.94</v>
      </c>
      <c r="R306">
        <v>53.56</v>
      </c>
    </row>
    <row r="307" spans="1:18" x14ac:dyDescent="0.25">
      <c r="A307" t="s">
        <v>323</v>
      </c>
      <c r="B307">
        <v>1.3033000230789185</v>
      </c>
      <c r="C307" t="s">
        <v>587</v>
      </c>
      <c r="D307" t="s">
        <v>1392</v>
      </c>
      <c r="E307" t="s">
        <v>870</v>
      </c>
      <c r="F307" t="s">
        <v>1393</v>
      </c>
      <c r="G307">
        <v>54548888267.290009</v>
      </c>
      <c r="H307">
        <v>-2.9615040000000001</v>
      </c>
      <c r="I307" t="s">
        <v>1394</v>
      </c>
      <c r="J307">
        <v>3.9800000190734863</v>
      </c>
      <c r="K307" t="s">
        <v>582</v>
      </c>
      <c r="L307">
        <v>0.97890830039978027</v>
      </c>
      <c r="M307">
        <v>23.349093350365596</v>
      </c>
      <c r="N307">
        <v>0.52496653054222053</v>
      </c>
      <c r="O307">
        <v>0.82153802886179661</v>
      </c>
      <c r="P307">
        <v>5.0426796950983999</v>
      </c>
      <c r="Q307">
        <v>190.13499999999999</v>
      </c>
      <c r="R307">
        <v>136.34</v>
      </c>
    </row>
    <row r="308" spans="1:18" x14ac:dyDescent="0.25">
      <c r="A308" t="s">
        <v>324</v>
      </c>
      <c r="B308">
        <v>1.267300009727478</v>
      </c>
      <c r="C308" t="s">
        <v>521</v>
      </c>
      <c r="D308" t="s">
        <v>1395</v>
      </c>
      <c r="E308" t="s">
        <v>523</v>
      </c>
      <c r="F308" t="s">
        <v>523</v>
      </c>
      <c r="G308">
        <v>9041665395.4799995</v>
      </c>
      <c r="H308">
        <v>-14.24661</v>
      </c>
      <c r="I308" t="s">
        <v>1396</v>
      </c>
      <c r="J308">
        <v>4.1399998664855957</v>
      </c>
      <c r="K308" t="s">
        <v>558</v>
      </c>
      <c r="L308">
        <v>0.95564240217208862</v>
      </c>
      <c r="M308">
        <v>31.383072660457717</v>
      </c>
      <c r="N308">
        <v>0.75510805050065</v>
      </c>
      <c r="O308">
        <v>15.456696802797932</v>
      </c>
      <c r="P308">
        <v>4.922829375581145</v>
      </c>
      <c r="Q308">
        <v>114.49</v>
      </c>
      <c r="R308">
        <v>70.959999999999994</v>
      </c>
    </row>
    <row r="309" spans="1:18" x14ac:dyDescent="0.25">
      <c r="A309" t="s">
        <v>325</v>
      </c>
      <c r="B309">
        <v>7.9400002956390381E-2</v>
      </c>
      <c r="C309" t="s">
        <v>587</v>
      </c>
      <c r="D309" t="s">
        <v>1397</v>
      </c>
      <c r="E309" t="s">
        <v>800</v>
      </c>
      <c r="F309" t="s">
        <v>801</v>
      </c>
      <c r="G309">
        <v>28722779709.75</v>
      </c>
      <c r="H309">
        <v>-8.2829479999999993</v>
      </c>
      <c r="I309" t="s">
        <v>1398</v>
      </c>
      <c r="J309">
        <v>6.2899999618530273</v>
      </c>
      <c r="K309" t="s">
        <v>526</v>
      </c>
      <c r="L309">
        <v>0.79551023244857788</v>
      </c>
      <c r="M309">
        <v>17.796864185464745</v>
      </c>
      <c r="N309">
        <v>0.38129122760560297</v>
      </c>
      <c r="O309">
        <v>11.600696311098545</v>
      </c>
      <c r="P309">
        <v>4.0979357257193323</v>
      </c>
      <c r="Q309">
        <v>239.01</v>
      </c>
      <c r="R309">
        <v>180.67</v>
      </c>
    </row>
    <row r="310" spans="1:18" x14ac:dyDescent="0.25">
      <c r="A310" t="s">
        <v>326</v>
      </c>
      <c r="B310">
        <v>0.8628000020980835</v>
      </c>
      <c r="C310" t="s">
        <v>527</v>
      </c>
      <c r="D310" t="s">
        <v>1399</v>
      </c>
      <c r="E310" t="s">
        <v>708</v>
      </c>
      <c r="F310" t="s">
        <v>708</v>
      </c>
      <c r="G310">
        <v>37244340000</v>
      </c>
      <c r="H310">
        <v>-11.23766</v>
      </c>
      <c r="I310" t="s">
        <v>1400</v>
      </c>
      <c r="J310">
        <v>3.6700000762939453</v>
      </c>
      <c r="K310" t="s">
        <v>631</v>
      </c>
      <c r="L310">
        <v>0.92482119798660278</v>
      </c>
      <c r="M310">
        <v>21.650317038220852</v>
      </c>
      <c r="N310">
        <v>0.2096358757062147</v>
      </c>
      <c r="O310">
        <v>23.311532722517438</v>
      </c>
      <c r="P310">
        <v>4.7640591818243259</v>
      </c>
      <c r="Q310">
        <v>130.44999999999999</v>
      </c>
      <c r="R310">
        <v>90.45</v>
      </c>
    </row>
    <row r="311" spans="1:18" x14ac:dyDescent="0.25">
      <c r="A311" t="s">
        <v>327</v>
      </c>
      <c r="B311">
        <v>1.0046000480651855</v>
      </c>
      <c r="C311" t="s">
        <v>547</v>
      </c>
      <c r="D311" t="s">
        <v>1401</v>
      </c>
      <c r="E311" t="s">
        <v>904</v>
      </c>
      <c r="F311" t="s">
        <v>904</v>
      </c>
      <c r="G311">
        <v>87694380789.360001</v>
      </c>
      <c r="H311">
        <v>-17.874700000000001</v>
      </c>
      <c r="I311" t="s">
        <v>1402</v>
      </c>
      <c r="J311">
        <v>3.8399999141693115</v>
      </c>
      <c r="K311" t="s">
        <v>582</v>
      </c>
      <c r="L311">
        <v>0.8599972128868103</v>
      </c>
      <c r="M311">
        <v>25.531527762539323</v>
      </c>
      <c r="N311">
        <v>4.1881011441447367E-2</v>
      </c>
      <c r="O311">
        <v>5.6172434672825098</v>
      </c>
      <c r="P311">
        <v>4.4301294426602125</v>
      </c>
      <c r="Q311">
        <v>145</v>
      </c>
      <c r="R311">
        <v>90.6</v>
      </c>
    </row>
    <row r="312" spans="1:18" x14ac:dyDescent="0.25">
      <c r="A312" t="s">
        <v>328</v>
      </c>
      <c r="B312">
        <v>0.17260000109672546</v>
      </c>
      <c r="C312" t="s">
        <v>570</v>
      </c>
      <c r="D312" t="s">
        <v>1403</v>
      </c>
      <c r="E312" t="s">
        <v>1003</v>
      </c>
      <c r="F312" t="s">
        <v>1404</v>
      </c>
      <c r="G312">
        <v>10049159436.749998</v>
      </c>
      <c r="H312">
        <v>24.4373</v>
      </c>
      <c r="I312" t="s">
        <v>1405</v>
      </c>
      <c r="J312">
        <v>6.7800002098083496</v>
      </c>
      <c r="K312" t="s">
        <v>558</v>
      </c>
      <c r="L312">
        <v>0.57203555107116699</v>
      </c>
      <c r="M312">
        <v>8.2232635842062454</v>
      </c>
      <c r="N312">
        <v>17.715183810910084</v>
      </c>
      <c r="O312">
        <v>-5.9494111428885936E-2</v>
      </c>
      <c r="P312">
        <v>2.9467438952994347</v>
      </c>
      <c r="Q312">
        <v>13.24</v>
      </c>
      <c r="R312">
        <v>8.0850000000000009</v>
      </c>
    </row>
    <row r="313" spans="1:18" x14ac:dyDescent="0.25">
      <c r="A313" t="s">
        <v>329</v>
      </c>
      <c r="B313">
        <v>1.4125000238418579</v>
      </c>
      <c r="C313" t="s">
        <v>553</v>
      </c>
      <c r="D313" t="s">
        <v>1406</v>
      </c>
      <c r="E313" t="s">
        <v>771</v>
      </c>
      <c r="F313" t="s">
        <v>771</v>
      </c>
      <c r="G313">
        <v>22670575820.340004</v>
      </c>
      <c r="H313">
        <v>12.113250000000001</v>
      </c>
      <c r="I313" t="s">
        <v>1407</v>
      </c>
      <c r="J313">
        <v>6.1399998664855957</v>
      </c>
      <c r="K313" t="s">
        <v>631</v>
      </c>
      <c r="L313">
        <v>0.66377079486846924</v>
      </c>
      <c r="M313">
        <v>23.466993872030763</v>
      </c>
      <c r="N313">
        <v>0.3208791861176945</v>
      </c>
      <c r="O313">
        <v>1.9666369474486696</v>
      </c>
      <c r="P313">
        <v>3.4193024087297914</v>
      </c>
      <c r="Q313">
        <v>252.72</v>
      </c>
      <c r="R313">
        <v>201.37</v>
      </c>
    </row>
    <row r="314" spans="1:18" x14ac:dyDescent="0.25">
      <c r="A314" t="s">
        <v>330</v>
      </c>
      <c r="B314">
        <v>0.22949999570846558</v>
      </c>
      <c r="C314" t="s">
        <v>553</v>
      </c>
      <c r="D314" t="s">
        <v>1408</v>
      </c>
      <c r="E314" t="s">
        <v>1039</v>
      </c>
      <c r="F314" t="s">
        <v>1283</v>
      </c>
      <c r="G314">
        <v>89052043214.040009</v>
      </c>
      <c r="H314">
        <v>24.90043</v>
      </c>
      <c r="I314" t="s">
        <v>1409</v>
      </c>
      <c r="J314">
        <v>4.820000171661377</v>
      </c>
      <c r="K314" t="s">
        <v>532</v>
      </c>
      <c r="L314">
        <v>0.50700145959854126</v>
      </c>
      <c r="M314">
        <v>20.292016467281719</v>
      </c>
      <c r="N314">
        <v>5.1670108637005635E-2</v>
      </c>
      <c r="O314">
        <v>-41.847363818132855</v>
      </c>
      <c r="P314">
        <v>2.6117318288737534</v>
      </c>
      <c r="Q314">
        <v>737.89</v>
      </c>
      <c r="R314">
        <v>467.58</v>
      </c>
    </row>
    <row r="315" spans="1:18" x14ac:dyDescent="0.25">
      <c r="A315" t="s">
        <v>331</v>
      </c>
      <c r="B315">
        <v>0.14740000665187836</v>
      </c>
      <c r="C315" t="s">
        <v>547</v>
      </c>
      <c r="D315" t="s">
        <v>1410</v>
      </c>
      <c r="E315" t="s">
        <v>651</v>
      </c>
      <c r="F315" t="s">
        <v>651</v>
      </c>
      <c r="G315">
        <v>98328477635.519989</v>
      </c>
      <c r="H315">
        <v>-13.328810000000001</v>
      </c>
      <c r="I315" t="s">
        <v>1411</v>
      </c>
      <c r="J315">
        <v>7.3299999237060547</v>
      </c>
      <c r="K315" t="s">
        <v>526</v>
      </c>
      <c r="L315">
        <v>0.48952111601829529</v>
      </c>
      <c r="M315">
        <v>34.25257604542454</v>
      </c>
      <c r="N315">
        <v>7.4818528122618744E-2</v>
      </c>
      <c r="O315">
        <v>36.104337186614487</v>
      </c>
      <c r="P315">
        <v>2.5216848105785248</v>
      </c>
      <c r="Q315">
        <v>617.245</v>
      </c>
      <c r="R315">
        <v>410.11</v>
      </c>
    </row>
    <row r="316" spans="1:18" x14ac:dyDescent="0.25">
      <c r="A316" t="s">
        <v>332</v>
      </c>
      <c r="B316">
        <v>-3.0999999493360519E-2</v>
      </c>
      <c r="C316" t="s">
        <v>553</v>
      </c>
      <c r="D316" t="s">
        <v>1412</v>
      </c>
      <c r="E316" t="s">
        <v>1039</v>
      </c>
      <c r="F316" t="s">
        <v>1413</v>
      </c>
      <c r="G316">
        <v>56278587685.32</v>
      </c>
      <c r="H316">
        <v>29.232690000000002</v>
      </c>
      <c r="I316" t="s">
        <v>1414</v>
      </c>
      <c r="J316">
        <v>4.2600002288818359</v>
      </c>
      <c r="K316" t="s">
        <v>532</v>
      </c>
      <c r="L316">
        <v>0.42799338698387146</v>
      </c>
      <c r="M316">
        <v>24.018315805050584</v>
      </c>
      <c r="N316">
        <v>0.36703365015078138</v>
      </c>
      <c r="O316">
        <v>-9.0598883442767431</v>
      </c>
      <c r="P316">
        <v>2.2047351741716263</v>
      </c>
      <c r="Q316">
        <v>309.06</v>
      </c>
      <c r="R316">
        <v>218.75</v>
      </c>
    </row>
    <row r="317" spans="1:18" x14ac:dyDescent="0.25">
      <c r="A317" t="s">
        <v>333</v>
      </c>
      <c r="B317">
        <v>0.71929997205734253</v>
      </c>
      <c r="C317" t="s">
        <v>527</v>
      </c>
      <c r="D317" t="s">
        <v>1415</v>
      </c>
      <c r="E317" t="s">
        <v>529</v>
      </c>
      <c r="F317" t="s">
        <v>530</v>
      </c>
      <c r="G317">
        <v>136143687225.14998</v>
      </c>
      <c r="H317">
        <v>19.364059999999998</v>
      </c>
      <c r="I317" t="s">
        <v>1416</v>
      </c>
      <c r="J317">
        <v>5.0300002098083496</v>
      </c>
      <c r="K317" t="s">
        <v>526</v>
      </c>
      <c r="L317">
        <v>1.1884647607803345</v>
      </c>
      <c r="M317">
        <v>28.949892862524624</v>
      </c>
      <c r="N317">
        <v>0.87538966331244961</v>
      </c>
      <c r="O317">
        <v>10.501988336408759</v>
      </c>
      <c r="P317">
        <v>6.1221741761505601</v>
      </c>
      <c r="Q317">
        <v>232.39</v>
      </c>
      <c r="R317">
        <v>128.24</v>
      </c>
    </row>
    <row r="318" spans="1:18" x14ac:dyDescent="0.25">
      <c r="A318" t="s">
        <v>334</v>
      </c>
      <c r="B318">
        <v>-0.30529999732971191</v>
      </c>
      <c r="C318" t="s">
        <v>570</v>
      </c>
      <c r="D318" t="s">
        <v>1417</v>
      </c>
      <c r="E318" t="s">
        <v>818</v>
      </c>
      <c r="F318" t="s">
        <v>818</v>
      </c>
      <c r="G318">
        <v>9736924885.5199986</v>
      </c>
      <c r="H318">
        <v>-22.015280000000001</v>
      </c>
      <c r="I318" t="s">
        <v>1418</v>
      </c>
      <c r="J318">
        <v>5.8499999046325684</v>
      </c>
      <c r="K318" t="s">
        <v>532</v>
      </c>
      <c r="L318" t="s">
        <v>559</v>
      </c>
      <c r="M318">
        <v>25.909206671829043</v>
      </c>
      <c r="N318">
        <v>19.031328199107772</v>
      </c>
      <c r="O318">
        <v>3.5507271568331181E-2</v>
      </c>
      <c r="P318">
        <v>2.1283033722621201</v>
      </c>
      <c r="Q318">
        <v>52.8</v>
      </c>
      <c r="R318">
        <v>29.39</v>
      </c>
    </row>
    <row r="319" spans="1:18" x14ac:dyDescent="0.25">
      <c r="A319" t="s">
        <v>335</v>
      </c>
      <c r="B319">
        <v>1.5010000467300415</v>
      </c>
      <c r="C319" t="s">
        <v>553</v>
      </c>
      <c r="D319" t="s">
        <v>1419</v>
      </c>
      <c r="E319" t="s">
        <v>844</v>
      </c>
      <c r="F319" t="s">
        <v>1180</v>
      </c>
      <c r="G319">
        <v>18028278512.549999</v>
      </c>
      <c r="H319">
        <v>-18.33792</v>
      </c>
      <c r="I319" t="s">
        <v>1420</v>
      </c>
      <c r="J319">
        <v>5.570000171661377</v>
      </c>
      <c r="K319" t="s">
        <v>631</v>
      </c>
      <c r="L319">
        <v>0.86799192428588867</v>
      </c>
      <c r="M319">
        <v>44.908314982225804</v>
      </c>
      <c r="N319">
        <v>0.2676175354050952</v>
      </c>
      <c r="O319">
        <v>10.87897640038555</v>
      </c>
      <c r="P319">
        <v>4.4713128393316266</v>
      </c>
      <c r="Q319">
        <v>422.46</v>
      </c>
      <c r="R319">
        <v>280</v>
      </c>
    </row>
    <row r="320" spans="1:18" x14ac:dyDescent="0.25">
      <c r="A320" t="s">
        <v>336</v>
      </c>
      <c r="B320">
        <v>0.77120000123977661</v>
      </c>
      <c r="C320" t="s">
        <v>547</v>
      </c>
      <c r="D320" t="s">
        <v>1421</v>
      </c>
      <c r="E320" t="s">
        <v>1142</v>
      </c>
      <c r="F320" t="s">
        <v>1422</v>
      </c>
      <c r="G320">
        <v>12479435634.639997</v>
      </c>
      <c r="H320">
        <v>5.5438700000000001</v>
      </c>
      <c r="I320" t="s">
        <v>1423</v>
      </c>
      <c r="J320">
        <v>3.8900001049041748</v>
      </c>
      <c r="K320" t="s">
        <v>582</v>
      </c>
      <c r="L320">
        <v>1.0985994338989258</v>
      </c>
      <c r="M320">
        <v>27.161736596509879</v>
      </c>
      <c r="N320">
        <v>0.58644161677044071</v>
      </c>
      <c r="O320">
        <v>-1.0722900198218424</v>
      </c>
      <c r="P320">
        <v>5.6592482218265534</v>
      </c>
      <c r="Q320">
        <v>266.52999999999997</v>
      </c>
      <c r="R320">
        <v>165.03</v>
      </c>
    </row>
    <row r="321" spans="1:18" x14ac:dyDescent="0.25">
      <c r="A321" t="s">
        <v>337</v>
      </c>
      <c r="B321">
        <v>0.17509999871253967</v>
      </c>
      <c r="C321" t="s">
        <v>570</v>
      </c>
      <c r="D321" t="s">
        <v>1424</v>
      </c>
      <c r="E321" t="s">
        <v>657</v>
      </c>
      <c r="F321" t="s">
        <v>675</v>
      </c>
      <c r="G321">
        <v>23876888537.380001</v>
      </c>
      <c r="H321">
        <v>52.668799999999997</v>
      </c>
      <c r="I321" t="s">
        <v>1425</v>
      </c>
      <c r="J321">
        <v>3.0099999904632568</v>
      </c>
      <c r="K321" t="s">
        <v>526</v>
      </c>
      <c r="L321">
        <v>0.80047774314880371</v>
      </c>
      <c r="M321">
        <v>38.900319583459705</v>
      </c>
      <c r="N321">
        <v>0.20058621208476646</v>
      </c>
      <c r="O321">
        <v>72.191600510057171</v>
      </c>
      <c r="P321">
        <v>4.1235250126147269</v>
      </c>
      <c r="Q321">
        <v>115.98</v>
      </c>
      <c r="R321">
        <v>60.49</v>
      </c>
    </row>
    <row r="322" spans="1:18" x14ac:dyDescent="0.25">
      <c r="A322" t="s">
        <v>338</v>
      </c>
      <c r="B322">
        <v>0.82840001583099365</v>
      </c>
      <c r="C322" t="s">
        <v>604</v>
      </c>
      <c r="D322" t="s">
        <v>1426</v>
      </c>
      <c r="E322" t="s">
        <v>623</v>
      </c>
      <c r="F322" t="s">
        <v>1427</v>
      </c>
      <c r="G322">
        <v>23931077558.400002</v>
      </c>
      <c r="H322">
        <v>9.5291650000000008</v>
      </c>
      <c r="I322" t="s">
        <v>1428</v>
      </c>
      <c r="J322">
        <v>3.4800000190734863</v>
      </c>
      <c r="K322" t="s">
        <v>582</v>
      </c>
      <c r="L322">
        <v>0.64415490627288818</v>
      </c>
      <c r="M322">
        <v>21.617793710967849</v>
      </c>
      <c r="N322">
        <v>0.42377546845441216</v>
      </c>
      <c r="O322">
        <v>-2.8083946214132594</v>
      </c>
      <c r="P322">
        <v>3.3182544933307168</v>
      </c>
      <c r="Q322">
        <v>228</v>
      </c>
      <c r="R322">
        <v>140.1</v>
      </c>
    </row>
    <row r="323" spans="1:18" x14ac:dyDescent="0.25">
      <c r="A323" t="s">
        <v>339</v>
      </c>
      <c r="B323">
        <v>4.3000001460313797E-2</v>
      </c>
      <c r="C323" t="s">
        <v>632</v>
      </c>
      <c r="D323" t="s">
        <v>1429</v>
      </c>
      <c r="E323" t="s">
        <v>810</v>
      </c>
      <c r="F323" t="s">
        <v>810</v>
      </c>
      <c r="G323">
        <v>16036266821.399998</v>
      </c>
      <c r="H323">
        <v>13.403740000000001</v>
      </c>
      <c r="I323" t="s">
        <v>1430</v>
      </c>
      <c r="J323">
        <v>5.1100001335144043</v>
      </c>
      <c r="K323" t="s">
        <v>526</v>
      </c>
      <c r="L323">
        <v>0.5003548264503479</v>
      </c>
      <c r="M323">
        <v>18.85122300607317</v>
      </c>
      <c r="N323">
        <v>1.3312041694759298</v>
      </c>
      <c r="O323">
        <v>1.5036436126343766</v>
      </c>
      <c r="P323">
        <v>2.5774928281384706</v>
      </c>
      <c r="Q323">
        <v>70.349999999999994</v>
      </c>
      <c r="R323">
        <v>56.55</v>
      </c>
    </row>
    <row r="324" spans="1:18" x14ac:dyDescent="0.25">
      <c r="A324" t="s">
        <v>340</v>
      </c>
      <c r="B324">
        <v>1.3935999870300293</v>
      </c>
      <c r="C324" t="s">
        <v>533</v>
      </c>
      <c r="D324" t="s">
        <v>1431</v>
      </c>
      <c r="E324" t="s">
        <v>822</v>
      </c>
      <c r="F324" t="s">
        <v>1432</v>
      </c>
      <c r="G324">
        <v>8474987128.3199987</v>
      </c>
      <c r="H324">
        <v>5.6557659999999998</v>
      </c>
      <c r="I324" t="s">
        <v>1433</v>
      </c>
      <c r="J324">
        <v>5.0500001907348633</v>
      </c>
      <c r="K324" t="s">
        <v>558</v>
      </c>
      <c r="L324">
        <v>0.58990520238876343</v>
      </c>
      <c r="M324">
        <v>35.298706814053205</v>
      </c>
      <c r="N324">
        <v>0.66470180686903024</v>
      </c>
      <c r="O324">
        <v>0.76026847695333799</v>
      </c>
      <c r="P324">
        <v>3.0387963662213084</v>
      </c>
      <c r="Q324">
        <v>38.83</v>
      </c>
      <c r="R324">
        <v>26.405000000000001</v>
      </c>
    </row>
    <row r="325" spans="1:18" x14ac:dyDescent="0.25">
      <c r="A325" t="s">
        <v>341</v>
      </c>
      <c r="B325">
        <v>4.5400001108646393E-2</v>
      </c>
      <c r="C325" t="s">
        <v>604</v>
      </c>
      <c r="D325" t="s">
        <v>1434</v>
      </c>
      <c r="E325" t="s">
        <v>1007</v>
      </c>
      <c r="F325" t="s">
        <v>1104</v>
      </c>
      <c r="G325">
        <v>22785210314.830002</v>
      </c>
      <c r="H325">
        <v>-4.719093</v>
      </c>
      <c r="I325" t="s">
        <v>1435</v>
      </c>
      <c r="J325">
        <v>4.880000114440918</v>
      </c>
      <c r="K325" t="s">
        <v>526</v>
      </c>
      <c r="L325">
        <v>0.69434618949890137</v>
      </c>
      <c r="M325">
        <v>30.663821167774962</v>
      </c>
      <c r="N325">
        <v>4.6942195681691476</v>
      </c>
      <c r="O325">
        <v>-0.36514366189003583</v>
      </c>
      <c r="P325">
        <v>3.5768063563513754</v>
      </c>
      <c r="Q325">
        <v>9944</v>
      </c>
      <c r="R325">
        <v>6569.99</v>
      </c>
    </row>
    <row r="326" spans="1:18" x14ac:dyDescent="0.25">
      <c r="A326" t="s">
        <v>342</v>
      </c>
      <c r="B326">
        <v>0.26750001311302185</v>
      </c>
      <c r="C326" t="s">
        <v>542</v>
      </c>
      <c r="D326" t="s">
        <v>1436</v>
      </c>
      <c r="E326" t="s">
        <v>601</v>
      </c>
      <c r="F326" t="s">
        <v>1437</v>
      </c>
      <c r="G326">
        <v>20998376782.02</v>
      </c>
      <c r="H326">
        <v>-9.5968309999999999</v>
      </c>
      <c r="I326" t="s">
        <v>1438</v>
      </c>
      <c r="J326">
        <v>4.9899997711181641</v>
      </c>
      <c r="K326" t="s">
        <v>631</v>
      </c>
      <c r="L326">
        <v>1.2504880428314209</v>
      </c>
      <c r="M326">
        <v>25.222369792225646</v>
      </c>
      <c r="N326">
        <v>0.41382236484058638</v>
      </c>
      <c r="O326">
        <v>5.6625297634998049</v>
      </c>
      <c r="P326">
        <v>6.4416765696787834</v>
      </c>
      <c r="Q326">
        <v>135.1</v>
      </c>
      <c r="R326">
        <v>71.92</v>
      </c>
    </row>
    <row r="327" spans="1:18" x14ac:dyDescent="0.25">
      <c r="A327" t="s">
        <v>343</v>
      </c>
      <c r="B327">
        <v>-0.4171999990940094</v>
      </c>
      <c r="C327" t="s">
        <v>547</v>
      </c>
      <c r="D327" t="s">
        <v>1439</v>
      </c>
      <c r="E327" t="s">
        <v>1440</v>
      </c>
      <c r="F327" t="s">
        <v>1441</v>
      </c>
      <c r="G327">
        <v>35310360083.459999</v>
      </c>
      <c r="H327">
        <v>-5.2777750000000001</v>
      </c>
      <c r="I327" t="s">
        <v>1442</v>
      </c>
      <c r="J327">
        <v>4.6500000953674316</v>
      </c>
      <c r="K327" t="s">
        <v>526</v>
      </c>
      <c r="L327">
        <v>1.0744532346725464</v>
      </c>
      <c r="M327">
        <v>36.221729657689011</v>
      </c>
      <c r="N327">
        <v>9.7297490031960177</v>
      </c>
      <c r="O327">
        <v>6.8628337910177127E-3</v>
      </c>
      <c r="P327">
        <v>5.5348631813657283</v>
      </c>
      <c r="Q327">
        <v>233.23</v>
      </c>
      <c r="R327">
        <v>144.91</v>
      </c>
    </row>
    <row r="328" spans="1:18" x14ac:dyDescent="0.25">
      <c r="A328" t="s">
        <v>344</v>
      </c>
      <c r="B328">
        <v>0.27630001306533813</v>
      </c>
      <c r="C328" t="s">
        <v>553</v>
      </c>
      <c r="D328" t="s">
        <v>1443</v>
      </c>
      <c r="E328" t="s">
        <v>693</v>
      </c>
      <c r="F328" t="s">
        <v>1444</v>
      </c>
      <c r="G328">
        <v>10960335000</v>
      </c>
      <c r="H328">
        <v>-2.9287879999999999</v>
      </c>
      <c r="I328" t="s">
        <v>1445</v>
      </c>
      <c r="J328">
        <v>3.9900000095367432</v>
      </c>
      <c r="K328" t="s">
        <v>532</v>
      </c>
      <c r="L328">
        <v>0.71376824378967285</v>
      </c>
      <c r="M328">
        <v>26.089034578666077</v>
      </c>
      <c r="N328">
        <v>2.2612754966887416</v>
      </c>
      <c r="O328">
        <v>2.8751184809848942</v>
      </c>
      <c r="P328">
        <v>3.6768557672810553</v>
      </c>
      <c r="Q328">
        <v>179.27</v>
      </c>
      <c r="R328">
        <v>131.91</v>
      </c>
    </row>
    <row r="329" spans="1:18" x14ac:dyDescent="0.25">
      <c r="A329" t="s">
        <v>345</v>
      </c>
      <c r="B329">
        <v>0.25200000405311584</v>
      </c>
      <c r="C329" t="s">
        <v>527</v>
      </c>
      <c r="D329" t="s">
        <v>1446</v>
      </c>
      <c r="E329" t="s">
        <v>647</v>
      </c>
      <c r="F329" t="s">
        <v>648</v>
      </c>
      <c r="G329">
        <v>35044103323.099998</v>
      </c>
      <c r="H329">
        <v>12.75137</v>
      </c>
      <c r="I329" t="s">
        <v>1447</v>
      </c>
      <c r="J329">
        <v>2.7599999904632568</v>
      </c>
      <c r="K329" t="s">
        <v>532</v>
      </c>
      <c r="L329">
        <v>0.67373096942901611</v>
      </c>
      <c r="M329">
        <v>19.431792615328884</v>
      </c>
      <c r="N329">
        <v>0.38930245748900916</v>
      </c>
      <c r="O329">
        <v>11.601682345342414</v>
      </c>
      <c r="P329">
        <v>3.4706105547487733</v>
      </c>
      <c r="Q329">
        <v>132.03</v>
      </c>
      <c r="R329">
        <v>104</v>
      </c>
    </row>
    <row r="330" spans="1:18" x14ac:dyDescent="0.25">
      <c r="A330" t="s">
        <v>346</v>
      </c>
      <c r="B330">
        <v>0.57709997892379761</v>
      </c>
      <c r="C330" t="s">
        <v>587</v>
      </c>
      <c r="D330" t="s">
        <v>1448</v>
      </c>
      <c r="E330" t="s">
        <v>1449</v>
      </c>
      <c r="F330" t="s">
        <v>1449</v>
      </c>
      <c r="G330">
        <v>29309660628.639999</v>
      </c>
      <c r="H330">
        <v>-5.4894879999999997</v>
      </c>
      <c r="I330" t="s">
        <v>1450</v>
      </c>
      <c r="J330">
        <v>5</v>
      </c>
      <c r="K330" t="s">
        <v>532</v>
      </c>
      <c r="L330">
        <v>1.0315089225769043</v>
      </c>
      <c r="M330">
        <v>20.96164397981827</v>
      </c>
      <c r="N330">
        <v>0.80852815089551089</v>
      </c>
      <c r="O330">
        <v>11.258630670463107</v>
      </c>
      <c r="P330">
        <v>5.3136428581380839</v>
      </c>
      <c r="Q330">
        <v>130.22999999999999</v>
      </c>
      <c r="R330">
        <v>72.62</v>
      </c>
    </row>
    <row r="331" spans="1:18" x14ac:dyDescent="0.25">
      <c r="A331" t="s">
        <v>347</v>
      </c>
      <c r="B331">
        <v>4.183499813079834</v>
      </c>
      <c r="C331" t="s">
        <v>570</v>
      </c>
      <c r="D331" t="s">
        <v>1451</v>
      </c>
      <c r="E331" t="s">
        <v>642</v>
      </c>
      <c r="F331" t="s">
        <v>1452</v>
      </c>
      <c r="G331">
        <v>32521578992.000004</v>
      </c>
      <c r="H331">
        <v>20.565480000000001</v>
      </c>
      <c r="I331" t="s">
        <v>1453</v>
      </c>
      <c r="J331">
        <v>4.7300000190734863</v>
      </c>
      <c r="K331" t="s">
        <v>526</v>
      </c>
      <c r="L331">
        <v>1.1375534534454346</v>
      </c>
      <c r="M331">
        <v>45.217729764290098</v>
      </c>
      <c r="N331">
        <v>3.9889535404124508</v>
      </c>
      <c r="O331">
        <v>7.4931800658386482E-3</v>
      </c>
      <c r="P331">
        <v>5.8599132313370701</v>
      </c>
      <c r="Q331">
        <v>103.31</v>
      </c>
      <c r="R331">
        <v>48.43</v>
      </c>
    </row>
    <row r="332" spans="1:18" x14ac:dyDescent="0.25">
      <c r="A332" t="s">
        <v>348</v>
      </c>
      <c r="B332">
        <v>2.325700044631958</v>
      </c>
      <c r="C332" t="s">
        <v>542</v>
      </c>
      <c r="D332" t="s">
        <v>1454</v>
      </c>
      <c r="E332" t="s">
        <v>757</v>
      </c>
      <c r="F332" t="s">
        <v>1244</v>
      </c>
      <c r="G332">
        <v>90701821980.000015</v>
      </c>
      <c r="H332">
        <v>10.56048</v>
      </c>
      <c r="I332" t="s">
        <v>1455</v>
      </c>
      <c r="J332">
        <v>5.869999885559082</v>
      </c>
      <c r="K332" t="s">
        <v>532</v>
      </c>
      <c r="L332">
        <v>1.3434646129608154</v>
      </c>
      <c r="M332">
        <v>32.036892263017201</v>
      </c>
      <c r="N332">
        <v>0.39680049223196434</v>
      </c>
      <c r="O332">
        <v>43.193298635249832</v>
      </c>
      <c r="P332">
        <v>6.9206295646834368</v>
      </c>
      <c r="Q332">
        <v>335.16</v>
      </c>
      <c r="R332">
        <v>222.2</v>
      </c>
    </row>
    <row r="333" spans="1:18" x14ac:dyDescent="0.25">
      <c r="A333" t="s">
        <v>349</v>
      </c>
      <c r="B333">
        <v>-0.61790001392364502</v>
      </c>
      <c r="C333" t="s">
        <v>542</v>
      </c>
      <c r="D333" t="s">
        <v>1456</v>
      </c>
      <c r="E333" t="s">
        <v>757</v>
      </c>
      <c r="F333" t="s">
        <v>807</v>
      </c>
      <c r="G333">
        <v>23996528407.16</v>
      </c>
      <c r="H333">
        <v>-3.4995859999999999</v>
      </c>
      <c r="I333" t="s">
        <v>1457</v>
      </c>
      <c r="J333">
        <v>5.190000057220459</v>
      </c>
      <c r="K333" t="s">
        <v>532</v>
      </c>
      <c r="L333">
        <v>0.85890030860900879</v>
      </c>
      <c r="M333">
        <v>18.979260856741707</v>
      </c>
      <c r="N333">
        <v>0.43698985473134738</v>
      </c>
      <c r="O333">
        <v>3.35642097672135</v>
      </c>
      <c r="P333">
        <v>4.4244789267468452</v>
      </c>
      <c r="Q333">
        <v>656.95</v>
      </c>
      <c r="R333">
        <v>513.63</v>
      </c>
    </row>
    <row r="334" spans="1:18" x14ac:dyDescent="0.25">
      <c r="A334" t="s">
        <v>350</v>
      </c>
      <c r="B334">
        <v>9.0099997818470001E-2</v>
      </c>
      <c r="C334" t="s">
        <v>553</v>
      </c>
      <c r="D334" t="s">
        <v>1458</v>
      </c>
      <c r="E334" t="s">
        <v>693</v>
      </c>
      <c r="F334" t="s">
        <v>693</v>
      </c>
      <c r="G334">
        <v>10026925306.399998</v>
      </c>
      <c r="H334">
        <v>-13.276109999999999</v>
      </c>
      <c r="I334" t="s">
        <v>1459</v>
      </c>
      <c r="J334">
        <v>1.9600000381469727</v>
      </c>
      <c r="K334" t="s">
        <v>1460</v>
      </c>
      <c r="L334">
        <v>0.82363015413284302</v>
      </c>
      <c r="M334">
        <v>34.463210258566669</v>
      </c>
      <c r="N334">
        <v>5.8630754243944541</v>
      </c>
      <c r="O334">
        <v>9.1427156530021296</v>
      </c>
      <c r="P334">
        <v>4.2427907218891381</v>
      </c>
      <c r="Q334">
        <v>242.63</v>
      </c>
      <c r="R334">
        <v>152.99</v>
      </c>
    </row>
    <row r="335" spans="1:18" x14ac:dyDescent="0.25">
      <c r="A335" t="s">
        <v>351</v>
      </c>
      <c r="B335">
        <v>-1.1196999549865723</v>
      </c>
      <c r="C335" t="s">
        <v>542</v>
      </c>
      <c r="D335" t="s">
        <v>1461</v>
      </c>
      <c r="E335" t="s">
        <v>544</v>
      </c>
      <c r="F335" t="s">
        <v>654</v>
      </c>
      <c r="G335">
        <v>10738737813.379999</v>
      </c>
      <c r="H335">
        <v>-19.339200000000002</v>
      </c>
      <c r="I335" t="s">
        <v>1462</v>
      </c>
      <c r="J335">
        <v>5.8499999046325684</v>
      </c>
      <c r="K335" t="s">
        <v>558</v>
      </c>
      <c r="L335">
        <v>1.2788691520690918</v>
      </c>
      <c r="M335">
        <v>27.485634041399777</v>
      </c>
      <c r="N335">
        <v>0.45484253219395843</v>
      </c>
      <c r="O335">
        <v>4.5572725268264005</v>
      </c>
      <c r="P335">
        <v>6.5878770291280739</v>
      </c>
      <c r="Q335">
        <v>120.06</v>
      </c>
      <c r="R335">
        <v>47.94</v>
      </c>
    </row>
    <row r="336" spans="1:18" x14ac:dyDescent="0.25">
      <c r="A336" t="s">
        <v>352</v>
      </c>
      <c r="B336">
        <v>-1.9487999677658081</v>
      </c>
      <c r="C336" t="s">
        <v>553</v>
      </c>
      <c r="D336" t="s">
        <v>1463</v>
      </c>
      <c r="E336" t="s">
        <v>898</v>
      </c>
      <c r="F336" t="s">
        <v>1208</v>
      </c>
      <c r="G336">
        <v>18847840980.549999</v>
      </c>
      <c r="H336">
        <v>11.726100000000001</v>
      </c>
      <c r="I336" t="s">
        <v>1464</v>
      </c>
      <c r="J336">
        <v>5.5199999809265137</v>
      </c>
      <c r="K336" t="s">
        <v>631</v>
      </c>
      <c r="L336">
        <v>0.50250768661499023</v>
      </c>
      <c r="M336">
        <v>24.284995765128329</v>
      </c>
      <c r="N336">
        <v>0.43670644963397637</v>
      </c>
      <c r="O336">
        <v>5.7379178936428206</v>
      </c>
      <c r="P336">
        <v>2.5885829212903975</v>
      </c>
      <c r="Q336">
        <v>182.37</v>
      </c>
      <c r="R336">
        <v>140.83000000000001</v>
      </c>
    </row>
    <row r="337" spans="1:18" x14ac:dyDescent="0.25">
      <c r="A337" t="s">
        <v>353</v>
      </c>
      <c r="B337">
        <v>0.42300000786781311</v>
      </c>
      <c r="C337" t="s">
        <v>547</v>
      </c>
      <c r="D337" t="s">
        <v>1465</v>
      </c>
      <c r="E337" t="s">
        <v>1466</v>
      </c>
      <c r="F337" t="s">
        <v>1466</v>
      </c>
      <c r="G337">
        <v>40411109182.919991</v>
      </c>
      <c r="H337">
        <v>25.44875</v>
      </c>
      <c r="I337" t="s">
        <v>1467</v>
      </c>
      <c r="J337">
        <v>6.5</v>
      </c>
      <c r="K337" t="s">
        <v>532</v>
      </c>
      <c r="L337">
        <v>1.010219931602478</v>
      </c>
      <c r="M337">
        <v>28.739272311414126</v>
      </c>
      <c r="N337">
        <v>0.2314666297303411</v>
      </c>
      <c r="O337">
        <v>-0.71618004230002552</v>
      </c>
      <c r="P337">
        <v>5.2039762402617926</v>
      </c>
      <c r="Q337">
        <v>360.56</v>
      </c>
      <c r="R337">
        <v>215</v>
      </c>
    </row>
    <row r="338" spans="1:18" x14ac:dyDescent="0.25">
      <c r="A338" t="s">
        <v>354</v>
      </c>
      <c r="B338">
        <v>-0.34749999642372131</v>
      </c>
      <c r="C338" t="s">
        <v>570</v>
      </c>
      <c r="D338" t="s">
        <v>1468</v>
      </c>
      <c r="E338" t="s">
        <v>818</v>
      </c>
      <c r="F338" t="s">
        <v>818</v>
      </c>
      <c r="G338">
        <v>33943987456.68</v>
      </c>
      <c r="H338">
        <v>-6.6102220000000003</v>
      </c>
      <c r="I338" t="s">
        <v>1469</v>
      </c>
      <c r="J338">
        <v>5.1500000953674316</v>
      </c>
      <c r="K338" t="s">
        <v>532</v>
      </c>
      <c r="L338">
        <v>0.38606330752372742</v>
      </c>
      <c r="M338">
        <v>24.032224141849486</v>
      </c>
      <c r="N338">
        <v>1.6368706813953371</v>
      </c>
      <c r="O338">
        <v>1.6606967252256175</v>
      </c>
      <c r="P338">
        <v>1.9887394979462028</v>
      </c>
      <c r="Q338">
        <v>36.520000000000003</v>
      </c>
      <c r="R338">
        <v>25.44</v>
      </c>
    </row>
    <row r="339" spans="1:18" x14ac:dyDescent="0.25">
      <c r="A339" t="s">
        <v>355</v>
      </c>
      <c r="B339">
        <v>-0.59249997138977051</v>
      </c>
      <c r="C339" t="s">
        <v>587</v>
      </c>
      <c r="D339" t="s">
        <v>1470</v>
      </c>
      <c r="E339" t="s">
        <v>1471</v>
      </c>
      <c r="F339" t="s">
        <v>1471</v>
      </c>
      <c r="G339">
        <v>107610938378.14999</v>
      </c>
      <c r="H339">
        <v>25.331219999999998</v>
      </c>
      <c r="I339" t="s">
        <v>1472</v>
      </c>
      <c r="J339">
        <v>5.6500000953674316</v>
      </c>
      <c r="K339" t="s">
        <v>631</v>
      </c>
      <c r="L339">
        <v>0.46168306469917297</v>
      </c>
      <c r="M339">
        <v>21.374440004566104</v>
      </c>
      <c r="N339">
        <v>8.1433431409784554E-2</v>
      </c>
      <c r="O339">
        <v>21.189126640747443</v>
      </c>
      <c r="P339">
        <v>2.3782818216767905</v>
      </c>
      <c r="Q339">
        <v>243.56</v>
      </c>
      <c r="R339">
        <v>172.51</v>
      </c>
    </row>
    <row r="340" spans="1:18" x14ac:dyDescent="0.25">
      <c r="A340" t="s">
        <v>356</v>
      </c>
      <c r="B340">
        <v>-0.27270001173019409</v>
      </c>
      <c r="C340" t="s">
        <v>553</v>
      </c>
      <c r="D340" t="s">
        <v>1473</v>
      </c>
      <c r="E340" t="s">
        <v>1238</v>
      </c>
      <c r="F340" t="s">
        <v>1238</v>
      </c>
      <c r="G340">
        <v>60795371360.699997</v>
      </c>
      <c r="H340">
        <v>-20.949560000000002</v>
      </c>
      <c r="I340" t="s">
        <v>1474</v>
      </c>
      <c r="J340">
        <v>3.6400001049041748</v>
      </c>
      <c r="K340" t="s">
        <v>526</v>
      </c>
      <c r="L340">
        <v>0.79755359888076782</v>
      </c>
      <c r="M340">
        <v>57.905098898328809</v>
      </c>
      <c r="N340">
        <v>2.4280205825052472</v>
      </c>
      <c r="O340">
        <v>0</v>
      </c>
      <c r="P340">
        <v>4.1084617805224655</v>
      </c>
      <c r="Q340">
        <v>1210.97</v>
      </c>
      <c r="R340">
        <v>477</v>
      </c>
    </row>
    <row r="341" spans="1:18" x14ac:dyDescent="0.25">
      <c r="A341" t="s">
        <v>357</v>
      </c>
      <c r="B341">
        <v>-0.34020000696182251</v>
      </c>
      <c r="C341" t="s">
        <v>604</v>
      </c>
      <c r="D341" t="s">
        <v>1475</v>
      </c>
      <c r="E341" t="s">
        <v>1476</v>
      </c>
      <c r="F341" t="s">
        <v>1476</v>
      </c>
      <c r="G341">
        <v>2457048601076.0801</v>
      </c>
      <c r="H341">
        <v>5.492502</v>
      </c>
      <c r="I341" t="s">
        <v>1477</v>
      </c>
      <c r="J341">
        <v>4.5500001907348633</v>
      </c>
      <c r="K341" t="s">
        <v>582</v>
      </c>
      <c r="L341">
        <v>1.2154296636581421</v>
      </c>
      <c r="M341">
        <v>26.400833436376708</v>
      </c>
      <c r="N341">
        <v>8.3619716980506489</v>
      </c>
      <c r="O341">
        <v>-2.8406814964761073</v>
      </c>
      <c r="P341">
        <v>6.2610792892920966</v>
      </c>
      <c r="Q341">
        <v>242.51</v>
      </c>
      <c r="R341">
        <v>151.61000000000001</v>
      </c>
    </row>
    <row r="342" spans="1:18" x14ac:dyDescent="0.25">
      <c r="A342" t="s">
        <v>358</v>
      </c>
      <c r="B342">
        <v>-2.5151998996734619</v>
      </c>
      <c r="C342" t="s">
        <v>527</v>
      </c>
      <c r="D342" t="s">
        <v>1478</v>
      </c>
      <c r="E342" t="s">
        <v>584</v>
      </c>
      <c r="F342" t="s">
        <v>585</v>
      </c>
      <c r="G342">
        <v>12841099131.099998</v>
      </c>
      <c r="H342">
        <v>0.59897140000000004</v>
      </c>
      <c r="I342" t="s">
        <v>1479</v>
      </c>
      <c r="J342">
        <v>3.559999942779541</v>
      </c>
      <c r="K342" t="s">
        <v>526</v>
      </c>
      <c r="L342">
        <v>0.52866095304489136</v>
      </c>
      <c r="M342">
        <v>18.732181164467939</v>
      </c>
      <c r="N342">
        <v>0.57251024122586258</v>
      </c>
      <c r="O342">
        <v>-5.3494233039687584</v>
      </c>
      <c r="P342">
        <v>2.7233070272487399</v>
      </c>
      <c r="Q342">
        <v>195.9</v>
      </c>
      <c r="R342">
        <v>160.80000000000001</v>
      </c>
    </row>
    <row r="343" spans="1:18" x14ac:dyDescent="0.25">
      <c r="A343" t="s">
        <v>359</v>
      </c>
      <c r="B343">
        <v>0.97509998083114624</v>
      </c>
      <c r="C343" t="s">
        <v>604</v>
      </c>
      <c r="D343" t="s">
        <v>1480</v>
      </c>
      <c r="E343" t="s">
        <v>1058</v>
      </c>
      <c r="F343" t="s">
        <v>1481</v>
      </c>
      <c r="G343">
        <v>18064683105.93</v>
      </c>
      <c r="H343">
        <v>29.115079999999999</v>
      </c>
      <c r="I343" t="s">
        <v>1482</v>
      </c>
      <c r="J343">
        <v>5.6999998092651367</v>
      </c>
      <c r="K343" t="s">
        <v>558</v>
      </c>
      <c r="L343">
        <v>1.0891925096511841</v>
      </c>
      <c r="M343">
        <v>28.356292351583782</v>
      </c>
      <c r="N343">
        <v>3.1876122559587072</v>
      </c>
      <c r="O343">
        <v>-11.756051314014035</v>
      </c>
      <c r="P343">
        <v>5.6107900507414339</v>
      </c>
      <c r="Q343">
        <v>299.01</v>
      </c>
      <c r="R343">
        <v>156.02000000000001</v>
      </c>
    </row>
    <row r="344" spans="1:18" x14ac:dyDescent="0.25">
      <c r="A344" t="s">
        <v>360</v>
      </c>
      <c r="B344">
        <v>1.4983999729156494</v>
      </c>
      <c r="C344" t="s">
        <v>587</v>
      </c>
      <c r="D344" t="s">
        <v>1483</v>
      </c>
      <c r="E344" t="s">
        <v>1484</v>
      </c>
      <c r="F344" t="s">
        <v>1484</v>
      </c>
      <c r="G344">
        <v>11367705992.799997</v>
      </c>
      <c r="H344">
        <v>-3.4427120000000002</v>
      </c>
      <c r="I344" t="s">
        <v>1485</v>
      </c>
      <c r="J344">
        <v>6.4200000762939453</v>
      </c>
      <c r="K344" t="s">
        <v>526</v>
      </c>
      <c r="L344">
        <v>1.0641626119613647</v>
      </c>
      <c r="M344">
        <v>27.587828211404215</v>
      </c>
      <c r="N344">
        <v>0.21283679226096261</v>
      </c>
      <c r="O344">
        <v>-1.8335581340472578</v>
      </c>
      <c r="P344">
        <v>5.4818527878749368</v>
      </c>
      <c r="Q344">
        <v>90.09</v>
      </c>
      <c r="R344">
        <v>54.25</v>
      </c>
    </row>
    <row r="345" spans="1:18" x14ac:dyDescent="0.25">
      <c r="A345" t="s">
        <v>361</v>
      </c>
      <c r="B345">
        <v>0.53609997034072876</v>
      </c>
      <c r="C345" t="s">
        <v>542</v>
      </c>
      <c r="D345" t="s">
        <v>1486</v>
      </c>
      <c r="E345" t="s">
        <v>1019</v>
      </c>
      <c r="F345" t="s">
        <v>1487</v>
      </c>
      <c r="G345">
        <v>128221135077.21999</v>
      </c>
      <c r="H345">
        <v>51.216709999999999</v>
      </c>
      <c r="I345" t="s">
        <v>1488</v>
      </c>
      <c r="J345">
        <v>4.880000114440918</v>
      </c>
      <c r="K345" t="s">
        <v>552</v>
      </c>
      <c r="L345">
        <v>1.3896620273590088</v>
      </c>
      <c r="M345">
        <v>19.766925425223366</v>
      </c>
      <c r="N345">
        <v>0.54954882420729922</v>
      </c>
      <c r="O345">
        <v>0.87227959492670648</v>
      </c>
      <c r="P345">
        <v>7.1586076913952823</v>
      </c>
      <c r="Q345">
        <v>108.82</v>
      </c>
      <c r="R345">
        <v>54.77</v>
      </c>
    </row>
    <row r="346" spans="1:18" x14ac:dyDescent="0.25">
      <c r="A346" t="s">
        <v>362</v>
      </c>
      <c r="B346">
        <v>1.4560999870300293</v>
      </c>
      <c r="C346" t="s">
        <v>547</v>
      </c>
      <c r="D346" t="s">
        <v>1489</v>
      </c>
      <c r="E346" t="s">
        <v>549</v>
      </c>
      <c r="F346" t="s">
        <v>1490</v>
      </c>
      <c r="G346">
        <v>76504308230.240005</v>
      </c>
      <c r="H346">
        <v>73.283349999999999</v>
      </c>
      <c r="I346" t="s">
        <v>1491</v>
      </c>
      <c r="J346">
        <v>6.5799999237060547</v>
      </c>
      <c r="K346" t="s">
        <v>526</v>
      </c>
      <c r="L346">
        <v>1.2331700325012207</v>
      </c>
      <c r="M346">
        <v>27.915892283193759</v>
      </c>
      <c r="N346">
        <v>1.0371785061266006</v>
      </c>
      <c r="O346">
        <v>-9.5820360525461616</v>
      </c>
      <c r="P346">
        <v>6.3524657835245133</v>
      </c>
      <c r="Q346">
        <v>191.58</v>
      </c>
      <c r="R346">
        <v>82.27</v>
      </c>
    </row>
    <row r="347" spans="1:18" x14ac:dyDescent="0.25">
      <c r="A347" t="s">
        <v>363</v>
      </c>
      <c r="B347">
        <v>1.1614999771118164</v>
      </c>
      <c r="C347" t="s">
        <v>537</v>
      </c>
      <c r="D347" t="s">
        <v>1492</v>
      </c>
      <c r="E347" t="s">
        <v>594</v>
      </c>
      <c r="F347" t="s">
        <v>1493</v>
      </c>
      <c r="G347">
        <v>44103228095.68</v>
      </c>
      <c r="H347">
        <v>15.8088</v>
      </c>
      <c r="I347" t="s">
        <v>1494</v>
      </c>
      <c r="J347">
        <v>5.0900001525878906</v>
      </c>
      <c r="K347" t="s">
        <v>526</v>
      </c>
      <c r="L347">
        <v>0.99803757667541504</v>
      </c>
      <c r="M347">
        <v>34.617213095856492</v>
      </c>
      <c r="N347">
        <v>0.58365687359830964</v>
      </c>
      <c r="O347">
        <v>3.9701130508829321</v>
      </c>
      <c r="P347">
        <v>5.1412209098553658</v>
      </c>
      <c r="Q347">
        <v>167.51</v>
      </c>
      <c r="R347">
        <v>99</v>
      </c>
    </row>
    <row r="348" spans="1:18" x14ac:dyDescent="0.25">
      <c r="A348" t="s">
        <v>364</v>
      </c>
      <c r="B348">
        <v>-1.3335000276565552</v>
      </c>
      <c r="C348" t="s">
        <v>542</v>
      </c>
      <c r="D348" t="s">
        <v>1495</v>
      </c>
      <c r="E348" t="s">
        <v>757</v>
      </c>
      <c r="F348" t="s">
        <v>1244</v>
      </c>
      <c r="G348">
        <v>111312998634.24998</v>
      </c>
      <c r="H348">
        <v>23.938939999999999</v>
      </c>
      <c r="I348" t="s">
        <v>1496</v>
      </c>
      <c r="J348">
        <v>4.8299999237060547</v>
      </c>
      <c r="K348" t="s">
        <v>532</v>
      </c>
      <c r="L348">
        <v>1.3899047374725342</v>
      </c>
      <c r="M348">
        <v>35.727420002701763</v>
      </c>
      <c r="N348">
        <v>0.35726499052115285</v>
      </c>
      <c r="O348">
        <v>-41.948270336010118</v>
      </c>
      <c r="P348">
        <v>7.1598579712843895</v>
      </c>
      <c r="Q348">
        <v>618.16999999999996</v>
      </c>
      <c r="R348">
        <v>365.74</v>
      </c>
    </row>
    <row r="349" spans="1:18" x14ac:dyDescent="0.25">
      <c r="A349" t="s">
        <v>365</v>
      </c>
      <c r="B349">
        <v>-0.44589999318122864</v>
      </c>
      <c r="C349" t="s">
        <v>547</v>
      </c>
      <c r="D349" t="s">
        <v>1497</v>
      </c>
      <c r="E349" t="s">
        <v>1234</v>
      </c>
      <c r="F349" t="s">
        <v>1498</v>
      </c>
      <c r="G349">
        <v>12194822185.619999</v>
      </c>
      <c r="H349">
        <v>-0.59039850000000005</v>
      </c>
      <c r="I349" t="s">
        <v>1499</v>
      </c>
      <c r="J349">
        <v>5.4899997711181641</v>
      </c>
      <c r="K349" t="s">
        <v>631</v>
      </c>
      <c r="L349">
        <v>0.72122329473495483</v>
      </c>
      <c r="M349">
        <v>26.136327551036143</v>
      </c>
      <c r="N349">
        <v>0.8696662865343896</v>
      </c>
      <c r="O349">
        <v>3.5785435847228273</v>
      </c>
      <c r="P349">
        <v>3.7152591948670146</v>
      </c>
      <c r="Q349">
        <v>114.82</v>
      </c>
      <c r="R349">
        <v>84.73</v>
      </c>
    </row>
    <row r="350" spans="1:18" x14ac:dyDescent="0.25">
      <c r="A350" t="s">
        <v>366</v>
      </c>
      <c r="B350">
        <v>0.51120001077651978</v>
      </c>
      <c r="C350" t="s">
        <v>542</v>
      </c>
      <c r="D350" t="s">
        <v>1500</v>
      </c>
      <c r="E350" t="s">
        <v>613</v>
      </c>
      <c r="F350" t="s">
        <v>614</v>
      </c>
      <c r="G350">
        <v>177457417348.75003</v>
      </c>
      <c r="H350">
        <v>-19.51164</v>
      </c>
      <c r="I350" t="s">
        <v>1501</v>
      </c>
      <c r="J350">
        <v>5.3299999237060547</v>
      </c>
      <c r="K350" t="s">
        <v>532</v>
      </c>
      <c r="L350">
        <v>0.79776555299758911</v>
      </c>
      <c r="M350">
        <v>26.799762613733087</v>
      </c>
      <c r="N350">
        <v>7.2468099557558174E-2</v>
      </c>
      <c r="O350">
        <v>-6.687029495248674</v>
      </c>
      <c r="P350">
        <v>6.1187137486593084</v>
      </c>
      <c r="Q350">
        <v>398.35</v>
      </c>
      <c r="R350">
        <v>275.93</v>
      </c>
    </row>
    <row r="351" spans="1:18" x14ac:dyDescent="0.25">
      <c r="A351" t="s">
        <v>367</v>
      </c>
      <c r="B351">
        <v>0.51340001821517944</v>
      </c>
      <c r="C351" t="s">
        <v>547</v>
      </c>
      <c r="D351" t="s">
        <v>1502</v>
      </c>
      <c r="E351" t="s">
        <v>549</v>
      </c>
      <c r="F351" t="s">
        <v>1503</v>
      </c>
      <c r="G351">
        <v>90285780783.25</v>
      </c>
      <c r="H351">
        <v>26.84253</v>
      </c>
      <c r="I351" t="s">
        <v>1504</v>
      </c>
      <c r="J351">
        <v>3.7000000476837158</v>
      </c>
      <c r="K351" t="s">
        <v>552</v>
      </c>
      <c r="L351">
        <v>0.9907723069190979</v>
      </c>
      <c r="M351">
        <v>20.981518347654355</v>
      </c>
      <c r="N351">
        <v>0.36737883340582533</v>
      </c>
      <c r="O351">
        <v>-1.8517301209394665</v>
      </c>
      <c r="P351">
        <v>5.103795107801556</v>
      </c>
      <c r="Q351">
        <v>1613.29</v>
      </c>
      <c r="R351">
        <v>1120.231</v>
      </c>
    </row>
    <row r="352" spans="1:18" x14ac:dyDescent="0.25">
      <c r="A352" t="s">
        <v>368</v>
      </c>
      <c r="B352">
        <v>0.5965999960899353</v>
      </c>
      <c r="C352" t="s">
        <v>604</v>
      </c>
      <c r="D352" t="s">
        <v>1505</v>
      </c>
      <c r="E352" t="s">
        <v>623</v>
      </c>
      <c r="F352" t="s">
        <v>624</v>
      </c>
      <c r="G352">
        <v>40777392296.699997</v>
      </c>
      <c r="H352">
        <v>9.3470449999999996</v>
      </c>
      <c r="I352" t="s">
        <v>1506</v>
      </c>
      <c r="J352">
        <v>5.7399997711181641</v>
      </c>
      <c r="K352" t="s">
        <v>582</v>
      </c>
      <c r="L352">
        <v>0.61454117298126221</v>
      </c>
      <c r="M352">
        <v>17.464895449624095</v>
      </c>
      <c r="N352">
        <v>0.15287521967733286</v>
      </c>
      <c r="O352">
        <v>6.3556629777214129</v>
      </c>
      <c r="P352">
        <v>3.1657043806135654</v>
      </c>
      <c r="Q352">
        <v>163.30000000000001</v>
      </c>
      <c r="R352">
        <v>122.16</v>
      </c>
    </row>
    <row r="353" spans="1:18" x14ac:dyDescent="0.25">
      <c r="A353" t="s">
        <v>369</v>
      </c>
      <c r="B353">
        <v>0.5195000171661377</v>
      </c>
      <c r="C353" t="s">
        <v>587</v>
      </c>
      <c r="D353" t="s">
        <v>1507</v>
      </c>
      <c r="E353" t="s">
        <v>1508</v>
      </c>
      <c r="F353" t="s">
        <v>1509</v>
      </c>
      <c r="G353">
        <v>104723001960.00003</v>
      </c>
      <c r="H353">
        <v>4.3424820000000004</v>
      </c>
      <c r="I353" t="s">
        <v>1510</v>
      </c>
      <c r="J353">
        <v>5.4600000381469727</v>
      </c>
      <c r="K353" t="s">
        <v>532</v>
      </c>
      <c r="L353">
        <v>1.0007089376449585</v>
      </c>
      <c r="M353">
        <v>21.589609797529899</v>
      </c>
      <c r="N353">
        <v>0.25904039495775633</v>
      </c>
      <c r="O353">
        <v>1.2378939815016663</v>
      </c>
      <c r="P353">
        <v>5.1549819717586036</v>
      </c>
      <c r="Q353">
        <v>132.56</v>
      </c>
      <c r="R353">
        <v>85.35</v>
      </c>
    </row>
    <row r="354" spans="1:18" x14ac:dyDescent="0.25">
      <c r="A354" t="s">
        <v>370</v>
      </c>
      <c r="B354">
        <v>1.3042999505996704</v>
      </c>
      <c r="C354" t="s">
        <v>632</v>
      </c>
      <c r="D354" t="s">
        <v>1511</v>
      </c>
      <c r="E354" t="s">
        <v>810</v>
      </c>
      <c r="F354" t="s">
        <v>810</v>
      </c>
      <c r="G354">
        <v>24204672156.959999</v>
      </c>
      <c r="H354">
        <v>5.4298669999999998</v>
      </c>
      <c r="I354" t="s">
        <v>1512</v>
      </c>
      <c r="J354">
        <v>5.0799999237060547</v>
      </c>
      <c r="K354" t="s">
        <v>526</v>
      </c>
      <c r="L354">
        <v>0.46619489789009094</v>
      </c>
      <c r="M354">
        <v>15.10683861473662</v>
      </c>
      <c r="N354">
        <v>0.17344712626111924</v>
      </c>
      <c r="O354">
        <v>36.447898051904417</v>
      </c>
      <c r="P354">
        <v>2.4015237633481621</v>
      </c>
      <c r="Q354">
        <v>44.9</v>
      </c>
      <c r="R354">
        <v>37.58</v>
      </c>
    </row>
    <row r="355" spans="1:18" x14ac:dyDescent="0.25">
      <c r="A355" t="s">
        <v>371</v>
      </c>
      <c r="B355">
        <v>6.6697001457214355</v>
      </c>
      <c r="C355" t="s">
        <v>542</v>
      </c>
      <c r="D355" t="s">
        <v>1513</v>
      </c>
      <c r="E355" t="s">
        <v>822</v>
      </c>
      <c r="F355" t="s">
        <v>833</v>
      </c>
      <c r="G355">
        <v>28560786000.000004</v>
      </c>
      <c r="H355">
        <v>47.75318</v>
      </c>
      <c r="I355" t="s">
        <v>1514</v>
      </c>
      <c r="J355">
        <v>3.0099999904632568</v>
      </c>
      <c r="K355" t="s">
        <v>526</v>
      </c>
      <c r="L355">
        <v>0.66662478446960449</v>
      </c>
      <c r="M355">
        <v>22.375148821664833</v>
      </c>
      <c r="N355">
        <v>0.9427259582441111</v>
      </c>
      <c r="O355">
        <v>1.2375624920465869</v>
      </c>
      <c r="P355">
        <v>3.4340042509818076</v>
      </c>
      <c r="Q355">
        <v>307.07</v>
      </c>
      <c r="R355">
        <v>172.58</v>
      </c>
    </row>
    <row r="356" spans="1:18" x14ac:dyDescent="0.25">
      <c r="A356" t="s">
        <v>372</v>
      </c>
      <c r="B356">
        <v>3.5508999824523926</v>
      </c>
      <c r="C356" t="s">
        <v>547</v>
      </c>
      <c r="D356" t="s">
        <v>1515</v>
      </c>
      <c r="E356" t="s">
        <v>1516</v>
      </c>
      <c r="F356" t="s">
        <v>1517</v>
      </c>
      <c r="G356">
        <v>62492434141.199997</v>
      </c>
      <c r="H356">
        <v>33.421930000000003</v>
      </c>
      <c r="I356" t="s">
        <v>1518</v>
      </c>
      <c r="J356">
        <v>3.9800000190734863</v>
      </c>
      <c r="K356" t="s">
        <v>526</v>
      </c>
      <c r="L356">
        <v>1.2933701276779175</v>
      </c>
      <c r="M356">
        <v>29.415674516468133</v>
      </c>
      <c r="N356">
        <v>1.0093003514875636</v>
      </c>
      <c r="O356">
        <v>7.9671198229528919</v>
      </c>
      <c r="P356">
        <v>6.6625763398110864</v>
      </c>
      <c r="Q356">
        <v>424.12</v>
      </c>
      <c r="R356">
        <v>227.5</v>
      </c>
    </row>
    <row r="357" spans="1:18" x14ac:dyDescent="0.25">
      <c r="A357" t="s">
        <v>373</v>
      </c>
      <c r="B357">
        <v>-1.5973999500274658</v>
      </c>
      <c r="C357" t="s">
        <v>553</v>
      </c>
      <c r="D357" t="s">
        <v>1519</v>
      </c>
      <c r="E357" t="s">
        <v>1039</v>
      </c>
      <c r="F357" t="s">
        <v>1520</v>
      </c>
      <c r="G357">
        <v>8698078757.1599998</v>
      </c>
      <c r="H357">
        <v>3.2659009999999999</v>
      </c>
      <c r="I357" t="s">
        <v>1521</v>
      </c>
      <c r="J357">
        <v>3.9300000667572021</v>
      </c>
      <c r="K357" t="s">
        <v>558</v>
      </c>
      <c r="L357">
        <v>0.57819110155105591</v>
      </c>
      <c r="M357">
        <v>24.033435847340414</v>
      </c>
      <c r="N357">
        <v>1.6048776079428524</v>
      </c>
      <c r="O357">
        <v>7.2841437200203423</v>
      </c>
      <c r="P357">
        <v>2.9784531671530008</v>
      </c>
      <c r="Q357">
        <v>82.49</v>
      </c>
      <c r="R357">
        <v>60.56</v>
      </c>
    </row>
    <row r="358" spans="1:18" x14ac:dyDescent="0.25">
      <c r="A358" t="s">
        <v>374</v>
      </c>
      <c r="B358">
        <v>5.9999998658895493E-2</v>
      </c>
      <c r="C358" t="s">
        <v>632</v>
      </c>
      <c r="D358" t="s">
        <v>1522</v>
      </c>
      <c r="E358" t="s">
        <v>810</v>
      </c>
      <c r="F358" t="s">
        <v>810</v>
      </c>
      <c r="G358">
        <v>27669519978.099995</v>
      </c>
      <c r="H358">
        <v>12.29527</v>
      </c>
      <c r="I358" t="s">
        <v>1523</v>
      </c>
      <c r="J358">
        <v>5.4899997711181641</v>
      </c>
      <c r="K358" t="s">
        <v>526</v>
      </c>
      <c r="L358">
        <v>0.49469307065010071</v>
      </c>
      <c r="M358">
        <v>15.348758711698252</v>
      </c>
      <c r="N358">
        <v>0.42291045326873566</v>
      </c>
      <c r="O358">
        <v>1.6466881031175602</v>
      </c>
      <c r="P358">
        <v>2.5483272556319831</v>
      </c>
      <c r="Q358">
        <v>104</v>
      </c>
      <c r="R358">
        <v>77.12</v>
      </c>
    </row>
    <row r="359" spans="1:18" x14ac:dyDescent="0.25">
      <c r="A359" t="s">
        <v>375</v>
      </c>
      <c r="B359">
        <v>-0.45559999346733093</v>
      </c>
      <c r="C359" t="s">
        <v>527</v>
      </c>
      <c r="D359" t="s">
        <v>1524</v>
      </c>
      <c r="E359" t="s">
        <v>584</v>
      </c>
      <c r="F359" t="s">
        <v>731</v>
      </c>
      <c r="G359">
        <v>15861453963.959999</v>
      </c>
      <c r="H359">
        <v>-12.646789999999999</v>
      </c>
      <c r="I359" t="s">
        <v>1525</v>
      </c>
      <c r="J359">
        <v>5.130000114440918</v>
      </c>
      <c r="K359" t="s">
        <v>532</v>
      </c>
      <c r="L359">
        <v>0.71167337894439697</v>
      </c>
      <c r="M359">
        <v>19.999306157895504</v>
      </c>
      <c r="N359">
        <v>0.24252927134478819</v>
      </c>
      <c r="O359">
        <v>3.3136086567360197</v>
      </c>
      <c r="P359">
        <v>3.6660644271576404</v>
      </c>
      <c r="Q359">
        <v>499.87</v>
      </c>
      <c r="R359">
        <v>392.1</v>
      </c>
    </row>
    <row r="360" spans="1:18" x14ac:dyDescent="0.25">
      <c r="A360" t="s">
        <v>376</v>
      </c>
      <c r="B360">
        <v>-0.13809999823570251</v>
      </c>
      <c r="C360" t="s">
        <v>542</v>
      </c>
      <c r="D360" t="s">
        <v>1526</v>
      </c>
      <c r="E360" t="s">
        <v>544</v>
      </c>
      <c r="F360" t="s">
        <v>1527</v>
      </c>
      <c r="G360">
        <v>4233400000000</v>
      </c>
      <c r="H360">
        <v>29.19801</v>
      </c>
      <c r="I360" t="s">
        <v>1528</v>
      </c>
      <c r="J360">
        <v>7.0799999237060547</v>
      </c>
      <c r="K360" t="s">
        <v>532</v>
      </c>
      <c r="L360">
        <v>1.883500337600708</v>
      </c>
      <c r="M360">
        <v>30.542369225129079</v>
      </c>
      <c r="N360">
        <v>3.9149746147540987</v>
      </c>
      <c r="O360">
        <v>-0.62012596652888563</v>
      </c>
      <c r="P360">
        <v>9.7025317940926552</v>
      </c>
      <c r="Q360">
        <v>174.72</v>
      </c>
      <c r="R360">
        <v>86.63</v>
      </c>
    </row>
    <row r="361" spans="1:18" x14ac:dyDescent="0.25">
      <c r="A361" t="s">
        <v>377</v>
      </c>
      <c r="B361">
        <v>-7.8199997544288635E-2</v>
      </c>
      <c r="C361" t="s">
        <v>542</v>
      </c>
      <c r="D361" t="s">
        <v>1529</v>
      </c>
      <c r="E361" t="s">
        <v>613</v>
      </c>
      <c r="F361" t="s">
        <v>614</v>
      </c>
      <c r="G361">
        <v>37793860303.209999</v>
      </c>
      <c r="H361">
        <v>-0.29909170000000002</v>
      </c>
      <c r="I361" t="s">
        <v>1530</v>
      </c>
      <c r="J361">
        <v>4.5300002098083496</v>
      </c>
      <c r="K361" t="s">
        <v>582</v>
      </c>
      <c r="L361">
        <v>0.89926165342330933</v>
      </c>
      <c r="M361">
        <v>22.888603765384893</v>
      </c>
      <c r="N361">
        <v>0.18397945397227261</v>
      </c>
      <c r="O361">
        <v>9.1644438452723715</v>
      </c>
      <c r="P361">
        <v>4.632393533129096</v>
      </c>
      <c r="Q361">
        <v>90.81</v>
      </c>
      <c r="R361">
        <v>65.52</v>
      </c>
    </row>
    <row r="362" spans="1:18" x14ac:dyDescent="0.25">
      <c r="A362" t="s">
        <v>378</v>
      </c>
      <c r="B362">
        <v>1.4838000535964966</v>
      </c>
      <c r="C362" t="s">
        <v>553</v>
      </c>
      <c r="D362" t="s">
        <v>1531</v>
      </c>
      <c r="E362" t="s">
        <v>771</v>
      </c>
      <c r="F362" t="s">
        <v>1532</v>
      </c>
      <c r="G362">
        <v>177754160265.16</v>
      </c>
      <c r="H362">
        <v>-5.0003869999999999</v>
      </c>
      <c r="I362" t="s">
        <v>1533</v>
      </c>
      <c r="J362">
        <v>3.690000057220459</v>
      </c>
      <c r="K362" t="s">
        <v>526</v>
      </c>
      <c r="L362">
        <v>1.1855039596557617</v>
      </c>
      <c r="M362">
        <v>23.712385574168369</v>
      </c>
      <c r="N362">
        <v>0.49854704562223745</v>
      </c>
      <c r="O362">
        <v>2.4608270254682383</v>
      </c>
      <c r="P362">
        <v>6.1069221124935149</v>
      </c>
      <c r="Q362">
        <v>615.31500000000005</v>
      </c>
      <c r="R362">
        <v>427</v>
      </c>
    </row>
    <row r="363" spans="1:18" x14ac:dyDescent="0.25">
      <c r="A363" t="s">
        <v>379</v>
      </c>
      <c r="B363">
        <v>-0.44299998879432678</v>
      </c>
      <c r="C363" t="s">
        <v>533</v>
      </c>
      <c r="D363" t="s">
        <v>1534</v>
      </c>
      <c r="E363" t="s">
        <v>1293</v>
      </c>
      <c r="F363" t="s">
        <v>1293</v>
      </c>
      <c r="G363">
        <v>41040904371</v>
      </c>
      <c r="H363">
        <v>22.09365</v>
      </c>
      <c r="I363" t="s">
        <v>1535</v>
      </c>
      <c r="J363">
        <v>3.0199999809265137</v>
      </c>
      <c r="K363" t="s">
        <v>526</v>
      </c>
      <c r="L363">
        <v>0.85234570503234863</v>
      </c>
      <c r="M363">
        <v>27.224199025397272</v>
      </c>
      <c r="N363">
        <v>2.65434602964072</v>
      </c>
      <c r="O363">
        <v>7.8131652104050087</v>
      </c>
      <c r="P363">
        <v>4.3907140007042882</v>
      </c>
      <c r="Q363">
        <v>245.05</v>
      </c>
      <c r="R363">
        <v>135.28</v>
      </c>
    </row>
    <row r="364" spans="1:18" x14ac:dyDescent="0.25">
      <c r="A364" t="s">
        <v>380</v>
      </c>
      <c r="B364">
        <v>2.0400000736117363E-2</v>
      </c>
      <c r="C364" t="s">
        <v>547</v>
      </c>
      <c r="D364" t="s">
        <v>1536</v>
      </c>
      <c r="E364" t="s">
        <v>1353</v>
      </c>
      <c r="F364" t="s">
        <v>1537</v>
      </c>
      <c r="G364">
        <v>76611767707.080002</v>
      </c>
      <c r="H364">
        <v>21.86102</v>
      </c>
      <c r="I364" t="s">
        <v>1538</v>
      </c>
      <c r="J364">
        <v>6.1500000953674316</v>
      </c>
      <c r="K364" t="s">
        <v>526</v>
      </c>
      <c r="L364">
        <v>0.56640166044235229</v>
      </c>
      <c r="M364">
        <v>16.531295562517901</v>
      </c>
      <c r="N364">
        <v>0.11756016857761835</v>
      </c>
      <c r="O364">
        <v>18.883304910054076</v>
      </c>
      <c r="P364">
        <v>2.9177218654865027</v>
      </c>
      <c r="Q364">
        <v>258.27</v>
      </c>
      <c r="R364">
        <v>191</v>
      </c>
    </row>
    <row r="365" spans="1:18" x14ac:dyDescent="0.25">
      <c r="A365" t="s">
        <v>381</v>
      </c>
      <c r="B365">
        <v>-1.2371000051498413</v>
      </c>
      <c r="C365" t="s">
        <v>604</v>
      </c>
      <c r="D365" t="s">
        <v>1539</v>
      </c>
      <c r="E365" t="s">
        <v>1476</v>
      </c>
      <c r="F365" t="s">
        <v>1476</v>
      </c>
      <c r="G365">
        <v>37539230000</v>
      </c>
      <c r="H365">
        <v>31.444710000000001</v>
      </c>
      <c r="I365" t="s">
        <v>1540</v>
      </c>
      <c r="J365">
        <v>6.7100000381469727</v>
      </c>
      <c r="K365" t="s">
        <v>526</v>
      </c>
      <c r="L365">
        <v>0.71469110250473022</v>
      </c>
      <c r="M365">
        <v>18.535298347577825</v>
      </c>
      <c r="N365">
        <v>0.32985791757049893</v>
      </c>
      <c r="O365">
        <v>8.171139519283642</v>
      </c>
      <c r="P365">
        <v>3.6816097170656916</v>
      </c>
      <c r="Q365">
        <v>83.53</v>
      </c>
      <c r="R365">
        <v>53.76</v>
      </c>
    </row>
    <row r="366" spans="1:18" x14ac:dyDescent="0.25">
      <c r="A366" t="s">
        <v>382</v>
      </c>
      <c r="B366">
        <v>1.3626999855041504</v>
      </c>
      <c r="C366" t="s">
        <v>527</v>
      </c>
      <c r="D366" t="s">
        <v>1541</v>
      </c>
      <c r="E366" t="s">
        <v>1363</v>
      </c>
      <c r="F366" t="s">
        <v>1542</v>
      </c>
      <c r="G366">
        <v>232102161944.09998</v>
      </c>
      <c r="H366">
        <v>27.306069999999998</v>
      </c>
      <c r="I366" t="s">
        <v>1543</v>
      </c>
      <c r="J366">
        <v>4.940000057220459</v>
      </c>
      <c r="K366" t="s">
        <v>532</v>
      </c>
      <c r="L366">
        <v>1.2836484909057617</v>
      </c>
      <c r="M366">
        <v>22.381692678639478</v>
      </c>
      <c r="N366">
        <v>0.49135769458524298</v>
      </c>
      <c r="O366">
        <v>3.3464317254532028</v>
      </c>
      <c r="P366">
        <v>6.6124969806575775</v>
      </c>
      <c r="Q366">
        <v>729.89</v>
      </c>
      <c r="R366">
        <v>437.37</v>
      </c>
    </row>
    <row r="367" spans="1:18" x14ac:dyDescent="0.25">
      <c r="A367" t="s">
        <v>383</v>
      </c>
      <c r="B367">
        <v>-0.51039999723434448</v>
      </c>
      <c r="C367" t="s">
        <v>587</v>
      </c>
      <c r="D367" t="s">
        <v>1544</v>
      </c>
      <c r="E367" t="s">
        <v>1471</v>
      </c>
      <c r="F367" t="s">
        <v>1471</v>
      </c>
      <c r="G367">
        <v>25135118272.319996</v>
      </c>
      <c r="H367">
        <v>14.77919</v>
      </c>
      <c r="I367" t="s">
        <v>1545</v>
      </c>
      <c r="J367">
        <v>4.7899999618530273</v>
      </c>
      <c r="K367" t="s">
        <v>631</v>
      </c>
      <c r="L367">
        <v>0.51122081279754639</v>
      </c>
      <c r="M367">
        <v>20.065276052183748</v>
      </c>
      <c r="N367">
        <v>0.73670547240716289</v>
      </c>
      <c r="O367">
        <v>7.5163594832554299</v>
      </c>
      <c r="P367">
        <v>2.6334671095883846</v>
      </c>
      <c r="Q367">
        <v>252.61</v>
      </c>
      <c r="R367">
        <v>192.61</v>
      </c>
    </row>
    <row r="368" spans="1:18" x14ac:dyDescent="0.25">
      <c r="A368" t="s">
        <v>384</v>
      </c>
      <c r="B368">
        <v>0.44740000367164612</v>
      </c>
      <c r="C368" t="s">
        <v>632</v>
      </c>
      <c r="D368" t="s">
        <v>1546</v>
      </c>
      <c r="E368" t="s">
        <v>826</v>
      </c>
      <c r="F368" t="s">
        <v>826</v>
      </c>
      <c r="G368">
        <v>52708410111.599998</v>
      </c>
      <c r="H368">
        <v>-7.8659379999999999</v>
      </c>
      <c r="I368" t="s">
        <v>1547</v>
      </c>
      <c r="J368">
        <v>6.2899999618530273</v>
      </c>
      <c r="K368" t="s">
        <v>526</v>
      </c>
      <c r="L368">
        <v>0.74883872270584106</v>
      </c>
      <c r="M368">
        <v>18.495338963197501</v>
      </c>
      <c r="N368">
        <v>5.9566584131999833E-2</v>
      </c>
      <c r="O368">
        <v>32.687844747463821</v>
      </c>
      <c r="P368">
        <v>3.8575153774362803</v>
      </c>
      <c r="Q368">
        <v>95.77</v>
      </c>
      <c r="R368">
        <v>61.93</v>
      </c>
    </row>
    <row r="369" spans="1:18" x14ac:dyDescent="0.25">
      <c r="A369" t="s">
        <v>385</v>
      </c>
      <c r="B369">
        <v>-2.7300000190734863E-2</v>
      </c>
      <c r="C369" t="s">
        <v>527</v>
      </c>
      <c r="D369" t="s">
        <v>1548</v>
      </c>
      <c r="E369" t="s">
        <v>584</v>
      </c>
      <c r="F369" t="s">
        <v>748</v>
      </c>
      <c r="G369">
        <v>91818050000</v>
      </c>
      <c r="H369">
        <v>8.3613250000000008</v>
      </c>
      <c r="I369" t="s">
        <v>1549</v>
      </c>
      <c r="J369">
        <v>5.070000171661377</v>
      </c>
      <c r="K369" t="s">
        <v>532</v>
      </c>
      <c r="L369">
        <v>1.1350983381271362</v>
      </c>
      <c r="M369">
        <v>19.549931512670945</v>
      </c>
      <c r="N369">
        <v>0.21459239134078209</v>
      </c>
      <c r="O369">
        <v>2.161651922274614</v>
      </c>
      <c r="P369">
        <v>5.8472661221444602</v>
      </c>
      <c r="Q369">
        <v>530.5</v>
      </c>
      <c r="R369">
        <v>379.48</v>
      </c>
    </row>
    <row r="370" spans="1:18" x14ac:dyDescent="0.25">
      <c r="A370" t="s">
        <v>386</v>
      </c>
      <c r="B370">
        <v>2.6696000099182129</v>
      </c>
      <c r="C370" t="s">
        <v>542</v>
      </c>
      <c r="D370" t="s">
        <v>1550</v>
      </c>
      <c r="E370" t="s">
        <v>544</v>
      </c>
      <c r="F370" t="s">
        <v>1551</v>
      </c>
      <c r="G370">
        <v>23786033894.32</v>
      </c>
      <c r="H370">
        <v>-9.7224409999999999</v>
      </c>
      <c r="I370" t="s">
        <v>1552</v>
      </c>
      <c r="J370">
        <v>6.119999885559082</v>
      </c>
      <c r="K370" t="s">
        <v>526</v>
      </c>
      <c r="L370">
        <v>1.3197221755981445</v>
      </c>
      <c r="M370">
        <v>55.013389692521883</v>
      </c>
      <c r="N370">
        <v>0.57632441246437716</v>
      </c>
      <c r="O370">
        <v>16.582881733755123</v>
      </c>
      <c r="P370">
        <v>6.7983244348239893</v>
      </c>
      <c r="Q370">
        <v>80.06</v>
      </c>
      <c r="R370">
        <v>31.05</v>
      </c>
    </row>
    <row r="371" spans="1:18" x14ac:dyDescent="0.25">
      <c r="A371" t="s">
        <v>387</v>
      </c>
      <c r="B371">
        <v>-0.31380000710487366</v>
      </c>
      <c r="C371" t="s">
        <v>604</v>
      </c>
      <c r="D371" t="s">
        <v>1553</v>
      </c>
      <c r="E371" t="s">
        <v>822</v>
      </c>
      <c r="F371" t="s">
        <v>1554</v>
      </c>
      <c r="G371">
        <v>183275969507.26001</v>
      </c>
      <c r="H371">
        <v>13.36139</v>
      </c>
      <c r="I371" t="s">
        <v>1555</v>
      </c>
      <c r="J371">
        <v>4.4899997711181641</v>
      </c>
      <c r="K371" t="s">
        <v>526</v>
      </c>
      <c r="L371">
        <v>1.0674551725387573</v>
      </c>
      <c r="M371">
        <v>19.245883318507097</v>
      </c>
      <c r="N371">
        <v>0.20350432724427586</v>
      </c>
      <c r="O371">
        <v>2.238656188726436</v>
      </c>
      <c r="P371">
        <v>5.4988138539540765</v>
      </c>
      <c r="Q371">
        <v>5833.11</v>
      </c>
      <c r="R371">
        <v>3188</v>
      </c>
    </row>
    <row r="372" spans="1:18" x14ac:dyDescent="0.25">
      <c r="A372" t="s">
        <v>388</v>
      </c>
      <c r="B372">
        <v>-0.84789997339248657</v>
      </c>
      <c r="C372" t="s">
        <v>542</v>
      </c>
      <c r="D372" t="s">
        <v>1556</v>
      </c>
      <c r="E372" t="s">
        <v>661</v>
      </c>
      <c r="F372" t="s">
        <v>1557</v>
      </c>
      <c r="G372">
        <v>17193289110.900002</v>
      </c>
      <c r="H372">
        <v>19.047999999999998</v>
      </c>
      <c r="I372" t="s">
        <v>1558</v>
      </c>
      <c r="J372">
        <v>2.5099999904632568</v>
      </c>
      <c r="K372" t="s">
        <v>532</v>
      </c>
      <c r="L372">
        <v>0.90213167667388916</v>
      </c>
      <c r="M372">
        <v>19.118154091946032</v>
      </c>
      <c r="N372">
        <v>0.82447511011800656</v>
      </c>
      <c r="O372">
        <v>1.6792322773353032</v>
      </c>
      <c r="P372">
        <v>4.6471779700005049</v>
      </c>
      <c r="Q372">
        <v>312</v>
      </c>
      <c r="R372">
        <v>177.27</v>
      </c>
    </row>
    <row r="373" spans="1:18" x14ac:dyDescent="0.25">
      <c r="A373" t="s">
        <v>389</v>
      </c>
      <c r="B373">
        <v>4.960000142455101E-2</v>
      </c>
      <c r="C373" t="s">
        <v>542</v>
      </c>
      <c r="D373" t="s">
        <v>1559</v>
      </c>
      <c r="E373" t="s">
        <v>672</v>
      </c>
      <c r="F373" t="s">
        <v>672</v>
      </c>
      <c r="G373">
        <v>11806164700.499998</v>
      </c>
      <c r="H373">
        <v>-15.577629999999999</v>
      </c>
      <c r="I373" t="s">
        <v>1560</v>
      </c>
      <c r="J373">
        <v>4.0100002288818359</v>
      </c>
      <c r="K373" t="s">
        <v>532</v>
      </c>
      <c r="L373">
        <v>0.82004439830780029</v>
      </c>
      <c r="M373">
        <v>32.06570106823807</v>
      </c>
      <c r="N373">
        <v>2.0521551224843781</v>
      </c>
      <c r="O373">
        <v>4.6619568066021726</v>
      </c>
      <c r="P373">
        <v>4.2243193103349208</v>
      </c>
      <c r="Q373">
        <v>106.795</v>
      </c>
      <c r="R373">
        <v>67.599999999999994</v>
      </c>
    </row>
    <row r="374" spans="1:18" x14ac:dyDescent="0.25">
      <c r="A374" t="s">
        <v>390</v>
      </c>
      <c r="B374">
        <v>-9.6000000834465027E-2</v>
      </c>
      <c r="C374" t="s">
        <v>553</v>
      </c>
      <c r="D374" t="s">
        <v>1561</v>
      </c>
      <c r="E374" t="s">
        <v>898</v>
      </c>
      <c r="F374" t="s">
        <v>899</v>
      </c>
      <c r="G374">
        <v>8690042924.1599979</v>
      </c>
      <c r="H374">
        <v>-4.1549329999999998</v>
      </c>
      <c r="I374" t="s">
        <v>1562</v>
      </c>
      <c r="J374">
        <v>5.6599998474121094</v>
      </c>
      <c r="K374" t="s">
        <v>558</v>
      </c>
      <c r="L374">
        <v>0.83942103385925293</v>
      </c>
      <c r="M374">
        <v>51.777391464940891</v>
      </c>
      <c r="N374">
        <v>1.3122583385234583</v>
      </c>
      <c r="O374">
        <v>16.190505377545907</v>
      </c>
      <c r="P374">
        <v>4.3241347543501849</v>
      </c>
      <c r="Q374">
        <v>253.19</v>
      </c>
      <c r="R374">
        <v>91.9</v>
      </c>
    </row>
    <row r="375" spans="1:18" x14ac:dyDescent="0.25">
      <c r="A375" t="s">
        <v>391</v>
      </c>
      <c r="B375">
        <v>-1.0714000463485718</v>
      </c>
      <c r="C375" t="s">
        <v>527</v>
      </c>
      <c r="D375" t="s">
        <v>1563</v>
      </c>
      <c r="E375" t="s">
        <v>584</v>
      </c>
      <c r="F375" t="s">
        <v>731</v>
      </c>
      <c r="G375">
        <v>7929726218.4499998</v>
      </c>
      <c r="H375">
        <v>-6.4546070000000002</v>
      </c>
      <c r="I375" t="s">
        <v>1564</v>
      </c>
      <c r="J375">
        <v>5.9200000762939453</v>
      </c>
      <c r="K375" t="s">
        <v>558</v>
      </c>
      <c r="L375">
        <v>0.46423304080963135</v>
      </c>
      <c r="M375">
        <v>23.855150975602704</v>
      </c>
      <c r="N375">
        <v>2.2534975785071913</v>
      </c>
      <c r="O375">
        <v>2.8364945259671277</v>
      </c>
      <c r="P375">
        <v>2.3914175901138783</v>
      </c>
      <c r="Q375">
        <v>296.68</v>
      </c>
      <c r="R375">
        <v>186.93</v>
      </c>
    </row>
    <row r="376" spans="1:18" x14ac:dyDescent="0.25">
      <c r="A376" t="s">
        <v>392</v>
      </c>
      <c r="B376">
        <v>-1.0810999870300293</v>
      </c>
      <c r="C376" t="s">
        <v>537</v>
      </c>
      <c r="D376" t="s">
        <v>1565</v>
      </c>
      <c r="E376" t="s">
        <v>539</v>
      </c>
      <c r="F376" t="s">
        <v>788</v>
      </c>
      <c r="G376">
        <v>21150773999.999996</v>
      </c>
      <c r="H376">
        <v>0.64161460000000003</v>
      </c>
      <c r="I376" t="s">
        <v>1566</v>
      </c>
      <c r="J376">
        <v>4.8600001335144043</v>
      </c>
      <c r="K376" t="s">
        <v>526</v>
      </c>
      <c r="L376">
        <v>0.73009979724884033</v>
      </c>
      <c r="M376">
        <v>34.251885206646001</v>
      </c>
      <c r="N376">
        <v>0.76508032393708147</v>
      </c>
      <c r="O376">
        <v>5.7587348562116905</v>
      </c>
      <c r="P376">
        <v>3.7609849885618685</v>
      </c>
      <c r="Q376">
        <v>47.42</v>
      </c>
      <c r="R376">
        <v>25.91</v>
      </c>
    </row>
    <row r="377" spans="1:18" x14ac:dyDescent="0.25">
      <c r="A377" t="s">
        <v>393</v>
      </c>
      <c r="B377">
        <v>0.53020000457763672</v>
      </c>
      <c r="C377" t="s">
        <v>553</v>
      </c>
      <c r="D377" t="s">
        <v>1567</v>
      </c>
      <c r="E377" t="s">
        <v>844</v>
      </c>
      <c r="F377" t="s">
        <v>1180</v>
      </c>
      <c r="G377">
        <v>9214781600.0999985</v>
      </c>
      <c r="H377">
        <v>-18.395109999999999</v>
      </c>
      <c r="I377" t="s">
        <v>1568</v>
      </c>
      <c r="J377">
        <v>4.9099998474121094</v>
      </c>
      <c r="K377" t="s">
        <v>558</v>
      </c>
      <c r="L377">
        <v>0.96414411067962646</v>
      </c>
      <c r="M377">
        <v>45.352458050033121</v>
      </c>
      <c r="N377">
        <v>1.0913028418554125</v>
      </c>
      <c r="O377">
        <v>1.6387618507837944</v>
      </c>
      <c r="P377">
        <v>4.9666244816672798</v>
      </c>
      <c r="Q377">
        <v>83.58</v>
      </c>
      <c r="R377">
        <v>46.02</v>
      </c>
    </row>
    <row r="378" spans="1:18" x14ac:dyDescent="0.25">
      <c r="A378" t="s">
        <v>394</v>
      </c>
      <c r="B378">
        <v>0.52560001611709595</v>
      </c>
      <c r="C378" t="s">
        <v>533</v>
      </c>
      <c r="D378" t="s">
        <v>1569</v>
      </c>
      <c r="E378" t="s">
        <v>822</v>
      </c>
      <c r="F378" t="s">
        <v>1570</v>
      </c>
      <c r="G378">
        <v>2341587070000.0005</v>
      </c>
      <c r="H378">
        <v>2.049655</v>
      </c>
      <c r="I378" t="s">
        <v>1571</v>
      </c>
      <c r="J378">
        <v>4.2899999618530273</v>
      </c>
      <c r="K378" t="s">
        <v>582</v>
      </c>
      <c r="L378">
        <v>1.0444650650024414</v>
      </c>
      <c r="M378">
        <v>29.50651252045105</v>
      </c>
      <c r="N378">
        <v>0.12453892040570741</v>
      </c>
      <c r="O378">
        <v>0.59671258191224363</v>
      </c>
      <c r="P378">
        <v>5.3803842232990267</v>
      </c>
      <c r="Q378">
        <v>207.05</v>
      </c>
      <c r="R378">
        <v>140.53</v>
      </c>
    </row>
    <row r="379" spans="1:18" x14ac:dyDescent="0.25">
      <c r="A379" t="s">
        <v>395</v>
      </c>
      <c r="B379">
        <v>1.0508999824523926</v>
      </c>
      <c r="C379" t="s">
        <v>547</v>
      </c>
      <c r="D379" t="s">
        <v>1572</v>
      </c>
      <c r="E379" t="s">
        <v>720</v>
      </c>
      <c r="F379" t="s">
        <v>1573</v>
      </c>
      <c r="G379">
        <v>14198155942.799999</v>
      </c>
      <c r="H379">
        <v>26.561070000000001</v>
      </c>
      <c r="I379" t="s">
        <v>1574</v>
      </c>
      <c r="J379">
        <v>3.5399999618530273</v>
      </c>
      <c r="K379" t="s">
        <v>532</v>
      </c>
      <c r="L379">
        <v>0.86467403173446655</v>
      </c>
      <c r="M379">
        <v>24.190820398121023</v>
      </c>
      <c r="N379">
        <v>0.37374419720216961</v>
      </c>
      <c r="O379">
        <v>18.559139230189519</v>
      </c>
      <c r="P379">
        <v>4.4542212798947096</v>
      </c>
      <c r="Q379">
        <v>166.19</v>
      </c>
      <c r="R379">
        <v>116.6</v>
      </c>
    </row>
    <row r="380" spans="1:18" x14ac:dyDescent="0.25">
      <c r="A380" t="s">
        <v>396</v>
      </c>
      <c r="B380">
        <v>-2.2900000214576721E-2</v>
      </c>
      <c r="C380" t="s">
        <v>533</v>
      </c>
      <c r="D380" t="s">
        <v>1575</v>
      </c>
      <c r="E380" t="s">
        <v>579</v>
      </c>
      <c r="F380" t="s">
        <v>1576</v>
      </c>
      <c r="G380">
        <v>501621302189.53992</v>
      </c>
      <c r="H380">
        <v>32.442889999999998</v>
      </c>
      <c r="I380" t="s">
        <v>1577</v>
      </c>
      <c r="J380">
        <v>3.8499999046325684</v>
      </c>
      <c r="K380" t="s">
        <v>552</v>
      </c>
      <c r="L380">
        <v>1.144800066947937</v>
      </c>
      <c r="M380">
        <v>26.101896795083128</v>
      </c>
      <c r="N380">
        <v>0.5773594150326774</v>
      </c>
      <c r="O380">
        <v>-5.0026562913835484</v>
      </c>
      <c r="P380">
        <v>5.8972429288709165</v>
      </c>
      <c r="Q380">
        <v>1340.925</v>
      </c>
      <c r="R380">
        <v>588.42999999999995</v>
      </c>
    </row>
    <row r="381" spans="1:18" x14ac:dyDescent="0.25">
      <c r="A381" t="s">
        <v>397</v>
      </c>
      <c r="B381">
        <v>-7.4100002646446228E-2</v>
      </c>
      <c r="C381" t="s">
        <v>533</v>
      </c>
      <c r="D381" t="s">
        <v>1578</v>
      </c>
      <c r="E381" t="s">
        <v>579</v>
      </c>
      <c r="F381" t="s">
        <v>1579</v>
      </c>
      <c r="G381">
        <v>33375271790.469997</v>
      </c>
      <c r="H381">
        <v>27.625360000000001</v>
      </c>
      <c r="I381" t="s">
        <v>1580</v>
      </c>
      <c r="J381">
        <v>3.2100000381469727</v>
      </c>
      <c r="K381" t="s">
        <v>582</v>
      </c>
      <c r="L381">
        <v>1.1454284191131592</v>
      </c>
      <c r="M381">
        <v>38.090271120357791</v>
      </c>
      <c r="N381">
        <v>1.5849017107403778</v>
      </c>
      <c r="O381">
        <v>18.295419056408694</v>
      </c>
      <c r="P381">
        <v>5.9004797782301903</v>
      </c>
      <c r="Q381">
        <v>13.675000000000001</v>
      </c>
      <c r="R381">
        <v>6.6449999999999996</v>
      </c>
    </row>
    <row r="382" spans="1:18" x14ac:dyDescent="0.25">
      <c r="A382" t="s">
        <v>398</v>
      </c>
      <c r="B382">
        <v>-0.14129999279975891</v>
      </c>
      <c r="C382" t="s">
        <v>553</v>
      </c>
      <c r="D382" t="s">
        <v>1581</v>
      </c>
      <c r="E382" t="s">
        <v>844</v>
      </c>
      <c r="F382" t="s">
        <v>1180</v>
      </c>
      <c r="G382">
        <v>34138899011.040005</v>
      </c>
      <c r="H382">
        <v>-10.540419999999999</v>
      </c>
      <c r="I382" t="s">
        <v>1582</v>
      </c>
      <c r="J382">
        <v>6.940000057220459</v>
      </c>
      <c r="K382" t="s">
        <v>532</v>
      </c>
      <c r="L382">
        <v>1.0195413827896118</v>
      </c>
      <c r="M382">
        <v>34.031884717701935</v>
      </c>
      <c r="N382">
        <v>0.30947948925016017</v>
      </c>
      <c r="O382">
        <v>1.7194613788434132</v>
      </c>
      <c r="P382">
        <v>5.2519941114056108</v>
      </c>
      <c r="Q382">
        <v>153.84</v>
      </c>
      <c r="R382">
        <v>96.44</v>
      </c>
    </row>
    <row r="383" spans="1:18" x14ac:dyDescent="0.25">
      <c r="A383" t="s">
        <v>399</v>
      </c>
      <c r="B383">
        <v>1.2472000122070313</v>
      </c>
      <c r="C383" t="s">
        <v>542</v>
      </c>
      <c r="D383" t="s">
        <v>1583</v>
      </c>
      <c r="E383" t="s">
        <v>954</v>
      </c>
      <c r="F383" t="s">
        <v>954</v>
      </c>
      <c r="G383">
        <v>20337148975.559998</v>
      </c>
      <c r="H383">
        <v>20.63402</v>
      </c>
      <c r="I383" t="s">
        <v>1584</v>
      </c>
      <c r="J383">
        <v>3.75</v>
      </c>
      <c r="K383" t="s">
        <v>532</v>
      </c>
      <c r="L383">
        <v>1.1286369562149048</v>
      </c>
      <c r="M383">
        <v>20.060172070808168</v>
      </c>
      <c r="N383">
        <v>0.45598141159468508</v>
      </c>
      <c r="O383">
        <v>13.156527621462534</v>
      </c>
      <c r="P383">
        <v>5.8139814116585251</v>
      </c>
      <c r="Q383">
        <v>85.3</v>
      </c>
      <c r="R383">
        <v>48.68</v>
      </c>
    </row>
    <row r="384" spans="1:18" x14ac:dyDescent="0.25">
      <c r="A384" t="s">
        <v>400</v>
      </c>
      <c r="B384">
        <v>3.0917000770568848</v>
      </c>
      <c r="C384" t="s">
        <v>553</v>
      </c>
      <c r="D384" t="s">
        <v>1585</v>
      </c>
      <c r="E384" t="s">
        <v>678</v>
      </c>
      <c r="F384" t="s">
        <v>678</v>
      </c>
      <c r="G384">
        <v>65099047686.400002</v>
      </c>
      <c r="H384">
        <v>-21.631879999999999</v>
      </c>
      <c r="I384" t="s">
        <v>1586</v>
      </c>
      <c r="J384">
        <v>8.0100002288818359</v>
      </c>
      <c r="K384" t="s">
        <v>631</v>
      </c>
      <c r="L384">
        <v>0.45577612519264221</v>
      </c>
      <c r="M384">
        <v>55.78330761324041</v>
      </c>
      <c r="N384">
        <v>0.19495351017393772</v>
      </c>
      <c r="O384">
        <v>10.292266605029306</v>
      </c>
      <c r="P384">
        <v>2.3478532269886134</v>
      </c>
      <c r="Q384">
        <v>567.03</v>
      </c>
      <c r="R384">
        <v>274.41000000000003</v>
      </c>
    </row>
    <row r="385" spans="1:18" x14ac:dyDescent="0.25">
      <c r="A385" t="s">
        <v>401</v>
      </c>
      <c r="B385">
        <v>0.85500001907348633</v>
      </c>
      <c r="C385" t="s">
        <v>527</v>
      </c>
      <c r="D385" t="s">
        <v>1587</v>
      </c>
      <c r="E385" t="s">
        <v>1051</v>
      </c>
      <c r="F385" t="s">
        <v>1051</v>
      </c>
      <c r="G385">
        <v>100744279319</v>
      </c>
      <c r="H385">
        <v>20.376349999999999</v>
      </c>
      <c r="I385" t="s">
        <v>1588</v>
      </c>
      <c r="J385">
        <v>7.6999998092651367</v>
      </c>
      <c r="K385" t="s">
        <v>582</v>
      </c>
      <c r="L385">
        <v>0.39932844042778015</v>
      </c>
      <c r="M385">
        <v>19.288243264045661</v>
      </c>
      <c r="N385">
        <v>0.30455683814449869</v>
      </c>
      <c r="O385">
        <v>-3.5654441219934019</v>
      </c>
      <c r="P385">
        <v>2.0570725750288368</v>
      </c>
      <c r="Q385">
        <v>290.79000000000002</v>
      </c>
      <c r="R385">
        <v>188.60300000000001</v>
      </c>
    </row>
    <row r="386" spans="1:18" x14ac:dyDescent="0.25">
      <c r="A386" t="s">
        <v>402</v>
      </c>
      <c r="B386">
        <v>0.29490000009536743</v>
      </c>
      <c r="C386" t="s">
        <v>632</v>
      </c>
      <c r="D386" t="s">
        <v>1589</v>
      </c>
      <c r="E386" t="s">
        <v>810</v>
      </c>
      <c r="F386" t="s">
        <v>810</v>
      </c>
      <c r="G386">
        <v>28934200021.930004</v>
      </c>
      <c r="H386">
        <v>15.46998</v>
      </c>
      <c r="I386" t="s">
        <v>1590</v>
      </c>
      <c r="J386">
        <v>4.9699997901916504</v>
      </c>
      <c r="K386" t="s">
        <v>532</v>
      </c>
      <c r="L386">
        <v>0.46593445539474487</v>
      </c>
      <c r="M386">
        <v>16.315509387932977</v>
      </c>
      <c r="N386">
        <v>0.37915173975437272</v>
      </c>
      <c r="O386">
        <v>11.292048600127362</v>
      </c>
      <c r="P386">
        <v>2.4001821381086108</v>
      </c>
      <c r="Q386">
        <v>140.30000000000001</v>
      </c>
      <c r="R386">
        <v>115.62</v>
      </c>
    </row>
    <row r="387" spans="1:18" x14ac:dyDescent="0.25">
      <c r="A387" t="s">
        <v>403</v>
      </c>
      <c r="B387">
        <v>1.4332000017166138</v>
      </c>
      <c r="C387" t="s">
        <v>527</v>
      </c>
      <c r="D387" t="s">
        <v>1591</v>
      </c>
      <c r="E387" t="s">
        <v>1051</v>
      </c>
      <c r="F387" t="s">
        <v>1051</v>
      </c>
      <c r="G387">
        <v>54418740751.280006</v>
      </c>
      <c r="H387">
        <v>22.674949999999999</v>
      </c>
      <c r="I387" t="s">
        <v>1592</v>
      </c>
      <c r="J387">
        <v>6.0100002288818359</v>
      </c>
      <c r="K387" t="s">
        <v>532</v>
      </c>
      <c r="L387">
        <v>0.87500458955764771</v>
      </c>
      <c r="M387">
        <v>18.596761181944807</v>
      </c>
      <c r="N387">
        <v>0.72044450702968588</v>
      </c>
      <c r="O387">
        <v>-6.0957583949025773</v>
      </c>
      <c r="P387">
        <v>4.5074373923259969</v>
      </c>
      <c r="Q387">
        <v>95.46</v>
      </c>
      <c r="R387">
        <v>64.334999999999994</v>
      </c>
    </row>
    <row r="388" spans="1:18" x14ac:dyDescent="0.25">
      <c r="A388" t="s">
        <v>404</v>
      </c>
      <c r="B388">
        <v>-9.9299997091293335E-2</v>
      </c>
      <c r="C388" t="s">
        <v>570</v>
      </c>
      <c r="D388" t="s">
        <v>1593</v>
      </c>
      <c r="E388" t="s">
        <v>689</v>
      </c>
      <c r="F388" t="s">
        <v>1594</v>
      </c>
      <c r="G388">
        <v>250486356110.03995</v>
      </c>
      <c r="H388">
        <v>33.710009999999997</v>
      </c>
      <c r="I388" t="s">
        <v>1595</v>
      </c>
      <c r="J388">
        <v>6.6100001335144043</v>
      </c>
      <c r="K388" t="s">
        <v>582</v>
      </c>
      <c r="L388">
        <v>0.39870232343673706</v>
      </c>
      <c r="M388">
        <v>27.181030927637433</v>
      </c>
      <c r="N388">
        <v>0.15861393084494366</v>
      </c>
      <c r="O388">
        <v>7.6835813708839584</v>
      </c>
      <c r="P388">
        <v>2.0538472397893668</v>
      </c>
      <c r="Q388">
        <v>186.69</v>
      </c>
      <c r="R388">
        <v>112.48</v>
      </c>
    </row>
    <row r="389" spans="1:18" x14ac:dyDescent="0.25">
      <c r="A389" t="s">
        <v>405</v>
      </c>
      <c r="B389">
        <v>1.5881999731063843</v>
      </c>
      <c r="C389" t="s">
        <v>547</v>
      </c>
      <c r="D389" t="s">
        <v>1596</v>
      </c>
      <c r="E389" t="s">
        <v>1022</v>
      </c>
      <c r="F389" t="s">
        <v>1597</v>
      </c>
      <c r="G389">
        <v>35613655441.909988</v>
      </c>
      <c r="H389">
        <v>-2.4209589999999999</v>
      </c>
      <c r="I389" t="s">
        <v>1598</v>
      </c>
      <c r="J389">
        <v>6.3600001335144043</v>
      </c>
      <c r="K389" t="s">
        <v>532</v>
      </c>
      <c r="L389">
        <v>1.1680326461791992</v>
      </c>
      <c r="M389">
        <v>24.684124545147871</v>
      </c>
      <c r="N389">
        <v>0.24612624240109432</v>
      </c>
      <c r="O389">
        <v>17.926041769528702</v>
      </c>
      <c r="P389">
        <v>6.0169216112422941</v>
      </c>
      <c r="Q389">
        <v>106.01</v>
      </c>
      <c r="R389">
        <v>65.635000000000005</v>
      </c>
    </row>
    <row r="390" spans="1:18" x14ac:dyDescent="0.25">
      <c r="A390" t="s">
        <v>406</v>
      </c>
      <c r="B390">
        <v>0.52670001983642578</v>
      </c>
      <c r="C390" t="s">
        <v>542</v>
      </c>
      <c r="D390" t="s">
        <v>1599</v>
      </c>
      <c r="E390" t="s">
        <v>757</v>
      </c>
      <c r="F390" t="s">
        <v>807</v>
      </c>
      <c r="G390">
        <v>257269160000</v>
      </c>
      <c r="H390">
        <v>-19.507670000000001</v>
      </c>
      <c r="I390" t="s">
        <v>1600</v>
      </c>
      <c r="J390">
        <v>5.690000057220459</v>
      </c>
      <c r="K390" t="s">
        <v>532</v>
      </c>
      <c r="L390">
        <v>1.2428417205810547</v>
      </c>
      <c r="M390">
        <v>24.828420485743571</v>
      </c>
      <c r="N390">
        <v>2.563589330543933</v>
      </c>
      <c r="O390">
        <v>-1.5306714673110453</v>
      </c>
      <c r="P390">
        <v>6.4022878404808043</v>
      </c>
      <c r="Q390">
        <v>369</v>
      </c>
      <c r="R390">
        <v>230</v>
      </c>
    </row>
    <row r="391" spans="1:18" x14ac:dyDescent="0.25">
      <c r="A391" t="s">
        <v>407</v>
      </c>
      <c r="B391">
        <v>0.47560000419616699</v>
      </c>
      <c r="C391" t="s">
        <v>542</v>
      </c>
      <c r="D391" t="s">
        <v>1601</v>
      </c>
      <c r="E391" t="s">
        <v>757</v>
      </c>
      <c r="F391" t="s">
        <v>757</v>
      </c>
      <c r="G391">
        <v>60534393972.909996</v>
      </c>
      <c r="H391">
        <v>8.3062470000000008</v>
      </c>
      <c r="I391" t="s">
        <v>1602</v>
      </c>
      <c r="J391">
        <v>5.0100002288818359</v>
      </c>
      <c r="K391" t="s">
        <v>526</v>
      </c>
      <c r="L391">
        <v>0.75515210628509521</v>
      </c>
      <c r="M391">
        <v>14.81175249898018</v>
      </c>
      <c r="N391">
        <v>0.40652315854286925</v>
      </c>
      <c r="O391">
        <v>-1.3325718207224737</v>
      </c>
      <c r="P391">
        <v>3.8900376996695996</v>
      </c>
      <c r="Q391">
        <v>595</v>
      </c>
      <c r="R391">
        <v>499.47</v>
      </c>
    </row>
    <row r="392" spans="1:18" x14ac:dyDescent="0.25">
      <c r="A392" t="s">
        <v>408</v>
      </c>
      <c r="B392">
        <v>0.5658000111579895</v>
      </c>
      <c r="C392" t="s">
        <v>547</v>
      </c>
      <c r="D392" t="s">
        <v>1603</v>
      </c>
      <c r="E392" t="s">
        <v>651</v>
      </c>
      <c r="F392" t="s">
        <v>1604</v>
      </c>
      <c r="G392">
        <v>10391307465.879999</v>
      </c>
      <c r="H392">
        <v>40.138649999999998</v>
      </c>
      <c r="I392" t="s">
        <v>1605</v>
      </c>
      <c r="J392">
        <v>4.8400001525878906</v>
      </c>
      <c r="K392" t="s">
        <v>558</v>
      </c>
      <c r="L392">
        <v>0.94397062063217163</v>
      </c>
      <c r="M392">
        <v>22.649323989517001</v>
      </c>
      <c r="N392">
        <v>2.0781767001460016</v>
      </c>
      <c r="O392">
        <v>6.5424289217484306</v>
      </c>
      <c r="P392">
        <v>4.8627041771811248</v>
      </c>
      <c r="Q392">
        <v>285.3</v>
      </c>
      <c r="R392">
        <v>158.88999999999999</v>
      </c>
    </row>
    <row r="393" spans="1:18" x14ac:dyDescent="0.25">
      <c r="A393" t="s">
        <v>409</v>
      </c>
      <c r="B393">
        <v>0.98979997634887695</v>
      </c>
      <c r="C393" t="s">
        <v>527</v>
      </c>
      <c r="D393" t="s">
        <v>1606</v>
      </c>
      <c r="E393" t="s">
        <v>708</v>
      </c>
      <c r="F393" t="s">
        <v>708</v>
      </c>
      <c r="G393">
        <v>52737157210.559998</v>
      </c>
      <c r="H393">
        <v>-4.0547110000000002</v>
      </c>
      <c r="I393" t="s">
        <v>1607</v>
      </c>
      <c r="J393">
        <v>4.5900001525878906</v>
      </c>
      <c r="K393" t="s">
        <v>532</v>
      </c>
      <c r="L393">
        <v>0.92433220148086548</v>
      </c>
      <c r="M393">
        <v>19.299860644647765</v>
      </c>
      <c r="N393">
        <v>0.3438877648638205</v>
      </c>
      <c r="O393">
        <v>11.655393967300142</v>
      </c>
      <c r="P393">
        <v>4.7615401994544264</v>
      </c>
      <c r="Q393">
        <v>89.05</v>
      </c>
      <c r="R393">
        <v>65.260000000000005</v>
      </c>
    </row>
    <row r="394" spans="1:18" x14ac:dyDescent="0.25">
      <c r="A394" t="s">
        <v>410</v>
      </c>
      <c r="B394">
        <v>-8.2999996840953827E-2</v>
      </c>
      <c r="C394" t="s">
        <v>604</v>
      </c>
      <c r="D394" t="s">
        <v>1608</v>
      </c>
      <c r="E394" t="s">
        <v>1058</v>
      </c>
      <c r="F394" t="s">
        <v>1609</v>
      </c>
      <c r="G394">
        <v>22501150525.98</v>
      </c>
      <c r="H394">
        <v>65.834990000000005</v>
      </c>
      <c r="I394" t="s">
        <v>1610</v>
      </c>
      <c r="J394">
        <v>4.190000057220459</v>
      </c>
      <c r="K394" t="s">
        <v>558</v>
      </c>
      <c r="L394">
        <v>1.086335301399231</v>
      </c>
      <c r="M394">
        <v>33.17853562599425</v>
      </c>
      <c r="N394">
        <v>0.46991984692578026</v>
      </c>
      <c r="O394">
        <v>-9.9011381711530984</v>
      </c>
      <c r="P394">
        <v>5.5960716281569001</v>
      </c>
      <c r="Q394">
        <v>110.21</v>
      </c>
      <c r="R394">
        <v>35.26</v>
      </c>
    </row>
    <row r="395" spans="1:18" x14ac:dyDescent="0.25">
      <c r="A395" t="s">
        <v>411</v>
      </c>
      <c r="B395">
        <v>2.1714000701904297</v>
      </c>
      <c r="C395" t="s">
        <v>547</v>
      </c>
      <c r="D395" t="s">
        <v>1611</v>
      </c>
      <c r="E395" t="s">
        <v>1064</v>
      </c>
      <c r="F395" t="s">
        <v>1195</v>
      </c>
      <c r="G395">
        <v>66666546020.639999</v>
      </c>
      <c r="H395">
        <v>10.815</v>
      </c>
      <c r="I395" t="s">
        <v>1612</v>
      </c>
      <c r="J395">
        <v>6.0399999618530273</v>
      </c>
      <c r="K395" t="s">
        <v>532</v>
      </c>
      <c r="L395">
        <v>0.8424370288848877</v>
      </c>
      <c r="M395">
        <v>21.995596116811448</v>
      </c>
      <c r="N395">
        <v>0.2407917922068448</v>
      </c>
      <c r="O395">
        <v>3.2750588381450627</v>
      </c>
      <c r="P395">
        <v>4.3396711400055885</v>
      </c>
      <c r="Q395">
        <v>37.1</v>
      </c>
      <c r="R395">
        <v>26.23</v>
      </c>
    </row>
    <row r="396" spans="1:18" x14ac:dyDescent="0.25">
      <c r="A396" t="s">
        <v>412</v>
      </c>
      <c r="B396">
        <v>5.5409002304077148</v>
      </c>
      <c r="C396" t="s">
        <v>553</v>
      </c>
      <c r="D396" t="s">
        <v>1613</v>
      </c>
      <c r="E396" t="s">
        <v>704</v>
      </c>
      <c r="F396" t="s">
        <v>1614</v>
      </c>
      <c r="G396">
        <v>46928000000</v>
      </c>
      <c r="H396">
        <v>8.0642999999999994</v>
      </c>
      <c r="I396" t="s">
        <v>1615</v>
      </c>
      <c r="J396">
        <v>5.4600000381469727</v>
      </c>
      <c r="K396" t="s">
        <v>631</v>
      </c>
      <c r="L396">
        <v>0.94147074222564697</v>
      </c>
      <c r="M396">
        <v>19.823887278213807</v>
      </c>
      <c r="N396">
        <v>0.95035494630071549</v>
      </c>
      <c r="O396">
        <v>1.728707449496546</v>
      </c>
      <c r="P396">
        <v>4.8498264785492422</v>
      </c>
      <c r="Q396">
        <v>83</v>
      </c>
      <c r="R396">
        <v>59.42</v>
      </c>
    </row>
    <row r="397" spans="1:18" x14ac:dyDescent="0.25">
      <c r="A397" t="s">
        <v>413</v>
      </c>
      <c r="B397">
        <v>0.76579999923706055</v>
      </c>
      <c r="C397" t="s">
        <v>527</v>
      </c>
      <c r="D397" t="s">
        <v>1616</v>
      </c>
      <c r="E397" t="s">
        <v>1084</v>
      </c>
      <c r="F397" t="s">
        <v>1084</v>
      </c>
      <c r="G397">
        <v>49616725993.379997</v>
      </c>
      <c r="H397">
        <v>-2.135491</v>
      </c>
      <c r="I397" t="s">
        <v>1617</v>
      </c>
      <c r="J397">
        <v>4.2100000381469727</v>
      </c>
      <c r="K397" t="s">
        <v>526</v>
      </c>
      <c r="L397">
        <v>1.1491963863372803</v>
      </c>
      <c r="M397">
        <v>22.768645553558024</v>
      </c>
      <c r="N397">
        <v>0.29117813111100538</v>
      </c>
      <c r="O397">
        <v>8.9674860676232342</v>
      </c>
      <c r="P397">
        <v>5.9198898208308215</v>
      </c>
      <c r="Q397">
        <v>577.89</v>
      </c>
      <c r="R397">
        <v>385.995</v>
      </c>
    </row>
    <row r="398" spans="1:18" x14ac:dyDescent="0.25">
      <c r="A398" t="s">
        <v>414</v>
      </c>
      <c r="B398">
        <v>0.68690001964569092</v>
      </c>
      <c r="C398" t="s">
        <v>542</v>
      </c>
      <c r="D398" t="s">
        <v>1618</v>
      </c>
      <c r="E398" t="s">
        <v>916</v>
      </c>
      <c r="F398" t="s">
        <v>1619</v>
      </c>
      <c r="G398">
        <v>17071289030.629999</v>
      </c>
      <c r="H398">
        <v>-13.083220000000001</v>
      </c>
      <c r="I398" t="s">
        <v>1620</v>
      </c>
      <c r="J398">
        <v>3.9100000858306885</v>
      </c>
      <c r="K398" t="s">
        <v>526</v>
      </c>
      <c r="L398">
        <v>1.3717447519302368</v>
      </c>
      <c r="M398">
        <v>35.135920385607974</v>
      </c>
      <c r="N398">
        <v>0.90435563697329213</v>
      </c>
      <c r="O398">
        <v>12.092149230667989</v>
      </c>
      <c r="P398">
        <v>7.0663098929607866</v>
      </c>
      <c r="Q398">
        <v>426.39</v>
      </c>
      <c r="R398">
        <v>206.13</v>
      </c>
    </row>
    <row r="399" spans="1:18" x14ac:dyDescent="0.25">
      <c r="A399" t="s">
        <v>415</v>
      </c>
      <c r="B399">
        <v>0.70200002193450928</v>
      </c>
      <c r="C399" t="s">
        <v>553</v>
      </c>
      <c r="D399" t="s">
        <v>1621</v>
      </c>
      <c r="E399" t="s">
        <v>704</v>
      </c>
      <c r="F399" t="s">
        <v>1622</v>
      </c>
      <c r="G399">
        <v>19300062059.699997</v>
      </c>
      <c r="H399">
        <v>-7.6493399999999996</v>
      </c>
      <c r="I399" t="s">
        <v>1623</v>
      </c>
      <c r="J399">
        <v>5.7600002288818359</v>
      </c>
      <c r="K399" t="s">
        <v>532</v>
      </c>
      <c r="L399">
        <v>0.67563176155090332</v>
      </c>
      <c r="M399">
        <v>34.503411081590038</v>
      </c>
      <c r="N399">
        <v>0.13153892459813826</v>
      </c>
      <c r="O399">
        <v>64.008469929858393</v>
      </c>
      <c r="P399">
        <v>3.4804021622300145</v>
      </c>
      <c r="Q399">
        <v>116.67</v>
      </c>
      <c r="R399">
        <v>89.38</v>
      </c>
    </row>
    <row r="400" spans="1:18" x14ac:dyDescent="0.25">
      <c r="A400" t="s">
        <v>416</v>
      </c>
      <c r="B400">
        <v>-5.2799999713897705E-2</v>
      </c>
      <c r="C400" t="s">
        <v>587</v>
      </c>
      <c r="D400" t="s">
        <v>1624</v>
      </c>
      <c r="E400" t="s">
        <v>800</v>
      </c>
      <c r="F400" t="s">
        <v>801</v>
      </c>
      <c r="G400">
        <v>12130382886.719999</v>
      </c>
      <c r="H400">
        <v>-2.1544300000000001</v>
      </c>
      <c r="I400" t="s">
        <v>1625</v>
      </c>
      <c r="J400">
        <v>4.6399998664855957</v>
      </c>
      <c r="K400" t="s">
        <v>715</v>
      </c>
      <c r="L400">
        <v>0.79440575838088989</v>
      </c>
      <c r="M400">
        <v>19.747058433716226</v>
      </c>
      <c r="N400">
        <v>1.3676987588685674</v>
      </c>
      <c r="O400">
        <v>5.499965705085395</v>
      </c>
      <c r="P400">
        <v>4.0922462153202295</v>
      </c>
      <c r="Q400">
        <v>127.69</v>
      </c>
      <c r="R400">
        <v>102.59</v>
      </c>
    </row>
    <row r="401" spans="1:18" x14ac:dyDescent="0.25">
      <c r="A401" t="s">
        <v>417</v>
      </c>
      <c r="B401">
        <v>2.0610001087188721</v>
      </c>
      <c r="C401" t="s">
        <v>587</v>
      </c>
      <c r="D401" t="s">
        <v>1626</v>
      </c>
      <c r="E401" t="s">
        <v>1627</v>
      </c>
      <c r="F401" t="s">
        <v>1628</v>
      </c>
      <c r="G401">
        <v>43991333157.209999</v>
      </c>
      <c r="H401">
        <v>12.400040000000001</v>
      </c>
      <c r="I401" t="s">
        <v>1629</v>
      </c>
      <c r="J401">
        <v>6.75</v>
      </c>
      <c r="K401" t="s">
        <v>631</v>
      </c>
      <c r="L401">
        <v>1.0867375135421753</v>
      </c>
      <c r="M401">
        <v>26.259282535680612</v>
      </c>
      <c r="N401">
        <v>0.87360169420227574</v>
      </c>
      <c r="O401">
        <v>14.875428184760992</v>
      </c>
      <c r="P401">
        <v>5.5981435556352137</v>
      </c>
      <c r="Q401">
        <v>147.97999999999999</v>
      </c>
      <c r="R401">
        <v>105.19</v>
      </c>
    </row>
    <row r="402" spans="1:18" x14ac:dyDescent="0.25">
      <c r="A402" t="s">
        <v>418</v>
      </c>
      <c r="B402">
        <v>0.8375999927520752</v>
      </c>
      <c r="C402" t="s">
        <v>527</v>
      </c>
      <c r="D402" t="s">
        <v>1630</v>
      </c>
      <c r="E402" t="s">
        <v>584</v>
      </c>
      <c r="F402" t="s">
        <v>585</v>
      </c>
      <c r="G402">
        <v>515970820341.06006</v>
      </c>
      <c r="H402">
        <v>7.9096780000000004</v>
      </c>
      <c r="I402" t="s">
        <v>1631</v>
      </c>
      <c r="J402">
        <v>5.1100001335144043</v>
      </c>
      <c r="K402" t="s">
        <v>532</v>
      </c>
      <c r="L402">
        <v>0.88124459981918335</v>
      </c>
      <c r="M402">
        <v>22.692669763712868</v>
      </c>
      <c r="N402">
        <v>7.2639856703347008E-2</v>
      </c>
      <c r="O402">
        <v>8.6568469087452655</v>
      </c>
      <c r="P402">
        <v>4.5395817443865534</v>
      </c>
      <c r="Q402">
        <v>594.6</v>
      </c>
      <c r="R402">
        <v>435.6</v>
      </c>
    </row>
    <row r="403" spans="1:18" x14ac:dyDescent="0.25">
      <c r="A403" t="s">
        <v>419</v>
      </c>
      <c r="B403">
        <v>0.830299973487854</v>
      </c>
      <c r="C403" t="s">
        <v>604</v>
      </c>
      <c r="D403" t="s">
        <v>1632</v>
      </c>
      <c r="E403" t="s">
        <v>734</v>
      </c>
      <c r="F403" t="s">
        <v>1633</v>
      </c>
      <c r="G403">
        <v>9112381069.4400005</v>
      </c>
      <c r="H403">
        <v>-25.73386</v>
      </c>
      <c r="I403" t="s">
        <v>1634</v>
      </c>
      <c r="J403">
        <v>3.3499999046325684</v>
      </c>
      <c r="K403" t="s">
        <v>558</v>
      </c>
      <c r="L403">
        <v>0.93208992481231689</v>
      </c>
      <c r="M403">
        <v>35.113365252592587</v>
      </c>
      <c r="N403">
        <v>0.49603457535772782</v>
      </c>
      <c r="O403">
        <v>11.10912100492402</v>
      </c>
      <c r="P403">
        <v>4.8015027923834319</v>
      </c>
      <c r="Q403">
        <v>90.92</v>
      </c>
      <c r="R403">
        <v>60</v>
      </c>
    </row>
    <row r="404" spans="1:18" x14ac:dyDescent="0.25">
      <c r="A404" t="s">
        <v>420</v>
      </c>
      <c r="B404">
        <v>2.2379999160766602</v>
      </c>
      <c r="C404" t="s">
        <v>542</v>
      </c>
      <c r="D404" t="s">
        <v>1635</v>
      </c>
      <c r="E404" t="s">
        <v>672</v>
      </c>
      <c r="F404" t="s">
        <v>672</v>
      </c>
      <c r="G404">
        <v>51747728133.040009</v>
      </c>
      <c r="H404">
        <v>4.8638820000000003</v>
      </c>
      <c r="I404" t="s">
        <v>1636</v>
      </c>
      <c r="J404">
        <v>3.6700000762939453</v>
      </c>
      <c r="K404" t="s">
        <v>532</v>
      </c>
      <c r="L404">
        <v>1.3528990745544434</v>
      </c>
      <c r="M404">
        <v>41.454722172056222</v>
      </c>
      <c r="N404">
        <v>1.0895197811817974</v>
      </c>
      <c r="O404">
        <v>21.970358462323333</v>
      </c>
      <c r="P404">
        <v>6.9692295897245407</v>
      </c>
      <c r="Q404">
        <v>170.07</v>
      </c>
      <c r="R404">
        <v>81.7</v>
      </c>
    </row>
    <row r="405" spans="1:18" x14ac:dyDescent="0.25">
      <c r="A405" t="s">
        <v>421</v>
      </c>
      <c r="B405">
        <v>0.46849998831748962</v>
      </c>
      <c r="C405" t="s">
        <v>527</v>
      </c>
      <c r="D405" t="s">
        <v>1637</v>
      </c>
      <c r="E405" t="s">
        <v>1051</v>
      </c>
      <c r="F405" t="s">
        <v>1051</v>
      </c>
      <c r="G405">
        <v>105799629423.23999</v>
      </c>
      <c r="H405">
        <v>23.77693</v>
      </c>
      <c r="I405" t="s">
        <v>1638</v>
      </c>
      <c r="J405">
        <v>5.3299999237060547</v>
      </c>
      <c r="K405" t="s">
        <v>532</v>
      </c>
      <c r="L405">
        <v>0.77472573518753052</v>
      </c>
      <c r="M405">
        <v>13.535895966797828</v>
      </c>
      <c r="N405">
        <v>0.68311337886704293</v>
      </c>
      <c r="O405">
        <v>-6.0236670099379186</v>
      </c>
      <c r="P405">
        <v>3.9908679214435816</v>
      </c>
      <c r="Q405">
        <v>185.29</v>
      </c>
      <c r="R405">
        <v>142.41</v>
      </c>
    </row>
    <row r="406" spans="1:18" x14ac:dyDescent="0.25">
      <c r="A406" t="s">
        <v>422</v>
      </c>
      <c r="B406">
        <v>1.9026999473571777</v>
      </c>
      <c r="C406" t="s">
        <v>527</v>
      </c>
      <c r="D406" t="s">
        <v>1639</v>
      </c>
      <c r="E406" t="s">
        <v>584</v>
      </c>
      <c r="F406" t="s">
        <v>585</v>
      </c>
      <c r="G406">
        <v>43050870642.819992</v>
      </c>
      <c r="H406">
        <v>1.4485619999999999</v>
      </c>
      <c r="I406" t="s">
        <v>1640</v>
      </c>
      <c r="J406">
        <v>4.380000114440918</v>
      </c>
      <c r="K406" t="s">
        <v>526</v>
      </c>
      <c r="L406">
        <v>0.73902857303619385</v>
      </c>
      <c r="M406">
        <v>20.832822280919629</v>
      </c>
      <c r="N406">
        <v>0.33154216655237173</v>
      </c>
      <c r="O406">
        <v>8.8736824355016584</v>
      </c>
      <c r="P406">
        <v>3.8069800591385361</v>
      </c>
      <c r="Q406">
        <v>91.97</v>
      </c>
      <c r="R406">
        <v>66.53</v>
      </c>
    </row>
    <row r="407" spans="1:18" x14ac:dyDescent="0.25">
      <c r="A407" t="s">
        <v>423</v>
      </c>
      <c r="B407">
        <v>1.7072999477386475</v>
      </c>
      <c r="C407" t="s">
        <v>521</v>
      </c>
      <c r="D407" t="s">
        <v>1641</v>
      </c>
      <c r="E407" t="s">
        <v>697</v>
      </c>
      <c r="F407" t="s">
        <v>1642</v>
      </c>
      <c r="G407">
        <v>25500316926.649998</v>
      </c>
      <c r="H407">
        <v>-9.301895</v>
      </c>
      <c r="I407" t="s">
        <v>1643</v>
      </c>
      <c r="J407" t="s">
        <v>557</v>
      </c>
      <c r="K407" t="s">
        <v>526</v>
      </c>
      <c r="L407" t="s">
        <v>559</v>
      </c>
      <c r="M407">
        <v>34.452708627060694</v>
      </c>
      <c r="N407">
        <v>0.47105252382796897</v>
      </c>
      <c r="O407">
        <v>13.001769294189897</v>
      </c>
      <c r="P407">
        <v>5.1513299999999997</v>
      </c>
      <c r="Q407">
        <v>56.98</v>
      </c>
      <c r="R407">
        <v>37.020000000000003</v>
      </c>
    </row>
    <row r="408" spans="1:18" x14ac:dyDescent="0.25">
      <c r="A408" t="s">
        <v>424</v>
      </c>
      <c r="B408">
        <v>2.2300000190734863</v>
      </c>
      <c r="C408" t="s">
        <v>604</v>
      </c>
      <c r="D408" t="s">
        <v>1644</v>
      </c>
      <c r="E408" t="s">
        <v>623</v>
      </c>
      <c r="F408" t="s">
        <v>1645</v>
      </c>
      <c r="G408">
        <v>62699782600</v>
      </c>
      <c r="H408">
        <v>-22.45439</v>
      </c>
      <c r="I408" t="s">
        <v>1646</v>
      </c>
      <c r="J408">
        <v>4.3400001525878906</v>
      </c>
      <c r="K408" t="s">
        <v>526</v>
      </c>
      <c r="L408">
        <v>0.89095336198806763</v>
      </c>
      <c r="M408">
        <v>42.02129819261809</v>
      </c>
      <c r="N408">
        <v>0.74738422758103795</v>
      </c>
      <c r="O408">
        <v>0.33216581058899913</v>
      </c>
      <c r="P408">
        <v>4.5895947822099918</v>
      </c>
      <c r="Q408">
        <v>66.73</v>
      </c>
      <c r="R408">
        <v>44.46</v>
      </c>
    </row>
    <row r="409" spans="1:18" x14ac:dyDescent="0.25">
      <c r="A409" t="s">
        <v>425</v>
      </c>
      <c r="B409">
        <v>0.91289997100830078</v>
      </c>
      <c r="C409" t="s">
        <v>604</v>
      </c>
      <c r="D409" t="s">
        <v>1647</v>
      </c>
      <c r="E409" t="s">
        <v>840</v>
      </c>
      <c r="F409" t="s">
        <v>841</v>
      </c>
      <c r="G409">
        <v>11442422701.439999</v>
      </c>
      <c r="H409">
        <v>27.019490000000001</v>
      </c>
      <c r="I409" t="s">
        <v>1648</v>
      </c>
      <c r="J409">
        <v>5.0300002098083496</v>
      </c>
      <c r="K409" t="s">
        <v>558</v>
      </c>
      <c r="L409">
        <v>0.98496049642562866</v>
      </c>
      <c r="M409">
        <v>35.943980612157894</v>
      </c>
      <c r="N409">
        <v>1.2564641913340724</v>
      </c>
      <c r="O409">
        <v>2.4168009641383064</v>
      </c>
      <c r="P409">
        <v>5.0738565540522336</v>
      </c>
      <c r="Q409">
        <v>112.34</v>
      </c>
      <c r="R409">
        <v>65.28</v>
      </c>
    </row>
    <row r="410" spans="1:18" x14ac:dyDescent="0.25">
      <c r="A410" t="s">
        <v>426</v>
      </c>
      <c r="B410">
        <v>0.1111999973654747</v>
      </c>
      <c r="C410" t="s">
        <v>533</v>
      </c>
      <c r="D410" t="s">
        <v>1649</v>
      </c>
      <c r="E410" t="s">
        <v>1650</v>
      </c>
      <c r="F410" t="s">
        <v>1651</v>
      </c>
      <c r="G410">
        <v>35829739788.360001</v>
      </c>
      <c r="H410">
        <v>18.193049999999999</v>
      </c>
      <c r="I410" t="s">
        <v>1652</v>
      </c>
      <c r="J410">
        <v>1.5499999523162842</v>
      </c>
      <c r="K410" t="s">
        <v>582</v>
      </c>
      <c r="L410">
        <v>1.0645849704742432</v>
      </c>
      <c r="M410">
        <v>24.124098382684348</v>
      </c>
      <c r="N410">
        <v>2.5471334681820412</v>
      </c>
      <c r="O410">
        <v>7.7659206071616786</v>
      </c>
      <c r="P410">
        <v>5.4840284959530825</v>
      </c>
      <c r="Q410">
        <v>157.69999999999999</v>
      </c>
      <c r="R410">
        <v>87.4</v>
      </c>
    </row>
    <row r="411" spans="1:18" x14ac:dyDescent="0.25">
      <c r="A411" t="s">
        <v>427</v>
      </c>
      <c r="B411">
        <v>0.85000002384185791</v>
      </c>
      <c r="C411" t="s">
        <v>527</v>
      </c>
      <c r="D411" t="s">
        <v>1653</v>
      </c>
      <c r="E411" t="s">
        <v>647</v>
      </c>
      <c r="F411" t="s">
        <v>647</v>
      </c>
      <c r="G411">
        <v>9444828914.7199993</v>
      </c>
      <c r="H411">
        <v>-12.634840000000001</v>
      </c>
      <c r="I411" t="s">
        <v>1654</v>
      </c>
      <c r="J411">
        <v>2.5699999332427979</v>
      </c>
      <c r="K411" t="s">
        <v>558</v>
      </c>
      <c r="L411">
        <v>0.72256487607955933</v>
      </c>
      <c r="M411">
        <v>23.783325946299001</v>
      </c>
      <c r="N411">
        <v>0.89661744275212651</v>
      </c>
      <c r="O411">
        <v>13.13279124111609</v>
      </c>
      <c r="P411">
        <v>3.7221701230949162</v>
      </c>
      <c r="Q411">
        <v>230.46</v>
      </c>
      <c r="R411">
        <v>164.63</v>
      </c>
    </row>
    <row r="412" spans="1:18" x14ac:dyDescent="0.25">
      <c r="A412" t="s">
        <v>428</v>
      </c>
      <c r="B412">
        <v>-0.87360000610351563</v>
      </c>
      <c r="C412" t="s">
        <v>632</v>
      </c>
      <c r="D412" t="s">
        <v>1655</v>
      </c>
      <c r="E412" t="s">
        <v>1220</v>
      </c>
      <c r="F412" t="s">
        <v>1229</v>
      </c>
      <c r="G412">
        <v>30614977920.52</v>
      </c>
      <c r="H412">
        <v>73.564620000000005</v>
      </c>
      <c r="I412" t="s">
        <v>1656</v>
      </c>
      <c r="J412">
        <v>5.4600000381469727</v>
      </c>
      <c r="K412" t="s">
        <v>552</v>
      </c>
      <c r="L412">
        <v>1.4516222476959229</v>
      </c>
      <c r="M412">
        <v>57.371119088509772</v>
      </c>
      <c r="N412">
        <v>1.6121387915936953</v>
      </c>
      <c r="O412">
        <v>-1.9210949839994325</v>
      </c>
      <c r="P412">
        <v>7.4777852332234378</v>
      </c>
      <c r="Q412">
        <v>168.52</v>
      </c>
      <c r="R412">
        <v>65.58</v>
      </c>
    </row>
    <row r="413" spans="1:18" x14ac:dyDescent="0.25">
      <c r="A413" t="s">
        <v>429</v>
      </c>
      <c r="B413">
        <v>0.79759997129440308</v>
      </c>
      <c r="C413" t="s">
        <v>570</v>
      </c>
      <c r="D413" t="s">
        <v>1657</v>
      </c>
      <c r="E413" t="s">
        <v>572</v>
      </c>
      <c r="F413" t="s">
        <v>1658</v>
      </c>
      <c r="G413">
        <v>59158432004.939995</v>
      </c>
      <c r="H413">
        <v>15.410959999999999</v>
      </c>
      <c r="I413" t="s">
        <v>1659</v>
      </c>
      <c r="J413">
        <v>5.25</v>
      </c>
      <c r="K413" t="s">
        <v>552</v>
      </c>
      <c r="L413">
        <v>0.58160394430160522</v>
      </c>
      <c r="M413">
        <v>17.900790900176649</v>
      </c>
      <c r="N413">
        <v>0.38510285915494979</v>
      </c>
      <c r="O413">
        <v>7.188509253308097</v>
      </c>
      <c r="P413">
        <v>2.9960338463991878</v>
      </c>
      <c r="Q413">
        <v>64.45</v>
      </c>
      <c r="R413">
        <v>43.33</v>
      </c>
    </row>
    <row r="414" spans="1:18" x14ac:dyDescent="0.25">
      <c r="A414" t="s">
        <v>430</v>
      </c>
      <c r="B414">
        <v>0.45629999041557312</v>
      </c>
      <c r="C414" t="s">
        <v>527</v>
      </c>
      <c r="D414" t="s">
        <v>1660</v>
      </c>
      <c r="E414" t="s">
        <v>1073</v>
      </c>
      <c r="F414" t="s">
        <v>1073</v>
      </c>
      <c r="G414">
        <v>23749734668.68</v>
      </c>
      <c r="H414">
        <v>12.329929999999999</v>
      </c>
      <c r="I414" t="s">
        <v>1661</v>
      </c>
      <c r="J414">
        <v>4.0199999809265137</v>
      </c>
      <c r="K414" t="s">
        <v>526</v>
      </c>
      <c r="L414">
        <v>1.1446536779403687</v>
      </c>
      <c r="M414">
        <v>27.156220171491825</v>
      </c>
      <c r="N414">
        <v>0.34485484379098619</v>
      </c>
      <c r="O414">
        <v>8.2269093742298587</v>
      </c>
      <c r="P414">
        <v>5.8964888307845591</v>
      </c>
      <c r="Q414">
        <v>27.96</v>
      </c>
      <c r="R414">
        <v>17.739999999999998</v>
      </c>
    </row>
    <row r="415" spans="1:18" x14ac:dyDescent="0.25">
      <c r="A415" t="s">
        <v>431</v>
      </c>
      <c r="B415">
        <v>0.72180002927780151</v>
      </c>
      <c r="C415" t="s">
        <v>537</v>
      </c>
      <c r="D415" t="s">
        <v>1662</v>
      </c>
      <c r="E415" t="s">
        <v>942</v>
      </c>
      <c r="F415" t="s">
        <v>943</v>
      </c>
      <c r="G415">
        <v>45399733660.199989</v>
      </c>
      <c r="H415">
        <v>12.262309999999999</v>
      </c>
      <c r="I415" t="s">
        <v>1663</v>
      </c>
      <c r="J415">
        <v>5.2399997711181641</v>
      </c>
      <c r="K415" t="s">
        <v>532</v>
      </c>
      <c r="L415">
        <v>0.82085496187210083</v>
      </c>
      <c r="M415">
        <v>32.162842137428335</v>
      </c>
      <c r="N415">
        <v>0.15774197322978042</v>
      </c>
      <c r="O415">
        <v>8.3791192607271991</v>
      </c>
      <c r="P415">
        <v>4.2284947907406085</v>
      </c>
      <c r="Q415">
        <v>49.24</v>
      </c>
      <c r="R415">
        <v>32.28</v>
      </c>
    </row>
    <row r="416" spans="1:18" x14ac:dyDescent="0.25">
      <c r="A416" t="s">
        <v>432</v>
      </c>
      <c r="B416">
        <v>-1.3105000257492065</v>
      </c>
      <c r="C416" t="s">
        <v>521</v>
      </c>
      <c r="D416" t="s">
        <v>1664</v>
      </c>
      <c r="E416" t="s">
        <v>1172</v>
      </c>
      <c r="F416" t="s">
        <v>1665</v>
      </c>
      <c r="G416">
        <v>11705816483.1</v>
      </c>
      <c r="H416">
        <v>50.122050000000002</v>
      </c>
      <c r="I416" t="s">
        <v>1666</v>
      </c>
      <c r="J416">
        <v>6.320000171661377</v>
      </c>
      <c r="K416" t="s">
        <v>558</v>
      </c>
      <c r="L416">
        <v>0.95425307750701904</v>
      </c>
      <c r="M416">
        <v>27.402479930916851</v>
      </c>
      <c r="N416">
        <v>0.61117560810614857</v>
      </c>
      <c r="O416">
        <v>-5.1774336562407592</v>
      </c>
      <c r="P416">
        <v>4.9156725057542321</v>
      </c>
      <c r="Q416">
        <v>38.21</v>
      </c>
      <c r="R416">
        <v>22.36</v>
      </c>
    </row>
    <row r="417" spans="1:18" x14ac:dyDescent="0.25">
      <c r="A417" t="s">
        <v>433</v>
      </c>
      <c r="B417">
        <v>-1.6484999656677246</v>
      </c>
      <c r="C417" t="s">
        <v>604</v>
      </c>
      <c r="D417" t="s">
        <v>1667</v>
      </c>
      <c r="E417" t="s">
        <v>822</v>
      </c>
      <c r="F417" t="s">
        <v>823</v>
      </c>
      <c r="G417">
        <v>23814828656.639999</v>
      </c>
      <c r="H417">
        <v>0.54204810000000003</v>
      </c>
      <c r="I417" t="s">
        <v>1668</v>
      </c>
      <c r="J417">
        <v>5.1599998474121094</v>
      </c>
      <c r="K417" t="s">
        <v>552</v>
      </c>
      <c r="L417">
        <v>1.364025354385376</v>
      </c>
      <c r="M417">
        <v>33.594853211049497</v>
      </c>
      <c r="N417">
        <v>1.073205101424866</v>
      </c>
      <c r="O417">
        <v>1.8665537408938959</v>
      </c>
      <c r="P417">
        <v>7.0265447288060185</v>
      </c>
      <c r="Q417">
        <v>207.69</v>
      </c>
      <c r="R417">
        <v>110.61</v>
      </c>
    </row>
    <row r="418" spans="1:18" x14ac:dyDescent="0.25">
      <c r="A418" t="s">
        <v>434</v>
      </c>
      <c r="B418">
        <v>-0.28960001468658447</v>
      </c>
      <c r="C418" t="s">
        <v>570</v>
      </c>
      <c r="D418" t="s">
        <v>1669</v>
      </c>
      <c r="E418" t="s">
        <v>642</v>
      </c>
      <c r="F418" t="s">
        <v>1670</v>
      </c>
      <c r="G418">
        <v>42266726538.299995</v>
      </c>
      <c r="H418" t="s">
        <v>559</v>
      </c>
      <c r="I418" t="s">
        <v>1671</v>
      </c>
      <c r="J418">
        <v>6.369999885559082</v>
      </c>
      <c r="K418" t="s">
        <v>631</v>
      </c>
      <c r="L418" t="s">
        <v>559</v>
      </c>
      <c r="M418">
        <v>16.684061045473602</v>
      </c>
      <c r="N418">
        <v>0.22568712780577188</v>
      </c>
      <c r="O418">
        <v>40.09645748836374</v>
      </c>
      <c r="P418">
        <v>2.181018850764334</v>
      </c>
      <c r="Q418">
        <v>144.22999999999999</v>
      </c>
      <c r="R418">
        <v>125.17</v>
      </c>
    </row>
    <row r="419" spans="1:18" x14ac:dyDescent="0.25">
      <c r="A419" t="s">
        <v>435</v>
      </c>
      <c r="B419">
        <v>-0.21389999985694885</v>
      </c>
      <c r="C419" t="s">
        <v>521</v>
      </c>
      <c r="D419" t="s">
        <v>1672</v>
      </c>
      <c r="E419" t="s">
        <v>1172</v>
      </c>
      <c r="F419" t="s">
        <v>1673</v>
      </c>
      <c r="G419">
        <v>15115535332.499998</v>
      </c>
      <c r="H419">
        <v>9.3530239999999996</v>
      </c>
      <c r="I419" t="s">
        <v>1674</v>
      </c>
      <c r="J419">
        <v>4.820000171661377</v>
      </c>
      <c r="K419" t="s">
        <v>582</v>
      </c>
      <c r="L419">
        <v>0.49854499101638794</v>
      </c>
      <c r="M419">
        <v>30.180046918895432</v>
      </c>
      <c r="N419">
        <v>0.87733730325288573</v>
      </c>
      <c r="O419">
        <v>3.3857371342652618</v>
      </c>
      <c r="P419">
        <v>2.5681697685724494</v>
      </c>
      <c r="Q419">
        <v>104.29</v>
      </c>
      <c r="R419">
        <v>67.34</v>
      </c>
    </row>
    <row r="420" spans="1:18" x14ac:dyDescent="0.25">
      <c r="A420" t="s">
        <v>436</v>
      </c>
      <c r="B420">
        <v>-1.0362999439239502</v>
      </c>
      <c r="C420" t="s">
        <v>537</v>
      </c>
      <c r="D420" t="s">
        <v>1675</v>
      </c>
      <c r="E420" t="s">
        <v>539</v>
      </c>
      <c r="F420" t="s">
        <v>1101</v>
      </c>
      <c r="G420">
        <v>6892141792</v>
      </c>
      <c r="H420">
        <v>-17.28021</v>
      </c>
      <c r="I420" t="s">
        <v>1676</v>
      </c>
      <c r="J420">
        <v>5.4499998092651367</v>
      </c>
      <c r="K420" t="s">
        <v>558</v>
      </c>
      <c r="L420">
        <v>0.86025035381317139</v>
      </c>
      <c r="M420">
        <v>46.386781732145025</v>
      </c>
      <c r="N420">
        <v>0.52772628532298194</v>
      </c>
      <c r="O420">
        <v>6.2189364079013005</v>
      </c>
      <c r="P420">
        <v>4.4314334551084036</v>
      </c>
      <c r="Q420">
        <v>33.380000000000003</v>
      </c>
      <c r="R420">
        <v>13.585000000000001</v>
      </c>
    </row>
    <row r="421" spans="1:18" x14ac:dyDescent="0.25">
      <c r="A421" t="s">
        <v>437</v>
      </c>
      <c r="B421">
        <v>0</v>
      </c>
      <c r="C421" t="s">
        <v>547</v>
      </c>
      <c r="D421" t="s">
        <v>1677</v>
      </c>
      <c r="E421" t="s">
        <v>613</v>
      </c>
      <c r="F421" t="s">
        <v>1678</v>
      </c>
      <c r="G421">
        <v>21013355854</v>
      </c>
      <c r="H421">
        <v>13.32084</v>
      </c>
      <c r="I421" t="s">
        <v>1679</v>
      </c>
      <c r="J421">
        <v>4.3000001907348633</v>
      </c>
      <c r="K421" t="s">
        <v>532</v>
      </c>
      <c r="L421">
        <v>0.84561765193939209</v>
      </c>
      <c r="M421">
        <v>22.953762760690815</v>
      </c>
      <c r="N421">
        <v>0.96313205263562696</v>
      </c>
      <c r="O421">
        <v>11.793268246490882</v>
      </c>
      <c r="P421">
        <v>4.3560555789649484</v>
      </c>
      <c r="Q421">
        <v>202.62</v>
      </c>
      <c r="R421">
        <v>124</v>
      </c>
    </row>
    <row r="422" spans="1:18" x14ac:dyDescent="0.25">
      <c r="A422" t="s">
        <v>438</v>
      </c>
      <c r="B422">
        <v>0.45550000667572021</v>
      </c>
      <c r="C422" t="s">
        <v>533</v>
      </c>
      <c r="D422" t="s">
        <v>1569</v>
      </c>
      <c r="E422" t="s">
        <v>822</v>
      </c>
      <c r="F422" t="s">
        <v>1570</v>
      </c>
      <c r="G422">
        <v>2341587070000.0005</v>
      </c>
      <c r="H422">
        <v>1.911362</v>
      </c>
      <c r="I422" t="s">
        <v>1571</v>
      </c>
      <c r="J422">
        <v>4.2899999618530273</v>
      </c>
      <c r="K422" t="s">
        <v>582</v>
      </c>
      <c r="L422">
        <v>1.0321118831634521</v>
      </c>
      <c r="M422">
        <v>29.008873003665737</v>
      </c>
      <c r="N422">
        <v>14.019551362799263</v>
      </c>
      <c r="O422">
        <v>-0.29046080934273255</v>
      </c>
      <c r="P422">
        <v>5.3803842232990267</v>
      </c>
      <c r="Q422">
        <v>208.7</v>
      </c>
      <c r="R422">
        <v>142.69</v>
      </c>
    </row>
    <row r="423" spans="1:18" x14ac:dyDescent="0.25">
      <c r="A423" t="s">
        <v>439</v>
      </c>
      <c r="B423">
        <v>1.2201999425888062</v>
      </c>
      <c r="C423" t="s">
        <v>533</v>
      </c>
      <c r="D423" t="s">
        <v>1680</v>
      </c>
      <c r="E423" t="s">
        <v>1650</v>
      </c>
      <c r="F423" t="s">
        <v>1681</v>
      </c>
      <c r="G423">
        <v>33653928904</v>
      </c>
      <c r="H423">
        <v>19.660830000000001</v>
      </c>
      <c r="I423" t="s">
        <v>1682</v>
      </c>
      <c r="J423">
        <v>1.7100000381469727</v>
      </c>
      <c r="K423" t="s">
        <v>558</v>
      </c>
      <c r="L423">
        <v>0.8031914234161377</v>
      </c>
      <c r="M423">
        <v>26.53502828480908</v>
      </c>
      <c r="N423">
        <v>0.84418291966711634</v>
      </c>
      <c r="O423">
        <v>-1.5802301968190098</v>
      </c>
      <c r="P423">
        <v>4.1375040751862526</v>
      </c>
      <c r="Q423">
        <v>182.6</v>
      </c>
      <c r="R423">
        <v>103.75</v>
      </c>
    </row>
    <row r="424" spans="1:18" x14ac:dyDescent="0.25">
      <c r="A424" t="s">
        <v>440</v>
      </c>
      <c r="B424">
        <v>2.5453999042510986</v>
      </c>
      <c r="C424" t="s">
        <v>542</v>
      </c>
      <c r="D424" t="s">
        <v>1683</v>
      </c>
      <c r="E424" t="s">
        <v>744</v>
      </c>
      <c r="F424" t="s">
        <v>1684</v>
      </c>
      <c r="G424">
        <v>19874546848.279999</v>
      </c>
      <c r="H424">
        <v>5.1520619999999999</v>
      </c>
      <c r="I424" t="s">
        <v>1685</v>
      </c>
      <c r="J424">
        <v>5.5399999618530273</v>
      </c>
      <c r="K424" t="s">
        <v>532</v>
      </c>
      <c r="L424">
        <v>1.079703688621521</v>
      </c>
      <c r="M424">
        <v>82.992099131238547</v>
      </c>
      <c r="N424">
        <v>0.5330436525882446</v>
      </c>
      <c r="O424">
        <v>16.238544608671429</v>
      </c>
      <c r="P424">
        <v>5.5619100023066999</v>
      </c>
      <c r="Q424">
        <v>262.58999999999997</v>
      </c>
      <c r="R424">
        <v>116.59</v>
      </c>
    </row>
    <row r="425" spans="1:18" x14ac:dyDescent="0.25">
      <c r="A425" t="s">
        <v>441</v>
      </c>
      <c r="B425">
        <v>0.86729997396469116</v>
      </c>
      <c r="C425" t="s">
        <v>527</v>
      </c>
      <c r="D425" t="s">
        <v>1686</v>
      </c>
      <c r="E425" t="s">
        <v>584</v>
      </c>
      <c r="F425" t="s">
        <v>585</v>
      </c>
      <c r="G425">
        <v>707698139697.82813</v>
      </c>
      <c r="H425">
        <v>12.973039999999999</v>
      </c>
      <c r="I425" t="s">
        <v>1687</v>
      </c>
      <c r="J425">
        <v>6.119999885559082</v>
      </c>
      <c r="K425" t="s">
        <v>532</v>
      </c>
      <c r="L425">
        <v>0.83889931440353394</v>
      </c>
      <c r="M425">
        <v>21.598314856523878</v>
      </c>
      <c r="N425">
        <v>3.9588833332846289E-2</v>
      </c>
      <c r="O425">
        <v>-1.7655427659009792</v>
      </c>
      <c r="P425">
        <v>4.321447205266356</v>
      </c>
      <c r="Q425">
        <v>375.51</v>
      </c>
      <c r="R425">
        <v>254.51</v>
      </c>
    </row>
    <row r="426" spans="1:18" x14ac:dyDescent="0.25">
      <c r="A426" t="s">
        <v>442</v>
      </c>
      <c r="B426">
        <v>-1.9799999892711639E-2</v>
      </c>
      <c r="C426" t="s">
        <v>587</v>
      </c>
      <c r="D426" t="s">
        <v>1688</v>
      </c>
      <c r="E426" t="s">
        <v>800</v>
      </c>
      <c r="F426" t="s">
        <v>801</v>
      </c>
      <c r="G426">
        <v>17751802328.099998</v>
      </c>
      <c r="H426">
        <v>-1.889116</v>
      </c>
      <c r="I426" t="s">
        <v>1689</v>
      </c>
      <c r="J426">
        <v>4.9800000190734863</v>
      </c>
      <c r="K426" t="s">
        <v>552</v>
      </c>
      <c r="L426">
        <v>0.72610938549041748</v>
      </c>
      <c r="M426">
        <v>18.869024840354918</v>
      </c>
      <c r="N426">
        <v>0.69037104872212596</v>
      </c>
      <c r="O426">
        <v>1.4820480225624761</v>
      </c>
      <c r="P426">
        <v>3.7404290607583519</v>
      </c>
      <c r="Q426">
        <v>173.21</v>
      </c>
      <c r="R426">
        <v>139.6</v>
      </c>
    </row>
    <row r="427" spans="1:18" x14ac:dyDescent="0.25">
      <c r="A427" t="s">
        <v>443</v>
      </c>
      <c r="B427">
        <v>1.0133999586105347</v>
      </c>
      <c r="C427" t="s">
        <v>547</v>
      </c>
      <c r="D427" t="s">
        <v>1690</v>
      </c>
      <c r="E427" t="s">
        <v>1022</v>
      </c>
      <c r="F427" t="s">
        <v>1691</v>
      </c>
      <c r="G427">
        <v>32261043528.269997</v>
      </c>
      <c r="H427">
        <v>14.26479</v>
      </c>
      <c r="I427" t="s">
        <v>1692</v>
      </c>
      <c r="J427">
        <v>6.5100002288818359</v>
      </c>
      <c r="K427" t="s">
        <v>631</v>
      </c>
      <c r="L427">
        <v>1.1251338720321655</v>
      </c>
      <c r="M427">
        <v>17.124181483548952</v>
      </c>
      <c r="N427">
        <v>0.35396238355297494</v>
      </c>
      <c r="O427">
        <v>2.1147982530597536</v>
      </c>
      <c r="P427">
        <v>5.7959358690154552</v>
      </c>
      <c r="Q427">
        <v>143.5</v>
      </c>
      <c r="R427">
        <v>100.72</v>
      </c>
    </row>
    <row r="428" spans="1:18" x14ac:dyDescent="0.25">
      <c r="A428" t="s">
        <v>444</v>
      </c>
      <c r="B428">
        <v>0.1518000066280365</v>
      </c>
      <c r="C428" t="s">
        <v>537</v>
      </c>
      <c r="D428" t="s">
        <v>1693</v>
      </c>
      <c r="E428" t="s">
        <v>594</v>
      </c>
      <c r="F428" t="s">
        <v>1493</v>
      </c>
      <c r="G428">
        <v>52708676469.959999</v>
      </c>
      <c r="H428">
        <v>22.989249999999998</v>
      </c>
      <c r="I428" t="s">
        <v>1694</v>
      </c>
      <c r="J428">
        <v>5.5</v>
      </c>
      <c r="K428" t="s">
        <v>526</v>
      </c>
      <c r="L428">
        <v>0.91813802719116211</v>
      </c>
      <c r="M428">
        <v>25.967901889220911</v>
      </c>
      <c r="N428">
        <v>0.32355008759372128</v>
      </c>
      <c r="O428">
        <v>3.8076271881899486</v>
      </c>
      <c r="P428">
        <v>4.7296319636106485</v>
      </c>
      <c r="Q428">
        <v>183.31</v>
      </c>
      <c r="R428">
        <v>115.29</v>
      </c>
    </row>
    <row r="429" spans="1:18" x14ac:dyDescent="0.25">
      <c r="A429" t="s">
        <v>445</v>
      </c>
      <c r="B429">
        <v>-1.6899999231100082E-2</v>
      </c>
      <c r="C429" t="s">
        <v>604</v>
      </c>
      <c r="D429" t="s">
        <v>1695</v>
      </c>
      <c r="E429" t="s">
        <v>606</v>
      </c>
      <c r="F429" t="s">
        <v>1696</v>
      </c>
      <c r="G429">
        <v>31456940014.890003</v>
      </c>
      <c r="H429">
        <v>11.81681</v>
      </c>
      <c r="I429" t="s">
        <v>1697</v>
      </c>
      <c r="J429">
        <v>6.4099998474121094</v>
      </c>
      <c r="K429" t="s">
        <v>631</v>
      </c>
      <c r="L429">
        <v>0.78247463703155518</v>
      </c>
      <c r="M429">
        <v>25.748769427763889</v>
      </c>
      <c r="N429">
        <v>0.34629766887355762</v>
      </c>
      <c r="O429">
        <v>-0.49622880938732566</v>
      </c>
      <c r="P429">
        <v>4.0307850719797607</v>
      </c>
      <c r="Q429">
        <v>63.96</v>
      </c>
      <c r="R429">
        <v>46.87</v>
      </c>
    </row>
    <row r="430" spans="1:18" x14ac:dyDescent="0.25">
      <c r="A430" t="s">
        <v>446</v>
      </c>
      <c r="B430">
        <v>2.6831998825073242</v>
      </c>
      <c r="C430" t="s">
        <v>542</v>
      </c>
      <c r="D430" t="s">
        <v>1698</v>
      </c>
      <c r="E430" t="s">
        <v>544</v>
      </c>
      <c r="F430" t="s">
        <v>1527</v>
      </c>
      <c r="G430">
        <v>269915156341.64999</v>
      </c>
      <c r="H430">
        <v>37.817700000000002</v>
      </c>
      <c r="I430" t="s">
        <v>1699</v>
      </c>
      <c r="J430">
        <v>6.9200000762939453</v>
      </c>
      <c r="K430" t="s">
        <v>532</v>
      </c>
      <c r="L430">
        <v>1.7535936832427979</v>
      </c>
      <c r="M430">
        <v>41.426525227712617</v>
      </c>
      <c r="N430">
        <v>0.5901616746967443</v>
      </c>
      <c r="O430">
        <v>0.43706142318913144</v>
      </c>
      <c r="P430">
        <v>9.033339748299122</v>
      </c>
      <c r="Q430">
        <v>174.04</v>
      </c>
      <c r="R430">
        <v>76.489999999999995</v>
      </c>
    </row>
    <row r="431" spans="1:18" x14ac:dyDescent="0.25">
      <c r="A431" t="s">
        <v>447</v>
      </c>
      <c r="B431">
        <v>0.60689997673034668</v>
      </c>
      <c r="C431" t="s">
        <v>553</v>
      </c>
      <c r="D431" t="s">
        <v>1700</v>
      </c>
      <c r="E431" t="s">
        <v>555</v>
      </c>
      <c r="F431" t="s">
        <v>768</v>
      </c>
      <c r="G431">
        <v>40345995108.840004</v>
      </c>
      <c r="H431">
        <v>20.320080000000001</v>
      </c>
      <c r="I431" t="s">
        <v>1701</v>
      </c>
      <c r="J431">
        <v>5.5300002098083496</v>
      </c>
      <c r="K431" t="s">
        <v>526</v>
      </c>
      <c r="L431">
        <v>1.0617961883544922</v>
      </c>
      <c r="M431">
        <v>13.974215849410568</v>
      </c>
      <c r="N431">
        <v>0.76171029425605308</v>
      </c>
      <c r="O431">
        <v>-1.9450953708869418</v>
      </c>
      <c r="P431">
        <v>5.4696625589561458</v>
      </c>
      <c r="Q431">
        <v>275.77999999999997</v>
      </c>
      <c r="R431">
        <v>198.98</v>
      </c>
    </row>
    <row r="432" spans="1:18" x14ac:dyDescent="0.25">
      <c r="A432" t="s">
        <v>448</v>
      </c>
      <c r="B432">
        <v>0.25699999928474426</v>
      </c>
      <c r="C432" t="s">
        <v>553</v>
      </c>
      <c r="D432" t="s">
        <v>1702</v>
      </c>
      <c r="E432" t="s">
        <v>844</v>
      </c>
      <c r="F432" t="s">
        <v>1180</v>
      </c>
      <c r="G432">
        <v>26269233676.139996</v>
      </c>
      <c r="H432">
        <v>3.2941569999999998</v>
      </c>
      <c r="I432" t="s">
        <v>1703</v>
      </c>
      <c r="J432">
        <v>6.929999828338623</v>
      </c>
      <c r="K432" t="s">
        <v>631</v>
      </c>
      <c r="L432">
        <v>1.0938820838928223</v>
      </c>
      <c r="M432">
        <v>36.514468130353215</v>
      </c>
      <c r="N432">
        <v>1.5767709725210137</v>
      </c>
      <c r="O432">
        <v>0.1583231197601313</v>
      </c>
      <c r="P432">
        <v>5.6349475952196117</v>
      </c>
      <c r="Q432">
        <v>1532.67</v>
      </c>
      <c r="R432">
        <v>950.44</v>
      </c>
    </row>
    <row r="433" spans="1:18" x14ac:dyDescent="0.25">
      <c r="A433" t="s">
        <v>449</v>
      </c>
      <c r="B433">
        <v>-8.9800000190734863E-2</v>
      </c>
      <c r="C433" t="s">
        <v>587</v>
      </c>
      <c r="D433" t="s">
        <v>1704</v>
      </c>
      <c r="E433" t="s">
        <v>1705</v>
      </c>
      <c r="F433" t="s">
        <v>1705</v>
      </c>
      <c r="G433">
        <v>35272731052.239998</v>
      </c>
      <c r="H433">
        <v>14.27594</v>
      </c>
      <c r="I433" t="s">
        <v>1706</v>
      </c>
      <c r="J433">
        <v>4.0199999809265137</v>
      </c>
      <c r="K433" t="s">
        <v>526</v>
      </c>
      <c r="L433">
        <v>0.59410107135772705</v>
      </c>
      <c r="M433">
        <v>15.233859681422823</v>
      </c>
      <c r="N433">
        <v>0.28163826543503706</v>
      </c>
      <c r="O433">
        <v>11.892718220652826</v>
      </c>
      <c r="P433">
        <v>3.0604106719171997</v>
      </c>
      <c r="Q433">
        <v>34.29</v>
      </c>
      <c r="R433">
        <v>27.99</v>
      </c>
    </row>
    <row r="434" spans="1:18" x14ac:dyDescent="0.25">
      <c r="A434" t="s">
        <v>450</v>
      </c>
      <c r="B434">
        <v>0.90770000219345093</v>
      </c>
      <c r="C434" t="s">
        <v>547</v>
      </c>
      <c r="D434" t="s">
        <v>1707</v>
      </c>
      <c r="E434" t="s">
        <v>1708</v>
      </c>
      <c r="F434" t="s">
        <v>1709</v>
      </c>
      <c r="G434">
        <v>45146251831.660004</v>
      </c>
      <c r="H434">
        <v>-18.644359999999999</v>
      </c>
      <c r="I434" t="s">
        <v>1710</v>
      </c>
      <c r="J434">
        <v>3.869999885559082</v>
      </c>
      <c r="K434" t="s">
        <v>526</v>
      </c>
      <c r="L434">
        <v>0.99207174777984619</v>
      </c>
      <c r="M434">
        <v>30.308264008348051</v>
      </c>
      <c r="N434">
        <v>8.6006881322676705</v>
      </c>
      <c r="O434">
        <v>3.0897015401477167E-2</v>
      </c>
      <c r="P434">
        <v>5.1104889564907552</v>
      </c>
      <c r="Q434">
        <v>64.38</v>
      </c>
      <c r="R434">
        <v>45.52</v>
      </c>
    </row>
    <row r="435" spans="1:18" x14ac:dyDescent="0.25">
      <c r="A435" t="s">
        <v>451</v>
      </c>
      <c r="B435">
        <v>0.92869997024536133</v>
      </c>
      <c r="C435" t="s">
        <v>547</v>
      </c>
      <c r="D435" t="s">
        <v>1711</v>
      </c>
      <c r="E435" t="s">
        <v>1712</v>
      </c>
      <c r="F435" t="s">
        <v>1712</v>
      </c>
      <c r="G435">
        <v>17236404881.699997</v>
      </c>
      <c r="H435">
        <v>8.4632280000000009</v>
      </c>
      <c r="I435" t="s">
        <v>1713</v>
      </c>
      <c r="J435">
        <v>5.4699997901916504</v>
      </c>
      <c r="K435" t="s">
        <v>631</v>
      </c>
      <c r="L435">
        <v>0.810538649559021</v>
      </c>
      <c r="M435">
        <v>23.973887712667974</v>
      </c>
      <c r="N435">
        <v>1.2643700449914361</v>
      </c>
      <c r="O435">
        <v>0.82566907666557376</v>
      </c>
      <c r="P435">
        <v>4.1753520616328714</v>
      </c>
      <c r="Q435">
        <v>148.87549999999999</v>
      </c>
      <c r="R435">
        <v>105.3145</v>
      </c>
    </row>
    <row r="436" spans="1:18" x14ac:dyDescent="0.25">
      <c r="A436" t="s">
        <v>452</v>
      </c>
      <c r="B436">
        <v>-0.52270001173019409</v>
      </c>
      <c r="C436" t="s">
        <v>521</v>
      </c>
      <c r="D436" t="s">
        <v>1714</v>
      </c>
      <c r="E436" t="s">
        <v>740</v>
      </c>
      <c r="F436" t="s">
        <v>740</v>
      </c>
      <c r="G436">
        <v>9852924938.3599987</v>
      </c>
      <c r="H436">
        <v>-2.718404</v>
      </c>
      <c r="I436" t="s">
        <v>1715</v>
      </c>
      <c r="J436">
        <v>5.7199997901916504</v>
      </c>
      <c r="K436" t="s">
        <v>558</v>
      </c>
      <c r="L436">
        <v>1.3835728168487549</v>
      </c>
      <c r="M436">
        <v>53.914868003774487</v>
      </c>
      <c r="N436">
        <v>0.54245283692373591</v>
      </c>
      <c r="O436">
        <v>21.779294335752155</v>
      </c>
      <c r="P436">
        <v>7.1272401586174965</v>
      </c>
      <c r="Q436">
        <v>113.83</v>
      </c>
      <c r="R436">
        <v>49.48</v>
      </c>
    </row>
    <row r="437" spans="1:18" x14ac:dyDescent="0.25">
      <c r="A437" t="s">
        <v>453</v>
      </c>
      <c r="B437">
        <v>4.7699999064207077E-2</v>
      </c>
      <c r="C437" t="s">
        <v>542</v>
      </c>
      <c r="D437" t="s">
        <v>1716</v>
      </c>
      <c r="E437" t="s">
        <v>672</v>
      </c>
      <c r="F437" t="s">
        <v>1349</v>
      </c>
      <c r="G437">
        <v>80230952917.919983</v>
      </c>
      <c r="H437">
        <v>10.94411</v>
      </c>
      <c r="I437" t="s">
        <v>1717</v>
      </c>
      <c r="J437">
        <v>4.0799999237060547</v>
      </c>
      <c r="K437" t="s">
        <v>582</v>
      </c>
      <c r="L437">
        <v>1.1752235889434814</v>
      </c>
      <c r="M437">
        <v>35.773216851656557</v>
      </c>
      <c r="N437">
        <v>15.300012607514994</v>
      </c>
      <c r="O437">
        <v>-3.0063698232493397</v>
      </c>
      <c r="P437">
        <v>6.053964530432224</v>
      </c>
      <c r="Q437">
        <v>114.82</v>
      </c>
      <c r="R437">
        <v>54.57</v>
      </c>
    </row>
    <row r="438" spans="1:18" x14ac:dyDescent="0.25">
      <c r="A438" t="s">
        <v>454</v>
      </c>
      <c r="B438">
        <v>0.41159999370574951</v>
      </c>
      <c r="C438" t="s">
        <v>553</v>
      </c>
      <c r="D438" t="s">
        <v>1718</v>
      </c>
      <c r="E438" t="s">
        <v>1238</v>
      </c>
      <c r="F438" t="s">
        <v>1238</v>
      </c>
      <c r="G438">
        <v>13207233153</v>
      </c>
      <c r="H438">
        <v>-17.86917</v>
      </c>
      <c r="I438" t="s">
        <v>1719</v>
      </c>
      <c r="J438">
        <v>6.0500001907348633</v>
      </c>
      <c r="K438" t="s">
        <v>558</v>
      </c>
      <c r="L438">
        <v>1.1589609384536743</v>
      </c>
      <c r="M438">
        <v>61.426059204580397</v>
      </c>
      <c r="N438">
        <v>5.5441762436850635</v>
      </c>
      <c r="O438">
        <v>1.0438145860245651</v>
      </c>
      <c r="P438">
        <v>5.9701902510845661</v>
      </c>
      <c r="Q438">
        <v>125.59</v>
      </c>
      <c r="R438">
        <v>23.155000000000001</v>
      </c>
    </row>
    <row r="439" spans="1:18" x14ac:dyDescent="0.25">
      <c r="A439" t="s">
        <v>455</v>
      </c>
      <c r="B439">
        <v>-0.12179999798536301</v>
      </c>
      <c r="C439" t="s">
        <v>587</v>
      </c>
      <c r="D439" t="s">
        <v>1720</v>
      </c>
      <c r="E439" t="s">
        <v>800</v>
      </c>
      <c r="F439" t="s">
        <v>801</v>
      </c>
      <c r="G439">
        <v>18482408909.619999</v>
      </c>
      <c r="H439">
        <v>0.56754400000000005</v>
      </c>
      <c r="I439" t="s">
        <v>1721</v>
      </c>
      <c r="J439">
        <v>6.320000171661377</v>
      </c>
      <c r="K439" t="s">
        <v>715</v>
      </c>
      <c r="L439">
        <v>0.84456336498260498</v>
      </c>
      <c r="M439">
        <v>20.76670108460803</v>
      </c>
      <c r="N439">
        <v>0.82199661474892205</v>
      </c>
      <c r="O439">
        <v>4.6129031620436169</v>
      </c>
      <c r="P439">
        <v>4.3506245989358421</v>
      </c>
      <c r="Q439">
        <v>316.81</v>
      </c>
      <c r="R439">
        <v>247.65</v>
      </c>
    </row>
    <row r="440" spans="1:18" x14ac:dyDescent="0.25">
      <c r="A440" t="s">
        <v>456</v>
      </c>
      <c r="B440">
        <v>1.080000028014183E-2</v>
      </c>
      <c r="C440" t="s">
        <v>587</v>
      </c>
      <c r="D440" t="s">
        <v>1722</v>
      </c>
      <c r="E440" t="s">
        <v>1627</v>
      </c>
      <c r="F440" t="s">
        <v>1627</v>
      </c>
      <c r="G440">
        <v>39386774155.139999</v>
      </c>
      <c r="H440">
        <v>29.864509999999999</v>
      </c>
      <c r="I440" t="s">
        <v>1723</v>
      </c>
      <c r="J440">
        <v>3.7300000190734863</v>
      </c>
      <c r="K440" t="s">
        <v>526</v>
      </c>
      <c r="L440">
        <v>0.99758613109588623</v>
      </c>
      <c r="M440">
        <v>25.360278492789224</v>
      </c>
      <c r="N440">
        <v>1.3303771293500488</v>
      </c>
      <c r="O440">
        <v>15.118789124794668</v>
      </c>
      <c r="P440">
        <v>5.138895364698171</v>
      </c>
      <c r="Q440">
        <v>93.74</v>
      </c>
      <c r="R440">
        <v>68.260000000000005</v>
      </c>
    </row>
    <row r="441" spans="1:18" x14ac:dyDescent="0.25">
      <c r="A441" t="s">
        <v>457</v>
      </c>
      <c r="B441">
        <v>-0.20679999887943268</v>
      </c>
      <c r="C441" t="s">
        <v>587</v>
      </c>
      <c r="D441" t="s">
        <v>1724</v>
      </c>
      <c r="E441" t="s">
        <v>870</v>
      </c>
      <c r="F441" t="s">
        <v>1725</v>
      </c>
      <c r="G441">
        <v>52288328931.299995</v>
      </c>
      <c r="H441">
        <v>8.4066659999999995</v>
      </c>
      <c r="I441" t="s">
        <v>1726</v>
      </c>
      <c r="J441">
        <v>5.0399999618530273</v>
      </c>
      <c r="K441" t="s">
        <v>552</v>
      </c>
      <c r="L441">
        <v>0.49249637126922607</v>
      </c>
      <c r="M441">
        <v>16.555583065709946</v>
      </c>
      <c r="N441">
        <v>0.13345762650680187</v>
      </c>
      <c r="O441">
        <v>25.976155833730523</v>
      </c>
      <c r="P441">
        <v>2.5370113322103021</v>
      </c>
      <c r="Q441">
        <v>64.87</v>
      </c>
      <c r="R441">
        <v>50.72</v>
      </c>
    </row>
    <row r="442" spans="1:18" x14ac:dyDescent="0.25">
      <c r="A442" t="s">
        <v>458</v>
      </c>
      <c r="B442">
        <v>-1.7388999462127686</v>
      </c>
      <c r="C442" t="s">
        <v>547</v>
      </c>
      <c r="D442" t="s">
        <v>1727</v>
      </c>
      <c r="E442" t="s">
        <v>1728</v>
      </c>
      <c r="F442" t="s">
        <v>1728</v>
      </c>
      <c r="G442">
        <v>33713676036.169998</v>
      </c>
      <c r="H442">
        <v>4.0192009999999998</v>
      </c>
      <c r="I442" t="s">
        <v>1729</v>
      </c>
      <c r="J442">
        <v>4.630000114440918</v>
      </c>
      <c r="K442" t="s">
        <v>582</v>
      </c>
      <c r="L442">
        <v>1.107100248336792</v>
      </c>
      <c r="M442">
        <v>22.374253990926977</v>
      </c>
      <c r="N442">
        <v>1.0970375167004769</v>
      </c>
      <c r="O442">
        <v>3.2217783941539411</v>
      </c>
      <c r="P442">
        <v>5.7030387222647665</v>
      </c>
      <c r="Q442">
        <v>216.08</v>
      </c>
      <c r="R442">
        <v>147.66</v>
      </c>
    </row>
    <row r="443" spans="1:18" x14ac:dyDescent="0.25">
      <c r="A443" t="s">
        <v>459</v>
      </c>
      <c r="B443">
        <v>2.5441999435424805</v>
      </c>
      <c r="C443" t="s">
        <v>542</v>
      </c>
      <c r="D443" t="s">
        <v>1730</v>
      </c>
      <c r="E443" t="s">
        <v>757</v>
      </c>
      <c r="F443" t="s">
        <v>807</v>
      </c>
      <c r="G443">
        <v>374754088643.59998</v>
      </c>
      <c r="H443">
        <v>109.9696</v>
      </c>
      <c r="I443" t="s">
        <v>1731</v>
      </c>
      <c r="J443">
        <v>2.6800000667572021</v>
      </c>
      <c r="K443" t="s">
        <v>552</v>
      </c>
      <c r="L443" t="s">
        <v>559</v>
      </c>
      <c r="M443">
        <v>59.270084245660804</v>
      </c>
      <c r="N443">
        <v>3.5937136142641366</v>
      </c>
      <c r="O443">
        <v>0.35006000900039375</v>
      </c>
      <c r="P443">
        <v>9.9036923713195311</v>
      </c>
      <c r="Q443">
        <v>160.38</v>
      </c>
      <c r="R443">
        <v>63.42</v>
      </c>
    </row>
    <row r="444" spans="1:18" x14ac:dyDescent="0.25">
      <c r="A444" t="s">
        <v>460</v>
      </c>
      <c r="B444">
        <v>-0.44130000472068787</v>
      </c>
      <c r="C444" t="s">
        <v>604</v>
      </c>
      <c r="D444" t="s">
        <v>1732</v>
      </c>
      <c r="E444" t="s">
        <v>1733</v>
      </c>
      <c r="F444" t="s">
        <v>1733</v>
      </c>
      <c r="G444">
        <v>12214587558.599998</v>
      </c>
      <c r="H444">
        <v>-4.7046409999999996</v>
      </c>
      <c r="I444" t="s">
        <v>1734</v>
      </c>
      <c r="J444">
        <v>6.4600000381469727</v>
      </c>
      <c r="K444" t="s">
        <v>532</v>
      </c>
      <c r="L444">
        <v>0.86505550146102905</v>
      </c>
      <c r="M444">
        <v>32.391615519935947</v>
      </c>
      <c r="N444">
        <v>3.1312909114558329</v>
      </c>
      <c r="O444">
        <v>2.5646253169188951</v>
      </c>
      <c r="P444">
        <v>4.4561863563412425</v>
      </c>
      <c r="Q444">
        <v>395.23500000000001</v>
      </c>
      <c r="R444">
        <v>282.38</v>
      </c>
    </row>
    <row r="445" spans="1:18" x14ac:dyDescent="0.25">
      <c r="A445" t="s">
        <v>461</v>
      </c>
      <c r="B445">
        <v>-0.28979998826980591</v>
      </c>
      <c r="C445" t="s">
        <v>542</v>
      </c>
      <c r="D445" t="s">
        <v>1735</v>
      </c>
      <c r="E445" t="s">
        <v>601</v>
      </c>
      <c r="F445" t="s">
        <v>1736</v>
      </c>
      <c r="G445">
        <v>24009809079.299999</v>
      </c>
      <c r="H445">
        <v>52.736960000000003</v>
      </c>
      <c r="I445" t="s">
        <v>1737</v>
      </c>
      <c r="J445">
        <v>4.9499998092651367</v>
      </c>
      <c r="K445" t="s">
        <v>631</v>
      </c>
      <c r="L445">
        <v>1.8017758131027222</v>
      </c>
      <c r="M445">
        <v>26.085187585890097</v>
      </c>
      <c r="N445">
        <v>0.87845822498612702</v>
      </c>
      <c r="O445">
        <v>19.605826779520257</v>
      </c>
      <c r="P445">
        <v>9.2815417993104461</v>
      </c>
      <c r="Q445">
        <v>69.69</v>
      </c>
      <c r="R445">
        <v>28.84</v>
      </c>
    </row>
    <row r="446" spans="1:18" x14ac:dyDescent="0.25">
      <c r="A446" t="s">
        <v>462</v>
      </c>
      <c r="B446">
        <v>-0.73350000381469727</v>
      </c>
      <c r="C446" t="s">
        <v>570</v>
      </c>
      <c r="D446" t="s">
        <v>1738</v>
      </c>
      <c r="E446" t="s">
        <v>572</v>
      </c>
      <c r="F446" t="s">
        <v>572</v>
      </c>
      <c r="G446">
        <v>196394124913.79999</v>
      </c>
      <c r="H446">
        <v>-5.6622370000000002</v>
      </c>
      <c r="I446" t="s">
        <v>1739</v>
      </c>
      <c r="J446">
        <v>5.7899999618530273</v>
      </c>
      <c r="K446" t="s">
        <v>526</v>
      </c>
      <c r="L446">
        <v>0.4467988908290863</v>
      </c>
      <c r="M446">
        <v>23.777896342911443</v>
      </c>
      <c r="N446">
        <v>0.20319398280009088</v>
      </c>
      <c r="O446">
        <v>3.523679125709593</v>
      </c>
      <c r="P446">
        <v>2.301608530294597</v>
      </c>
      <c r="Q446">
        <v>180.91</v>
      </c>
      <c r="R446">
        <v>127.63</v>
      </c>
    </row>
    <row r="447" spans="1:18" x14ac:dyDescent="0.25">
      <c r="A447" t="s">
        <v>463</v>
      </c>
      <c r="B447">
        <v>1.1964999437332153</v>
      </c>
      <c r="C447" t="s">
        <v>542</v>
      </c>
      <c r="D447" t="s">
        <v>1740</v>
      </c>
      <c r="E447" t="s">
        <v>1019</v>
      </c>
      <c r="F447" t="s">
        <v>1019</v>
      </c>
      <c r="G447">
        <v>61477879017.459999</v>
      </c>
      <c r="H447">
        <v>45.527030000000003</v>
      </c>
      <c r="I447" t="s">
        <v>1741</v>
      </c>
      <c r="J447">
        <v>4.7899999618530273</v>
      </c>
      <c r="K447" t="s">
        <v>526</v>
      </c>
      <c r="L447">
        <v>1.2186510562896729</v>
      </c>
      <c r="M447">
        <v>29.874848826118395</v>
      </c>
      <c r="N447">
        <v>0.19120054216592239</v>
      </c>
      <c r="O447">
        <v>-0.84495225909341409</v>
      </c>
      <c r="P447">
        <v>9.7403593702693811</v>
      </c>
      <c r="Q447">
        <v>208.15</v>
      </c>
      <c r="R447">
        <v>116.38</v>
      </c>
    </row>
    <row r="448" spans="1:18" x14ac:dyDescent="0.25">
      <c r="A448" t="s">
        <v>464</v>
      </c>
      <c r="B448">
        <v>-0.4749000072479248</v>
      </c>
      <c r="C448" t="s">
        <v>537</v>
      </c>
      <c r="D448" t="s">
        <v>1742</v>
      </c>
      <c r="E448" t="s">
        <v>539</v>
      </c>
      <c r="F448" t="s">
        <v>788</v>
      </c>
      <c r="G448">
        <v>42250408695.600014</v>
      </c>
      <c r="H448">
        <v>-11.731669999999999</v>
      </c>
      <c r="I448" t="s">
        <v>1743</v>
      </c>
      <c r="J448">
        <v>5.7699999809265137</v>
      </c>
      <c r="K448" t="s">
        <v>532</v>
      </c>
      <c r="L448">
        <v>0.7855495810508728</v>
      </c>
      <c r="M448">
        <v>33.25105170367334</v>
      </c>
      <c r="N448">
        <v>0.73739903069466883</v>
      </c>
      <c r="O448">
        <v>9.3683023181910929</v>
      </c>
      <c r="P448">
        <v>4.0466251233547927</v>
      </c>
      <c r="Q448">
        <v>203.65</v>
      </c>
      <c r="R448">
        <v>114.26</v>
      </c>
    </row>
    <row r="449" spans="1:18" x14ac:dyDescent="0.25">
      <c r="A449" t="s">
        <v>465</v>
      </c>
      <c r="B449">
        <v>1.0489000082015991</v>
      </c>
      <c r="C449" t="s">
        <v>542</v>
      </c>
      <c r="D449" t="s">
        <v>1744</v>
      </c>
      <c r="E449" t="s">
        <v>672</v>
      </c>
      <c r="F449" t="s">
        <v>1349</v>
      </c>
      <c r="G449">
        <v>135540436000.00002</v>
      </c>
      <c r="H449">
        <v>11.711360000000001</v>
      </c>
      <c r="I449" t="s">
        <v>1745</v>
      </c>
      <c r="J449">
        <v>5.5999999046325684</v>
      </c>
      <c r="K449" t="s">
        <v>631</v>
      </c>
      <c r="L449">
        <v>1.1998662948608398</v>
      </c>
      <c r="M449">
        <v>30.960735131579479</v>
      </c>
      <c r="N449">
        <v>0.97586352729454107</v>
      </c>
      <c r="O449">
        <v>-15.531005634201758</v>
      </c>
      <c r="P449">
        <v>6.1809072407054897</v>
      </c>
      <c r="Q449">
        <v>208.35</v>
      </c>
      <c r="R449">
        <v>142.10499999999999</v>
      </c>
    </row>
    <row r="450" spans="1:18" x14ac:dyDescent="0.25">
      <c r="A450" t="s">
        <v>466</v>
      </c>
      <c r="B450">
        <v>-2.749500036239624</v>
      </c>
      <c r="C450" t="s">
        <v>542</v>
      </c>
      <c r="D450" t="s">
        <v>1746</v>
      </c>
      <c r="E450" t="s">
        <v>672</v>
      </c>
      <c r="F450" t="s">
        <v>672</v>
      </c>
      <c r="G450">
        <v>201508320000</v>
      </c>
      <c r="H450">
        <v>-8.615062</v>
      </c>
      <c r="I450" t="s">
        <v>1747</v>
      </c>
      <c r="J450">
        <v>5.5799999237060547</v>
      </c>
      <c r="K450" t="s">
        <v>631</v>
      </c>
      <c r="L450">
        <v>1.3127161264419556</v>
      </c>
      <c r="M450">
        <v>25.384136429997017</v>
      </c>
      <c r="N450">
        <v>0.1699639423076923</v>
      </c>
      <c r="O450">
        <v>1.7121533831644484</v>
      </c>
      <c r="P450">
        <v>6.7622339636242383</v>
      </c>
      <c r="Q450">
        <v>1197.5</v>
      </c>
      <c r="R450">
        <v>679.18</v>
      </c>
    </row>
    <row r="451" spans="1:18" x14ac:dyDescent="0.25">
      <c r="A451" t="s">
        <v>467</v>
      </c>
      <c r="B451">
        <v>-5.1399998366832733E-2</v>
      </c>
      <c r="C451" t="s">
        <v>570</v>
      </c>
      <c r="D451" t="s">
        <v>1748</v>
      </c>
      <c r="E451" t="s">
        <v>804</v>
      </c>
      <c r="F451" t="s">
        <v>1749</v>
      </c>
      <c r="G451">
        <v>23945545282.049999</v>
      </c>
      <c r="H451">
        <v>-7.1435380000000004</v>
      </c>
      <c r="I451" t="s">
        <v>1750</v>
      </c>
      <c r="J451">
        <v>5.690000057220459</v>
      </c>
      <c r="K451" t="s">
        <v>532</v>
      </c>
      <c r="L451">
        <v>0.37267863750457764</v>
      </c>
      <c r="M451">
        <v>22.216619498169933</v>
      </c>
      <c r="N451">
        <v>0.20461035937944741</v>
      </c>
      <c r="O451">
        <v>15.008232349339018</v>
      </c>
      <c r="P451">
        <v>1.9197906457364557</v>
      </c>
      <c r="Q451">
        <v>116.17</v>
      </c>
      <c r="R451">
        <v>91.04</v>
      </c>
    </row>
    <row r="452" spans="1:18" x14ac:dyDescent="0.25">
      <c r="A452" t="s">
        <v>468</v>
      </c>
      <c r="B452">
        <v>-0.49630001187324524</v>
      </c>
      <c r="C452" t="s">
        <v>587</v>
      </c>
      <c r="D452" t="s">
        <v>1751</v>
      </c>
      <c r="E452" t="s">
        <v>870</v>
      </c>
      <c r="F452" t="s">
        <v>871</v>
      </c>
      <c r="G452">
        <v>8129212137.6000004</v>
      </c>
      <c r="H452">
        <v>-15.819559999999999</v>
      </c>
      <c r="I452" t="s">
        <v>1752</v>
      </c>
      <c r="J452">
        <v>6.2800002098083496</v>
      </c>
      <c r="K452" t="s">
        <v>558</v>
      </c>
      <c r="L452">
        <v>0.76561218500137329</v>
      </c>
      <c r="M452">
        <v>21.358524613367415</v>
      </c>
      <c r="N452">
        <v>0.85911922271939711</v>
      </c>
      <c r="O452">
        <v>10.102444789410491</v>
      </c>
      <c r="P452">
        <v>3.9439210169631242</v>
      </c>
      <c r="Q452">
        <v>118.14</v>
      </c>
      <c r="R452">
        <v>81</v>
      </c>
    </row>
    <row r="453" spans="1:18" x14ac:dyDescent="0.25">
      <c r="A453" t="s">
        <v>469</v>
      </c>
      <c r="B453">
        <v>2.8907999992370605</v>
      </c>
      <c r="C453" t="s">
        <v>604</v>
      </c>
      <c r="D453" t="s">
        <v>1753</v>
      </c>
      <c r="E453" t="s">
        <v>840</v>
      </c>
      <c r="F453" t="s">
        <v>841</v>
      </c>
      <c r="G453">
        <v>10461413326</v>
      </c>
      <c r="H453">
        <v>10.937950000000001</v>
      </c>
      <c r="I453" t="s">
        <v>1754</v>
      </c>
      <c r="J453">
        <v>6.820000171661377</v>
      </c>
      <c r="K453" t="s">
        <v>558</v>
      </c>
      <c r="L453">
        <v>1.3452150821685791</v>
      </c>
      <c r="M453">
        <v>37.930538564803214</v>
      </c>
      <c r="N453">
        <v>4.317650391770397</v>
      </c>
      <c r="O453">
        <v>-0.50367762396660098</v>
      </c>
      <c r="P453">
        <v>6.9296468092274663</v>
      </c>
      <c r="Q453">
        <v>43.99</v>
      </c>
      <c r="R453">
        <v>25.31</v>
      </c>
    </row>
    <row r="454" spans="1:18" x14ac:dyDescent="0.25">
      <c r="A454" t="s">
        <v>470</v>
      </c>
      <c r="B454">
        <v>0.75249999761581421</v>
      </c>
      <c r="C454" t="s">
        <v>632</v>
      </c>
      <c r="D454" t="s">
        <v>1755</v>
      </c>
      <c r="E454" t="s">
        <v>810</v>
      </c>
      <c r="F454" t="s">
        <v>810</v>
      </c>
      <c r="G454">
        <v>58649271904.540001</v>
      </c>
      <c r="H454">
        <v>19.039349999999999</v>
      </c>
      <c r="I454" t="s">
        <v>1756</v>
      </c>
      <c r="J454">
        <v>5.570000171661377</v>
      </c>
      <c r="K454" t="s">
        <v>532</v>
      </c>
      <c r="L454">
        <v>0.40203627943992615</v>
      </c>
      <c r="M454">
        <v>16.989918524672611</v>
      </c>
      <c r="N454">
        <v>9.8476606857046595E-2</v>
      </c>
      <c r="O454">
        <v>39.202387056472539</v>
      </c>
      <c r="P454">
        <v>2.0710215473672746</v>
      </c>
      <c r="Q454">
        <v>110.5</v>
      </c>
      <c r="R454">
        <v>89.96</v>
      </c>
    </row>
    <row r="455" spans="1:18" x14ac:dyDescent="0.25">
      <c r="A455" t="s">
        <v>471</v>
      </c>
      <c r="B455">
        <v>-0.65380001068115234</v>
      </c>
      <c r="C455" t="s">
        <v>587</v>
      </c>
      <c r="D455" t="s">
        <v>1757</v>
      </c>
      <c r="E455" t="s">
        <v>800</v>
      </c>
      <c r="F455" t="s">
        <v>1758</v>
      </c>
      <c r="G455">
        <v>19559213694.679996</v>
      </c>
      <c r="H455">
        <v>-0.1876738</v>
      </c>
      <c r="I455" t="s">
        <v>1759</v>
      </c>
      <c r="J455">
        <v>4.4699997901916504</v>
      </c>
      <c r="K455" t="s">
        <v>582</v>
      </c>
      <c r="L455">
        <v>0.742012619972229</v>
      </c>
      <c r="M455">
        <v>15.849769526591809</v>
      </c>
      <c r="N455">
        <v>0.30511365295628856</v>
      </c>
      <c r="O455">
        <v>2.6564994104718642</v>
      </c>
      <c r="P455">
        <v>3.8223518696415422</v>
      </c>
      <c r="Q455">
        <v>37.799999999999997</v>
      </c>
      <c r="R455">
        <v>29.39</v>
      </c>
    </row>
    <row r="456" spans="1:18" x14ac:dyDescent="0.25">
      <c r="A456" t="s">
        <v>472</v>
      </c>
      <c r="B456">
        <v>1.2124999761581421</v>
      </c>
      <c r="C456" t="s">
        <v>542</v>
      </c>
      <c r="D456" t="s">
        <v>1760</v>
      </c>
      <c r="E456" t="s">
        <v>757</v>
      </c>
      <c r="F456" t="s">
        <v>1244</v>
      </c>
      <c r="G456">
        <v>24530535212.519997</v>
      </c>
      <c r="H456">
        <v>11.22533</v>
      </c>
      <c r="I456" t="s">
        <v>1761</v>
      </c>
      <c r="J456">
        <v>5.5500001907348633</v>
      </c>
      <c r="K456" t="s">
        <v>532</v>
      </c>
      <c r="L456">
        <v>1.0625364780426025</v>
      </c>
      <c r="M456">
        <v>43.139922432671604</v>
      </c>
      <c r="N456">
        <v>1.12032974316349</v>
      </c>
      <c r="O456">
        <v>0.50957405353332352</v>
      </c>
      <c r="P456">
        <v>5.4734760354351994</v>
      </c>
      <c r="Q456">
        <v>213.14</v>
      </c>
      <c r="R456">
        <v>134.13999999999999</v>
      </c>
    </row>
    <row r="457" spans="1:18" x14ac:dyDescent="0.25">
      <c r="A457" t="s">
        <v>473</v>
      </c>
      <c r="B457">
        <v>-0.28049999475479126</v>
      </c>
      <c r="C457" t="s">
        <v>547</v>
      </c>
      <c r="D457" t="s">
        <v>1762</v>
      </c>
      <c r="E457" t="s">
        <v>1440</v>
      </c>
      <c r="F457" t="s">
        <v>1440</v>
      </c>
      <c r="G457">
        <v>14453100646.109999</v>
      </c>
      <c r="H457">
        <v>-12.510260000000001</v>
      </c>
      <c r="I457" t="s">
        <v>1763</v>
      </c>
      <c r="J457">
        <v>5.1700000762939453</v>
      </c>
      <c r="K457" t="s">
        <v>532</v>
      </c>
      <c r="L457">
        <v>1.0001269578933716</v>
      </c>
      <c r="M457">
        <v>33.612498856595828</v>
      </c>
      <c r="N457">
        <v>3.4828595173435182</v>
      </c>
      <c r="O457">
        <v>4.5738982345162933</v>
      </c>
      <c r="P457">
        <v>5.1519840020048617</v>
      </c>
      <c r="Q457">
        <v>200.26</v>
      </c>
      <c r="R457">
        <v>122.79</v>
      </c>
    </row>
    <row r="458" spans="1:18" x14ac:dyDescent="0.25">
      <c r="A458" t="s">
        <v>474</v>
      </c>
      <c r="B458">
        <v>-0.83859997987747192</v>
      </c>
      <c r="C458" t="s">
        <v>542</v>
      </c>
      <c r="D458" t="s">
        <v>1764</v>
      </c>
      <c r="E458" t="s">
        <v>1256</v>
      </c>
      <c r="F458" t="s">
        <v>1257</v>
      </c>
      <c r="G458">
        <v>124023281279.99998</v>
      </c>
      <c r="H458">
        <v>34.237850000000002</v>
      </c>
      <c r="I458" t="s">
        <v>1765</v>
      </c>
      <c r="J458">
        <v>4.9499998092651367</v>
      </c>
      <c r="K458" t="s">
        <v>631</v>
      </c>
      <c r="L458">
        <v>1.6238448619842529</v>
      </c>
      <c r="M458">
        <v>33.139470749026579</v>
      </c>
      <c r="N458">
        <v>0.33294181951938756</v>
      </c>
      <c r="O458">
        <v>7.5728019489694152</v>
      </c>
      <c r="P458">
        <v>8.3649607528853416</v>
      </c>
      <c r="Q458">
        <v>102.58</v>
      </c>
      <c r="R458">
        <v>56.36</v>
      </c>
    </row>
    <row r="459" spans="1:18" x14ac:dyDescent="0.25">
      <c r="A459" t="s">
        <v>475</v>
      </c>
      <c r="B459">
        <v>4.2241001129150391</v>
      </c>
      <c r="C459" t="s">
        <v>604</v>
      </c>
      <c r="D459" t="s">
        <v>1766</v>
      </c>
      <c r="E459" t="s">
        <v>1027</v>
      </c>
      <c r="F459" t="s">
        <v>1767</v>
      </c>
      <c r="G459">
        <v>7511748039.8999996</v>
      </c>
      <c r="H459">
        <v>1.4857739999999999</v>
      </c>
      <c r="I459" t="s">
        <v>1768</v>
      </c>
      <c r="J459">
        <v>3.2400000095367432</v>
      </c>
      <c r="K459" t="s">
        <v>558</v>
      </c>
      <c r="L459">
        <v>1.0686850547790527</v>
      </c>
      <c r="M459">
        <v>36.353750242734037</v>
      </c>
      <c r="N459">
        <v>2.9803606552574995</v>
      </c>
      <c r="O459">
        <v>4.6584247614353886</v>
      </c>
      <c r="P459">
        <v>5.5051493832349774</v>
      </c>
      <c r="Q459">
        <v>164</v>
      </c>
      <c r="R459">
        <v>96.4</v>
      </c>
    </row>
    <row r="460" spans="1:18" x14ac:dyDescent="0.25">
      <c r="A460" t="s">
        <v>476</v>
      </c>
      <c r="B460">
        <v>1.0942000150680542</v>
      </c>
      <c r="C460" t="s">
        <v>553</v>
      </c>
      <c r="D460" t="s">
        <v>1769</v>
      </c>
      <c r="E460" t="s">
        <v>771</v>
      </c>
      <c r="F460" t="s">
        <v>1770</v>
      </c>
      <c r="G460">
        <v>35536454694.779999</v>
      </c>
      <c r="H460">
        <v>-0.72908709999999999</v>
      </c>
      <c r="I460" t="s">
        <v>1771</v>
      </c>
      <c r="J460">
        <v>6.2899999618530273</v>
      </c>
      <c r="K460" t="s">
        <v>558</v>
      </c>
      <c r="L460">
        <v>1.1864407062530518</v>
      </c>
      <c r="M460">
        <v>29.06467012472466</v>
      </c>
      <c r="N460">
        <v>0.2571918713214017</v>
      </c>
      <c r="O460">
        <v>16.340869462130829</v>
      </c>
      <c r="P460">
        <v>6.1117476033425326</v>
      </c>
      <c r="Q460">
        <v>94.78</v>
      </c>
      <c r="R460">
        <v>57.65</v>
      </c>
    </row>
    <row r="461" spans="1:18" x14ac:dyDescent="0.25">
      <c r="A461" t="s">
        <v>477</v>
      </c>
      <c r="B461">
        <v>0.22360000014305115</v>
      </c>
      <c r="C461" t="s">
        <v>547</v>
      </c>
      <c r="D461" t="s">
        <v>1772</v>
      </c>
      <c r="E461" t="s">
        <v>1022</v>
      </c>
      <c r="F461" t="s">
        <v>1773</v>
      </c>
      <c r="G461">
        <v>16898033765.4</v>
      </c>
      <c r="H461">
        <v>2.4244840000000001</v>
      </c>
      <c r="I461" t="s">
        <v>1774</v>
      </c>
      <c r="J461">
        <v>5.5199999809265137</v>
      </c>
      <c r="K461" t="s">
        <v>631</v>
      </c>
      <c r="L461">
        <v>1.1449747085571289</v>
      </c>
      <c r="M461">
        <v>22.656681236368819</v>
      </c>
      <c r="N461">
        <v>0.68576521286660941</v>
      </c>
      <c r="O461">
        <v>14.854583111422853</v>
      </c>
      <c r="P461">
        <v>5.8981425654315949</v>
      </c>
      <c r="Q461">
        <v>110.42</v>
      </c>
      <c r="R461">
        <v>74.94</v>
      </c>
    </row>
    <row r="462" spans="1:18" x14ac:dyDescent="0.25">
      <c r="A462" t="s">
        <v>478</v>
      </c>
      <c r="B462">
        <v>-0.55479997396469116</v>
      </c>
      <c r="C462" t="s">
        <v>553</v>
      </c>
      <c r="D462" t="s">
        <v>1775</v>
      </c>
      <c r="E462" t="s">
        <v>1238</v>
      </c>
      <c r="F462" t="s">
        <v>1238</v>
      </c>
      <c r="G462">
        <v>120604798874.55</v>
      </c>
      <c r="H462">
        <v>16.62528</v>
      </c>
      <c r="I462" t="s">
        <v>1776</v>
      </c>
      <c r="J462">
        <v>5.9200000762939453</v>
      </c>
      <c r="K462" t="s">
        <v>532</v>
      </c>
      <c r="L462">
        <v>0.82187527418136597</v>
      </c>
      <c r="M462">
        <v>32.569494345526515</v>
      </c>
      <c r="N462">
        <v>0.22980118163282154</v>
      </c>
      <c r="O462">
        <v>18.589560667017672</v>
      </c>
      <c r="P462">
        <v>4.2337507561486953</v>
      </c>
      <c r="Q462">
        <v>519.74</v>
      </c>
      <c r="R462">
        <v>378.38</v>
      </c>
    </row>
    <row r="463" spans="1:18" x14ac:dyDescent="0.25">
      <c r="A463" t="s">
        <v>479</v>
      </c>
      <c r="B463">
        <v>-0.20489999651908875</v>
      </c>
      <c r="C463" t="s">
        <v>521</v>
      </c>
      <c r="D463" t="s">
        <v>1777</v>
      </c>
      <c r="E463" t="s">
        <v>697</v>
      </c>
      <c r="F463" t="s">
        <v>1778</v>
      </c>
      <c r="G463">
        <v>22644985231.260002</v>
      </c>
      <c r="H463">
        <v>3.5069089999999998</v>
      </c>
      <c r="I463" t="s">
        <v>1779</v>
      </c>
      <c r="J463">
        <v>6.7600002288818359</v>
      </c>
      <c r="K463" t="s">
        <v>532</v>
      </c>
      <c r="L463">
        <v>0.62574362754821777</v>
      </c>
      <c r="M463">
        <v>20.602062558502315</v>
      </c>
      <c r="N463">
        <v>0.33079377723449183</v>
      </c>
      <c r="O463">
        <v>25.36098754227244</v>
      </c>
      <c r="P463">
        <v>1.9783621049040001</v>
      </c>
      <c r="Q463">
        <v>11.475</v>
      </c>
      <c r="R463">
        <v>8.3699999999999992</v>
      </c>
    </row>
    <row r="464" spans="1:18" x14ac:dyDescent="0.25">
      <c r="A464" t="s">
        <v>480</v>
      </c>
      <c r="B464">
        <v>-0.29660001397132874</v>
      </c>
      <c r="C464" t="s">
        <v>533</v>
      </c>
      <c r="D464" t="s">
        <v>1780</v>
      </c>
      <c r="E464" t="s">
        <v>822</v>
      </c>
      <c r="F464" t="s">
        <v>1781</v>
      </c>
      <c r="G464">
        <v>1791910743817.3198</v>
      </c>
      <c r="H464">
        <v>21.719519999999999</v>
      </c>
      <c r="I464" t="s">
        <v>1782</v>
      </c>
      <c r="J464">
        <v>4.25</v>
      </c>
      <c r="K464" t="s">
        <v>715</v>
      </c>
      <c r="L464">
        <v>1.2161544561386108</v>
      </c>
      <c r="M464">
        <v>29.417408435935382</v>
      </c>
      <c r="N464">
        <v>9.351983374693941E-2</v>
      </c>
      <c r="O464">
        <v>-11.515646462463131</v>
      </c>
      <c r="P464">
        <v>6.2648129345405099</v>
      </c>
      <c r="Q464">
        <v>747.84</v>
      </c>
      <c r="R464">
        <v>450.81</v>
      </c>
    </row>
    <row r="465" spans="1:18" x14ac:dyDescent="0.25">
      <c r="A465" t="s">
        <v>481</v>
      </c>
      <c r="B465">
        <v>-1.5959999561309814</v>
      </c>
      <c r="C465" t="s">
        <v>533</v>
      </c>
      <c r="D465" t="s">
        <v>1783</v>
      </c>
      <c r="E465" t="s">
        <v>535</v>
      </c>
      <c r="F465" t="s">
        <v>535</v>
      </c>
      <c r="G465">
        <v>274095806704.89999</v>
      </c>
      <c r="H465">
        <v>10.338419999999999</v>
      </c>
      <c r="I465" t="s">
        <v>1784</v>
      </c>
      <c r="J465">
        <v>5.929999828338623</v>
      </c>
      <c r="K465" t="s">
        <v>552</v>
      </c>
      <c r="L465">
        <v>0.66232424974441528</v>
      </c>
      <c r="M465">
        <v>24.749741842153366</v>
      </c>
      <c r="N465">
        <v>0.29378109138018815</v>
      </c>
      <c r="O465">
        <v>8.3459142146003114</v>
      </c>
      <c r="P465">
        <v>3.4118507774358986</v>
      </c>
      <c r="Q465">
        <v>276.49</v>
      </c>
      <c r="R465">
        <v>173.76</v>
      </c>
    </row>
    <row r="466" spans="1:18" x14ac:dyDescent="0.25">
      <c r="A466" t="s">
        <v>482</v>
      </c>
      <c r="B466">
        <v>1.6851999759674072</v>
      </c>
      <c r="C466" t="s">
        <v>547</v>
      </c>
      <c r="D466" t="s">
        <v>1785</v>
      </c>
      <c r="E466" t="s">
        <v>938</v>
      </c>
      <c r="F466" t="s">
        <v>1786</v>
      </c>
      <c r="G466">
        <v>57263687580.000008</v>
      </c>
      <c r="H466">
        <v>26.34149</v>
      </c>
      <c r="I466" t="s">
        <v>1787</v>
      </c>
      <c r="J466">
        <v>2.9500000476837158</v>
      </c>
      <c r="K466" t="s">
        <v>532</v>
      </c>
      <c r="L466">
        <v>1.454053521156311</v>
      </c>
      <c r="M466">
        <v>32.108227454726553</v>
      </c>
      <c r="N466">
        <v>0.5442950351267819</v>
      </c>
      <c r="O466">
        <v>4.357368843721023</v>
      </c>
      <c r="P466">
        <v>7.4903095251381391</v>
      </c>
      <c r="Q466">
        <v>896.2</v>
      </c>
      <c r="R466">
        <v>527.61</v>
      </c>
    </row>
    <row r="467" spans="1:18" x14ac:dyDescent="0.25">
      <c r="A467" t="s">
        <v>483</v>
      </c>
      <c r="B467">
        <v>0.17059999704360962</v>
      </c>
      <c r="C467" t="s">
        <v>587</v>
      </c>
      <c r="D467" t="s">
        <v>1788</v>
      </c>
      <c r="E467" t="s">
        <v>949</v>
      </c>
      <c r="F467" t="s">
        <v>949</v>
      </c>
      <c r="G467">
        <v>14215495936.119999</v>
      </c>
      <c r="H467">
        <v>-15.74577</v>
      </c>
      <c r="I467" t="s">
        <v>1789</v>
      </c>
      <c r="J467">
        <v>5.7899999618530273</v>
      </c>
      <c r="K467" t="s">
        <v>552</v>
      </c>
      <c r="L467">
        <v>1.0259431600570679</v>
      </c>
      <c r="M467">
        <v>29.294341245053612</v>
      </c>
      <c r="N467">
        <v>1.3188011718390902</v>
      </c>
      <c r="O467">
        <v>3.4851277081671705</v>
      </c>
      <c r="P467">
        <v>5.2849717786967751</v>
      </c>
      <c r="Q467">
        <v>125.61</v>
      </c>
      <c r="R467">
        <v>67.39</v>
      </c>
    </row>
    <row r="468" spans="1:18" x14ac:dyDescent="0.25">
      <c r="A468" t="s">
        <v>484</v>
      </c>
      <c r="B468">
        <v>-0.10689999908208847</v>
      </c>
      <c r="C468" t="s">
        <v>547</v>
      </c>
      <c r="D468" t="s">
        <v>1790</v>
      </c>
      <c r="E468" t="s">
        <v>629</v>
      </c>
      <c r="F468" t="s">
        <v>629</v>
      </c>
      <c r="G468">
        <v>142369205062.88</v>
      </c>
      <c r="H468">
        <v>-0.73044379999999998</v>
      </c>
      <c r="I468" t="s">
        <v>1791</v>
      </c>
      <c r="J468">
        <v>5.880000114440918</v>
      </c>
      <c r="K468" t="s">
        <v>532</v>
      </c>
      <c r="L468">
        <v>0.8362157940864563</v>
      </c>
      <c r="M468">
        <v>21.669465136684092</v>
      </c>
      <c r="N468">
        <v>9.7403220776422494E-2</v>
      </c>
      <c r="O468">
        <v>6.8167128013809029</v>
      </c>
      <c r="P468">
        <v>4.3076235065513844</v>
      </c>
      <c r="Q468">
        <v>242.5</v>
      </c>
      <c r="R468">
        <v>179.47</v>
      </c>
    </row>
    <row r="469" spans="1:18" x14ac:dyDescent="0.25">
      <c r="A469" t="s">
        <v>485</v>
      </c>
      <c r="B469">
        <v>0.27419999241828918</v>
      </c>
      <c r="C469" t="s">
        <v>547</v>
      </c>
      <c r="D469" t="s">
        <v>1792</v>
      </c>
      <c r="E469" t="s">
        <v>1156</v>
      </c>
      <c r="F469" t="s">
        <v>1793</v>
      </c>
      <c r="G469">
        <v>35820749333.720001</v>
      </c>
      <c r="H469">
        <v>-9.3223140000000004</v>
      </c>
      <c r="I469" t="s">
        <v>1794</v>
      </c>
      <c r="J469">
        <v>5.5399999618530273</v>
      </c>
      <c r="K469" t="s">
        <v>532</v>
      </c>
      <c r="L469">
        <v>1.1554316282272339</v>
      </c>
      <c r="M469">
        <v>46.718157271341283</v>
      </c>
      <c r="N469">
        <v>0.38213877237466237</v>
      </c>
      <c r="O469">
        <v>32.367390915702806</v>
      </c>
      <c r="P469">
        <v>5.9520096094357964</v>
      </c>
      <c r="Q469">
        <v>69.97</v>
      </c>
      <c r="R469">
        <v>34.74</v>
      </c>
    </row>
    <row r="470" spans="1:18" x14ac:dyDescent="0.25">
      <c r="A470" t="s">
        <v>486</v>
      </c>
      <c r="B470">
        <v>1.5378999710083008</v>
      </c>
      <c r="C470" t="s">
        <v>547</v>
      </c>
      <c r="D470" t="s">
        <v>1795</v>
      </c>
      <c r="E470" t="s">
        <v>1156</v>
      </c>
      <c r="F470" t="s">
        <v>1793</v>
      </c>
      <c r="G470">
        <v>29857099322.369999</v>
      </c>
      <c r="H470">
        <v>-6.1688970000000003</v>
      </c>
      <c r="I470" t="s">
        <v>1796</v>
      </c>
      <c r="J470">
        <v>4.7800002098083496</v>
      </c>
      <c r="K470" t="s">
        <v>582</v>
      </c>
      <c r="L470">
        <v>1.1874568462371826</v>
      </c>
      <c r="M470">
        <v>53.711391499514264</v>
      </c>
      <c r="N470">
        <v>0.63712699177519705</v>
      </c>
      <c r="O470">
        <v>30.357797311665831</v>
      </c>
      <c r="P470">
        <v>6.1169820757269857</v>
      </c>
      <c r="Q470">
        <v>116</v>
      </c>
      <c r="R470">
        <v>37.020000000000003</v>
      </c>
    </row>
    <row r="471" spans="1:18" x14ac:dyDescent="0.25">
      <c r="A471" t="s">
        <v>487</v>
      </c>
      <c r="B471">
        <v>-1.2046999931335449</v>
      </c>
      <c r="C471" t="s">
        <v>542</v>
      </c>
      <c r="D471" t="s">
        <v>1797</v>
      </c>
      <c r="E471" t="s">
        <v>601</v>
      </c>
      <c r="F471" t="s">
        <v>1736</v>
      </c>
      <c r="G471">
        <v>32021492992.069996</v>
      </c>
      <c r="H471">
        <v>74.823319999999995</v>
      </c>
      <c r="I471" t="s">
        <v>1798</v>
      </c>
      <c r="J471">
        <v>4.8499999046325684</v>
      </c>
      <c r="K471" t="s">
        <v>532</v>
      </c>
      <c r="L471">
        <v>1.5253744125366211</v>
      </c>
      <c r="M471">
        <v>31.239613434696267</v>
      </c>
      <c r="N471">
        <v>0.44342290338921153</v>
      </c>
      <c r="O471">
        <v>-13.651954487061847</v>
      </c>
      <c r="P471">
        <v>7.8577069725322719</v>
      </c>
      <c r="Q471">
        <v>153.88</v>
      </c>
      <c r="R471">
        <v>63.21</v>
      </c>
    </row>
    <row r="472" spans="1:18" x14ac:dyDescent="0.25">
      <c r="A472" t="s">
        <v>488</v>
      </c>
      <c r="B472">
        <v>0.41729998588562012</v>
      </c>
      <c r="C472" t="s">
        <v>533</v>
      </c>
      <c r="D472" t="s">
        <v>1799</v>
      </c>
      <c r="E472" t="s">
        <v>1800</v>
      </c>
      <c r="F472" t="s">
        <v>1801</v>
      </c>
      <c r="G472">
        <v>17503165310.619999</v>
      </c>
      <c r="H472">
        <v>10.71311</v>
      </c>
      <c r="I472" t="s">
        <v>1802</v>
      </c>
      <c r="J472">
        <v>3.2999999523162842</v>
      </c>
      <c r="K472" t="s">
        <v>582</v>
      </c>
      <c r="L472">
        <v>0.89241838455200195</v>
      </c>
      <c r="M472">
        <v>16.009571924789181</v>
      </c>
      <c r="N472">
        <v>41.252526738994064</v>
      </c>
      <c r="O472">
        <v>0</v>
      </c>
      <c r="P472">
        <v>4.5586973325634004</v>
      </c>
      <c r="Q472">
        <v>35.409999999999997</v>
      </c>
      <c r="R472">
        <v>26.04</v>
      </c>
    </row>
    <row r="473" spans="1:18" x14ac:dyDescent="0.25">
      <c r="A473" t="s">
        <v>489</v>
      </c>
      <c r="B473">
        <v>6.0911998748779297</v>
      </c>
      <c r="C473" t="s">
        <v>553</v>
      </c>
      <c r="D473" t="s">
        <v>1803</v>
      </c>
      <c r="E473" t="s">
        <v>678</v>
      </c>
      <c r="F473" t="s">
        <v>1804</v>
      </c>
      <c r="G473">
        <v>13943265870.000002</v>
      </c>
      <c r="H473">
        <v>-53.13635</v>
      </c>
      <c r="I473" t="s">
        <v>1805</v>
      </c>
      <c r="J473">
        <v>6.0900001525878906</v>
      </c>
      <c r="K473" t="s">
        <v>532</v>
      </c>
      <c r="L473">
        <v>0.33124536275863647</v>
      </c>
      <c r="M473">
        <v>115.53344470374176</v>
      </c>
      <c r="N473">
        <v>0.89779209867795473</v>
      </c>
      <c r="O473">
        <v>14.243366352898962</v>
      </c>
      <c r="P473">
        <v>1.7063541745394468</v>
      </c>
      <c r="Q473">
        <v>80.56</v>
      </c>
      <c r="R473">
        <v>26.25</v>
      </c>
    </row>
    <row r="474" spans="1:18" x14ac:dyDescent="0.25">
      <c r="A474" t="s">
        <v>490</v>
      </c>
      <c r="B474">
        <v>1.215999960899353</v>
      </c>
      <c r="C474" t="s">
        <v>527</v>
      </c>
      <c r="D474" t="s">
        <v>1806</v>
      </c>
      <c r="E474" t="s">
        <v>584</v>
      </c>
      <c r="F474" t="s">
        <v>585</v>
      </c>
      <c r="G474">
        <v>49656634060</v>
      </c>
      <c r="H474">
        <v>-5.0005860000000002</v>
      </c>
      <c r="I474" t="s">
        <v>1807</v>
      </c>
      <c r="J474">
        <v>3.2899999618530273</v>
      </c>
      <c r="K474" t="s">
        <v>552</v>
      </c>
      <c r="L474">
        <v>1.6126962900161743</v>
      </c>
      <c r="M474">
        <v>66.085377151325105</v>
      </c>
      <c r="N474">
        <v>1.1307619265550872</v>
      </c>
      <c r="O474">
        <v>6.854044710633354</v>
      </c>
      <c r="P474">
        <v>8.307530779649019</v>
      </c>
      <c r="Q474">
        <v>99.2</v>
      </c>
      <c r="R474">
        <v>44.27</v>
      </c>
    </row>
    <row r="475" spans="1:18" x14ac:dyDescent="0.25">
      <c r="A475" t="s">
        <v>491</v>
      </c>
      <c r="B475">
        <v>-0.33629998564720154</v>
      </c>
      <c r="C475" t="s">
        <v>527</v>
      </c>
      <c r="D475" t="s">
        <v>1808</v>
      </c>
      <c r="E475" t="s">
        <v>913</v>
      </c>
      <c r="F475" t="s">
        <v>1809</v>
      </c>
      <c r="G475">
        <v>86369923584.419998</v>
      </c>
      <c r="H475">
        <v>-8.4947949999999999</v>
      </c>
      <c r="I475" t="s">
        <v>1810</v>
      </c>
      <c r="J475">
        <v>4.869999885559082</v>
      </c>
      <c r="K475" t="s">
        <v>582</v>
      </c>
      <c r="L475">
        <v>1.4588086605072021</v>
      </c>
      <c r="M475">
        <v>34.768202643186449</v>
      </c>
      <c r="N475">
        <v>9.9736317228591282</v>
      </c>
      <c r="O475">
        <v>0.39546647004122987</v>
      </c>
      <c r="P475">
        <v>7.5148048171305657</v>
      </c>
      <c r="Q475">
        <v>189.49</v>
      </c>
      <c r="R475">
        <v>95.51</v>
      </c>
    </row>
    <row r="476" spans="1:18" x14ac:dyDescent="0.25">
      <c r="A476" t="s">
        <v>492</v>
      </c>
      <c r="B476">
        <v>0.7378000020980835</v>
      </c>
      <c r="C476" t="s">
        <v>521</v>
      </c>
      <c r="D476" t="s">
        <v>1811</v>
      </c>
      <c r="E476" t="s">
        <v>1211</v>
      </c>
      <c r="F476" t="s">
        <v>1211</v>
      </c>
      <c r="G476">
        <v>35310973785.029999</v>
      </c>
      <c r="H476">
        <v>13.40368</v>
      </c>
      <c r="I476" t="s">
        <v>1812</v>
      </c>
      <c r="J476">
        <v>5.4000000953674316</v>
      </c>
      <c r="K476" t="s">
        <v>532</v>
      </c>
      <c r="L476">
        <v>0.9415321946144104</v>
      </c>
      <c r="M476">
        <v>20.5693070942046</v>
      </c>
      <c r="N476">
        <v>0.74619813085786424</v>
      </c>
      <c r="O476">
        <v>10.362340854378944</v>
      </c>
      <c r="P476">
        <v>4.8501430400830507</v>
      </c>
      <c r="Q476">
        <v>632.51</v>
      </c>
      <c r="R476">
        <v>442.08</v>
      </c>
    </row>
    <row r="477" spans="1:18" x14ac:dyDescent="0.25">
      <c r="A477" t="s">
        <v>493</v>
      </c>
      <c r="B477">
        <v>-1.2920000553131104</v>
      </c>
      <c r="C477" t="s">
        <v>542</v>
      </c>
      <c r="D477" t="s">
        <v>1813</v>
      </c>
      <c r="E477" t="s">
        <v>1256</v>
      </c>
      <c r="F477" t="s">
        <v>1814</v>
      </c>
      <c r="G477">
        <v>14461888873.050001</v>
      </c>
      <c r="H477">
        <v>-28.40692</v>
      </c>
      <c r="I477" t="s">
        <v>1815</v>
      </c>
      <c r="J477">
        <v>4.8299999237060547</v>
      </c>
      <c r="K477" t="s">
        <v>582</v>
      </c>
      <c r="L477">
        <v>1.5599448680877686</v>
      </c>
      <c r="M477">
        <v>37.581996555479023</v>
      </c>
      <c r="N477">
        <v>0.32277667633086327</v>
      </c>
      <c r="O477">
        <v>11.175301143786125</v>
      </c>
      <c r="P477">
        <v>8.0357907973265643</v>
      </c>
      <c r="Q477">
        <v>144.13999999999999</v>
      </c>
      <c r="R477">
        <v>65.864999999999995</v>
      </c>
    </row>
    <row r="478" spans="1:18" x14ac:dyDescent="0.25">
      <c r="A478" t="s">
        <v>494</v>
      </c>
      <c r="B478">
        <v>0.20559999346733093</v>
      </c>
      <c r="C478" t="s">
        <v>527</v>
      </c>
      <c r="D478" t="s">
        <v>1816</v>
      </c>
      <c r="E478" t="s">
        <v>584</v>
      </c>
      <c r="F478" t="s">
        <v>585</v>
      </c>
      <c r="G478">
        <v>75838110005.420013</v>
      </c>
      <c r="H478">
        <v>-8.6350309999999997</v>
      </c>
      <c r="I478" t="s">
        <v>1817</v>
      </c>
      <c r="J478">
        <v>5.369999885559082</v>
      </c>
      <c r="K478" t="s">
        <v>526</v>
      </c>
      <c r="L478">
        <v>1.2353615760803223</v>
      </c>
      <c r="M478">
        <v>28.499935612004467</v>
      </c>
      <c r="N478">
        <v>0.19409844069012377</v>
      </c>
      <c r="O478">
        <v>12.104462986608072</v>
      </c>
      <c r="P478">
        <v>6.3637551477098464</v>
      </c>
      <c r="Q478">
        <v>93.64</v>
      </c>
      <c r="R478">
        <v>55.87</v>
      </c>
    </row>
    <row r="479" spans="1:18" x14ac:dyDescent="0.25">
      <c r="A479" t="s">
        <v>495</v>
      </c>
      <c r="B479">
        <v>3.524399995803833</v>
      </c>
      <c r="C479" t="s">
        <v>604</v>
      </c>
      <c r="D479" t="s">
        <v>1818</v>
      </c>
      <c r="E479" t="s">
        <v>668</v>
      </c>
      <c r="F479" t="s">
        <v>1819</v>
      </c>
      <c r="G479">
        <v>1019435375857.34</v>
      </c>
      <c r="H479">
        <v>-21.736329999999999</v>
      </c>
      <c r="I479" t="s">
        <v>1820</v>
      </c>
      <c r="J479">
        <v>5.7899999618530273</v>
      </c>
      <c r="K479" t="s">
        <v>582</v>
      </c>
      <c r="L479">
        <v>1.5840481519699097</v>
      </c>
      <c r="M479">
        <v>62.818681632847451</v>
      </c>
      <c r="N479">
        <v>12.853746881441932</v>
      </c>
      <c r="O479">
        <v>0.19048680434228224</v>
      </c>
      <c r="P479">
        <v>8.1599547666871537</v>
      </c>
      <c r="Q479">
        <v>488.5</v>
      </c>
      <c r="R479">
        <v>182</v>
      </c>
    </row>
    <row r="480" spans="1:18" x14ac:dyDescent="0.25">
      <c r="A480" t="s">
        <v>496</v>
      </c>
      <c r="B480">
        <v>0.43900001049041748</v>
      </c>
      <c r="C480" t="s">
        <v>527</v>
      </c>
      <c r="D480" t="s">
        <v>1821</v>
      </c>
      <c r="E480" t="s">
        <v>913</v>
      </c>
      <c r="F480" t="s">
        <v>913</v>
      </c>
      <c r="G480">
        <v>174025480593.67996</v>
      </c>
      <c r="H480">
        <v>9.5765349999999998</v>
      </c>
      <c r="I480" t="s">
        <v>1822</v>
      </c>
      <c r="J480">
        <v>5.869999885559082</v>
      </c>
      <c r="K480" t="s">
        <v>526</v>
      </c>
      <c r="L480">
        <v>1.1518236398696899</v>
      </c>
      <c r="M480">
        <v>22.447195165688711</v>
      </c>
      <c r="N480">
        <v>1.9797866047188917</v>
      </c>
      <c r="O480">
        <v>-2.288934246114195</v>
      </c>
      <c r="P480">
        <v>5.9334236707699297</v>
      </c>
      <c r="Q480">
        <v>1130</v>
      </c>
      <c r="R480">
        <v>775</v>
      </c>
    </row>
    <row r="481" spans="1:18" x14ac:dyDescent="0.25">
      <c r="A481" t="s">
        <v>497</v>
      </c>
      <c r="B481">
        <v>1.3116999864578247</v>
      </c>
      <c r="C481" t="s">
        <v>527</v>
      </c>
      <c r="D481" t="s">
        <v>1823</v>
      </c>
      <c r="E481" t="s">
        <v>1203</v>
      </c>
      <c r="F481" t="s">
        <v>1203</v>
      </c>
      <c r="G481">
        <v>135520071960.47998</v>
      </c>
      <c r="H481">
        <v>2.8733659999999999</v>
      </c>
      <c r="I481" t="s">
        <v>1824</v>
      </c>
      <c r="J481">
        <v>4.2800002098083496</v>
      </c>
      <c r="K481" t="s">
        <v>582</v>
      </c>
      <c r="L481">
        <v>1.5884648561477661</v>
      </c>
      <c r="M481">
        <v>31.624334938111943</v>
      </c>
      <c r="N481">
        <v>23.641783302582102</v>
      </c>
      <c r="O481">
        <v>-1.4669925025703261</v>
      </c>
      <c r="P481">
        <v>8.1827066674196711</v>
      </c>
      <c r="Q481">
        <v>170.38</v>
      </c>
      <c r="R481">
        <v>86.15</v>
      </c>
    </row>
    <row r="482" spans="1:18" x14ac:dyDescent="0.25">
      <c r="A482" t="s">
        <v>498</v>
      </c>
      <c r="B482">
        <v>1.0113999843597412</v>
      </c>
      <c r="C482" t="s">
        <v>527</v>
      </c>
      <c r="D482" t="s">
        <v>1825</v>
      </c>
      <c r="E482" t="s">
        <v>647</v>
      </c>
      <c r="F482" t="s">
        <v>648</v>
      </c>
      <c r="G482">
        <v>33311929727.249996</v>
      </c>
      <c r="H482">
        <v>-3.7466149999999998</v>
      </c>
      <c r="I482" t="s">
        <v>1826</v>
      </c>
      <c r="J482">
        <v>1.8799999952316284</v>
      </c>
      <c r="K482" t="s">
        <v>532</v>
      </c>
      <c r="L482">
        <v>0.62048524618148804</v>
      </c>
      <c r="M482">
        <v>24.815258053952697</v>
      </c>
      <c r="N482">
        <v>2.944993055453637</v>
      </c>
      <c r="O482">
        <v>1.2817496180538477</v>
      </c>
      <c r="P482">
        <v>3.1963242632120847</v>
      </c>
      <c r="Q482">
        <v>110.6086</v>
      </c>
      <c r="R482">
        <v>82.5</v>
      </c>
    </row>
    <row r="483" spans="1:18" x14ac:dyDescent="0.25">
      <c r="A483" t="s">
        <v>499</v>
      </c>
      <c r="B483">
        <v>1.7551000118255615</v>
      </c>
      <c r="C483" t="s">
        <v>521</v>
      </c>
      <c r="D483" t="s">
        <v>1827</v>
      </c>
      <c r="E483" t="s">
        <v>523</v>
      </c>
      <c r="F483" t="s">
        <v>523</v>
      </c>
      <c r="G483">
        <v>18004051272.560001</v>
      </c>
      <c r="H483">
        <v>-36.431600000000003</v>
      </c>
      <c r="I483" t="s">
        <v>1828</v>
      </c>
      <c r="J483">
        <v>5.5999999046325684</v>
      </c>
      <c r="K483" t="s">
        <v>532</v>
      </c>
      <c r="L483">
        <v>0.90713226795196533</v>
      </c>
      <c r="M483">
        <v>56.875652321688264</v>
      </c>
      <c r="N483">
        <v>0.32182852666859835</v>
      </c>
      <c r="O483">
        <v>11.983595090676356</v>
      </c>
      <c r="P483">
        <v>4.6729376658689974</v>
      </c>
      <c r="Q483">
        <v>55.66</v>
      </c>
      <c r="R483">
        <v>24.37</v>
      </c>
    </row>
    <row r="484" spans="1:18" x14ac:dyDescent="0.25">
      <c r="A484" t="s">
        <v>500</v>
      </c>
      <c r="B484">
        <v>1.497499942779541</v>
      </c>
      <c r="C484" t="s">
        <v>527</v>
      </c>
      <c r="D484" t="s">
        <v>1829</v>
      </c>
      <c r="E484" t="s">
        <v>1830</v>
      </c>
      <c r="F484" t="s">
        <v>1831</v>
      </c>
      <c r="G484">
        <v>14328248474.080002</v>
      </c>
      <c r="H484">
        <v>-7.0628460000000004</v>
      </c>
      <c r="I484" t="s">
        <v>1832</v>
      </c>
      <c r="J484">
        <v>3.5899999141693115</v>
      </c>
      <c r="K484" t="s">
        <v>526</v>
      </c>
      <c r="L484">
        <v>0.55826652050018311</v>
      </c>
      <c r="M484">
        <v>25.150809303672609</v>
      </c>
      <c r="N484">
        <v>1.5332882094232172</v>
      </c>
      <c r="O484">
        <v>4.4139543074878729</v>
      </c>
      <c r="P484">
        <v>2.8758150750482079</v>
      </c>
      <c r="Q484">
        <v>407.26</v>
      </c>
      <c r="R484">
        <v>320.69</v>
      </c>
    </row>
    <row r="485" spans="1:18" x14ac:dyDescent="0.25">
      <c r="A485" t="s">
        <v>501</v>
      </c>
      <c r="B485">
        <v>1.0837999582290649</v>
      </c>
      <c r="C485" t="s">
        <v>542</v>
      </c>
      <c r="D485" t="s">
        <v>1833</v>
      </c>
      <c r="E485" t="s">
        <v>1834</v>
      </c>
      <c r="F485" t="s">
        <v>1835</v>
      </c>
      <c r="G485">
        <v>26048641847.939999</v>
      </c>
      <c r="H485">
        <v>19.770320000000002</v>
      </c>
      <c r="I485" t="s">
        <v>1836</v>
      </c>
      <c r="J485">
        <v>2.380000114440918</v>
      </c>
      <c r="K485" t="s">
        <v>526</v>
      </c>
      <c r="L485">
        <v>0.84409546852111816</v>
      </c>
      <c r="M485">
        <v>15.538602555272323</v>
      </c>
      <c r="N485">
        <v>1.1038028751999334</v>
      </c>
      <c r="O485">
        <v>-4.4099313986658473</v>
      </c>
      <c r="P485">
        <v>4.3482143098568917</v>
      </c>
      <c r="Q485">
        <v>566.73</v>
      </c>
      <c r="R485">
        <v>398.02</v>
      </c>
    </row>
    <row r="486" spans="1:18" x14ac:dyDescent="0.25">
      <c r="A486" t="s">
        <v>502</v>
      </c>
      <c r="B486">
        <v>1.9292999505996704</v>
      </c>
      <c r="C486" t="s">
        <v>604</v>
      </c>
      <c r="D486" t="s">
        <v>1837</v>
      </c>
      <c r="E486" t="s">
        <v>623</v>
      </c>
      <c r="F486" t="s">
        <v>1838</v>
      </c>
      <c r="G486">
        <v>16483219613.129997</v>
      </c>
      <c r="H486" t="s">
        <v>559</v>
      </c>
      <c r="I486" t="s">
        <v>1839</v>
      </c>
      <c r="J486">
        <v>4.119999885559082</v>
      </c>
      <c r="K486" t="s">
        <v>582</v>
      </c>
      <c r="L486" t="s">
        <v>559</v>
      </c>
      <c r="M486">
        <v>21.091010936750333</v>
      </c>
      <c r="N486">
        <v>0.53519869556969712</v>
      </c>
      <c r="O486">
        <v>-2.6609711134522476</v>
      </c>
      <c r="P486">
        <v>4.4383044677209851</v>
      </c>
      <c r="Q486">
        <v>500.17</v>
      </c>
      <c r="R486">
        <v>397.12</v>
      </c>
    </row>
    <row r="487" spans="1:18" x14ac:dyDescent="0.25">
      <c r="A487" t="s">
        <v>503</v>
      </c>
      <c r="B487">
        <v>3.3046000003814697</v>
      </c>
      <c r="C487" t="s">
        <v>547</v>
      </c>
      <c r="D487" t="s">
        <v>1840</v>
      </c>
      <c r="E487" t="s">
        <v>874</v>
      </c>
      <c r="F487" t="s">
        <v>874</v>
      </c>
      <c r="G487">
        <v>175472829484.60001</v>
      </c>
      <c r="H487">
        <v>95.965710000000001</v>
      </c>
      <c r="I487" t="s">
        <v>1841</v>
      </c>
      <c r="J487">
        <v>2.9000000953674316</v>
      </c>
      <c r="K487" t="s">
        <v>526</v>
      </c>
      <c r="L487" t="s">
        <v>559</v>
      </c>
      <c r="M487">
        <v>41.554762800412128</v>
      </c>
      <c r="N487">
        <v>5.2208127207052722E-2</v>
      </c>
      <c r="O487">
        <v>49.052448322513662</v>
      </c>
      <c r="P487">
        <v>5.1513299999999997</v>
      </c>
      <c r="Q487">
        <v>651.19000000000005</v>
      </c>
      <c r="R487">
        <v>150.11000000000001</v>
      </c>
    </row>
    <row r="488" spans="1:18" x14ac:dyDescent="0.25">
      <c r="A488" t="s">
        <v>504</v>
      </c>
      <c r="B488">
        <v>0.61330002546310425</v>
      </c>
      <c r="C488" t="s">
        <v>533</v>
      </c>
      <c r="D488" t="s">
        <v>1799</v>
      </c>
      <c r="E488" t="s">
        <v>1800</v>
      </c>
      <c r="F488" t="s">
        <v>1801</v>
      </c>
      <c r="G488">
        <v>17503165310.619999</v>
      </c>
      <c r="H488">
        <v>7.2258500000000003</v>
      </c>
      <c r="I488" t="s">
        <v>1802</v>
      </c>
      <c r="J488">
        <v>3.2999999523162842</v>
      </c>
      <c r="K488" t="s">
        <v>582</v>
      </c>
      <c r="L488">
        <v>0.88495540618896484</v>
      </c>
      <c r="M488">
        <v>15.238642451263107</v>
      </c>
      <c r="N488">
        <v>9.3292471162742599E-2</v>
      </c>
      <c r="O488">
        <v>0</v>
      </c>
      <c r="P488">
        <v>4.5586973325634004</v>
      </c>
      <c r="Q488">
        <v>30.75</v>
      </c>
      <c r="R488">
        <v>23.38</v>
      </c>
    </row>
    <row r="489" spans="1:18" x14ac:dyDescent="0.25">
      <c r="A489" t="s">
        <v>505</v>
      </c>
      <c r="B489">
        <v>0.58310002088546753</v>
      </c>
      <c r="C489" t="s">
        <v>632</v>
      </c>
      <c r="D489" t="s">
        <v>1842</v>
      </c>
      <c r="E489" t="s">
        <v>826</v>
      </c>
      <c r="F489" t="s">
        <v>827</v>
      </c>
      <c r="G489">
        <v>44409472451.68</v>
      </c>
      <c r="H489">
        <v>16.870349999999998</v>
      </c>
      <c r="I489" t="s">
        <v>1843</v>
      </c>
      <c r="J489">
        <v>5.8000001907348633</v>
      </c>
      <c r="K489" t="s">
        <v>532</v>
      </c>
      <c r="L489">
        <v>0.35468396544456482</v>
      </c>
      <c r="M489">
        <v>18.974978683224126</v>
      </c>
      <c r="N489">
        <v>0.10685483231900597</v>
      </c>
      <c r="O489">
        <v>12.934035320610599</v>
      </c>
      <c r="P489">
        <v>1.8270941517135499</v>
      </c>
      <c r="Q489">
        <v>48.11</v>
      </c>
      <c r="R489">
        <v>35.94</v>
      </c>
    </row>
    <row r="490" spans="1:18" x14ac:dyDescent="0.25">
      <c r="A490" t="s">
        <v>506</v>
      </c>
      <c r="B490">
        <v>3.2630999088287354</v>
      </c>
      <c r="C490" t="s">
        <v>527</v>
      </c>
      <c r="D490" t="s">
        <v>1844</v>
      </c>
      <c r="E490" t="s">
        <v>584</v>
      </c>
      <c r="F490" t="s">
        <v>585</v>
      </c>
      <c r="G490">
        <v>20915150686.720001</v>
      </c>
      <c r="H490">
        <v>-23.469570000000001</v>
      </c>
      <c r="I490" t="s">
        <v>1845</v>
      </c>
      <c r="J490">
        <v>4.179999828338623</v>
      </c>
      <c r="K490" t="s">
        <v>582</v>
      </c>
      <c r="L490">
        <v>1.0335428714752197</v>
      </c>
      <c r="M490">
        <v>32.242804542423968</v>
      </c>
      <c r="N490">
        <v>0.77072248646875507</v>
      </c>
      <c r="O490">
        <v>9.249520488230166</v>
      </c>
      <c r="P490">
        <v>5.3241204001164437</v>
      </c>
      <c r="Q490">
        <v>120</v>
      </c>
      <c r="R490">
        <v>65.930000000000007</v>
      </c>
    </row>
    <row r="491" spans="1:18" x14ac:dyDescent="0.25">
      <c r="A491" t="s">
        <v>507</v>
      </c>
      <c r="B491">
        <v>-2.1333000659942627</v>
      </c>
      <c r="C491" t="s">
        <v>587</v>
      </c>
      <c r="D491" t="s">
        <v>1846</v>
      </c>
      <c r="E491" t="s">
        <v>1471</v>
      </c>
      <c r="F491" t="s">
        <v>1471</v>
      </c>
      <c r="G491">
        <v>48544947915.839996</v>
      </c>
      <c r="H491">
        <v>22.829440000000002</v>
      </c>
      <c r="I491" t="s">
        <v>1847</v>
      </c>
      <c r="J491">
        <v>5.3600001335144043</v>
      </c>
      <c r="K491" t="s">
        <v>631</v>
      </c>
      <c r="L491">
        <v>0.50534272193908691</v>
      </c>
      <c r="M491">
        <v>22.452195756603338</v>
      </c>
      <c r="N491">
        <v>0.15526681284199562</v>
      </c>
      <c r="O491">
        <v>3.6980971179934081</v>
      </c>
      <c r="P491">
        <v>2.6031871238064763</v>
      </c>
      <c r="Q491">
        <v>120.91</v>
      </c>
      <c r="R491">
        <v>84.21</v>
      </c>
    </row>
    <row r="492" spans="1:18" x14ac:dyDescent="0.25">
      <c r="A492" t="s">
        <v>508</v>
      </c>
      <c r="B492">
        <v>1.6718000173568726</v>
      </c>
      <c r="C492" t="s">
        <v>553</v>
      </c>
      <c r="D492" t="s">
        <v>1848</v>
      </c>
      <c r="E492" t="s">
        <v>704</v>
      </c>
      <c r="F492" t="s">
        <v>704</v>
      </c>
      <c r="G492">
        <v>14899983915.960001</v>
      </c>
      <c r="H492">
        <v>-1.414798</v>
      </c>
      <c r="I492" t="s">
        <v>1849</v>
      </c>
      <c r="J492">
        <v>2.380000114440918</v>
      </c>
      <c r="K492" t="s">
        <v>526</v>
      </c>
      <c r="L492">
        <v>1.2950531244277954</v>
      </c>
      <c r="M492">
        <v>34.237623389437061</v>
      </c>
      <c r="N492">
        <v>0.81459378264475724</v>
      </c>
      <c r="O492">
        <v>5.4107032236065766</v>
      </c>
      <c r="P492">
        <v>6.6712460114586349</v>
      </c>
      <c r="Q492">
        <v>262.77</v>
      </c>
      <c r="R492">
        <v>141.84</v>
      </c>
    </row>
    <row r="493" spans="1:18" x14ac:dyDescent="0.25">
      <c r="A493" t="s">
        <v>509</v>
      </c>
      <c r="B493">
        <v>1.5111000537872314</v>
      </c>
      <c r="C493" t="s">
        <v>570</v>
      </c>
      <c r="D493" t="s">
        <v>1850</v>
      </c>
      <c r="E493" t="s">
        <v>1851</v>
      </c>
      <c r="F493" t="s">
        <v>1851</v>
      </c>
      <c r="G493">
        <v>43850742983.919998</v>
      </c>
      <c r="H493">
        <v>6.9789209999999997</v>
      </c>
      <c r="I493" t="s">
        <v>1852</v>
      </c>
      <c r="J493">
        <v>3.5999999046325684</v>
      </c>
      <c r="K493" t="s">
        <v>532</v>
      </c>
      <c r="L493">
        <v>0.54287606477737427</v>
      </c>
      <c r="M493">
        <v>26.21937082033546</v>
      </c>
      <c r="N493">
        <v>4.4096270762692007E-2</v>
      </c>
      <c r="O493">
        <v>56.502401568045521</v>
      </c>
      <c r="P493">
        <v>2.7965337587696313</v>
      </c>
      <c r="Q493">
        <v>25.16</v>
      </c>
      <c r="R493">
        <v>18.105</v>
      </c>
    </row>
    <row r="494" spans="1:18" x14ac:dyDescent="0.25">
      <c r="A494" t="s">
        <v>510</v>
      </c>
      <c r="B494">
        <v>-2.4100000038743019E-2</v>
      </c>
      <c r="C494" t="s">
        <v>537</v>
      </c>
      <c r="D494" t="s">
        <v>1853</v>
      </c>
      <c r="E494" t="s">
        <v>681</v>
      </c>
      <c r="F494" t="s">
        <v>1854</v>
      </c>
      <c r="G494">
        <v>35923915850.400002</v>
      </c>
      <c r="H494">
        <v>-7.2268910000000002</v>
      </c>
      <c r="I494" t="s">
        <v>1855</v>
      </c>
      <c r="J494">
        <v>4.9499998092651367</v>
      </c>
      <c r="K494" t="s">
        <v>532</v>
      </c>
      <c r="L494">
        <v>0.8952864408493042</v>
      </c>
      <c r="M494">
        <v>29.874220287308322</v>
      </c>
      <c r="N494">
        <v>1.6547036189698241</v>
      </c>
      <c r="O494">
        <v>-4.3764991203739712</v>
      </c>
      <c r="P494">
        <v>4.6119159013402458</v>
      </c>
      <c r="Q494">
        <v>218.19</v>
      </c>
      <c r="R494">
        <v>122.65</v>
      </c>
    </row>
    <row r="495" spans="1:18" x14ac:dyDescent="0.25">
      <c r="A495" t="s">
        <v>511</v>
      </c>
      <c r="B495">
        <v>0.44200000166893005</v>
      </c>
      <c r="C495" t="s">
        <v>570</v>
      </c>
      <c r="D495" t="s">
        <v>1856</v>
      </c>
      <c r="E495" t="s">
        <v>724</v>
      </c>
      <c r="F495" t="s">
        <v>724</v>
      </c>
      <c r="G495">
        <v>15454384186.439999</v>
      </c>
      <c r="H495">
        <v>-0.63014680000000001</v>
      </c>
      <c r="I495" t="s">
        <v>1857</v>
      </c>
      <c r="J495">
        <v>5.5300002098083496</v>
      </c>
      <c r="K495" t="s">
        <v>631</v>
      </c>
      <c r="L495">
        <v>0.43945464491844177</v>
      </c>
      <c r="M495">
        <v>32.213697883155497</v>
      </c>
      <c r="N495">
        <v>0.97718157046073839</v>
      </c>
      <c r="O495">
        <v>27.494773098663678</v>
      </c>
      <c r="P495">
        <v>2.2637758960077163</v>
      </c>
      <c r="Q495">
        <v>114.8</v>
      </c>
      <c r="R495">
        <v>67.44</v>
      </c>
    </row>
    <row r="496" spans="1:18" x14ac:dyDescent="0.25">
      <c r="A496" t="s">
        <v>512</v>
      </c>
      <c r="B496">
        <v>1.3867000341415405</v>
      </c>
      <c r="C496" t="s">
        <v>604</v>
      </c>
      <c r="D496" t="s">
        <v>1858</v>
      </c>
      <c r="E496" t="s">
        <v>1708</v>
      </c>
      <c r="F496" t="s">
        <v>1859</v>
      </c>
      <c r="G496">
        <v>8277121986.6399984</v>
      </c>
      <c r="H496">
        <v>-12.462590000000001</v>
      </c>
      <c r="I496" t="s">
        <v>1860</v>
      </c>
      <c r="J496">
        <v>6.2100000381469727</v>
      </c>
      <c r="K496" t="s">
        <v>631</v>
      </c>
      <c r="L496">
        <v>0.61223757266998291</v>
      </c>
      <c r="M496">
        <v>47.295333806318432</v>
      </c>
      <c r="N496">
        <v>0.71309726568755005</v>
      </c>
      <c r="O496">
        <v>10.216831735798362</v>
      </c>
      <c r="P496">
        <v>3.1538377752220628</v>
      </c>
      <c r="Q496">
        <v>44.81</v>
      </c>
      <c r="R496">
        <v>30.07</v>
      </c>
    </row>
    <row r="497" spans="1:18" x14ac:dyDescent="0.25">
      <c r="A497" t="s">
        <v>513</v>
      </c>
      <c r="B497">
        <v>11.349300384521484</v>
      </c>
      <c r="C497" t="s">
        <v>604</v>
      </c>
      <c r="D497" t="s">
        <v>1861</v>
      </c>
      <c r="E497" t="s">
        <v>1058</v>
      </c>
      <c r="F497" t="s">
        <v>1058</v>
      </c>
      <c r="G497">
        <v>17333921849.699997</v>
      </c>
      <c r="H497">
        <v>-42.463929999999998</v>
      </c>
      <c r="I497" t="s">
        <v>1862</v>
      </c>
      <c r="J497">
        <v>3.9300000667572021</v>
      </c>
      <c r="K497" t="s">
        <v>631</v>
      </c>
      <c r="L497">
        <v>1.0875165462493896</v>
      </c>
      <c r="M497">
        <v>65.587085054332277</v>
      </c>
      <c r="N497">
        <v>0.87734877318438165</v>
      </c>
      <c r="O497">
        <v>-11.290198353112299</v>
      </c>
      <c r="P497">
        <v>5.6021566101908684</v>
      </c>
      <c r="Q497">
        <v>223.96</v>
      </c>
      <c r="R497">
        <v>93.8</v>
      </c>
    </row>
    <row r="498" spans="1:18" x14ac:dyDescent="0.25">
      <c r="A498" t="s">
        <v>514</v>
      </c>
      <c r="B498">
        <v>1.916100025177002</v>
      </c>
      <c r="C498" t="s">
        <v>542</v>
      </c>
      <c r="D498" t="s">
        <v>1863</v>
      </c>
      <c r="E498" t="s">
        <v>757</v>
      </c>
      <c r="F498" t="s">
        <v>807</v>
      </c>
      <c r="G498">
        <v>64544580000</v>
      </c>
      <c r="H498">
        <v>-6.3132190000000001</v>
      </c>
      <c r="I498" t="s">
        <v>1864</v>
      </c>
      <c r="J498">
        <v>4.9899997711181641</v>
      </c>
      <c r="K498" t="s">
        <v>631</v>
      </c>
      <c r="L498">
        <v>1.0862017869949341</v>
      </c>
      <c r="M498">
        <v>36.206018984370139</v>
      </c>
      <c r="N498">
        <v>1.3447097222222222</v>
      </c>
      <c r="O498">
        <v>4.6353615043769585</v>
      </c>
      <c r="P498">
        <v>5.5953838514006131</v>
      </c>
      <c r="Q498">
        <v>294</v>
      </c>
      <c r="R498">
        <v>199.99</v>
      </c>
    </row>
    <row r="499" spans="1:18" x14ac:dyDescent="0.25">
      <c r="A499" t="s">
        <v>515</v>
      </c>
      <c r="B499">
        <v>-0.45809999108314514</v>
      </c>
      <c r="C499" t="s">
        <v>553</v>
      </c>
      <c r="D499" t="s">
        <v>1865</v>
      </c>
      <c r="E499" t="s">
        <v>1035</v>
      </c>
      <c r="F499" t="s">
        <v>1866</v>
      </c>
      <c r="G499">
        <v>67725049022.360008</v>
      </c>
      <c r="H499">
        <v>-6.634747</v>
      </c>
      <c r="I499" t="s">
        <v>1867</v>
      </c>
      <c r="J499">
        <v>5.8600001335144043</v>
      </c>
      <c r="K499" t="s">
        <v>631</v>
      </c>
      <c r="L499">
        <v>0.74587142467498779</v>
      </c>
      <c r="M499">
        <v>28.236855155676967</v>
      </c>
      <c r="N499">
        <v>7.9805650211665052E-2</v>
      </c>
      <c r="O499">
        <v>17.590140550978379</v>
      </c>
      <c r="P499">
        <v>3.8422298460710045</v>
      </c>
      <c r="Q499">
        <v>200.03</v>
      </c>
      <c r="R499">
        <v>139.69999999999999</v>
      </c>
    </row>
    <row r="500" spans="1:18" x14ac:dyDescent="0.25">
      <c r="A500" t="s">
        <v>516</v>
      </c>
      <c r="B500">
        <v>-1.2704999446868896</v>
      </c>
      <c r="C500" t="s">
        <v>527</v>
      </c>
      <c r="D500" t="s">
        <v>1868</v>
      </c>
      <c r="E500" t="s">
        <v>1051</v>
      </c>
      <c r="F500" t="s">
        <v>1051</v>
      </c>
      <c r="G500">
        <v>99757746200.240005</v>
      </c>
      <c r="H500">
        <v>57.736609999999999</v>
      </c>
      <c r="I500" t="s">
        <v>1869</v>
      </c>
      <c r="J500">
        <v>2.7799999713897705</v>
      </c>
      <c r="K500" t="s">
        <v>552</v>
      </c>
      <c r="L500">
        <v>2.1173200607299805</v>
      </c>
      <c r="M500">
        <v>78.770663727074819</v>
      </c>
      <c r="N500">
        <v>0.99642538529871716</v>
      </c>
      <c r="O500">
        <v>-0.16000811415555197</v>
      </c>
      <c r="P500">
        <v>10.907014348440169</v>
      </c>
      <c r="Q500">
        <v>444.59</v>
      </c>
      <c r="R500">
        <v>142.58500000000001</v>
      </c>
    </row>
    <row r="501" spans="1:18" x14ac:dyDescent="0.25">
      <c r="A501" t="s">
        <v>517</v>
      </c>
      <c r="B501">
        <v>1.5059000253677368</v>
      </c>
      <c r="C501" t="s">
        <v>587</v>
      </c>
      <c r="D501" t="s">
        <v>1870</v>
      </c>
      <c r="E501" t="s">
        <v>1871</v>
      </c>
      <c r="F501" t="s">
        <v>1871</v>
      </c>
      <c r="G501">
        <v>78395073957.12999</v>
      </c>
      <c r="H501">
        <v>-15.00281</v>
      </c>
      <c r="I501" t="s">
        <v>1872</v>
      </c>
      <c r="J501">
        <v>6.9800000190734863</v>
      </c>
      <c r="K501" t="s">
        <v>631</v>
      </c>
      <c r="L501">
        <v>0.85207825899124146</v>
      </c>
      <c r="M501">
        <v>34.353461365377818</v>
      </c>
      <c r="N501">
        <v>0.28042509946177119</v>
      </c>
      <c r="O501">
        <v>5.3361391328389907</v>
      </c>
      <c r="P501">
        <v>4.3893362978893515</v>
      </c>
      <c r="Q501">
        <v>992.18</v>
      </c>
      <c r="R501">
        <v>707.39</v>
      </c>
    </row>
    <row r="502" spans="1:18" x14ac:dyDescent="0.25">
      <c r="A502" t="s">
        <v>518</v>
      </c>
      <c r="B502">
        <v>-1.1720999479293823</v>
      </c>
      <c r="C502" t="s">
        <v>587</v>
      </c>
      <c r="D502" t="s">
        <v>1873</v>
      </c>
      <c r="E502" t="s">
        <v>1871</v>
      </c>
      <c r="F502" t="s">
        <v>1871</v>
      </c>
      <c r="G502">
        <v>61090644887.990005</v>
      </c>
      <c r="H502">
        <v>0.3270728</v>
      </c>
      <c r="I502" t="s">
        <v>1874</v>
      </c>
      <c r="J502">
        <v>6.1100001335144043</v>
      </c>
      <c r="K502" t="s">
        <v>631</v>
      </c>
      <c r="L502">
        <v>0.85961395502090454</v>
      </c>
      <c r="M502">
        <v>16.047131135767863</v>
      </c>
      <c r="N502">
        <v>0.10488714828016742</v>
      </c>
      <c r="O502">
        <v>0.36794372023775695</v>
      </c>
      <c r="P502">
        <v>4.4281551549178362</v>
      </c>
      <c r="Q502">
        <v>198</v>
      </c>
      <c r="R502">
        <v>129.94999999999999</v>
      </c>
    </row>
    <row r="503" spans="1:18" x14ac:dyDescent="0.25">
      <c r="A503" t="s">
        <v>519</v>
      </c>
      <c r="B503">
        <v>4.2978000640869141</v>
      </c>
      <c r="C503" t="s">
        <v>553</v>
      </c>
      <c r="D503" t="s">
        <v>1875</v>
      </c>
      <c r="E503" t="s">
        <v>678</v>
      </c>
      <c r="F503" t="s">
        <v>1804</v>
      </c>
      <c r="G503">
        <v>8944084000</v>
      </c>
      <c r="H503">
        <v>-43.301839999999999</v>
      </c>
      <c r="I503" t="s">
        <v>1876</v>
      </c>
      <c r="J503">
        <v>3.2000000476837158</v>
      </c>
      <c r="K503" t="s">
        <v>532</v>
      </c>
      <c r="L503">
        <v>0.26426970958709717</v>
      </c>
      <c r="M503">
        <v>75.679046844365004</v>
      </c>
      <c r="N503">
        <v>1.1660018450184502</v>
      </c>
      <c r="O503">
        <v>-2.2542796513174581</v>
      </c>
      <c r="P503">
        <v>1.3613404830873013</v>
      </c>
      <c r="Q503">
        <v>363.995</v>
      </c>
      <c r="R503">
        <v>157</v>
      </c>
    </row>
    <row r="504" spans="1:18" x14ac:dyDescent="0.25">
      <c r="A504" t="s">
        <v>520</v>
      </c>
      <c r="B504">
        <v>3.1895999908447266</v>
      </c>
      <c r="C504" t="s">
        <v>604</v>
      </c>
      <c r="D504" t="s">
        <v>1877</v>
      </c>
      <c r="E504" t="s">
        <v>840</v>
      </c>
      <c r="F504" t="s">
        <v>841</v>
      </c>
      <c r="G504">
        <v>35977033490.459991</v>
      </c>
      <c r="H504">
        <v>2.0443910000000001</v>
      </c>
      <c r="I504" t="s">
        <v>1878</v>
      </c>
      <c r="J504">
        <v>8.1800003051757813</v>
      </c>
      <c r="K504" t="s">
        <v>526</v>
      </c>
      <c r="L504">
        <v>0.90853559970855713</v>
      </c>
      <c r="M504">
        <v>36.659571364109794</v>
      </c>
      <c r="N504">
        <v>0.1596610462819337</v>
      </c>
      <c r="O504">
        <v>35.136011560551097</v>
      </c>
      <c r="P504">
        <v>4.680166690846681</v>
      </c>
      <c r="Q504">
        <v>56.56</v>
      </c>
      <c r="R504">
        <v>30.18</v>
      </c>
    </row>
  </sheetData>
  <phoneticPr fontId="1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 1</vt:lpstr>
      <vt:lpstr>工作表1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lzweig</dc:creator>
  <cp:lastModifiedBy>Administrator</cp:lastModifiedBy>
  <dcterms:created xsi:type="dcterms:W3CDTF">2013-04-03T15:49:21Z</dcterms:created>
  <dcterms:modified xsi:type="dcterms:W3CDTF">2025-07-28T09:06:07Z</dcterms:modified>
</cp:coreProperties>
</file>