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GD\QF302Spring2021\presentation\"/>
    </mc:Choice>
  </mc:AlternateContent>
  <xr:revisionPtr revIDLastSave="0" documentId="13_ncr:1_{FD17ABDE-C0C7-4BE0-8D5D-A3DF722D4005}" xr6:coauthVersionLast="46" xr6:coauthVersionMax="46" xr10:uidLastSave="{00000000-0000-0000-0000-000000000000}"/>
  <bookViews>
    <workbookView xWindow="-108" yWindow="-108" windowWidth="23256" windowHeight="12576" tabRatio="714" activeTab="1" xr2:uid="{00000000-000D-0000-FFFF-FFFF00000000}"/>
  </bookViews>
  <sheets>
    <sheet name="Sprd 18.1" sheetId="3" r:id="rId1"/>
    <sheet name="Sprd 18.2" sheetId="8" r:id="rId2"/>
  </sheets>
  <definedNames>
    <definedName name="_Div1">#REF!</definedName>
    <definedName name="_Div2">#REF!</definedName>
    <definedName name="_Div3">#REF!</definedName>
    <definedName name="_Div4">#REF!</definedName>
    <definedName name="_Regression_Int">1</definedName>
    <definedName name="g_firm">'Sprd 18.2'!$B$23</definedName>
    <definedName name="k">#REF!</definedName>
    <definedName name="k_eq">'Sprd 18.1'!$B$5</definedName>
    <definedName name="Price4">#REF!</definedName>
    <definedName name="_xlnm.Print_Area">#REF!</definedName>
    <definedName name="Print_Area_MI">#REF!</definedName>
    <definedName name="rdebt">'Sprd 18.2'!$B$25</definedName>
    <definedName name="tax_rate">'Sprd 18.2'!$B$24</definedName>
    <definedName name="term_g">'Sprd 18.1'!$B$6</definedName>
    <definedName name="WACC_5">'Sprd 18.2'!$G$32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8" l="1"/>
  <c r="E6" i="8"/>
  <c r="F5" i="8"/>
  <c r="F4" i="8"/>
  <c r="E4" i="8"/>
  <c r="E5" i="8"/>
  <c r="D3" i="8"/>
  <c r="E4" i="3"/>
  <c r="H4" i="3" s="1"/>
  <c r="E3" i="3"/>
  <c r="E7" i="8"/>
  <c r="F7" i="8"/>
  <c r="D1" i="8"/>
  <c r="E1" i="8"/>
  <c r="F1" i="8" s="1"/>
  <c r="G1" i="8" s="1"/>
  <c r="F3" i="8"/>
  <c r="E3" i="8"/>
  <c r="F16" i="3"/>
  <c r="E6" i="3"/>
  <c r="B5" i="3"/>
  <c r="H2" i="3"/>
  <c r="H3" i="3"/>
  <c r="H5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G28" i="8"/>
  <c r="G29" i="8" s="1"/>
  <c r="C28" i="8"/>
  <c r="B22" i="8" s="1"/>
  <c r="D12" i="8"/>
  <c r="D13" i="8"/>
  <c r="D17" i="8" s="1"/>
  <c r="E12" i="8"/>
  <c r="G15" i="8"/>
  <c r="E8" i="8"/>
  <c r="E13" i="8" s="1"/>
  <c r="E14" i="8"/>
  <c r="E11" i="8"/>
  <c r="F12" i="8"/>
  <c r="F8" i="8"/>
  <c r="G13" i="8"/>
  <c r="F14" i="8"/>
  <c r="F11" i="8"/>
  <c r="G12" i="8"/>
  <c r="C12" i="8"/>
  <c r="C29" i="8"/>
  <c r="F17" i="3"/>
  <c r="F7" i="3"/>
  <c r="F8" i="3"/>
  <c r="F9" i="3" s="1"/>
  <c r="F10" i="3" s="1"/>
  <c r="F11" i="3" s="1"/>
  <c r="F12" i="3" s="1"/>
  <c r="F13" i="3" s="1"/>
  <c r="F14" i="3" s="1"/>
  <c r="F15" i="3" s="1"/>
  <c r="F13" i="8"/>
  <c r="D15" i="8"/>
  <c r="F15" i="8" s="1"/>
  <c r="E15" i="8"/>
  <c r="E17" i="8" l="1"/>
  <c r="G17" i="8"/>
  <c r="E7" i="3"/>
  <c r="H7" i="3" s="1"/>
  <c r="G18" i="8"/>
  <c r="F29" i="8"/>
  <c r="D29" i="8"/>
  <c r="D30" i="8" s="1"/>
  <c r="D31" i="8" s="1"/>
  <c r="F30" i="8"/>
  <c r="F31" i="8" s="1"/>
  <c r="F32" i="8" s="1"/>
  <c r="G30" i="8"/>
  <c r="G31" i="8" s="1"/>
  <c r="C30" i="8"/>
  <c r="C31" i="8" s="1"/>
  <c r="C32" i="8" s="1"/>
  <c r="E29" i="8"/>
  <c r="E30" i="8" s="1"/>
  <c r="E31" i="8" s="1"/>
  <c r="E32" i="8" s="1"/>
  <c r="F17" i="8"/>
  <c r="E18" i="8"/>
  <c r="D18" i="8"/>
  <c r="H6" i="3"/>
  <c r="E8" i="3" l="1"/>
  <c r="H8" i="3" s="1"/>
  <c r="D32" i="8"/>
  <c r="D33" i="8" s="1"/>
  <c r="D34" i="8"/>
  <c r="E34" i="8" s="1"/>
  <c r="F34" i="8" s="1"/>
  <c r="G34" i="8" s="1"/>
  <c r="H34" i="8" s="1"/>
  <c r="F18" i="8"/>
  <c r="F38" i="8" s="1"/>
  <c r="H18" i="8"/>
  <c r="H38" i="8" s="1"/>
  <c r="G38" i="8"/>
  <c r="D38" i="8"/>
  <c r="G32" i="8"/>
  <c r="H31" i="8"/>
  <c r="J38" i="8" l="1"/>
  <c r="K38" i="8" s="1"/>
  <c r="L38" i="8" s="1"/>
  <c r="E38" i="8"/>
  <c r="E9" i="3"/>
  <c r="E10" i="3" s="1"/>
  <c r="H9" i="3"/>
  <c r="H32" i="8"/>
  <c r="H17" i="8"/>
  <c r="E33" i="8"/>
  <c r="D37" i="8"/>
  <c r="F33" i="8" l="1"/>
  <c r="E37" i="8"/>
  <c r="E11" i="3"/>
  <c r="H10" i="3"/>
  <c r="G33" i="8" l="1"/>
  <c r="F37" i="8"/>
  <c r="H11" i="3"/>
  <c r="E12" i="3"/>
  <c r="H12" i="3" l="1"/>
  <c r="E13" i="3"/>
  <c r="H33" i="8"/>
  <c r="H37" i="8" s="1"/>
  <c r="G37" i="8"/>
  <c r="J37" i="8" l="1"/>
  <c r="K37" i="8" s="1"/>
  <c r="L37" i="8" s="1"/>
  <c r="H13" i="3"/>
  <c r="E14" i="3"/>
  <c r="H14" i="3" l="1"/>
  <c r="E15" i="3"/>
  <c r="H15" i="3" l="1"/>
  <c r="E16" i="3"/>
  <c r="E17" i="3" l="1"/>
  <c r="H16" i="3"/>
  <c r="G17" i="3" l="1"/>
  <c r="H17" i="3" s="1"/>
  <c r="H19" i="3" s="1"/>
</calcChain>
</file>

<file path=xl/sharedStrings.xml><?xml version="1.0" encoding="utf-8"?>
<sst xmlns="http://schemas.openxmlformats.org/spreadsheetml/2006/main" count="74" uniqueCount="71">
  <si>
    <t>P/E</t>
  </si>
  <si>
    <t>EPS</t>
  </si>
  <si>
    <t>Year</t>
  </si>
  <si>
    <t>Dividend</t>
  </si>
  <si>
    <t>Div growth</t>
  </si>
  <si>
    <t>Term value</t>
  </si>
  <si>
    <t>Investor CF</t>
  </si>
  <si>
    <t>beta</t>
  </si>
  <si>
    <t>mkt_prem</t>
  </si>
  <si>
    <t>rf</t>
  </si>
  <si>
    <t>k_equity</t>
  </si>
  <si>
    <t>term_gwth</t>
  </si>
  <si>
    <t xml:space="preserve">Value line </t>
  </si>
  <si>
    <t>forecasts of</t>
  </si>
  <si>
    <t>annual dividends</t>
  </si>
  <si>
    <t>Transitional period</t>
  </si>
  <si>
    <t>with slowing dividend</t>
  </si>
  <si>
    <t>growth</t>
  </si>
  <si>
    <t>= PV of CF</t>
  </si>
  <si>
    <t>Beginning of constant</t>
  </si>
  <si>
    <t>E17 * (1+ F17)/(B5 - F17)</t>
  </si>
  <si>
    <t>growth period</t>
  </si>
  <si>
    <t>NPV(B5,H2:H17)</t>
  </si>
  <si>
    <t>A. Input data</t>
  </si>
  <si>
    <t xml:space="preserve"> </t>
  </si>
  <si>
    <t>Working Capital</t>
  </si>
  <si>
    <t>B. Cash flow calculations</t>
  </si>
  <si>
    <t xml:space="preserve">   = (1-tax_rate) x r_debt x LT Debt</t>
  </si>
  <si>
    <t>Terminal value</t>
  </si>
  <si>
    <t>C. Discount rate calculations</t>
  </si>
  <si>
    <t>Current beta</t>
  </si>
  <si>
    <t>from Value Line</t>
  </si>
  <si>
    <t>Unlevered beta</t>
  </si>
  <si>
    <t>current beta /[1 + (1-tax)*debt/equity)]</t>
  </si>
  <si>
    <t>terminal growth</t>
  </si>
  <si>
    <t>tax_rate</t>
  </si>
  <si>
    <t>r_debt</t>
  </si>
  <si>
    <t>risk-free rate</t>
  </si>
  <si>
    <t>market risk prem</t>
  </si>
  <si>
    <t>Row 3 x Row 11</t>
  </si>
  <si>
    <t>Debt/Value</t>
  </si>
  <si>
    <t>linear trend from initial to final value</t>
  </si>
  <si>
    <t>Levered beta</t>
  </si>
  <si>
    <t>unlevered beta x [1 + (1-tax)*debt/equity]</t>
  </si>
  <si>
    <t>from CAPM and levered beta</t>
  </si>
  <si>
    <t>WACC</t>
  </si>
  <si>
    <t>(1-t)*r_debt*D/V + k_equity*(1-D/V)</t>
  </si>
  <si>
    <t>PV factor for FCFF</t>
  </si>
  <si>
    <t>Discount each year at WACC</t>
  </si>
  <si>
    <t>PV factor for FCFE</t>
  </si>
  <si>
    <t>Discount each year at k_equity</t>
  </si>
  <si>
    <t>D. Present values</t>
  </si>
  <si>
    <t>Intrinsic val</t>
  </si>
  <si>
    <t>Equity val</t>
  </si>
  <si>
    <t>Intrin/share</t>
  </si>
  <si>
    <t>PV(FCFF)</t>
  </si>
  <si>
    <t>PV(FCFE)</t>
  </si>
  <si>
    <t>Profits ($M, after tax)</t>
  </si>
  <si>
    <t>LT Debt ($M)</t>
  </si>
  <si>
    <t>Shares (million)</t>
  </si>
  <si>
    <t>Interest ($M, after tax)</t>
  </si>
  <si>
    <t>Chg Working Cap ($M)</t>
  </si>
  <si>
    <t>Depreciation ($M)</t>
  </si>
  <si>
    <t>Cap Spending ($M)</t>
  </si>
  <si>
    <t>FCFF ($M)</t>
  </si>
  <si>
    <t>FCFE ($M)</t>
  </si>
  <si>
    <t>YTM in 2019 on Moody's A2 rated LT debt</t>
  </si>
  <si>
    <t>assumes fixed debt ratio after 2022</t>
  </si>
  <si>
    <t>Inputs for RioTinto</t>
  </si>
  <si>
    <t>Cap spending/share</t>
  </si>
  <si>
    <t>Market value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</si>
</sst>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sz val="8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name val="Courie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9" fillId="0" borderId="0"/>
  </cellStyleXfs>
  <cellXfs count="24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quotePrefix="1" applyNumberForma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" fontId="0" fillId="0" borderId="0" xfId="0" quotePrefix="1" applyNumberFormat="1"/>
    <xf numFmtId="1" fontId="3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/>
    <xf numFmtId="2" fontId="0" fillId="0" borderId="0" xfId="0" quotePrefix="1" applyNumberFormat="1" applyAlignment="1"/>
    <xf numFmtId="0" fontId="6" fillId="0" borderId="0" xfId="0" applyFont="1"/>
    <xf numFmtId="3" fontId="0" fillId="0" borderId="0" xfId="0" applyNumberFormat="1"/>
    <xf numFmtId="0" fontId="7" fillId="0" borderId="0" xfId="0" applyFont="1"/>
    <xf numFmtId="3" fontId="10" fillId="0" borderId="0" xfId="0" applyNumberFormat="1" applyFont="1"/>
  </cellXfs>
  <cellStyles count="4">
    <cellStyle name="Normal" xfId="0" builtinId="0"/>
    <cellStyle name="Normal 2" xfId="1" xr:uid="{00000000-0005-0000-0000-000002000000}"/>
    <cellStyle name="Normal 3" xfId="2" xr:uid="{A2C5715F-29D7-48BA-8D33-885D4C1B96EB}"/>
    <cellStyle name="Normal 4" xfId="3" xr:uid="{22F1BDBD-4408-432C-9A30-34B980F6DDE9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38100</xdr:rowOff>
    </xdr:from>
    <xdr:to>
      <xdr:col>3</xdr:col>
      <xdr:colOff>171450</xdr:colOff>
      <xdr:row>5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1838325" y="200025"/>
          <a:ext cx="133350" cy="619125"/>
        </a:xfrm>
        <a:prstGeom prst="leftBrace">
          <a:avLst>
            <a:gd name="adj1" fmla="val 3869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47625</xdr:colOff>
      <xdr:row>5</xdr:row>
      <xdr:rowOff>38100</xdr:rowOff>
    </xdr:from>
    <xdr:to>
      <xdr:col>3</xdr:col>
      <xdr:colOff>161925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 bwMode="auto">
        <a:xfrm>
          <a:off x="1847850" y="847725"/>
          <a:ext cx="114300" cy="1743075"/>
        </a:xfrm>
        <a:prstGeom prst="leftBrace">
          <a:avLst>
            <a:gd name="adj1" fmla="val 12708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819150</xdr:colOff>
      <xdr:row>3</xdr:row>
      <xdr:rowOff>107950</xdr:rowOff>
    </xdr:from>
    <xdr:to>
      <xdr:col>3</xdr:col>
      <xdr:colOff>0</xdr:colOff>
      <xdr:row>12</xdr:row>
      <xdr:rowOff>60325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819150" y="679450"/>
          <a:ext cx="2292350" cy="166687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352425</xdr:colOff>
      <xdr:row>11</xdr:row>
      <xdr:rowOff>104776</xdr:rowOff>
    </xdr:from>
    <xdr:to>
      <xdr:col>3</xdr:col>
      <xdr:colOff>0</xdr:colOff>
      <xdr:row>16</xdr:row>
      <xdr:rowOff>104775</xdr:rowOff>
    </xdr:to>
    <xdr:cxnSp macro="">
      <xdr:nvCxn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cxnSpLocks noChangeShapeType="1"/>
        </xdr:cNvCxnSpPr>
      </xdr:nvCxnSpPr>
      <xdr:spPr bwMode="auto">
        <a:xfrm flipV="1">
          <a:off x="1238250" y="2200276"/>
          <a:ext cx="838200" cy="9524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581025</xdr:colOff>
      <xdr:row>19</xdr:row>
      <xdr:rowOff>9525</xdr:rowOff>
    </xdr:from>
    <xdr:to>
      <xdr:col>7</xdr:col>
      <xdr:colOff>666751</xdr:colOff>
      <xdr:row>20</xdr:row>
      <xdr:rowOff>0</xdr:rowOff>
    </xdr:to>
    <xdr:cxnSp macro="">
      <xdr:nvCxn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5305425" y="3629025"/>
          <a:ext cx="85726" cy="1809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361950</xdr:colOff>
      <xdr:row>17</xdr:row>
      <xdr:rowOff>0</xdr:rowOff>
    </xdr:from>
    <xdr:to>
      <xdr:col>6</xdr:col>
      <xdr:colOff>409575</xdr:colOff>
      <xdr:row>18</xdr:row>
      <xdr:rowOff>152401</xdr:rowOff>
    </xdr:to>
    <xdr:cxnSp macro="">
      <xdr:nvCxn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cxnSpLocks noChangeShapeType="1"/>
        </xdr:cNvCxnSpPr>
      </xdr:nvCxnSpPr>
      <xdr:spPr bwMode="auto">
        <a:xfrm flipV="1">
          <a:off x="3600450" y="3238500"/>
          <a:ext cx="733425" cy="3429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76200</xdr:colOff>
      <xdr:row>16</xdr:row>
      <xdr:rowOff>142875</xdr:rowOff>
    </xdr:from>
    <xdr:to>
      <xdr:col>3</xdr:col>
      <xdr:colOff>228600</xdr:colOff>
      <xdr:row>18</xdr:row>
      <xdr:rowOff>142876</xdr:rowOff>
    </xdr:to>
    <xdr:cxnSp macro="">
      <xdr:nvCxn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>
          <a:cxnSpLocks noChangeShapeType="1"/>
        </xdr:cNvCxnSpPr>
      </xdr:nvCxnSpPr>
      <xdr:spPr bwMode="auto">
        <a:xfrm flipV="1">
          <a:off x="1524000" y="3190875"/>
          <a:ext cx="733425" cy="3810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>
    <pageSetUpPr fitToPage="1"/>
  </sheetPr>
  <dimension ref="A1:L21"/>
  <sheetViews>
    <sheetView workbookViewId="0">
      <selection activeCell="J10" sqref="J10"/>
    </sheetView>
  </sheetViews>
  <sheetFormatPr defaultColWidth="8.44140625" defaultRowHeight="14.4" x14ac:dyDescent="0.3"/>
  <cols>
    <col min="1" max="1" width="13.33203125" customWidth="1"/>
    <col min="3" max="3" width="8.6640625" customWidth="1"/>
    <col min="5" max="5" width="9.6640625" style="18" customWidth="1"/>
    <col min="6" max="6" width="10.33203125" style="2" customWidth="1"/>
    <col min="7" max="7" width="11.6640625" style="3" customWidth="1"/>
    <col min="8" max="8" width="11.33203125" style="3" customWidth="1"/>
    <col min="9" max="9" width="9.6640625" customWidth="1"/>
    <col min="256" max="256" width="8.6640625" customWidth="1"/>
    <col min="260" max="260" width="10" customWidth="1"/>
    <col min="261" max="261" width="11.33203125" customWidth="1"/>
    <col min="262" max="262" width="9.6640625" customWidth="1"/>
    <col min="512" max="512" width="8.6640625" customWidth="1"/>
    <col min="516" max="516" width="10" customWidth="1"/>
    <col min="517" max="517" width="11.33203125" customWidth="1"/>
    <col min="518" max="518" width="9.6640625" customWidth="1"/>
    <col min="768" max="768" width="8.6640625" customWidth="1"/>
    <col min="772" max="772" width="10" customWidth="1"/>
    <col min="773" max="773" width="11.33203125" customWidth="1"/>
    <col min="774" max="774" width="9.6640625" customWidth="1"/>
    <col min="1024" max="1024" width="8.6640625" customWidth="1"/>
    <col min="1028" max="1028" width="10" customWidth="1"/>
    <col min="1029" max="1029" width="11.33203125" customWidth="1"/>
    <col min="1030" max="1030" width="9.6640625" customWidth="1"/>
    <col min="1280" max="1280" width="8.6640625" customWidth="1"/>
    <col min="1284" max="1284" width="10" customWidth="1"/>
    <col min="1285" max="1285" width="11.33203125" customWidth="1"/>
    <col min="1286" max="1286" width="9.6640625" customWidth="1"/>
    <col min="1536" max="1536" width="8.6640625" customWidth="1"/>
    <col min="1540" max="1540" width="10" customWidth="1"/>
    <col min="1541" max="1541" width="11.33203125" customWidth="1"/>
    <col min="1542" max="1542" width="9.6640625" customWidth="1"/>
    <col min="1792" max="1792" width="8.6640625" customWidth="1"/>
    <col min="1796" max="1796" width="10" customWidth="1"/>
    <col min="1797" max="1797" width="11.33203125" customWidth="1"/>
    <col min="1798" max="1798" width="9.6640625" customWidth="1"/>
    <col min="2048" max="2048" width="8.6640625" customWidth="1"/>
    <col min="2052" max="2052" width="10" customWidth="1"/>
    <col min="2053" max="2053" width="11.33203125" customWidth="1"/>
    <col min="2054" max="2054" width="9.6640625" customWidth="1"/>
    <col min="2304" max="2304" width="8.6640625" customWidth="1"/>
    <col min="2308" max="2308" width="10" customWidth="1"/>
    <col min="2309" max="2309" width="11.33203125" customWidth="1"/>
    <col min="2310" max="2310" width="9.6640625" customWidth="1"/>
    <col min="2560" max="2560" width="8.6640625" customWidth="1"/>
    <col min="2564" max="2564" width="10" customWidth="1"/>
    <col min="2565" max="2565" width="11.33203125" customWidth="1"/>
    <col min="2566" max="2566" width="9.6640625" customWidth="1"/>
    <col min="2816" max="2816" width="8.6640625" customWidth="1"/>
    <col min="2820" max="2820" width="10" customWidth="1"/>
    <col min="2821" max="2821" width="11.33203125" customWidth="1"/>
    <col min="2822" max="2822" width="9.6640625" customWidth="1"/>
    <col min="3072" max="3072" width="8.6640625" customWidth="1"/>
    <col min="3076" max="3076" width="10" customWidth="1"/>
    <col min="3077" max="3077" width="11.33203125" customWidth="1"/>
    <col min="3078" max="3078" width="9.6640625" customWidth="1"/>
    <col min="3328" max="3328" width="8.6640625" customWidth="1"/>
    <col min="3332" max="3332" width="10" customWidth="1"/>
    <col min="3333" max="3333" width="11.33203125" customWidth="1"/>
    <col min="3334" max="3334" width="9.6640625" customWidth="1"/>
    <col min="3584" max="3584" width="8.6640625" customWidth="1"/>
    <col min="3588" max="3588" width="10" customWidth="1"/>
    <col min="3589" max="3589" width="11.33203125" customWidth="1"/>
    <col min="3590" max="3590" width="9.6640625" customWidth="1"/>
    <col min="3840" max="3840" width="8.6640625" customWidth="1"/>
    <col min="3844" max="3844" width="10" customWidth="1"/>
    <col min="3845" max="3845" width="11.33203125" customWidth="1"/>
    <col min="3846" max="3846" width="9.6640625" customWidth="1"/>
    <col min="4096" max="4096" width="8.6640625" customWidth="1"/>
    <col min="4100" max="4100" width="10" customWidth="1"/>
    <col min="4101" max="4101" width="11.33203125" customWidth="1"/>
    <col min="4102" max="4102" width="9.6640625" customWidth="1"/>
    <col min="4352" max="4352" width="8.6640625" customWidth="1"/>
    <col min="4356" max="4356" width="10" customWidth="1"/>
    <col min="4357" max="4357" width="11.33203125" customWidth="1"/>
    <col min="4358" max="4358" width="9.6640625" customWidth="1"/>
    <col min="4608" max="4608" width="8.6640625" customWidth="1"/>
    <col min="4612" max="4612" width="10" customWidth="1"/>
    <col min="4613" max="4613" width="11.33203125" customWidth="1"/>
    <col min="4614" max="4614" width="9.6640625" customWidth="1"/>
    <col min="4864" max="4864" width="8.6640625" customWidth="1"/>
    <col min="4868" max="4868" width="10" customWidth="1"/>
    <col min="4869" max="4869" width="11.33203125" customWidth="1"/>
    <col min="4870" max="4870" width="9.6640625" customWidth="1"/>
    <col min="5120" max="5120" width="8.6640625" customWidth="1"/>
    <col min="5124" max="5124" width="10" customWidth="1"/>
    <col min="5125" max="5125" width="11.33203125" customWidth="1"/>
    <col min="5126" max="5126" width="9.6640625" customWidth="1"/>
    <col min="5376" max="5376" width="8.6640625" customWidth="1"/>
    <col min="5380" max="5380" width="10" customWidth="1"/>
    <col min="5381" max="5381" width="11.33203125" customWidth="1"/>
    <col min="5382" max="5382" width="9.6640625" customWidth="1"/>
    <col min="5632" max="5632" width="8.6640625" customWidth="1"/>
    <col min="5636" max="5636" width="10" customWidth="1"/>
    <col min="5637" max="5637" width="11.33203125" customWidth="1"/>
    <col min="5638" max="5638" width="9.6640625" customWidth="1"/>
    <col min="5888" max="5888" width="8.6640625" customWidth="1"/>
    <col min="5892" max="5892" width="10" customWidth="1"/>
    <col min="5893" max="5893" width="11.33203125" customWidth="1"/>
    <col min="5894" max="5894" width="9.6640625" customWidth="1"/>
    <col min="6144" max="6144" width="8.6640625" customWidth="1"/>
    <col min="6148" max="6148" width="10" customWidth="1"/>
    <col min="6149" max="6149" width="11.33203125" customWidth="1"/>
    <col min="6150" max="6150" width="9.6640625" customWidth="1"/>
    <col min="6400" max="6400" width="8.6640625" customWidth="1"/>
    <col min="6404" max="6404" width="10" customWidth="1"/>
    <col min="6405" max="6405" width="11.33203125" customWidth="1"/>
    <col min="6406" max="6406" width="9.6640625" customWidth="1"/>
    <col min="6656" max="6656" width="8.6640625" customWidth="1"/>
    <col min="6660" max="6660" width="10" customWidth="1"/>
    <col min="6661" max="6661" width="11.33203125" customWidth="1"/>
    <col min="6662" max="6662" width="9.6640625" customWidth="1"/>
    <col min="6912" max="6912" width="8.6640625" customWidth="1"/>
    <col min="6916" max="6916" width="10" customWidth="1"/>
    <col min="6917" max="6917" width="11.33203125" customWidth="1"/>
    <col min="6918" max="6918" width="9.6640625" customWidth="1"/>
    <col min="7168" max="7168" width="8.6640625" customWidth="1"/>
    <col min="7172" max="7172" width="10" customWidth="1"/>
    <col min="7173" max="7173" width="11.33203125" customWidth="1"/>
    <col min="7174" max="7174" width="9.6640625" customWidth="1"/>
    <col min="7424" max="7424" width="8.6640625" customWidth="1"/>
    <col min="7428" max="7428" width="10" customWidth="1"/>
    <col min="7429" max="7429" width="11.33203125" customWidth="1"/>
    <col min="7430" max="7430" width="9.6640625" customWidth="1"/>
    <col min="7680" max="7680" width="8.6640625" customWidth="1"/>
    <col min="7684" max="7684" width="10" customWidth="1"/>
    <col min="7685" max="7685" width="11.33203125" customWidth="1"/>
    <col min="7686" max="7686" width="9.6640625" customWidth="1"/>
    <col min="7936" max="7936" width="8.6640625" customWidth="1"/>
    <col min="7940" max="7940" width="10" customWidth="1"/>
    <col min="7941" max="7941" width="11.33203125" customWidth="1"/>
    <col min="7942" max="7942" width="9.6640625" customWidth="1"/>
    <col min="8192" max="8192" width="8.6640625" customWidth="1"/>
    <col min="8196" max="8196" width="10" customWidth="1"/>
    <col min="8197" max="8197" width="11.33203125" customWidth="1"/>
    <col min="8198" max="8198" width="9.6640625" customWidth="1"/>
    <col min="8448" max="8448" width="8.6640625" customWidth="1"/>
    <col min="8452" max="8452" width="10" customWidth="1"/>
    <col min="8453" max="8453" width="11.33203125" customWidth="1"/>
    <col min="8454" max="8454" width="9.6640625" customWidth="1"/>
    <col min="8704" max="8704" width="8.6640625" customWidth="1"/>
    <col min="8708" max="8708" width="10" customWidth="1"/>
    <col min="8709" max="8709" width="11.33203125" customWidth="1"/>
    <col min="8710" max="8710" width="9.6640625" customWidth="1"/>
    <col min="8960" max="8960" width="8.6640625" customWidth="1"/>
    <col min="8964" max="8964" width="10" customWidth="1"/>
    <col min="8965" max="8965" width="11.33203125" customWidth="1"/>
    <col min="8966" max="8966" width="9.6640625" customWidth="1"/>
    <col min="9216" max="9216" width="8.6640625" customWidth="1"/>
    <col min="9220" max="9220" width="10" customWidth="1"/>
    <col min="9221" max="9221" width="11.33203125" customWidth="1"/>
    <col min="9222" max="9222" width="9.6640625" customWidth="1"/>
    <col min="9472" max="9472" width="8.6640625" customWidth="1"/>
    <col min="9476" max="9476" width="10" customWidth="1"/>
    <col min="9477" max="9477" width="11.33203125" customWidth="1"/>
    <col min="9478" max="9478" width="9.6640625" customWidth="1"/>
    <col min="9728" max="9728" width="8.6640625" customWidth="1"/>
    <col min="9732" max="9732" width="10" customWidth="1"/>
    <col min="9733" max="9733" width="11.33203125" customWidth="1"/>
    <col min="9734" max="9734" width="9.6640625" customWidth="1"/>
    <col min="9984" max="9984" width="8.6640625" customWidth="1"/>
    <col min="9988" max="9988" width="10" customWidth="1"/>
    <col min="9989" max="9989" width="11.33203125" customWidth="1"/>
    <col min="9990" max="9990" width="9.6640625" customWidth="1"/>
    <col min="10240" max="10240" width="8.6640625" customWidth="1"/>
    <col min="10244" max="10244" width="10" customWidth="1"/>
    <col min="10245" max="10245" width="11.33203125" customWidth="1"/>
    <col min="10246" max="10246" width="9.6640625" customWidth="1"/>
    <col min="10496" max="10496" width="8.6640625" customWidth="1"/>
    <col min="10500" max="10500" width="10" customWidth="1"/>
    <col min="10501" max="10501" width="11.33203125" customWidth="1"/>
    <col min="10502" max="10502" width="9.6640625" customWidth="1"/>
    <col min="10752" max="10752" width="8.6640625" customWidth="1"/>
    <col min="10756" max="10756" width="10" customWidth="1"/>
    <col min="10757" max="10757" width="11.33203125" customWidth="1"/>
    <col min="10758" max="10758" width="9.6640625" customWidth="1"/>
    <col min="11008" max="11008" width="8.6640625" customWidth="1"/>
    <col min="11012" max="11012" width="10" customWidth="1"/>
    <col min="11013" max="11013" width="11.33203125" customWidth="1"/>
    <col min="11014" max="11014" width="9.6640625" customWidth="1"/>
    <col min="11264" max="11264" width="8.6640625" customWidth="1"/>
    <col min="11268" max="11268" width="10" customWidth="1"/>
    <col min="11269" max="11269" width="11.33203125" customWidth="1"/>
    <col min="11270" max="11270" width="9.6640625" customWidth="1"/>
    <col min="11520" max="11520" width="8.6640625" customWidth="1"/>
    <col min="11524" max="11524" width="10" customWidth="1"/>
    <col min="11525" max="11525" width="11.33203125" customWidth="1"/>
    <col min="11526" max="11526" width="9.6640625" customWidth="1"/>
    <col min="11776" max="11776" width="8.6640625" customWidth="1"/>
    <col min="11780" max="11780" width="10" customWidth="1"/>
    <col min="11781" max="11781" width="11.33203125" customWidth="1"/>
    <col min="11782" max="11782" width="9.6640625" customWidth="1"/>
    <col min="12032" max="12032" width="8.6640625" customWidth="1"/>
    <col min="12036" max="12036" width="10" customWidth="1"/>
    <col min="12037" max="12037" width="11.33203125" customWidth="1"/>
    <col min="12038" max="12038" width="9.6640625" customWidth="1"/>
    <col min="12288" max="12288" width="8.6640625" customWidth="1"/>
    <col min="12292" max="12292" width="10" customWidth="1"/>
    <col min="12293" max="12293" width="11.33203125" customWidth="1"/>
    <col min="12294" max="12294" width="9.6640625" customWidth="1"/>
    <col min="12544" max="12544" width="8.6640625" customWidth="1"/>
    <col min="12548" max="12548" width="10" customWidth="1"/>
    <col min="12549" max="12549" width="11.33203125" customWidth="1"/>
    <col min="12550" max="12550" width="9.6640625" customWidth="1"/>
    <col min="12800" max="12800" width="8.6640625" customWidth="1"/>
    <col min="12804" max="12804" width="10" customWidth="1"/>
    <col min="12805" max="12805" width="11.33203125" customWidth="1"/>
    <col min="12806" max="12806" width="9.6640625" customWidth="1"/>
    <col min="13056" max="13056" width="8.6640625" customWidth="1"/>
    <col min="13060" max="13060" width="10" customWidth="1"/>
    <col min="13061" max="13061" width="11.33203125" customWidth="1"/>
    <col min="13062" max="13062" width="9.6640625" customWidth="1"/>
    <col min="13312" max="13312" width="8.6640625" customWidth="1"/>
    <col min="13316" max="13316" width="10" customWidth="1"/>
    <col min="13317" max="13317" width="11.33203125" customWidth="1"/>
    <col min="13318" max="13318" width="9.6640625" customWidth="1"/>
    <col min="13568" max="13568" width="8.6640625" customWidth="1"/>
    <col min="13572" max="13572" width="10" customWidth="1"/>
    <col min="13573" max="13573" width="11.33203125" customWidth="1"/>
    <col min="13574" max="13574" width="9.6640625" customWidth="1"/>
    <col min="13824" max="13824" width="8.6640625" customWidth="1"/>
    <col min="13828" max="13828" width="10" customWidth="1"/>
    <col min="13829" max="13829" width="11.33203125" customWidth="1"/>
    <col min="13830" max="13830" width="9.6640625" customWidth="1"/>
    <col min="14080" max="14080" width="8.6640625" customWidth="1"/>
    <col min="14084" max="14084" width="10" customWidth="1"/>
    <col min="14085" max="14085" width="11.33203125" customWidth="1"/>
    <col min="14086" max="14086" width="9.6640625" customWidth="1"/>
    <col min="14336" max="14336" width="8.6640625" customWidth="1"/>
    <col min="14340" max="14340" width="10" customWidth="1"/>
    <col min="14341" max="14341" width="11.33203125" customWidth="1"/>
    <col min="14342" max="14342" width="9.6640625" customWidth="1"/>
    <col min="14592" max="14592" width="8.6640625" customWidth="1"/>
    <col min="14596" max="14596" width="10" customWidth="1"/>
    <col min="14597" max="14597" width="11.33203125" customWidth="1"/>
    <col min="14598" max="14598" width="9.6640625" customWidth="1"/>
    <col min="14848" max="14848" width="8.6640625" customWidth="1"/>
    <col min="14852" max="14852" width="10" customWidth="1"/>
    <col min="14853" max="14853" width="11.33203125" customWidth="1"/>
    <col min="14854" max="14854" width="9.6640625" customWidth="1"/>
    <col min="15104" max="15104" width="8.6640625" customWidth="1"/>
    <col min="15108" max="15108" width="10" customWidth="1"/>
    <col min="15109" max="15109" width="11.33203125" customWidth="1"/>
    <col min="15110" max="15110" width="9.6640625" customWidth="1"/>
    <col min="15360" max="15360" width="8.6640625" customWidth="1"/>
    <col min="15364" max="15364" width="10" customWidth="1"/>
    <col min="15365" max="15365" width="11.33203125" customWidth="1"/>
    <col min="15366" max="15366" width="9.6640625" customWidth="1"/>
    <col min="15616" max="15616" width="8.6640625" customWidth="1"/>
    <col min="15620" max="15620" width="10" customWidth="1"/>
    <col min="15621" max="15621" width="11.33203125" customWidth="1"/>
    <col min="15622" max="15622" width="9.6640625" customWidth="1"/>
    <col min="15872" max="15872" width="8.6640625" customWidth="1"/>
    <col min="15876" max="15876" width="10" customWidth="1"/>
    <col min="15877" max="15877" width="11.33203125" customWidth="1"/>
    <col min="15878" max="15878" width="9.6640625" customWidth="1"/>
    <col min="16128" max="16128" width="8.6640625" customWidth="1"/>
    <col min="16132" max="16132" width="10" customWidth="1"/>
    <col min="16133" max="16133" width="11.33203125" customWidth="1"/>
    <col min="16134" max="16134" width="9.6640625" customWidth="1"/>
  </cols>
  <sheetData>
    <row r="1" spans="1:12" x14ac:dyDescent="0.3">
      <c r="A1" s="1" t="s">
        <v>68</v>
      </c>
      <c r="D1" t="s">
        <v>2</v>
      </c>
      <c r="E1" s="16" t="s">
        <v>3</v>
      </c>
      <c r="F1" s="17" t="s">
        <v>4</v>
      </c>
      <c r="G1" s="16" t="s">
        <v>5</v>
      </c>
      <c r="H1" s="16" t="s">
        <v>6</v>
      </c>
      <c r="L1" s="1"/>
    </row>
    <row r="2" spans="1:12" x14ac:dyDescent="0.3">
      <c r="A2" t="s">
        <v>7</v>
      </c>
      <c r="B2">
        <v>1.3</v>
      </c>
      <c r="D2">
        <v>2019</v>
      </c>
      <c r="E2">
        <v>3.12</v>
      </c>
      <c r="H2" s="3">
        <f>E2+G2</f>
        <v>3.12</v>
      </c>
    </row>
    <row r="3" spans="1:12" x14ac:dyDescent="0.3">
      <c r="A3" s="22" t="s">
        <v>8</v>
      </c>
      <c r="B3">
        <v>0.08</v>
      </c>
      <c r="D3">
        <f t="shared" ref="D3:D17" si="0">D2+1</f>
        <v>2020</v>
      </c>
      <c r="E3">
        <f>INT(100*(E5 - 2*(E5-E2)/3))/100</f>
        <v>3.38</v>
      </c>
      <c r="H3" s="3">
        <f t="shared" ref="H3:H17" si="1">E3+G3</f>
        <v>3.38</v>
      </c>
    </row>
    <row r="4" spans="1:12" x14ac:dyDescent="0.3">
      <c r="A4" s="22" t="s">
        <v>9</v>
      </c>
      <c r="B4">
        <v>2.9000000000000001E-2</v>
      </c>
      <c r="D4">
        <f t="shared" si="0"/>
        <v>2021</v>
      </c>
      <c r="E4">
        <f>INT(100*(E5 - (E5-E2)/3))/100</f>
        <v>3.64</v>
      </c>
      <c r="H4" s="3">
        <f t="shared" si="1"/>
        <v>3.64</v>
      </c>
    </row>
    <row r="5" spans="1:12" x14ac:dyDescent="0.3">
      <c r="A5" t="s">
        <v>10</v>
      </c>
      <c r="B5" s="4">
        <f>B4+B2*B3</f>
        <v>0.13300000000000001</v>
      </c>
      <c r="D5">
        <f t="shared" si="0"/>
        <v>2022</v>
      </c>
      <c r="E5">
        <v>3.9</v>
      </c>
      <c r="H5" s="3">
        <f t="shared" si="1"/>
        <v>3.9</v>
      </c>
    </row>
    <row r="6" spans="1:12" x14ac:dyDescent="0.3">
      <c r="A6" t="s">
        <v>11</v>
      </c>
      <c r="B6" s="2">
        <v>0.05</v>
      </c>
      <c r="D6">
        <f t="shared" si="0"/>
        <v>2023</v>
      </c>
      <c r="E6" s="18">
        <f t="shared" ref="E6:E17" si="2">E5*(1+F6)</f>
        <v>4.1886000000000001</v>
      </c>
      <c r="F6" s="4">
        <v>7.3999999999999996E-2</v>
      </c>
      <c r="H6" s="3">
        <f t="shared" si="1"/>
        <v>4.1886000000000001</v>
      </c>
    </row>
    <row r="7" spans="1:12" x14ac:dyDescent="0.3">
      <c r="D7">
        <f t="shared" si="0"/>
        <v>2024</v>
      </c>
      <c r="E7" s="18">
        <f t="shared" si="2"/>
        <v>4.4885037600000004</v>
      </c>
      <c r="F7" s="4">
        <f>F6 - ($F$6-$F$16)/10</f>
        <v>7.1599999999999997E-2</v>
      </c>
      <c r="H7" s="3">
        <f t="shared" si="1"/>
        <v>4.4885037600000004</v>
      </c>
    </row>
    <row r="8" spans="1:12" x14ac:dyDescent="0.3">
      <c r="D8">
        <f t="shared" si="0"/>
        <v>2025</v>
      </c>
      <c r="E8" s="18">
        <f t="shared" si="2"/>
        <v>4.7991082201920001</v>
      </c>
      <c r="F8" s="4">
        <f t="shared" ref="F8:F15" si="3">F7 - ($F$6-$F$16)/10</f>
        <v>6.9199999999999998E-2</v>
      </c>
      <c r="H8" s="3">
        <f t="shared" si="1"/>
        <v>4.7991082201920001</v>
      </c>
    </row>
    <row r="9" spans="1:12" x14ac:dyDescent="0.3">
      <c r="D9">
        <f t="shared" si="0"/>
        <v>2026</v>
      </c>
      <c r="E9" s="18">
        <f t="shared" si="2"/>
        <v>5.1196886493008256</v>
      </c>
      <c r="F9" s="4">
        <f t="shared" si="3"/>
        <v>6.6799999999999998E-2</v>
      </c>
      <c r="H9" s="3">
        <f t="shared" si="1"/>
        <v>5.1196886493008256</v>
      </c>
    </row>
    <row r="10" spans="1:12" x14ac:dyDescent="0.3">
      <c r="D10">
        <f t="shared" si="0"/>
        <v>2027</v>
      </c>
      <c r="E10" s="18">
        <f t="shared" si="2"/>
        <v>5.4493965983157988</v>
      </c>
      <c r="F10" s="4">
        <f t="shared" si="3"/>
        <v>6.4399999999999999E-2</v>
      </c>
      <c r="H10" s="3">
        <f t="shared" si="1"/>
        <v>5.4493965983157988</v>
      </c>
    </row>
    <row r="11" spans="1:12" x14ac:dyDescent="0.3">
      <c r="D11">
        <f t="shared" si="0"/>
        <v>2028</v>
      </c>
      <c r="E11" s="18">
        <f t="shared" si="2"/>
        <v>5.7872591874113786</v>
      </c>
      <c r="F11" s="4">
        <f t="shared" si="3"/>
        <v>6.2E-2</v>
      </c>
      <c r="H11" s="3">
        <f t="shared" si="1"/>
        <v>5.7872591874113786</v>
      </c>
    </row>
    <row r="12" spans="1:12" x14ac:dyDescent="0.3">
      <c r="A12" t="s">
        <v>12</v>
      </c>
      <c r="D12">
        <f t="shared" si="0"/>
        <v>2029</v>
      </c>
      <c r="E12" s="18">
        <f t="shared" si="2"/>
        <v>6.1321798349810974</v>
      </c>
      <c r="F12" s="4">
        <f t="shared" si="3"/>
        <v>5.96E-2</v>
      </c>
      <c r="H12" s="3">
        <f t="shared" si="1"/>
        <v>6.1321798349810974</v>
      </c>
    </row>
    <row r="13" spans="1:12" x14ac:dyDescent="0.3">
      <c r="A13" t="s">
        <v>13</v>
      </c>
      <c r="D13">
        <f t="shared" si="0"/>
        <v>2030</v>
      </c>
      <c r="E13" s="18">
        <f t="shared" si="2"/>
        <v>6.4829405215420159</v>
      </c>
      <c r="F13" s="4">
        <f t="shared" si="3"/>
        <v>5.7200000000000001E-2</v>
      </c>
      <c r="H13" s="3">
        <f t="shared" si="1"/>
        <v>6.4829405215420159</v>
      </c>
    </row>
    <row r="14" spans="1:12" x14ac:dyDescent="0.3">
      <c r="A14" t="s">
        <v>14</v>
      </c>
      <c r="D14">
        <f t="shared" si="0"/>
        <v>2031</v>
      </c>
      <c r="E14" s="18">
        <f t="shared" si="2"/>
        <v>6.838205662122518</v>
      </c>
      <c r="F14" s="4">
        <f t="shared" si="3"/>
        <v>5.4800000000000001E-2</v>
      </c>
      <c r="H14" s="3">
        <f t="shared" si="1"/>
        <v>6.838205662122518</v>
      </c>
    </row>
    <row r="15" spans="1:12" x14ac:dyDescent="0.3">
      <c r="D15">
        <f t="shared" si="0"/>
        <v>2032</v>
      </c>
      <c r="E15" s="18">
        <f t="shared" si="2"/>
        <v>7.1965276388177379</v>
      </c>
      <c r="F15" s="4">
        <f t="shared" si="3"/>
        <v>5.2400000000000002E-2</v>
      </c>
      <c r="H15" s="3">
        <f t="shared" si="1"/>
        <v>7.1965276388177379</v>
      </c>
    </row>
    <row r="16" spans="1:12" x14ac:dyDescent="0.3">
      <c r="D16">
        <f t="shared" si="0"/>
        <v>2033</v>
      </c>
      <c r="E16" s="18">
        <f t="shared" si="2"/>
        <v>7.5563540207586248</v>
      </c>
      <c r="F16" s="4">
        <f>term_g</f>
        <v>0.05</v>
      </c>
      <c r="H16" s="3">
        <f t="shared" si="1"/>
        <v>7.5563540207586248</v>
      </c>
    </row>
    <row r="17" spans="1:9" x14ac:dyDescent="0.3">
      <c r="A17" t="s">
        <v>15</v>
      </c>
      <c r="D17">
        <f t="shared" si="0"/>
        <v>2034</v>
      </c>
      <c r="E17" s="18">
        <f t="shared" si="2"/>
        <v>7.9341717217965568</v>
      </c>
      <c r="F17" s="4">
        <f>B6</f>
        <v>0.05</v>
      </c>
      <c r="G17" s="3">
        <f>E17*(1+F17)/(k_eq - term_g)</f>
        <v>100.3720519022456</v>
      </c>
      <c r="H17" s="3">
        <f t="shared" si="1"/>
        <v>108.30622362404216</v>
      </c>
    </row>
    <row r="18" spans="1:9" x14ac:dyDescent="0.3">
      <c r="A18" t="s">
        <v>16</v>
      </c>
    </row>
    <row r="19" spans="1:9" x14ac:dyDescent="0.3">
      <c r="A19" t="s">
        <v>17</v>
      </c>
      <c r="H19" s="3">
        <f>NPV(k_eq,H2:H17)</f>
        <v>43.393557770909716</v>
      </c>
      <c r="I19" s="5" t="s">
        <v>18</v>
      </c>
    </row>
    <row r="20" spans="1:9" x14ac:dyDescent="0.3">
      <c r="B20" t="s">
        <v>19</v>
      </c>
      <c r="E20" s="19" t="s">
        <v>20</v>
      </c>
    </row>
    <row r="21" spans="1:9" x14ac:dyDescent="0.3">
      <c r="B21" t="s">
        <v>21</v>
      </c>
      <c r="H21" s="6" t="s">
        <v>22</v>
      </c>
    </row>
  </sheetData>
  <phoneticPr fontId="5" type="noConversion"/>
  <printOptions headings="1" gridLines="1"/>
  <pageMargins left="0.25" right="0.25" top="0.75" bottom="0.75" header="0.3" footer="0.3"/>
  <pageSetup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>
    <pageSetUpPr fitToPage="1"/>
  </sheetPr>
  <dimension ref="A1:N39"/>
  <sheetViews>
    <sheetView tabSelected="1" topLeftCell="A25" zoomScale="120" zoomScaleNormal="120" workbookViewId="0">
      <selection activeCell="D38" sqref="D38"/>
    </sheetView>
  </sheetViews>
  <sheetFormatPr defaultColWidth="8.44140625" defaultRowHeight="14.4" x14ac:dyDescent="0.3"/>
  <cols>
    <col min="1" max="1" width="18.33203125" customWidth="1"/>
    <col min="4" max="4" width="9.44140625" customWidth="1"/>
    <col min="5" max="5" width="9" customWidth="1"/>
    <col min="9" max="9" width="4.109375" customWidth="1"/>
    <col min="10" max="10" width="10.88671875" customWidth="1"/>
    <col min="11" max="11" width="10.33203125" customWidth="1"/>
  </cols>
  <sheetData>
    <row r="1" spans="1:14" x14ac:dyDescent="0.3">
      <c r="A1" s="1"/>
      <c r="B1" s="1"/>
      <c r="C1" s="1">
        <v>2018</v>
      </c>
      <c r="D1" s="1">
        <f>C1+1</f>
        <v>2019</v>
      </c>
      <c r="E1" s="1">
        <f t="shared" ref="E1:G1" si="0">D1+1</f>
        <v>2020</v>
      </c>
      <c r="F1" s="1">
        <f t="shared" si="0"/>
        <v>2021</v>
      </c>
      <c r="G1" s="1">
        <f t="shared" si="0"/>
        <v>2022</v>
      </c>
      <c r="K1" s="4"/>
      <c r="L1" s="4"/>
    </row>
    <row r="2" spans="1:14" x14ac:dyDescent="0.3">
      <c r="A2" s="1" t="s">
        <v>23</v>
      </c>
      <c r="B2" s="1"/>
      <c r="C2" s="1"/>
      <c r="D2" s="1"/>
      <c r="E2" s="1"/>
      <c r="F2" s="1"/>
      <c r="G2" s="1"/>
      <c r="K2" s="4"/>
      <c r="L2" s="4"/>
    </row>
    <row r="3" spans="1:14" x14ac:dyDescent="0.3">
      <c r="A3" t="s">
        <v>0</v>
      </c>
      <c r="B3" s="3"/>
      <c r="C3" s="3">
        <v>10.5</v>
      </c>
      <c r="D3" s="3">
        <f>$C3+1*($G3-$C3)/4</f>
        <v>10.875</v>
      </c>
      <c r="E3" s="3">
        <f>$C3+2*($G3-$C3)/4</f>
        <v>11.25</v>
      </c>
      <c r="F3" s="3">
        <f>$C3+3*($G3-$C3)/4</f>
        <v>11.625</v>
      </c>
      <c r="G3" s="3">
        <v>12</v>
      </c>
      <c r="H3" s="3"/>
      <c r="I3" s="3"/>
      <c r="K3" s="4"/>
      <c r="L3" s="4"/>
    </row>
    <row r="4" spans="1:14" x14ac:dyDescent="0.3">
      <c r="A4" t="s">
        <v>69</v>
      </c>
      <c r="B4" s="3"/>
      <c r="C4" s="3">
        <v>3.2</v>
      </c>
      <c r="D4" s="3">
        <v>3.55</v>
      </c>
      <c r="E4" s="3">
        <f>$D4+1*($G4-$D4)/3</f>
        <v>3.9166666666666665</v>
      </c>
      <c r="F4" s="3">
        <f>$D4+2*($G4-$D4)/3</f>
        <v>4.2833333333333332</v>
      </c>
      <c r="G4" s="3">
        <v>4.6500000000000004</v>
      </c>
      <c r="H4" s="3"/>
      <c r="I4" s="3"/>
      <c r="K4" s="4"/>
      <c r="L4" s="4"/>
    </row>
    <row r="5" spans="1:14" x14ac:dyDescent="0.3">
      <c r="A5" s="7" t="s">
        <v>58</v>
      </c>
      <c r="B5" s="7"/>
      <c r="C5" s="21">
        <v>13000</v>
      </c>
      <c r="D5" s="21">
        <v>14000</v>
      </c>
      <c r="E5" s="21">
        <f>$D5+1*($G5-$D5)/3</f>
        <v>15333.333333333334</v>
      </c>
      <c r="F5" s="21">
        <f>$D5+2*($G5-$D5)/3</f>
        <v>16666.666666666668</v>
      </c>
      <c r="G5" s="21">
        <v>18000</v>
      </c>
      <c r="H5" s="3"/>
      <c r="I5" s="3"/>
      <c r="J5" s="7"/>
      <c r="K5" s="7"/>
      <c r="L5" s="7"/>
      <c r="M5" s="7"/>
      <c r="N5" s="7"/>
    </row>
    <row r="6" spans="1:14" x14ac:dyDescent="0.3">
      <c r="A6" s="7" t="s">
        <v>59</v>
      </c>
      <c r="B6" s="7"/>
      <c r="C6" s="21">
        <v>1700</v>
      </c>
      <c r="D6" s="21">
        <v>1680</v>
      </c>
      <c r="E6" s="21">
        <f>D6+1*(G6-D6)/3</f>
        <v>1670</v>
      </c>
      <c r="F6" s="21">
        <f>D6+2*(G6-D6)/3</f>
        <v>1660</v>
      </c>
      <c r="G6" s="21">
        <v>1650</v>
      </c>
      <c r="H6" s="3"/>
      <c r="I6" s="3"/>
      <c r="J6" s="7"/>
      <c r="K6" s="7"/>
      <c r="L6" s="7"/>
      <c r="M6" s="7"/>
      <c r="N6" s="7"/>
    </row>
    <row r="7" spans="1:14" x14ac:dyDescent="0.3">
      <c r="A7" t="s">
        <v>1</v>
      </c>
      <c r="B7" s="3" t="s">
        <v>24</v>
      </c>
      <c r="C7" s="3">
        <v>5</v>
      </c>
      <c r="D7" s="3">
        <v>5.2</v>
      </c>
      <c r="E7" s="3">
        <f>D7+(G7-D7)/3</f>
        <v>5.6333333333333337</v>
      </c>
      <c r="F7" s="3">
        <f>D7+2*(G7-D7)/3</f>
        <v>6.0666666666666664</v>
      </c>
      <c r="G7" s="3">
        <v>6.5</v>
      </c>
      <c r="H7" s="3"/>
      <c r="I7" s="3"/>
      <c r="K7" s="4"/>
      <c r="L7" s="4"/>
    </row>
    <row r="8" spans="1:14" x14ac:dyDescent="0.3">
      <c r="A8" s="7" t="s">
        <v>25</v>
      </c>
      <c r="B8" s="7" t="s">
        <v>24</v>
      </c>
      <c r="C8" s="21">
        <v>5000</v>
      </c>
      <c r="D8" s="21">
        <v>6000</v>
      </c>
      <c r="E8" s="21">
        <f>D8+(G8-D8)/3</f>
        <v>7333.333333333333</v>
      </c>
      <c r="F8" s="21">
        <f>D8+2*(G8-D8)/3</f>
        <v>8666.6666666666661</v>
      </c>
      <c r="G8" s="21">
        <v>10000</v>
      </c>
      <c r="H8" s="3"/>
      <c r="I8" s="3"/>
      <c r="J8" s="7"/>
      <c r="K8" s="7"/>
      <c r="L8" s="7"/>
      <c r="M8" s="7"/>
      <c r="N8" s="7"/>
    </row>
    <row r="9" spans="1:14" x14ac:dyDescent="0.3">
      <c r="A9" s="7"/>
      <c r="B9" s="7"/>
      <c r="C9" s="21"/>
      <c r="D9" s="21"/>
      <c r="E9" s="21"/>
      <c r="F9" s="21"/>
      <c r="G9" s="21"/>
      <c r="H9" s="3"/>
      <c r="I9" s="3"/>
      <c r="J9" s="7"/>
      <c r="K9" s="7"/>
      <c r="L9" s="7"/>
      <c r="M9" s="7"/>
      <c r="N9" s="7"/>
    </row>
    <row r="10" spans="1:14" x14ac:dyDescent="0.3">
      <c r="A10" s="9" t="s">
        <v>26</v>
      </c>
      <c r="B10" s="3"/>
      <c r="C10" s="21"/>
      <c r="D10" s="21"/>
      <c r="E10" s="21"/>
      <c r="F10" s="21"/>
      <c r="G10" s="21"/>
      <c r="H10" s="3"/>
      <c r="I10" s="3"/>
      <c r="K10" s="4"/>
      <c r="L10" s="4"/>
    </row>
    <row r="11" spans="1:14" x14ac:dyDescent="0.3">
      <c r="A11" s="7" t="s">
        <v>57</v>
      </c>
      <c r="B11" s="7"/>
      <c r="C11" s="21">
        <v>8600</v>
      </c>
      <c r="D11" s="21">
        <v>9000</v>
      </c>
      <c r="E11" s="21">
        <f>D11+(G11-D11)/3</f>
        <v>9666.6666666666661</v>
      </c>
      <c r="F11" s="21">
        <f>D11+2*(G11-D11)/3</f>
        <v>10333.333333333334</v>
      </c>
      <c r="G11" s="21">
        <v>11000</v>
      </c>
      <c r="H11" s="3"/>
      <c r="I11" s="3"/>
      <c r="J11" s="7"/>
      <c r="K11" s="7"/>
      <c r="L11" s="7"/>
      <c r="M11" s="7"/>
      <c r="N11" s="7"/>
    </row>
    <row r="12" spans="1:14" x14ac:dyDescent="0.3">
      <c r="A12" s="7" t="s">
        <v>60</v>
      </c>
      <c r="B12" s="7"/>
      <c r="C12" s="21">
        <f>$B$25*(1-tax_rate)*C5</f>
        <v>421.07000000000005</v>
      </c>
      <c r="D12" s="21">
        <f>$B$25*(1-tax_rate)*D5</f>
        <v>453.46000000000004</v>
      </c>
      <c r="E12" s="21">
        <f>$B$25*(1-tax_rate)*E5</f>
        <v>496.6466666666667</v>
      </c>
      <c r="F12" s="21">
        <f>$B$25*(1-tax_rate)*F5</f>
        <v>539.83333333333337</v>
      </c>
      <c r="G12" s="21">
        <f>$B$25*(1-tax_rate)*G5</f>
        <v>583.02</v>
      </c>
      <c r="H12" s="7"/>
      <c r="I12" s="10"/>
      <c r="J12" s="10" t="s">
        <v>27</v>
      </c>
      <c r="K12" s="7"/>
      <c r="L12" s="7"/>
      <c r="M12" s="7"/>
      <c r="N12" s="7"/>
    </row>
    <row r="13" spans="1:14" x14ac:dyDescent="0.3">
      <c r="A13" s="7" t="s">
        <v>61</v>
      </c>
      <c r="B13" s="7"/>
      <c r="C13" s="21"/>
      <c r="D13" s="21">
        <f>D8-C8</f>
        <v>1000</v>
      </c>
      <c r="E13" s="21">
        <f>E8-D8</f>
        <v>1333.333333333333</v>
      </c>
      <c r="F13" s="21">
        <f>F8-E8</f>
        <v>1333.333333333333</v>
      </c>
      <c r="G13" s="21">
        <f>G8-F8</f>
        <v>1333.3333333333339</v>
      </c>
      <c r="H13" s="7"/>
      <c r="I13" s="7"/>
      <c r="J13" s="7"/>
      <c r="K13" s="7"/>
      <c r="L13" s="7"/>
      <c r="M13" s="7"/>
      <c r="N13" s="7"/>
    </row>
    <row r="14" spans="1:14" x14ac:dyDescent="0.3">
      <c r="A14" s="7" t="s">
        <v>62</v>
      </c>
      <c r="B14" s="7" t="s">
        <v>24</v>
      </c>
      <c r="C14" s="21">
        <v>4200</v>
      </c>
      <c r="D14" s="21">
        <v>4400</v>
      </c>
      <c r="E14" s="21">
        <f>D14+(G14-D14)/3</f>
        <v>4766.666666666667</v>
      </c>
      <c r="F14" s="21">
        <f>D14+2*(G14-D14)/3</f>
        <v>5133.333333333333</v>
      </c>
      <c r="G14" s="21">
        <v>5500</v>
      </c>
      <c r="H14" s="3"/>
      <c r="I14" s="3"/>
      <c r="J14" s="7"/>
      <c r="K14" s="7"/>
      <c r="L14" s="7"/>
      <c r="M14" s="7"/>
      <c r="N14" s="7"/>
    </row>
    <row r="15" spans="1:14" x14ac:dyDescent="0.3">
      <c r="A15" s="7" t="s">
        <v>63</v>
      </c>
      <c r="B15" s="7"/>
      <c r="C15" s="21"/>
      <c r="D15" s="21">
        <f>D4*D6</f>
        <v>5964</v>
      </c>
      <c r="E15" s="21">
        <f>D15+(G15-D15)/3</f>
        <v>6533.5</v>
      </c>
      <c r="F15" s="21">
        <f>D15+2*(G15-D15)/3</f>
        <v>7103.0000000000009</v>
      </c>
      <c r="G15" s="21">
        <f>G4*G6</f>
        <v>7672.5000000000009</v>
      </c>
      <c r="H15" s="7"/>
      <c r="I15" s="7"/>
      <c r="J15" s="7"/>
      <c r="K15" s="7"/>
      <c r="L15" s="7"/>
      <c r="M15" s="7"/>
      <c r="N15" s="7"/>
    </row>
    <row r="16" spans="1:14" x14ac:dyDescent="0.3">
      <c r="A16" s="7"/>
      <c r="B16" s="7"/>
      <c r="C16" s="8"/>
      <c r="D16" s="8"/>
      <c r="E16" s="8"/>
      <c r="F16" s="8"/>
      <c r="G16" s="8"/>
      <c r="H16" s="11" t="s">
        <v>28</v>
      </c>
      <c r="I16" s="11"/>
      <c r="J16" s="7"/>
      <c r="K16" s="7"/>
      <c r="L16" s="7"/>
      <c r="M16" s="7"/>
      <c r="N16" s="7"/>
    </row>
    <row r="17" spans="1:14" x14ac:dyDescent="0.3">
      <c r="A17" t="s">
        <v>64</v>
      </c>
      <c r="B17" s="3"/>
      <c r="C17" s="8"/>
      <c r="D17" s="21">
        <f>D11-D13-D15+D14+D12</f>
        <v>6889.46</v>
      </c>
      <c r="E17" s="21">
        <f>E11-E13-E15+E14+E12</f>
        <v>7063.1466666666656</v>
      </c>
      <c r="F17" s="21">
        <f>F11-F13-F15+F14+F12</f>
        <v>7570.1666666666652</v>
      </c>
      <c r="G17" s="21">
        <f>G11-G13-G15+G14+G12</f>
        <v>8077.1866666666647</v>
      </c>
      <c r="H17" s="21">
        <f>G17*(1+g_firm)/(WACC_5-g_firm)</f>
        <v>121935.80938883197</v>
      </c>
      <c r="I17" s="8"/>
      <c r="K17" s="4"/>
      <c r="L17" s="4"/>
    </row>
    <row r="18" spans="1:14" x14ac:dyDescent="0.3">
      <c r="A18" t="s">
        <v>65</v>
      </c>
      <c r="B18" s="3"/>
      <c r="C18" s="8"/>
      <c r="D18" s="21">
        <f>D17-D12+(D5-C5)</f>
        <v>7436</v>
      </c>
      <c r="E18" s="21">
        <f>E17-E12+(E5-D5)</f>
        <v>7899.833333333333</v>
      </c>
      <c r="F18" s="21">
        <f>F17-F12+(F5-E5)</f>
        <v>8363.6666666666661</v>
      </c>
      <c r="G18" s="21">
        <f>G17-G12+(G5-F5)</f>
        <v>8827.4999999999964</v>
      </c>
      <c r="H18" s="21">
        <f>(G18+F5-G5+F5*g_firm)*(1+g_firm)/(H31-g_firm)</f>
        <v>107366.80171679228</v>
      </c>
      <c r="I18" s="8"/>
      <c r="J18" s="20" t="s">
        <v>67</v>
      </c>
      <c r="K18" s="4"/>
      <c r="L18" s="4"/>
    </row>
    <row r="19" spans="1:14" x14ac:dyDescent="0.3">
      <c r="B19" s="3"/>
      <c r="C19" s="8"/>
      <c r="D19" s="8"/>
      <c r="E19" s="8"/>
      <c r="F19" s="8"/>
      <c r="G19" s="8"/>
      <c r="H19" s="8"/>
      <c r="I19" s="8"/>
      <c r="K19" s="4"/>
      <c r="L19" s="4"/>
    </row>
    <row r="20" spans="1:14" x14ac:dyDescent="0.3">
      <c r="A20" s="1" t="s">
        <v>29</v>
      </c>
      <c r="K20" s="4"/>
      <c r="L20" s="4"/>
    </row>
    <row r="21" spans="1:14" x14ac:dyDescent="0.3">
      <c r="A21" s="12" t="s">
        <v>30</v>
      </c>
      <c r="B21">
        <v>1.3</v>
      </c>
      <c r="J21" t="s">
        <v>31</v>
      </c>
      <c r="K21" s="4"/>
      <c r="L21" s="4"/>
    </row>
    <row r="22" spans="1:14" x14ac:dyDescent="0.3">
      <c r="A22" s="12" t="s">
        <v>32</v>
      </c>
      <c r="B22" s="2">
        <f>B21/(1 + (1-tax_rate)*C5/C28)</f>
        <v>1.1672466938450832</v>
      </c>
      <c r="J22" t="s">
        <v>33</v>
      </c>
      <c r="K22" s="4"/>
      <c r="L22" s="4"/>
    </row>
    <row r="23" spans="1:14" x14ac:dyDescent="0.3">
      <c r="A23" t="s">
        <v>34</v>
      </c>
      <c r="B23">
        <v>0.05</v>
      </c>
      <c r="K23" s="4"/>
      <c r="L23" s="4"/>
    </row>
    <row r="24" spans="1:14" x14ac:dyDescent="0.3">
      <c r="A24" t="s">
        <v>35</v>
      </c>
      <c r="B24">
        <v>0.21</v>
      </c>
      <c r="K24" s="4"/>
      <c r="L24" s="4"/>
    </row>
    <row r="25" spans="1:14" x14ac:dyDescent="0.3">
      <c r="A25" t="s">
        <v>36</v>
      </c>
      <c r="B25" s="2">
        <v>4.1000000000000002E-2</v>
      </c>
      <c r="J25" t="s">
        <v>66</v>
      </c>
      <c r="K25" s="4"/>
      <c r="L25" s="4"/>
    </row>
    <row r="26" spans="1:14" x14ac:dyDescent="0.3">
      <c r="A26" s="12" t="s">
        <v>37</v>
      </c>
      <c r="B26">
        <v>2.8000000000000001E-2</v>
      </c>
      <c r="D26" s="2"/>
      <c r="E26" s="2"/>
      <c r="F26" s="2"/>
      <c r="G26" s="2"/>
      <c r="K26" s="4"/>
      <c r="L26" s="4"/>
    </row>
    <row r="27" spans="1:14" x14ac:dyDescent="0.3">
      <c r="A27" s="12" t="s">
        <v>38</v>
      </c>
      <c r="B27">
        <v>0.08</v>
      </c>
      <c r="D27" s="2"/>
      <c r="E27" s="2"/>
      <c r="F27" s="2"/>
      <c r="G27" s="2"/>
      <c r="K27" s="4"/>
      <c r="L27" s="4"/>
    </row>
    <row r="28" spans="1:14" x14ac:dyDescent="0.3">
      <c r="A28" s="7" t="s">
        <v>70</v>
      </c>
      <c r="B28" s="7"/>
      <c r="C28" s="23">
        <f>C3*C11</f>
        <v>90300</v>
      </c>
      <c r="D28" s="21"/>
      <c r="E28" s="21"/>
      <c r="F28" s="21"/>
      <c r="G28" s="23">
        <f>G3*G11</f>
        <v>132000</v>
      </c>
      <c r="H28" s="7"/>
      <c r="I28" s="7"/>
      <c r="J28" s="7" t="s">
        <v>39</v>
      </c>
      <c r="K28" s="4"/>
      <c r="L28" s="4"/>
    </row>
    <row r="29" spans="1:14" x14ac:dyDescent="0.3">
      <c r="A29" t="s">
        <v>40</v>
      </c>
      <c r="B29" s="3"/>
      <c r="C29" s="2">
        <f>C5/(C5+C28)</f>
        <v>0.12584704743465633</v>
      </c>
      <c r="D29" s="2">
        <f>C29+(G29-C29)/4</f>
        <v>0.12438528557599224</v>
      </c>
      <c r="E29" s="2">
        <f>C29+2*(G29-C29)/4</f>
        <v>0.12292352371732816</v>
      </c>
      <c r="F29" s="2">
        <f>C29+3*(G29-C29)/4</f>
        <v>0.12146176185866409</v>
      </c>
      <c r="G29" s="2">
        <f>G5/(G5+G28)</f>
        <v>0.12</v>
      </c>
      <c r="H29" s="3"/>
      <c r="I29" s="3"/>
      <c r="J29" t="s">
        <v>41</v>
      </c>
      <c r="K29" s="4"/>
      <c r="L29" s="4"/>
    </row>
    <row r="30" spans="1:14" x14ac:dyDescent="0.3">
      <c r="A30" s="12" t="s">
        <v>42</v>
      </c>
      <c r="C30" s="2">
        <f>$B22*(1+(1-tax_rate)*(C29/(1-C29)))</f>
        <v>1.3</v>
      </c>
      <c r="D30" s="2">
        <f>$B22*(1+(1-tax_rate)*(D29/(1-D29)))</f>
        <v>1.2982389735067807</v>
      </c>
      <c r="E30" s="2">
        <f>$B22*(1+(1-tax_rate)*(E29/(1-E29)))</f>
        <v>1.2964838169722928</v>
      </c>
      <c r="F30" s="2">
        <f>$B22*(1+(1-tax_rate)*(F29/(1-F29)))</f>
        <v>1.2947345010962228</v>
      </c>
      <c r="G30" s="2">
        <f>$B22*(1+(1-tax_rate)*(G29/(1-G29)))</f>
        <v>1.2929909967729398</v>
      </c>
      <c r="J30" t="s">
        <v>43</v>
      </c>
      <c r="K30" s="4"/>
      <c r="L30" s="4"/>
    </row>
    <row r="31" spans="1:14" x14ac:dyDescent="0.3">
      <c r="A31" t="s">
        <v>10</v>
      </c>
      <c r="C31" s="2">
        <f>$B26+C30*$B27</f>
        <v>0.13200000000000001</v>
      </c>
      <c r="D31" s="2">
        <f>$B26+D30*$B27</f>
        <v>0.13185911788054247</v>
      </c>
      <c r="E31" s="2">
        <f>$B26+E30*$B27</f>
        <v>0.13171870535778343</v>
      </c>
      <c r="F31" s="2">
        <f>$B26+F30*$B27</f>
        <v>0.13157876008769784</v>
      </c>
      <c r="G31" s="2">
        <f>$B26+G30*$B27</f>
        <v>0.1314392797418352</v>
      </c>
      <c r="H31" s="2">
        <f>G31</f>
        <v>0.1314392797418352</v>
      </c>
      <c r="I31" s="2"/>
      <c r="J31" t="s">
        <v>44</v>
      </c>
      <c r="K31" s="4"/>
      <c r="L31" s="4"/>
    </row>
    <row r="32" spans="1:14" x14ac:dyDescent="0.3">
      <c r="A32" s="2" t="s">
        <v>45</v>
      </c>
      <c r="B32" s="2"/>
      <c r="C32" s="2">
        <f>C31*(1-C29) + rdebt*C29*(1-tax_rate)</f>
        <v>0.1194643756050339</v>
      </c>
      <c r="D32" s="2">
        <f>D31*(1-D29) + rdebt*D29*(1-tax_rate)</f>
        <v>0.11948662324697916</v>
      </c>
      <c r="E32" s="2">
        <f>E31*(1-E29) + rdebt*E29*(1-tax_rate)</f>
        <v>0.11950887088892445</v>
      </c>
      <c r="F32" s="2">
        <f>F31*(1-F29) + rdebt*F29*(1-tax_rate)</f>
        <v>0.11953111853086971</v>
      </c>
      <c r="G32" s="2">
        <f>G31*(1-G29) + rdebt*G29*(1-tax_rate)</f>
        <v>0.11955336617281496</v>
      </c>
      <c r="H32" s="2">
        <f>G32</f>
        <v>0.11955336617281496</v>
      </c>
      <c r="I32" s="2"/>
      <c r="J32" s="2" t="s">
        <v>46</v>
      </c>
      <c r="K32" s="2"/>
      <c r="L32" s="2"/>
      <c r="M32" s="2"/>
      <c r="N32" s="2"/>
    </row>
    <row r="33" spans="1:14" x14ac:dyDescent="0.3">
      <c r="A33" s="2" t="s">
        <v>47</v>
      </c>
      <c r="B33" s="2"/>
      <c r="C33" s="2">
        <v>1</v>
      </c>
      <c r="D33" s="2">
        <f>C33/(1+D32)</f>
        <v>0.89326659134129005</v>
      </c>
      <c r="E33" s="2">
        <f>D33/(1+E32)</f>
        <v>0.79790934629397703</v>
      </c>
      <c r="F33" s="2">
        <f>E33/(1+F32)</f>
        <v>0.71271743418892353</v>
      </c>
      <c r="G33" s="2">
        <f>F33/(1+G32)</f>
        <v>0.63660871890845439</v>
      </c>
      <c r="H33" s="2">
        <f>G33</f>
        <v>0.63660871890845439</v>
      </c>
      <c r="I33" s="2"/>
      <c r="J33" s="2" t="s">
        <v>48</v>
      </c>
      <c r="K33" s="2"/>
      <c r="L33" s="2"/>
      <c r="M33" s="2"/>
      <c r="N33" s="2"/>
    </row>
    <row r="34" spans="1:14" x14ac:dyDescent="0.3">
      <c r="A34" t="s">
        <v>49</v>
      </c>
      <c r="C34" s="2">
        <v>1</v>
      </c>
      <c r="D34" s="2">
        <f>C34/(1+D31)</f>
        <v>0.88350218167835715</v>
      </c>
      <c r="E34" s="2">
        <f>D34/(1+E31)</f>
        <v>0.78067295123397751</v>
      </c>
      <c r="F34" s="2">
        <f>E34/(1+F31)</f>
        <v>0.68989714085255105</v>
      </c>
      <c r="G34" s="2">
        <f>F34/(1+G31)</f>
        <v>0.60975180303972443</v>
      </c>
      <c r="H34" s="2">
        <f>G34</f>
        <v>0.60975180303972443</v>
      </c>
      <c r="I34" s="2"/>
      <c r="J34" s="2" t="s">
        <v>50</v>
      </c>
      <c r="K34" s="4"/>
      <c r="L34" s="4"/>
    </row>
    <row r="35" spans="1:14" x14ac:dyDescent="0.3">
      <c r="C35" s="2"/>
      <c r="D35" s="2"/>
      <c r="E35" s="2"/>
      <c r="F35" s="2"/>
      <c r="G35" s="2"/>
      <c r="H35" s="2"/>
      <c r="I35" s="2"/>
      <c r="J35" s="2"/>
      <c r="K35" s="4"/>
      <c r="L35" s="4"/>
    </row>
    <row r="36" spans="1:14" x14ac:dyDescent="0.3">
      <c r="A36" s="1" t="s">
        <v>51</v>
      </c>
      <c r="J36" s="13" t="s">
        <v>52</v>
      </c>
      <c r="K36" s="14" t="s">
        <v>53</v>
      </c>
      <c r="L36" s="15" t="s">
        <v>54</v>
      </c>
    </row>
    <row r="37" spans="1:14" x14ac:dyDescent="0.3">
      <c r="A37" s="3" t="s">
        <v>55</v>
      </c>
      <c r="B37" s="3"/>
      <c r="C37" s="7"/>
      <c r="D37" s="21">
        <f t="shared" ref="D37:H38" si="1">D17*D33</f>
        <v>6154.1244503821645</v>
      </c>
      <c r="E37" s="21">
        <f t="shared" si="1"/>
        <v>5635.7507395784824</v>
      </c>
      <c r="F37" s="21">
        <f t="shared" si="1"/>
        <v>5395.3897630491811</v>
      </c>
      <c r="G37" s="21">
        <f t="shared" si="1"/>
        <v>5142.0074562511145</v>
      </c>
      <c r="H37" s="21">
        <f t="shared" si="1"/>
        <v>77625.399404089811</v>
      </c>
      <c r="I37" s="21"/>
      <c r="J37" s="23">
        <f>SUM(D37:H37)</f>
        <v>99952.671813350753</v>
      </c>
      <c r="K37" s="21">
        <f>J37-C5</f>
        <v>86952.671813350753</v>
      </c>
      <c r="L37" s="3">
        <f>K37/C6</f>
        <v>51.148630478441618</v>
      </c>
    </row>
    <row r="38" spans="1:14" x14ac:dyDescent="0.3">
      <c r="A38" s="3" t="s">
        <v>56</v>
      </c>
      <c r="B38" s="3"/>
      <c r="C38" s="7"/>
      <c r="D38" s="21">
        <f t="shared" si="1"/>
        <v>6569.7222229602639</v>
      </c>
      <c r="E38" s="21">
        <f t="shared" si="1"/>
        <v>6167.1862025898827</v>
      </c>
      <c r="F38" s="21">
        <f t="shared" si="1"/>
        <v>5770.0697203771188</v>
      </c>
      <c r="G38" s="21">
        <f t="shared" si="1"/>
        <v>5382.5840413331653</v>
      </c>
      <c r="H38" s="21">
        <f t="shared" si="1"/>
        <v>65467.100933422676</v>
      </c>
      <c r="I38" s="21"/>
      <c r="J38" s="21">
        <f>SUM(D38:H38)</f>
        <v>89356.663120683108</v>
      </c>
      <c r="K38" s="21">
        <f>J38</f>
        <v>89356.663120683108</v>
      </c>
      <c r="L38" s="3">
        <f>K38/C6</f>
        <v>52.562743012166536</v>
      </c>
    </row>
    <row r="39" spans="1:14" x14ac:dyDescent="0.3">
      <c r="K39" s="4"/>
      <c r="L39" s="4"/>
    </row>
  </sheetData>
  <phoneticPr fontId="5" type="noConversion"/>
  <printOptions headings="1" gridLines="1"/>
  <pageMargins left="0.25" right="0.25" top="0.75" bottom="0.75" header="0.3" footer="0.3"/>
  <pageSetup scale="8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Sprd 18.1</vt:lpstr>
      <vt:lpstr>Sprd 18.2</vt:lpstr>
      <vt:lpstr>g_firm</vt:lpstr>
      <vt:lpstr>k_eq</vt:lpstr>
      <vt:lpstr>rdebt</vt:lpstr>
      <vt:lpstr>tax_rate</vt:lpstr>
      <vt:lpstr>term_g</vt:lpstr>
      <vt:lpstr>WACC_5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GC</cp:lastModifiedBy>
  <cp:lastPrinted>2019-03-13T20:14:37Z</cp:lastPrinted>
  <dcterms:created xsi:type="dcterms:W3CDTF">2012-01-16T17:23:51Z</dcterms:created>
  <dcterms:modified xsi:type="dcterms:W3CDTF">2021-02-08T19:00:08Z</dcterms:modified>
</cp:coreProperties>
</file>