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lumbia University\2023 Summer\COMSW4995_001_2023_2 - ML W APPLICATIONS IN FINANCE\Project\"/>
    </mc:Choice>
  </mc:AlternateContent>
  <xr:revisionPtr revIDLastSave="0" documentId="13_ncr:1_{73D8C8D4-DFA8-4F67-8C04-DAFD207F238B}" xr6:coauthVersionLast="47" xr6:coauthVersionMax="47" xr10:uidLastSave="{00000000-0000-0000-0000-000000000000}"/>
  <bookViews>
    <workbookView xWindow="-120" yWindow="-120" windowWidth="38640" windowHeight="21120" activeTab="3" xr2:uid="{668B9195-749F-4173-B615-A31BE791CF99}"/>
  </bookViews>
  <sheets>
    <sheet name="Basic Data" sheetId="1" r:id="rId1"/>
    <sheet name="Portfolio and Benchmark" sheetId="2" r:id="rId2"/>
    <sheet name="Performance Attribution" sheetId="3" r:id="rId3"/>
    <sheet name="Fama French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6" i="4"/>
  <c r="B7" i="4"/>
  <c r="B8" i="4"/>
  <c r="B9" i="4"/>
  <c r="B10" i="4"/>
  <c r="B11" i="4"/>
  <c r="B12" i="4"/>
  <c r="B13" i="4"/>
  <c r="B14" i="4"/>
  <c r="B15" i="4"/>
  <c r="B16" i="4"/>
  <c r="B4" i="4"/>
  <c r="G16" i="4"/>
  <c r="D25" i="2"/>
  <c r="L26" i="4" l="1"/>
  <c r="H42" i="2"/>
  <c r="G6" i="2"/>
  <c r="G4" i="4"/>
  <c r="G5" i="4"/>
  <c r="G6" i="4"/>
  <c r="G7" i="4"/>
  <c r="G8" i="4"/>
  <c r="G9" i="4"/>
  <c r="G10" i="4"/>
  <c r="G11" i="4"/>
  <c r="G12" i="4"/>
  <c r="G13" i="4"/>
  <c r="G14" i="4"/>
  <c r="G15" i="4"/>
  <c r="B2" i="4"/>
  <c r="C12" i="3"/>
  <c r="E5" i="3"/>
  <c r="C28" i="2"/>
  <c r="C27" i="2"/>
  <c r="H13" i="2" l="1"/>
  <c r="G14" i="2"/>
  <c r="H15" i="2"/>
  <c r="F16" i="2"/>
  <c r="H16" i="2"/>
  <c r="F17" i="2"/>
  <c r="H17" i="2"/>
  <c r="E12" i="2"/>
  <c r="F12" i="2" s="1"/>
  <c r="E13" i="2"/>
  <c r="F13" i="2" s="1"/>
  <c r="E14" i="2"/>
  <c r="F14" i="2" s="1"/>
  <c r="E15" i="2"/>
  <c r="F15" i="2" s="1"/>
  <c r="E16" i="2"/>
  <c r="E17" i="2"/>
  <c r="C14" i="2"/>
  <c r="I14" i="2" s="1"/>
  <c r="C15" i="2"/>
  <c r="D15" i="2" s="1"/>
  <c r="C16" i="2"/>
  <c r="D16" i="2" s="1"/>
  <c r="B12" i="2"/>
  <c r="C13" i="2" s="1"/>
  <c r="B13" i="2"/>
  <c r="B14" i="2"/>
  <c r="B15" i="2"/>
  <c r="B16" i="2"/>
  <c r="DC18" i="1"/>
  <c r="DD18" i="1" s="1"/>
  <c r="DE18" i="1" s="1"/>
  <c r="DH18" i="1"/>
  <c r="DI18" i="1" s="1"/>
  <c r="DJ18" i="1" s="1"/>
  <c r="CG18" i="1"/>
  <c r="CH18" i="1"/>
  <c r="CI18" i="1"/>
  <c r="CJ18" i="1"/>
  <c r="CK18" i="1"/>
  <c r="CL18" i="1"/>
  <c r="CR18" i="1"/>
  <c r="CU18" i="1"/>
  <c r="CV18" i="1"/>
  <c r="CW18" i="1"/>
  <c r="CX18" i="1"/>
  <c r="CY18" i="1"/>
  <c r="BN18" i="1"/>
  <c r="BO18" i="1"/>
  <c r="BP18" i="1"/>
  <c r="BQ18" i="1"/>
  <c r="BR18" i="1"/>
  <c r="BS18" i="1"/>
  <c r="BT18" i="1"/>
  <c r="BU18" i="1"/>
  <c r="BV18" i="1"/>
  <c r="BW18" i="1"/>
  <c r="CM18" i="1" s="1"/>
  <c r="BX18" i="1"/>
  <c r="BY18" i="1"/>
  <c r="BZ18" i="1"/>
  <c r="CA18" i="1"/>
  <c r="CB18" i="1"/>
  <c r="CC18" i="1"/>
  <c r="CD18" i="1"/>
  <c r="DC17" i="1"/>
  <c r="DD17" i="1" s="1"/>
  <c r="DE17" i="1" s="1"/>
  <c r="DH17" i="1"/>
  <c r="DI17" i="1" s="1"/>
  <c r="DJ17" i="1" s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DH16" i="1"/>
  <c r="DI16" i="1" s="1"/>
  <c r="BN16" i="1"/>
  <c r="CD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DC16" i="1"/>
  <c r="DD16" i="1" s="1"/>
  <c r="DE16" i="1" s="1"/>
  <c r="DF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DC15" i="1"/>
  <c r="DD15" i="1" s="1"/>
  <c r="DE15" i="1" s="1"/>
  <c r="DH15" i="1"/>
  <c r="DI15" i="1" s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G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G6" i="1"/>
  <c r="CG7" i="1"/>
  <c r="CG8" i="1"/>
  <c r="CG9" i="1"/>
  <c r="CG10" i="1"/>
  <c r="CG11" i="1"/>
  <c r="CG12" i="1"/>
  <c r="CG13" i="1"/>
  <c r="CG14" i="1"/>
  <c r="DC14" i="1"/>
  <c r="DD14" i="1" s="1"/>
  <c r="DE14" i="1" s="1"/>
  <c r="DF14" i="1"/>
  <c r="DH14" i="1"/>
  <c r="DI14" i="1" s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B17" i="2" l="1"/>
  <c r="C17" i="2" s="1"/>
  <c r="CQ18" i="1"/>
  <c r="CP18" i="1"/>
  <c r="DF18" i="1"/>
  <c r="CO18" i="1"/>
  <c r="CT18" i="1"/>
  <c r="CS18" i="1"/>
  <c r="CN18" i="1"/>
  <c r="B5" i="3"/>
  <c r="G13" i="2"/>
  <c r="D13" i="2"/>
  <c r="I13" i="2"/>
  <c r="H12" i="2"/>
  <c r="I17" i="2"/>
  <c r="D14" i="2"/>
  <c r="G17" i="2"/>
  <c r="I16" i="2"/>
  <c r="G16" i="2"/>
  <c r="I15" i="2"/>
  <c r="H14" i="2"/>
  <c r="G15" i="2"/>
  <c r="DF17" i="1"/>
  <c r="DF15" i="1"/>
  <c r="B6" i="3" l="1"/>
  <c r="D6" i="3" s="1"/>
  <c r="F6" i="3" s="1"/>
  <c r="D5" i="3"/>
  <c r="F5" i="3" s="1"/>
  <c r="F8" i="3" s="1"/>
  <c r="E12" i="3"/>
  <c r="D17" i="2"/>
  <c r="C22" i="2" s="1"/>
  <c r="C20" i="2"/>
  <c r="C24" i="2"/>
  <c r="DH13" i="1"/>
  <c r="DI13" i="1" s="1"/>
  <c r="BN13" i="1"/>
  <c r="BO13" i="1"/>
  <c r="BP13" i="1"/>
  <c r="BQ13" i="1"/>
  <c r="BR13" i="1"/>
  <c r="CM13" i="1" s="1"/>
  <c r="BS13" i="1"/>
  <c r="BT13" i="1"/>
  <c r="BU13" i="1"/>
  <c r="BV13" i="1"/>
  <c r="BW13" i="1"/>
  <c r="BX13" i="1"/>
  <c r="BY13" i="1"/>
  <c r="BZ13" i="1"/>
  <c r="CA13" i="1"/>
  <c r="CB13" i="1"/>
  <c r="CC13" i="1"/>
  <c r="CD13" i="1"/>
  <c r="DH11" i="1"/>
  <c r="DI11" i="1" s="1"/>
  <c r="E10" i="2" s="1"/>
  <c r="H10" i="2" s="1"/>
  <c r="DH12" i="1"/>
  <c r="DI12" i="1" s="1"/>
  <c r="E11" i="2" s="1"/>
  <c r="BN11" i="1"/>
  <c r="CV11" i="1" s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B12" i="3" l="1"/>
  <c r="D12" i="3" s="1"/>
  <c r="F12" i="3" s="1"/>
  <c r="C23" i="2"/>
  <c r="F15" i="3"/>
  <c r="CX12" i="1"/>
  <c r="CK13" i="1"/>
  <c r="CX13" i="1"/>
  <c r="CV13" i="1"/>
  <c r="CQ11" i="1"/>
  <c r="CU13" i="1"/>
  <c r="CY13" i="1"/>
  <c r="CS11" i="1"/>
  <c r="DC12" i="1"/>
  <c r="B11" i="2" s="1"/>
  <c r="C12" i="2" s="1"/>
  <c r="CP11" i="1"/>
  <c r="CV12" i="1"/>
  <c r="CX11" i="1"/>
  <c r="CR13" i="1"/>
  <c r="DC13" i="1"/>
  <c r="DD13" i="1" s="1"/>
  <c r="DE13" i="1" s="1"/>
  <c r="CW13" i="1"/>
  <c r="CP12" i="1"/>
  <c r="CN12" i="1"/>
  <c r="CL12" i="1"/>
  <c r="CM11" i="1"/>
  <c r="CQ13" i="1"/>
  <c r="CO12" i="1"/>
  <c r="CS13" i="1"/>
  <c r="CW12" i="1"/>
  <c r="CW11" i="1"/>
  <c r="CP13" i="1"/>
  <c r="CJ13" i="1"/>
  <c r="CR12" i="1"/>
  <c r="CR11" i="1"/>
  <c r="CT13" i="1"/>
  <c r="CO11" i="1"/>
  <c r="CJ12" i="1"/>
  <c r="DC11" i="1"/>
  <c r="B10" i="2" s="1"/>
  <c r="CL13" i="1"/>
  <c r="CU12" i="1"/>
  <c r="CY12" i="1"/>
  <c r="CH12" i="1"/>
  <c r="CJ11" i="1"/>
  <c r="CN13" i="1"/>
  <c r="CO13" i="1"/>
  <c r="CS12" i="1"/>
  <c r="CQ12" i="1"/>
  <c r="CT12" i="1"/>
  <c r="CT11" i="1"/>
  <c r="CK12" i="1"/>
  <c r="CI13" i="1"/>
  <c r="CH13" i="1"/>
  <c r="CN11" i="1"/>
  <c r="CL11" i="1"/>
  <c r="CI12" i="1"/>
  <c r="CK11" i="1"/>
  <c r="CM12" i="1"/>
  <c r="CY11" i="1"/>
  <c r="CI11" i="1"/>
  <c r="CU11" i="1"/>
  <c r="CH11" i="1"/>
  <c r="F11" i="2"/>
  <c r="H11" i="2"/>
  <c r="F10" i="2"/>
  <c r="DH10" i="1"/>
  <c r="DI10" i="1" s="1"/>
  <c r="E9" i="2" s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DH9" i="1"/>
  <c r="DI9" i="1" s="1"/>
  <c r="E8" i="2" s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DH8" i="1"/>
  <c r="DI8" i="1" s="1"/>
  <c r="E7" i="2" s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DH7" i="1"/>
  <c r="DI7" i="1" s="1"/>
  <c r="E6" i="2" s="1"/>
  <c r="CD7" i="1"/>
  <c r="CC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BN5" i="1"/>
  <c r="CG5" i="1" s="1"/>
  <c r="DH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BN6" i="1"/>
  <c r="I12" i="2" l="1"/>
  <c r="D12" i="2"/>
  <c r="G12" i="2"/>
  <c r="DI6" i="1"/>
  <c r="DJ6" i="1" s="1"/>
  <c r="DJ7" i="1" s="1"/>
  <c r="DJ8" i="1" s="1"/>
  <c r="DJ9" i="1" s="1"/>
  <c r="DJ10" i="1" s="1"/>
  <c r="DJ11" i="1" s="1"/>
  <c r="DJ12" i="1" s="1"/>
  <c r="DJ13" i="1" s="1"/>
  <c r="DJ14" i="1" s="1"/>
  <c r="DJ15" i="1" s="1"/>
  <c r="DJ16" i="1" s="1"/>
  <c r="CT10" i="1"/>
  <c r="C11" i="2"/>
  <c r="DF12" i="1"/>
  <c r="CK10" i="1"/>
  <c r="CM10" i="1"/>
  <c r="I11" i="2"/>
  <c r="G11" i="2"/>
  <c r="D11" i="2"/>
  <c r="CO10" i="1"/>
  <c r="CU8" i="1"/>
  <c r="DF11" i="1"/>
  <c r="CL10" i="1"/>
  <c r="CH10" i="1"/>
  <c r="CS10" i="1"/>
  <c r="CP10" i="1"/>
  <c r="CN10" i="1"/>
  <c r="CR5" i="1"/>
  <c r="CX10" i="1"/>
  <c r="CR10" i="1"/>
  <c r="CP7" i="1"/>
  <c r="CP6" i="1"/>
  <c r="CW10" i="1"/>
  <c r="CQ10" i="1"/>
  <c r="DD12" i="1"/>
  <c r="DE12" i="1" s="1"/>
  <c r="CV10" i="1"/>
  <c r="DF13" i="1"/>
  <c r="CX9" i="1"/>
  <c r="CJ10" i="1"/>
  <c r="CY10" i="1"/>
  <c r="CU10" i="1"/>
  <c r="CN7" i="1"/>
  <c r="CO6" i="1"/>
  <c r="CN6" i="1"/>
  <c r="CM7" i="1"/>
  <c r="CT8" i="1"/>
  <c r="CL6" i="1"/>
  <c r="E5" i="2"/>
  <c r="CR8" i="1"/>
  <c r="CQ8" i="1"/>
  <c r="CM5" i="1"/>
  <c r="CO8" i="1"/>
  <c r="CP5" i="1"/>
  <c r="CO5" i="1"/>
  <c r="CX6" i="1"/>
  <c r="CQ5" i="1"/>
  <c r="DC10" i="1"/>
  <c r="DD10" i="1" s="1"/>
  <c r="DE10" i="1" s="1"/>
  <c r="CL5" i="1"/>
  <c r="CT9" i="1"/>
  <c r="CK7" i="1"/>
  <c r="CR9" i="1"/>
  <c r="CO7" i="1"/>
  <c r="CS8" i="1"/>
  <c r="CI10" i="1"/>
  <c r="CK6" i="1"/>
  <c r="CR7" i="1"/>
  <c r="CW6" i="1"/>
  <c r="CL9" i="1"/>
  <c r="CU9" i="1"/>
  <c r="CN5" i="1"/>
  <c r="CP8" i="1"/>
  <c r="CV5" i="1"/>
  <c r="CW8" i="1"/>
  <c r="CX8" i="1"/>
  <c r="CK9" i="1"/>
  <c r="CM6" i="1"/>
  <c r="CI7" i="1"/>
  <c r="CP9" i="1"/>
  <c r="CT5" i="1"/>
  <c r="DC5" i="1"/>
  <c r="B4" i="2" s="1"/>
  <c r="CO9" i="1"/>
  <c r="CM9" i="1"/>
  <c r="CY8" i="1"/>
  <c r="CU5" i="1"/>
  <c r="CS7" i="1"/>
  <c r="CR6" i="1"/>
  <c r="CL7" i="1"/>
  <c r="CS9" i="1"/>
  <c r="CM8" i="1"/>
  <c r="CL8" i="1"/>
  <c r="CU7" i="1"/>
  <c r="CT7" i="1"/>
  <c r="CS6" i="1"/>
  <c r="CQ6" i="1"/>
  <c r="CS5" i="1"/>
  <c r="CQ7" i="1"/>
  <c r="CV8" i="1"/>
  <c r="CY9" i="1"/>
  <c r="CN9" i="1"/>
  <c r="H9" i="2"/>
  <c r="F9" i="2"/>
  <c r="F8" i="2"/>
  <c r="H8" i="2"/>
  <c r="H7" i="2"/>
  <c r="F7" i="2"/>
  <c r="F6" i="2"/>
  <c r="H6" i="2"/>
  <c r="CW5" i="1"/>
  <c r="CJ6" i="1"/>
  <c r="CJ9" i="1"/>
  <c r="CK8" i="1"/>
  <c r="CJ7" i="1"/>
  <c r="CH5" i="1"/>
  <c r="CX5" i="1"/>
  <c r="CI6" i="1"/>
  <c r="CI9" i="1"/>
  <c r="CJ8" i="1"/>
  <c r="CI5" i="1"/>
  <c r="CH6" i="1"/>
  <c r="CH9" i="1"/>
  <c r="CI8" i="1"/>
  <c r="CJ5" i="1"/>
  <c r="CH8" i="1"/>
  <c r="CK5" i="1"/>
  <c r="CV6" i="1"/>
  <c r="CW9" i="1"/>
  <c r="CX7" i="1"/>
  <c r="CH7" i="1"/>
  <c r="CY7" i="1"/>
  <c r="CT6" i="1"/>
  <c r="CV7" i="1"/>
  <c r="DC9" i="1"/>
  <c r="B8" i="2" s="1"/>
  <c r="CW7" i="1"/>
  <c r="CU6" i="1"/>
  <c r="CQ9" i="1"/>
  <c r="CV9" i="1"/>
  <c r="DC8" i="1"/>
  <c r="B7" i="2" s="1"/>
  <c r="CN8" i="1"/>
  <c r="DC6" i="1"/>
  <c r="DC7" i="1"/>
  <c r="D20" i="2" l="1"/>
  <c r="D24" i="2"/>
  <c r="DF8" i="1"/>
  <c r="DF10" i="1"/>
  <c r="F5" i="2"/>
  <c r="H5" i="2"/>
  <c r="DF7" i="1"/>
  <c r="B6" i="2"/>
  <c r="DF6" i="1"/>
  <c r="B5" i="2"/>
  <c r="C5" i="2" s="1"/>
  <c r="C7" i="2"/>
  <c r="C8" i="2"/>
  <c r="B9" i="2"/>
  <c r="DD11" i="1"/>
  <c r="DE11" i="1" s="1"/>
  <c r="DF9" i="1"/>
  <c r="DD9" i="1"/>
  <c r="DE9" i="1" s="1"/>
  <c r="DD7" i="1"/>
  <c r="DE7" i="1" s="1"/>
  <c r="DD8" i="1"/>
  <c r="DE8" i="1" s="1"/>
  <c r="DD5" i="1"/>
  <c r="DE5" i="1" s="1"/>
  <c r="DF5" i="1" s="1"/>
  <c r="D22" i="2" l="1"/>
  <c r="G7" i="2"/>
  <c r="D7" i="2"/>
  <c r="I7" i="2"/>
  <c r="G5" i="2"/>
  <c r="D5" i="2"/>
  <c r="C10" i="2"/>
  <c r="C9" i="2"/>
  <c r="C6" i="2"/>
  <c r="C31" i="2" s="1"/>
  <c r="D8" i="2"/>
  <c r="G8" i="2"/>
  <c r="I8" i="2"/>
  <c r="I5" i="2"/>
  <c r="DD6" i="1"/>
  <c r="DE6" i="1" s="1"/>
  <c r="I9" i="2" l="1"/>
  <c r="G9" i="2"/>
  <c r="D9" i="2"/>
  <c r="D6" i="2"/>
  <c r="D21" i="2" s="1"/>
  <c r="I6" i="2"/>
  <c r="C29" i="2" s="1"/>
  <c r="C25" i="2"/>
  <c r="C26" i="2" s="1"/>
  <c r="D10" i="2"/>
  <c r="G10" i="2"/>
  <c r="I10" i="2"/>
  <c r="C30" i="2" l="1"/>
  <c r="D23" i="2"/>
  <c r="C21" i="2"/>
</calcChain>
</file>

<file path=xl/sharedStrings.xml><?xml version="1.0" encoding="utf-8"?>
<sst xmlns="http://schemas.openxmlformats.org/spreadsheetml/2006/main" count="474" uniqueCount="118">
  <si>
    <t>Date</t>
    <phoneticPr fontId="3" type="noConversion"/>
  </si>
  <si>
    <t>Holdings</t>
    <phoneticPr fontId="3" type="noConversion"/>
  </si>
  <si>
    <t>Cash</t>
    <phoneticPr fontId="3" type="noConversion"/>
  </si>
  <si>
    <t>AAPL</t>
    <phoneticPr fontId="3" type="noConversion"/>
  </si>
  <si>
    <t>AMZN</t>
    <phoneticPr fontId="3" type="noConversion"/>
  </si>
  <si>
    <t>BSX</t>
    <phoneticPr fontId="3" type="noConversion"/>
  </si>
  <si>
    <t>CI</t>
    <phoneticPr fontId="3" type="noConversion"/>
  </si>
  <si>
    <t>COST</t>
    <phoneticPr fontId="3" type="noConversion"/>
  </si>
  <si>
    <t>CVX</t>
    <phoneticPr fontId="3" type="noConversion"/>
  </si>
  <si>
    <t>GOOGL</t>
    <phoneticPr fontId="3" type="noConversion"/>
  </si>
  <si>
    <t>GS</t>
    <phoneticPr fontId="3" type="noConversion"/>
  </si>
  <si>
    <t>HSBC</t>
    <phoneticPr fontId="3" type="noConversion"/>
  </si>
  <si>
    <t>LMT</t>
    <phoneticPr fontId="3" type="noConversion"/>
  </si>
  <si>
    <t>MCD</t>
    <phoneticPr fontId="3" type="noConversion"/>
  </si>
  <si>
    <t>MRK</t>
    <phoneticPr fontId="3" type="noConversion"/>
  </si>
  <si>
    <t>MSFT</t>
    <phoneticPr fontId="3" type="noConversion"/>
  </si>
  <si>
    <t>PFE</t>
    <phoneticPr fontId="3" type="noConversion"/>
  </si>
  <si>
    <t>TSLA</t>
    <phoneticPr fontId="3" type="noConversion"/>
  </si>
  <si>
    <t>Price</t>
    <phoneticPr fontId="3" type="noConversion"/>
  </si>
  <si>
    <t>Shares</t>
    <phoneticPr fontId="3" type="noConversion"/>
  </si>
  <si>
    <t>Value</t>
    <phoneticPr fontId="3" type="noConversion"/>
  </si>
  <si>
    <t>Weight</t>
    <phoneticPr fontId="3" type="noConversion"/>
  </si>
  <si>
    <t>Total AUM</t>
    <phoneticPr fontId="3" type="noConversion"/>
  </si>
  <si>
    <t>Return $</t>
  </si>
  <si>
    <t>Return (%)</t>
  </si>
  <si>
    <t>Cumulative Return</t>
    <phoneticPr fontId="3" type="noConversion"/>
  </si>
  <si>
    <t>benchmark Value</t>
  </si>
  <si>
    <t>benchmark return ($)</t>
  </si>
  <si>
    <t>benchmark return (%)</t>
    <phoneticPr fontId="3" type="noConversion"/>
  </si>
  <si>
    <t xml:space="preserve"> benchmark cumulative return</t>
    <phoneticPr fontId="3" type="noConversion"/>
  </si>
  <si>
    <t>Author</t>
    <phoneticPr fontId="3" type="noConversion"/>
  </si>
  <si>
    <t>Tong Wu</t>
    <phoneticPr fontId="3" type="noConversion"/>
  </si>
  <si>
    <t>tw2906</t>
    <phoneticPr fontId="3" type="noConversion"/>
  </si>
  <si>
    <t>NVDA</t>
    <phoneticPr fontId="3" type="noConversion"/>
  </si>
  <si>
    <t>Management Fee</t>
    <phoneticPr fontId="3" type="noConversion"/>
  </si>
  <si>
    <t xml:space="preserve">Average Risk free rate (10-year Treasury Rate) </t>
    <phoneticPr fontId="3" type="noConversion"/>
  </si>
  <si>
    <t>AUM (include management fee)</t>
    <phoneticPr fontId="3" type="noConversion"/>
  </si>
  <si>
    <t>Portfolio Daily Return</t>
    <phoneticPr fontId="3" type="noConversion"/>
  </si>
  <si>
    <t>Portfolio Daily Return +1</t>
    <phoneticPr fontId="3" type="noConversion"/>
  </si>
  <si>
    <t>Benchmark Daily Return</t>
    <phoneticPr fontId="3" type="noConversion"/>
  </si>
  <si>
    <t>Benchmark Daily Return +1</t>
    <phoneticPr fontId="3" type="noConversion"/>
  </si>
  <si>
    <t>Portfolio Excess Return</t>
    <phoneticPr fontId="3" type="noConversion"/>
  </si>
  <si>
    <t>Benchmark Excess Return</t>
    <phoneticPr fontId="3" type="noConversion"/>
  </si>
  <si>
    <t>RP-RB</t>
    <phoneticPr fontId="3" type="noConversion"/>
  </si>
  <si>
    <t>Portfolio</t>
    <phoneticPr fontId="3" type="noConversion"/>
  </si>
  <si>
    <t xml:space="preserve"> Benchmark</t>
    <phoneticPr fontId="3" type="noConversion"/>
  </si>
  <si>
    <t>Arithmetic Average</t>
    <phoneticPr fontId="3" type="noConversion"/>
  </si>
  <si>
    <t>Geometric Average</t>
    <phoneticPr fontId="3" type="noConversion"/>
  </si>
  <si>
    <t>Total Cumulative Return</t>
    <phoneticPr fontId="3" type="noConversion"/>
  </si>
  <si>
    <t>Annualized Cumulative Return</t>
    <phoneticPr fontId="3" type="noConversion"/>
  </si>
  <si>
    <t xml:space="preserve">Total Volatility </t>
    <phoneticPr fontId="3" type="noConversion"/>
  </si>
  <si>
    <t xml:space="preserve">Annualized Volatility </t>
    <phoneticPr fontId="3" type="noConversion"/>
  </si>
  <si>
    <t>Sharpe ratio</t>
    <phoneticPr fontId="3" type="noConversion"/>
  </si>
  <si>
    <t>Alpha</t>
    <phoneticPr fontId="3" type="noConversion"/>
  </si>
  <si>
    <t>Beta</t>
    <phoneticPr fontId="3" type="noConversion"/>
  </si>
  <si>
    <t xml:space="preserve">Active Risk </t>
    <phoneticPr fontId="3" type="noConversion"/>
  </si>
  <si>
    <t>Information Ratio</t>
    <phoneticPr fontId="3" type="noConversion"/>
  </si>
  <si>
    <t xml:space="preserve">Correlation to Benchmark </t>
    <phoneticPr fontId="3" type="noConversion"/>
  </si>
  <si>
    <t>Total</t>
    <phoneticPr fontId="3" type="noConversion"/>
  </si>
  <si>
    <t>SEDG</t>
    <phoneticPr fontId="3" type="noConversion"/>
  </si>
  <si>
    <t xml:space="preserve">From CAPM: </t>
  </si>
  <si>
    <t>move risk free rate to the left hand side and then regress portfolio excess return (column G) on benchmark excess return (column H)</t>
  </si>
  <si>
    <t>Alpha is the intercept</t>
  </si>
  <si>
    <t>Beta is the coefficient of the risk premium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</si>
  <si>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</si>
  <si>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</si>
  <si>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</si>
  <si>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</si>
  <si>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</si>
  <si>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</si>
  <si>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</si>
  <si>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</si>
  <si>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</si>
  <si>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</si>
  <si>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</si>
  <si>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</si>
  <si>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</si>
  <si>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</si>
  <si>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</si>
  <si>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</si>
  <si>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</si>
  <si>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</si>
  <si>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</si>
  <si>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</si>
  <si>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</si>
  <si>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</si>
  <si>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</si>
  <si>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</si>
  <si>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Asset Allocation</t>
    <phoneticPr fontId="3" type="noConversion"/>
  </si>
  <si>
    <t>Portfolio weight</t>
    <phoneticPr fontId="3" type="noConversion"/>
  </si>
  <si>
    <t>Benchmark weight</t>
    <phoneticPr fontId="3" type="noConversion"/>
  </si>
  <si>
    <t>Excess weight</t>
    <phoneticPr fontId="3" type="noConversion"/>
  </si>
  <si>
    <t>Benchmark return</t>
    <phoneticPr fontId="3" type="noConversion"/>
  </si>
  <si>
    <t>Contribution</t>
    <phoneticPr fontId="3" type="noConversion"/>
  </si>
  <si>
    <t>Stocks</t>
    <phoneticPr fontId="3" type="noConversion"/>
  </si>
  <si>
    <t>Contribution of 
Asset Allocation</t>
    <phoneticPr fontId="3" type="noConversion"/>
  </si>
  <si>
    <t>Stock selection</t>
    <phoneticPr fontId="3" type="noConversion"/>
  </si>
  <si>
    <t>Portfolio performance</t>
    <phoneticPr fontId="3" type="noConversion"/>
  </si>
  <si>
    <t>Benchmark performance</t>
    <phoneticPr fontId="3" type="noConversion"/>
  </si>
  <si>
    <t>Excess performance</t>
    <phoneticPr fontId="3" type="noConversion"/>
  </si>
  <si>
    <t>Contribution of stock selection</t>
  </si>
  <si>
    <t>Total excess return 
of portfolio</t>
    <phoneticPr fontId="3" type="noConversion"/>
  </si>
  <si>
    <t>Performance Attribution (2023/06/12 - 06/30)</t>
    <phoneticPr fontId="3" type="noConversion"/>
  </si>
  <si>
    <t>Portfolio and benchmark statistics (2023/06/12 - 06/30)</t>
    <phoneticPr fontId="3" type="noConversion"/>
  </si>
  <si>
    <t>Fama French three factors analysis</t>
  </si>
  <si>
    <t>Mkt-RF</t>
    <phoneticPr fontId="3" type="noConversion"/>
  </si>
  <si>
    <t>SMB</t>
  </si>
  <si>
    <t>HML</t>
  </si>
  <si>
    <t>RF</t>
  </si>
  <si>
    <t>RP-RF</t>
  </si>
  <si>
    <t>Summary Output of Fama French three factors Model</t>
    <phoneticPr fontId="3" type="noConversion"/>
  </si>
  <si>
    <t xml:space="preserve">Regress </t>
  </si>
  <si>
    <t>RP-RF ~ f(Mkt-RF, SMB, HML)</t>
  </si>
  <si>
    <t>RP-RF: excess return of asset i or portfolio</t>
  </si>
  <si>
    <t>Mkt-RF: excess market return or risk premium</t>
  </si>
  <si>
    <t>SUMMARY OUTPUT</t>
  </si>
  <si>
    <t>X Variable 2</t>
  </si>
  <si>
    <t>X Variable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</si>
</sst>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%"/>
    <numFmt numFmtId="177" formatCode="0.00_ "/>
    <numFmt numFmtId="178" formatCode="0.00000"/>
    <numFmt numFmtId="179" formatCode="0.00000_ "/>
    <numFmt numFmtId="180" formatCode="0_ "/>
  </numFmts>
  <fonts count="15">
    <font>
      <sz val="11"/>
      <color theme="1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8"/>
      <color theme="1"/>
      <name val="DengXian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DengXian"/>
      <family val="3"/>
      <charset val="134"/>
    </font>
    <font>
      <b/>
      <sz val="11"/>
      <color theme="1"/>
      <name val="DengXian"/>
      <family val="3"/>
      <charset val="134"/>
    </font>
    <font>
      <i/>
      <sz val="11"/>
      <color theme="1"/>
      <name val="等线"/>
      <family val="2"/>
      <charset val="134"/>
      <scheme val="minor"/>
    </font>
    <font>
      <b/>
      <sz val="14"/>
      <color theme="1"/>
      <name val="DengXian"/>
      <family val="3"/>
      <charset val="134"/>
    </font>
    <font>
      <sz val="18"/>
      <color theme="1"/>
      <name val="等线"/>
      <family val="3"/>
      <charset val="134"/>
    </font>
    <font>
      <sz val="18"/>
      <color theme="1"/>
      <name val="DengXian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1" fillId="2" borderId="2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" fillId="2" borderId="2" xfId="1" applyAlignment="1">
      <alignment horizontal="center" vertical="center"/>
    </xf>
    <xf numFmtId="0" fontId="1" fillId="2" borderId="2" xfId="1">
      <alignment vertical="center"/>
    </xf>
    <xf numFmtId="0" fontId="2" fillId="2" borderId="1" xfId="2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7" borderId="11" xfId="0" applyFont="1" applyFill="1" applyBorder="1">
      <alignment vertical="center"/>
    </xf>
    <xf numFmtId="0" fontId="10" fillId="7" borderId="12" xfId="0" applyFont="1" applyFill="1" applyBorder="1" applyAlignment="1">
      <alignment horizontal="center" vertical="center"/>
    </xf>
    <xf numFmtId="10" fontId="10" fillId="7" borderId="12" xfId="7" applyNumberFormat="1" applyFont="1" applyFill="1" applyBorder="1" applyAlignment="1">
      <alignment horizontal="center" vertical="center"/>
    </xf>
    <xf numFmtId="0" fontId="10" fillId="7" borderId="11" xfId="0" applyFont="1" applyFill="1" applyBorder="1">
      <alignment vertical="center"/>
    </xf>
    <xf numFmtId="176" fontId="9" fillId="7" borderId="12" xfId="0" applyNumberFormat="1" applyFont="1" applyFill="1" applyBorder="1" applyAlignment="1">
      <alignment horizontal="center" vertical="center"/>
    </xf>
    <xf numFmtId="0" fontId="10" fillId="7" borderId="13" xfId="0" applyFont="1" applyFill="1" applyBorder="1">
      <alignment vertical="center"/>
    </xf>
    <xf numFmtId="176" fontId="9" fillId="7" borderId="0" xfId="7" applyNumberFormat="1" applyFont="1" applyFill="1" applyBorder="1" applyAlignment="1">
      <alignment horizontal="center" vertical="center"/>
    </xf>
    <xf numFmtId="176" fontId="9" fillId="7" borderId="0" xfId="0" applyNumberFormat="1" applyFont="1" applyFill="1" applyAlignment="1">
      <alignment horizontal="center" vertical="center"/>
    </xf>
    <xf numFmtId="178" fontId="9" fillId="7" borderId="0" xfId="0" applyNumberFormat="1" applyFont="1" applyFill="1" applyAlignment="1">
      <alignment horizontal="center" vertical="center"/>
    </xf>
    <xf numFmtId="179" fontId="9" fillId="7" borderId="0" xfId="0" applyNumberFormat="1" applyFont="1" applyFill="1" applyAlignment="1">
      <alignment horizontal="center" vertical="center"/>
    </xf>
    <xf numFmtId="0" fontId="9" fillId="7" borderId="0" xfId="0" applyFont="1" applyFill="1">
      <alignment vertical="center"/>
    </xf>
    <xf numFmtId="0" fontId="10" fillId="7" borderId="14" xfId="0" applyFont="1" applyFill="1" applyBorder="1">
      <alignment vertical="center"/>
    </xf>
    <xf numFmtId="178" fontId="9" fillId="7" borderId="15" xfId="0" applyNumberFormat="1" applyFont="1" applyFill="1" applyBorder="1" applyAlignment="1">
      <alignment horizontal="center" vertical="center"/>
    </xf>
    <xf numFmtId="0" fontId="9" fillId="7" borderId="15" xfId="0" applyFont="1" applyFill="1" applyBorder="1">
      <alignment vertical="center"/>
    </xf>
    <xf numFmtId="180" fontId="0" fillId="0" borderId="0" xfId="0" applyNumberFormat="1">
      <alignment vertical="center"/>
    </xf>
    <xf numFmtId="0" fontId="11" fillId="0" borderId="16" xfId="0" applyFont="1" applyBorder="1" applyAlignment="1">
      <alignment horizontal="centerContinuous" vertical="center"/>
    </xf>
    <xf numFmtId="0" fontId="0" fillId="0" borderId="17" xfId="0" applyBorder="1">
      <alignment vertical="center"/>
    </xf>
    <xf numFmtId="0" fontId="11" fillId="0" borderId="16" xfId="0" applyFont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9" fillId="7" borderId="18" xfId="0" applyFont="1" applyFill="1" applyBorder="1">
      <alignment vertical="center"/>
    </xf>
    <xf numFmtId="0" fontId="10" fillId="7" borderId="18" xfId="0" applyFont="1" applyFill="1" applyBorder="1">
      <alignment vertical="center"/>
    </xf>
    <xf numFmtId="0" fontId="10" fillId="7" borderId="0" xfId="0" applyFont="1" applyFill="1">
      <alignment vertical="center"/>
    </xf>
    <xf numFmtId="10" fontId="9" fillId="7" borderId="0" xfId="0" applyNumberFormat="1" applyFont="1" applyFill="1">
      <alignment vertical="center"/>
    </xf>
    <xf numFmtId="9" fontId="9" fillId="7" borderId="0" xfId="0" applyNumberFormat="1" applyFont="1" applyFill="1">
      <alignment vertical="center"/>
    </xf>
    <xf numFmtId="0" fontId="10" fillId="7" borderId="17" xfId="0" applyFont="1" applyFill="1" applyBorder="1">
      <alignment vertical="center"/>
    </xf>
    <xf numFmtId="10" fontId="9" fillId="7" borderId="17" xfId="0" applyNumberFormat="1" applyFont="1" applyFill="1" applyBorder="1">
      <alignment vertical="center"/>
    </xf>
    <xf numFmtId="9" fontId="9" fillId="7" borderId="17" xfId="0" applyNumberFormat="1" applyFont="1" applyFill="1" applyBorder="1">
      <alignment vertical="center"/>
    </xf>
    <xf numFmtId="0" fontId="9" fillId="7" borderId="17" xfId="0" applyFont="1" applyFill="1" applyBorder="1">
      <alignment vertical="center"/>
    </xf>
    <xf numFmtId="0" fontId="10" fillId="7" borderId="0" xfId="0" applyFont="1" applyFill="1" applyAlignment="1">
      <alignment vertical="center" wrapText="1"/>
    </xf>
    <xf numFmtId="0" fontId="10" fillId="7" borderId="17" xfId="0" applyFont="1" applyFill="1" applyBorder="1" applyAlignment="1">
      <alignment vertical="center" wrapText="1"/>
    </xf>
    <xf numFmtId="10" fontId="9" fillId="7" borderId="17" xfId="7" applyNumberFormat="1" applyFont="1" applyFill="1" applyBorder="1">
      <alignment vertical="center"/>
    </xf>
    <xf numFmtId="10" fontId="9" fillId="7" borderId="0" xfId="7" applyNumberFormat="1" applyFont="1" applyFill="1">
      <alignment vertical="center"/>
    </xf>
    <xf numFmtId="14" fontId="10" fillId="0" borderId="0" xfId="0" applyNumberFormat="1" applyFont="1" applyAlignment="1">
      <alignment horizontal="left" vertical="center"/>
    </xf>
    <xf numFmtId="176" fontId="9" fillId="0" borderId="0" xfId="0" applyNumberFormat="1" applyFont="1">
      <alignment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4" fillId="3" borderId="6" xfId="3" applyBorder="1" applyAlignment="1">
      <alignment horizontal="center" vertical="center"/>
    </xf>
    <xf numFmtId="0" fontId="4" fillId="3" borderId="0" xfId="3" applyBorder="1" applyAlignment="1">
      <alignment horizontal="center" vertical="center"/>
    </xf>
    <xf numFmtId="0" fontId="4" fillId="3" borderId="7" xfId="3" applyBorder="1" applyAlignment="1">
      <alignment horizontal="center" vertical="center"/>
    </xf>
    <xf numFmtId="0" fontId="5" fillId="4" borderId="8" xfId="4" applyBorder="1" applyAlignment="1">
      <alignment horizontal="center" vertical="center"/>
    </xf>
    <xf numFmtId="0" fontId="5" fillId="4" borderId="9" xfId="4" applyBorder="1" applyAlignment="1">
      <alignment horizontal="center" vertical="center"/>
    </xf>
    <xf numFmtId="0" fontId="5" fillId="4" borderId="10" xfId="4" applyBorder="1" applyAlignment="1">
      <alignment horizontal="center" vertical="center"/>
    </xf>
    <xf numFmtId="0" fontId="6" fillId="5" borderId="3" xfId="5" applyBorder="1" applyAlignment="1">
      <alignment horizontal="center" vertical="center"/>
    </xf>
    <xf numFmtId="0" fontId="6" fillId="5" borderId="4" xfId="5" applyBorder="1" applyAlignment="1">
      <alignment horizontal="center" vertical="center"/>
    </xf>
    <xf numFmtId="0" fontId="6" fillId="5" borderId="5" xfId="5" applyBorder="1" applyAlignment="1">
      <alignment horizontal="center" vertical="center"/>
    </xf>
    <xf numFmtId="0" fontId="6" fillId="6" borderId="3" xfId="6" applyBorder="1" applyAlignment="1">
      <alignment horizontal="center" vertical="center"/>
    </xf>
    <xf numFmtId="0" fontId="6" fillId="6" borderId="4" xfId="6" applyBorder="1" applyAlignment="1">
      <alignment horizontal="center" vertical="center"/>
    </xf>
    <xf numFmtId="0" fontId="6" fillId="6" borderId="5" xfId="6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NumberFormat="1">
      <alignment vertical="center"/>
    </xf>
  </cellXfs>
  <cellStyles count="8">
    <cellStyle name="60% - 着色 5" xfId="5" builtinId="48"/>
    <cellStyle name="60% - 着色 6" xfId="6" builtinId="52"/>
    <cellStyle name="百分比" xfId="7" builtinId="5"/>
    <cellStyle name="常规" xfId="0" builtinId="0"/>
    <cellStyle name="计算" xfId="2" builtinId="22"/>
    <cellStyle name="适中" xfId="3" builtinId="28"/>
    <cellStyle name="输出" xfId="1" builtinId="21"/>
    <cellStyle name="输入" xfId="4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1143001</xdr:colOff>
      <xdr:row>19</xdr:row>
      <xdr:rowOff>57150</xdr:rowOff>
    </xdr:from>
    <xdr:to>
      <xdr:col>8</xdr:col>
      <xdr:colOff>473076</xdr:colOff>
      <xdr:row>22</xdr:row>
      <xdr:rowOff>72420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D0A7913-6EAD-43C1-A020-37F42B321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15976" y="4000500"/>
          <a:ext cx="2476500" cy="548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222250</xdr:colOff>
      <xdr:row>23</xdr:row>
      <xdr:rowOff>107950</xdr:rowOff>
    </xdr:from>
    <xdr:to>
      <xdr:col>9</xdr:col>
      <xdr:colOff>79375</xdr:colOff>
      <xdr:row>25</xdr:row>
      <xdr:rowOff>169603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1AC700A9-F7A0-4B8B-8455-5B0F17402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5900" y="4845050"/>
          <a:ext cx="2352675" cy="4299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276225</xdr:rowOff>
    </xdr:from>
    <xdr:to>
      <xdr:col>12</xdr:col>
      <xdr:colOff>606425</xdr:colOff>
      <xdr:row>8</xdr:row>
      <xdr:rowOff>111125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E2414B5E-78B4-4427-B19B-776F0EF04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276225"/>
          <a:ext cx="4797425" cy="139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342900</xdr:colOff>
      <xdr:row>8</xdr:row>
      <xdr:rowOff>152400</xdr:rowOff>
    </xdr:from>
    <xdr:to>
      <xdr:col>8</xdr:col>
      <xdr:colOff>533400</xdr:colOff>
      <xdr:row>9</xdr:row>
      <xdr:rowOff>171450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19DEABBC-744D-447C-9A8B-3A5A353C3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0350" y="1739900"/>
          <a:ext cx="190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371475</xdr:colOff>
      <xdr:row>9</xdr:row>
      <xdr:rowOff>180975</xdr:rowOff>
    </xdr:from>
    <xdr:to>
      <xdr:col>8</xdr:col>
      <xdr:colOff>552450</xdr:colOff>
      <xdr:row>11</xdr:row>
      <xdr:rowOff>19050</xdr:rowOff>
    </xdr:to>
    <xdr:pic>
      <xdr:nvPicPr>
        <xdr:cNvPr id="7" name="Picture 3">
          <a:extLst>
            <a:ext uri="{FF2B5EF4-FFF2-40B4-BE49-F238E27FC236}">
              <a16:creationId xmlns:a16="http://schemas.microsoft.com/office/drawing/2014/main" id="{1806256D-2A25-4B70-BDA9-1B8612655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2100" y="1955800"/>
          <a:ext cx="1778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edWu\Downloads\samplePortfolio.xlsx" TargetMode="External"/><Relationship Id="rId1" Type="http://schemas.openxmlformats.org/officeDocument/2006/relationships/externalLinkPath" Target="file:///C:\Users\TedWu\Downloads\samplePortfol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ic Data"/>
      <sheetName val="Portfolio and Benchmark"/>
      <sheetName val="Performance Attribution"/>
      <sheetName val="Fama French"/>
    </sheetNames>
    <sheetDataSet>
      <sheetData sheetId="0" refreshError="1"/>
      <sheetData sheetId="1">
        <row r="5">
          <cell r="F5">
            <v>0.96246354869744866</v>
          </cell>
        </row>
        <row r="6">
          <cell r="F6">
            <v>1.0149360712901976</v>
          </cell>
        </row>
        <row r="7">
          <cell r="F7">
            <v>1.0139146036532991</v>
          </cell>
        </row>
        <row r="8">
          <cell r="F8">
            <v>1.0026129295933734</v>
          </cell>
        </row>
        <row r="9">
          <cell r="F9">
            <v>1.0134024584822583</v>
          </cell>
        </row>
        <row r="10">
          <cell r="F10">
            <v>1.0120691126282915</v>
          </cell>
        </row>
        <row r="11">
          <cell r="F11">
            <v>1.0003734695439002</v>
          </cell>
        </row>
        <row r="12">
          <cell r="F12">
            <v>0.99415860685837887</v>
          </cell>
        </row>
        <row r="13">
          <cell r="F13">
            <v>0.99450347168533193</v>
          </cell>
        </row>
        <row r="14">
          <cell r="F14">
            <v>1.0009735944886409</v>
          </cell>
        </row>
        <row r="15">
          <cell r="F15">
            <v>1.0160283436145505</v>
          </cell>
        </row>
        <row r="16">
          <cell r="F16">
            <v>1.0117569977796381</v>
          </cell>
        </row>
        <row r="17">
          <cell r="F17">
            <v>0.98729313570297894</v>
          </cell>
        </row>
        <row r="18">
          <cell r="F18">
            <v>0.98890419344964786</v>
          </cell>
        </row>
        <row r="19">
          <cell r="F19">
            <v>0.98667565764988974</v>
          </cell>
        </row>
        <row r="20">
          <cell r="F20">
            <v>1.0050715734201749</v>
          </cell>
        </row>
        <row r="21">
          <cell r="F21">
            <v>1.0110320263817929</v>
          </cell>
        </row>
        <row r="22">
          <cell r="F22">
            <v>1.0026388586869583</v>
          </cell>
        </row>
        <row r="23">
          <cell r="F23">
            <v>0.99951612541113055</v>
          </cell>
        </row>
        <row r="24">
          <cell r="F24">
            <v>1.0044630782533772</v>
          </cell>
        </row>
        <row r="25">
          <cell r="F25">
            <v>1.0173788312774459</v>
          </cell>
        </row>
        <row r="26">
          <cell r="F26">
            <v>0.99872601516797743</v>
          </cell>
        </row>
        <row r="27">
          <cell r="F27">
            <v>0.99363642342752534</v>
          </cell>
        </row>
        <row r="28">
          <cell r="F28">
            <v>0.99427547773585856</v>
          </cell>
        </row>
        <row r="29">
          <cell r="F29">
            <v>0.99921806959292714</v>
          </cell>
        </row>
        <row r="30">
          <cell r="F30">
            <v>1.0017034472986976</v>
          </cell>
        </row>
        <row r="31">
          <cell r="F31">
            <v>0.98579583291559325</v>
          </cell>
        </row>
        <row r="32">
          <cell r="F32">
            <v>1.0014817982100468</v>
          </cell>
        </row>
        <row r="33">
          <cell r="F33">
            <v>0.99815601375076368</v>
          </cell>
        </row>
        <row r="34">
          <cell r="F34">
            <v>0.97483710862743511</v>
          </cell>
        </row>
        <row r="35">
          <cell r="F35">
            <v>0.97903309389527526</v>
          </cell>
        </row>
        <row r="36">
          <cell r="F36">
            <v>1.0271572407717926</v>
          </cell>
        </row>
        <row r="37">
          <cell r="F37">
            <v>0.98272366515581788</v>
          </cell>
        </row>
        <row r="38">
          <cell r="F38">
            <v>0.99708338755731796</v>
          </cell>
        </row>
        <row r="39">
          <cell r="F39">
            <v>1.0137696737044146</v>
          </cell>
        </row>
        <row r="40">
          <cell r="F40">
            <v>0.97766266419778336</v>
          </cell>
        </row>
        <row r="41">
          <cell r="F41">
            <v>1.0126148387996343</v>
          </cell>
        </row>
        <row r="42">
          <cell r="F42">
            <v>1.0115664862590603</v>
          </cell>
        </row>
        <row r="43">
          <cell r="F43">
            <v>1.0068628081173976</v>
          </cell>
        </row>
        <row r="44">
          <cell r="F44">
            <v>0.97807979450511473</v>
          </cell>
        </row>
        <row r="45">
          <cell r="F45">
            <v>1.0033365713561684</v>
          </cell>
        </row>
        <row r="46">
          <cell r="F46">
            <v>1.016726874741692</v>
          </cell>
        </row>
        <row r="47">
          <cell r="F47">
            <v>0.99447470143439465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2C029-B2E0-40EF-A4D0-3CDF3D5BF915}">
  <dimension ref="A1:DJ34"/>
  <sheetViews>
    <sheetView workbookViewId="0">
      <pane xSplit="1" topLeftCell="Q1" activePane="topRight" state="frozen"/>
      <selection pane="topRight" activeCell="AD15" sqref="AD15"/>
    </sheetView>
  </sheetViews>
  <sheetFormatPr defaultRowHeight="14.25"/>
  <cols>
    <col min="1" max="1" width="10" bestFit="1" customWidth="1"/>
    <col min="107" max="107" width="11.625" customWidth="1"/>
    <col min="108" max="108" width="10" customWidth="1"/>
    <col min="109" max="109" width="10.5" customWidth="1"/>
    <col min="110" max="110" width="18.75" customWidth="1"/>
    <col min="111" max="111" width="17.75" customWidth="1"/>
    <col min="112" max="112" width="21" customWidth="1"/>
    <col min="113" max="113" width="20.5" customWidth="1"/>
    <col min="114" max="114" width="29.25" customWidth="1"/>
  </cols>
  <sheetData>
    <row r="1" spans="1:114">
      <c r="A1" t="s">
        <v>30</v>
      </c>
      <c r="B1" t="s">
        <v>31</v>
      </c>
      <c r="C1" t="s">
        <v>32</v>
      </c>
    </row>
    <row r="3" spans="1:114"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59</v>
      </c>
      <c r="R3" s="4" t="s">
        <v>17</v>
      </c>
      <c r="S3" s="4" t="s">
        <v>33</v>
      </c>
      <c r="T3" s="4"/>
      <c r="U3" s="4"/>
      <c r="V3" s="4"/>
      <c r="W3" s="4" t="s">
        <v>2</v>
      </c>
      <c r="X3" s="4" t="s">
        <v>3</v>
      </c>
      <c r="Y3" s="4" t="s">
        <v>4</v>
      </c>
      <c r="Z3" s="4" t="s">
        <v>5</v>
      </c>
      <c r="AA3" s="4" t="s">
        <v>6</v>
      </c>
      <c r="AB3" s="4" t="s">
        <v>7</v>
      </c>
      <c r="AC3" s="4" t="s">
        <v>8</v>
      </c>
      <c r="AD3" s="4" t="s">
        <v>9</v>
      </c>
      <c r="AE3" s="4" t="s">
        <v>10</v>
      </c>
      <c r="AF3" s="4" t="s">
        <v>11</v>
      </c>
      <c r="AG3" s="4" t="s">
        <v>12</v>
      </c>
      <c r="AH3" s="4" t="s">
        <v>13</v>
      </c>
      <c r="AI3" s="4" t="s">
        <v>14</v>
      </c>
      <c r="AJ3" s="4" t="s">
        <v>15</v>
      </c>
      <c r="AK3" s="4" t="s">
        <v>16</v>
      </c>
      <c r="AL3" s="4" t="s">
        <v>59</v>
      </c>
      <c r="AM3" s="4" t="s">
        <v>17</v>
      </c>
      <c r="AN3" s="4" t="s">
        <v>33</v>
      </c>
      <c r="AO3" s="4"/>
      <c r="AP3" s="4"/>
      <c r="AQ3" s="4"/>
      <c r="AR3" s="4" t="s">
        <v>2</v>
      </c>
      <c r="AS3" s="4" t="s">
        <v>3</v>
      </c>
      <c r="AT3" s="4" t="s">
        <v>4</v>
      </c>
      <c r="AU3" s="4" t="s">
        <v>5</v>
      </c>
      <c r="AV3" s="4" t="s">
        <v>6</v>
      </c>
      <c r="AW3" s="4" t="s">
        <v>7</v>
      </c>
      <c r="AX3" s="4" t="s">
        <v>8</v>
      </c>
      <c r="AY3" s="4" t="s">
        <v>9</v>
      </c>
      <c r="AZ3" s="4" t="s">
        <v>10</v>
      </c>
      <c r="BA3" s="4" t="s">
        <v>11</v>
      </c>
      <c r="BB3" s="4" t="s">
        <v>12</v>
      </c>
      <c r="BC3" s="4" t="s">
        <v>13</v>
      </c>
      <c r="BD3" s="4" t="s">
        <v>14</v>
      </c>
      <c r="BE3" s="4" t="s">
        <v>15</v>
      </c>
      <c r="BF3" s="4" t="s">
        <v>16</v>
      </c>
      <c r="BG3" s="4" t="s">
        <v>59</v>
      </c>
      <c r="BH3" s="4" t="s">
        <v>17</v>
      </c>
      <c r="BI3" s="4" t="s">
        <v>33</v>
      </c>
      <c r="BJ3" s="4"/>
      <c r="BK3" s="4"/>
      <c r="BL3" s="4"/>
      <c r="BM3" s="4" t="s">
        <v>2</v>
      </c>
      <c r="BN3" s="4" t="s">
        <v>3</v>
      </c>
      <c r="BO3" s="4" t="s">
        <v>4</v>
      </c>
      <c r="BP3" s="4" t="s">
        <v>5</v>
      </c>
      <c r="BQ3" s="4" t="s">
        <v>6</v>
      </c>
      <c r="BR3" s="4" t="s">
        <v>7</v>
      </c>
      <c r="BS3" s="4" t="s">
        <v>8</v>
      </c>
      <c r="BT3" s="4" t="s">
        <v>9</v>
      </c>
      <c r="BU3" s="4" t="s">
        <v>10</v>
      </c>
      <c r="BV3" s="4" t="s">
        <v>11</v>
      </c>
      <c r="BW3" s="4" t="s">
        <v>12</v>
      </c>
      <c r="BX3" s="4" t="s">
        <v>13</v>
      </c>
      <c r="BY3" s="4" t="s">
        <v>14</v>
      </c>
      <c r="BZ3" s="4" t="s">
        <v>15</v>
      </c>
      <c r="CA3" s="4" t="s">
        <v>16</v>
      </c>
      <c r="CB3" s="4" t="s">
        <v>59</v>
      </c>
      <c r="CC3" s="4" t="s">
        <v>17</v>
      </c>
      <c r="CD3" s="4" t="s">
        <v>33</v>
      </c>
      <c r="CE3" s="4"/>
      <c r="CF3" s="4"/>
      <c r="CG3" s="4" t="s">
        <v>58</v>
      </c>
      <c r="CH3" s="4" t="s">
        <v>2</v>
      </c>
      <c r="CI3" s="4" t="s">
        <v>3</v>
      </c>
      <c r="CJ3" s="4" t="s">
        <v>4</v>
      </c>
      <c r="CK3" s="4" t="s">
        <v>5</v>
      </c>
      <c r="CL3" s="4" t="s">
        <v>6</v>
      </c>
      <c r="CM3" s="4" t="s">
        <v>7</v>
      </c>
      <c r="CN3" s="4" t="s">
        <v>8</v>
      </c>
      <c r="CO3" s="4" t="s">
        <v>9</v>
      </c>
      <c r="CP3" s="4" t="s">
        <v>10</v>
      </c>
      <c r="CQ3" s="4" t="s">
        <v>11</v>
      </c>
      <c r="CR3" s="4" t="s">
        <v>12</v>
      </c>
      <c r="CS3" s="4" t="s">
        <v>13</v>
      </c>
      <c r="CT3" s="4" t="s">
        <v>14</v>
      </c>
      <c r="CU3" s="4" t="s">
        <v>15</v>
      </c>
      <c r="CV3" s="4" t="s">
        <v>16</v>
      </c>
      <c r="CW3" s="4" t="s">
        <v>59</v>
      </c>
      <c r="CX3" s="4" t="s">
        <v>17</v>
      </c>
      <c r="CY3" s="4" t="s">
        <v>33</v>
      </c>
      <c r="CZ3" s="4"/>
      <c r="DA3" s="4"/>
      <c r="DB3" s="4"/>
      <c r="DC3">
        <v>1000000</v>
      </c>
    </row>
    <row r="4" spans="1:114">
      <c r="A4" s="3" t="s">
        <v>0</v>
      </c>
      <c r="B4" s="43" t="s">
        <v>1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5"/>
      <c r="W4" s="46" t="s">
        <v>18</v>
      </c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8"/>
      <c r="AR4" s="49" t="s">
        <v>19</v>
      </c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1"/>
      <c r="BM4" s="52" t="s">
        <v>20</v>
      </c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4"/>
      <c r="CH4" s="55" t="s">
        <v>21</v>
      </c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7"/>
      <c r="DC4" s="2" t="s">
        <v>22</v>
      </c>
      <c r="DD4" s="2" t="s">
        <v>23</v>
      </c>
      <c r="DE4" s="2" t="s">
        <v>24</v>
      </c>
      <c r="DF4" s="2" t="s">
        <v>25</v>
      </c>
      <c r="DG4" s="2" t="s">
        <v>26</v>
      </c>
      <c r="DH4" s="2" t="s">
        <v>27</v>
      </c>
      <c r="DI4" s="2" t="s">
        <v>28</v>
      </c>
      <c r="DJ4" s="2" t="s">
        <v>29</v>
      </c>
    </row>
    <row r="5" spans="1:114">
      <c r="A5" s="1">
        <v>45089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59</v>
      </c>
      <c r="R5" t="s">
        <v>17</v>
      </c>
      <c r="X5">
        <v>183.78999328613199</v>
      </c>
      <c r="Y5">
        <v>126.56999969482401</v>
      </c>
      <c r="Z5">
        <v>51.200000762939403</v>
      </c>
      <c r="AA5">
        <v>266.989990234375</v>
      </c>
      <c r="AB5">
        <v>520.969970703125</v>
      </c>
      <c r="AC5">
        <v>157.33000183105401</v>
      </c>
      <c r="AD5">
        <v>123.639999389648</v>
      </c>
      <c r="AE5">
        <v>339.489990234375</v>
      </c>
      <c r="AF5">
        <v>38.090000152587798</v>
      </c>
      <c r="AG5">
        <v>459.86999511718699</v>
      </c>
      <c r="AH5">
        <v>288.57000732421801</v>
      </c>
      <c r="AI5">
        <v>109.86000061035099</v>
      </c>
      <c r="AJ5">
        <v>331.850006103515</v>
      </c>
      <c r="AK5">
        <v>39.900001525878899</v>
      </c>
      <c r="AL5">
        <v>360.489990234375</v>
      </c>
      <c r="AM5">
        <v>249.83000183105401</v>
      </c>
      <c r="AS5">
        <v>318</v>
      </c>
      <c r="AT5">
        <v>456</v>
      </c>
      <c r="AU5">
        <v>1131</v>
      </c>
      <c r="AV5">
        <v>217</v>
      </c>
      <c r="AW5">
        <v>109</v>
      </c>
      <c r="AX5">
        <v>369</v>
      </c>
      <c r="AY5">
        <v>468</v>
      </c>
      <c r="AZ5">
        <v>171</v>
      </c>
      <c r="BA5">
        <v>1499</v>
      </c>
      <c r="BB5">
        <v>124</v>
      </c>
      <c r="BC5">
        <v>197</v>
      </c>
      <c r="BD5">
        <v>520</v>
      </c>
      <c r="BE5">
        <v>177</v>
      </c>
      <c r="BF5">
        <v>1431</v>
      </c>
      <c r="BG5">
        <v>160</v>
      </c>
      <c r="BH5">
        <v>232</v>
      </c>
      <c r="BM5">
        <v>81229</v>
      </c>
      <c r="BN5">
        <f t="shared" ref="BN5:BN10" si="0">X5*AS5</f>
        <v>58445.217864989972</v>
      </c>
      <c r="BO5">
        <f t="shared" ref="BO5:CC5" si="1">Y5*AT5</f>
        <v>57715.919860839749</v>
      </c>
      <c r="BP5">
        <f t="shared" si="1"/>
        <v>57907.200862884463</v>
      </c>
      <c r="BQ5">
        <f t="shared" si="1"/>
        <v>57936.827880859375</v>
      </c>
      <c r="BR5">
        <f t="shared" si="1"/>
        <v>56785.726806640625</v>
      </c>
      <c r="BS5">
        <f t="shared" si="1"/>
        <v>58054.770675658925</v>
      </c>
      <c r="BT5">
        <f t="shared" si="1"/>
        <v>57863.519714355265</v>
      </c>
      <c r="BU5">
        <f t="shared" si="1"/>
        <v>58052.788330078125</v>
      </c>
      <c r="BV5">
        <f t="shared" si="1"/>
        <v>57096.91022872911</v>
      </c>
      <c r="BW5">
        <f t="shared" si="1"/>
        <v>57023.879394531185</v>
      </c>
      <c r="BX5">
        <f t="shared" si="1"/>
        <v>56848.291442870948</v>
      </c>
      <c r="BY5">
        <f t="shared" si="1"/>
        <v>57127.200317382514</v>
      </c>
      <c r="BZ5">
        <f t="shared" si="1"/>
        <v>58737.451080322156</v>
      </c>
      <c r="CA5">
        <f t="shared" si="1"/>
        <v>57096.902183532708</v>
      </c>
      <c r="CB5">
        <f t="shared" si="1"/>
        <v>57678.3984375</v>
      </c>
      <c r="CC5">
        <f t="shared" si="1"/>
        <v>57960.560424804527</v>
      </c>
      <c r="CG5">
        <f t="shared" ref="CG5:CG16" si="2">SUM(BM5:CD5)</f>
        <v>1003560.5655059797</v>
      </c>
      <c r="CH5" s="6">
        <f>BM5/SUM(BM5:CD5)</f>
        <v>8.0940804961826693E-2</v>
      </c>
      <c r="CI5" s="6">
        <f>BN5/SUM(BM5:CD5)</f>
        <v>5.8237858156097236E-2</v>
      </c>
      <c r="CJ5" s="6">
        <f>BO5/SUM(BM5:CD5)</f>
        <v>5.7511147652299664E-2</v>
      </c>
      <c r="CK5" s="6">
        <f>BP5/SUM(BM5:CD5)</f>
        <v>5.7701750002191993E-2</v>
      </c>
      <c r="CL5" s="6">
        <f>BQ5/SUM(BM5:CD5)</f>
        <v>5.7731271905496331E-2</v>
      </c>
      <c r="CM5" s="6">
        <f>BR5/SUM(BM5:CD5)</f>
        <v>5.6584254860602402E-2</v>
      </c>
      <c r="CN5" s="6">
        <f>BS5/SUM(BM5:CD5)</f>
        <v>5.7848796247178771E-2</v>
      </c>
      <c r="CO5" s="6">
        <f>BT5/SUM(BM5:CD5)</f>
        <v>5.7658223831444963E-2</v>
      </c>
      <c r="CP5" s="6">
        <f>BU5/SUM(BM5:CD5)</f>
        <v>5.7846820934826994E-2</v>
      </c>
      <c r="CQ5" s="6">
        <f>BV5/SUM(BM5:CD5)</f>
        <v>5.6894334224802598E-2</v>
      </c>
      <c r="CR5" s="6">
        <f>BW5/SUM(BM5:CD5)</f>
        <v>5.6821562499101017E-2</v>
      </c>
      <c r="CS5" s="6">
        <f>BX5/SUM(BM5:CD5)</f>
        <v>5.6646597521704055E-2</v>
      </c>
      <c r="CT5" s="6">
        <f>BY5/SUM(BM5:CD5)</f>
        <v>5.6924516846255178E-2</v>
      </c>
      <c r="CU5" s="6">
        <f>BZ5/SUM(BM5:CD5)</f>
        <v>5.8529054547602356E-2</v>
      </c>
      <c r="CV5" s="6">
        <f>CA5/SUM(BM5:CD5)</f>
        <v>5.6894326208150013E-2</v>
      </c>
      <c r="CW5" s="6">
        <f>CB5/SUM(BM5:CD5)</f>
        <v>5.7473759352450686E-2</v>
      </c>
      <c r="CX5" s="6">
        <f>CC5/SUM(BM5:CD5)</f>
        <v>5.7754920247969001E-2</v>
      </c>
      <c r="CY5" s="6"/>
      <c r="DC5" s="23">
        <f>SUM(BM5:CC5)</f>
        <v>1003560.5655059797</v>
      </c>
      <c r="DD5">
        <f>DC5-DC3</f>
        <v>3560.5655059796991</v>
      </c>
      <c r="DE5" s="5">
        <f>DD5/DC3</f>
        <v>3.560565505979699E-3</v>
      </c>
      <c r="DF5" s="5">
        <f>1*(1+DE5)</f>
        <v>1.0035605655059796</v>
      </c>
      <c r="DG5">
        <v>4338.93017578125</v>
      </c>
      <c r="DH5" s="7"/>
      <c r="DI5" s="5"/>
      <c r="DJ5" s="5"/>
    </row>
    <row r="6" spans="1:114">
      <c r="A6" s="1">
        <v>45090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P6" t="s">
        <v>16</v>
      </c>
      <c r="Q6" t="s">
        <v>59</v>
      </c>
      <c r="R6" t="s">
        <v>17</v>
      </c>
      <c r="X6">
        <v>183.30999755859301</v>
      </c>
      <c r="Y6">
        <v>126.66000366210901</v>
      </c>
      <c r="Z6">
        <v>51.159999847412102</v>
      </c>
      <c r="AA6">
        <v>272.25</v>
      </c>
      <c r="AB6">
        <v>522.02001953125</v>
      </c>
      <c r="AC6">
        <v>158.509994506835</v>
      </c>
      <c r="AD6">
        <v>123.83000183105401</v>
      </c>
      <c r="AE6">
        <v>342.5</v>
      </c>
      <c r="AF6">
        <v>38.459999084472599</v>
      </c>
      <c r="AG6">
        <v>452.36999511718699</v>
      </c>
      <c r="AH6">
        <v>288.54998779296801</v>
      </c>
      <c r="AI6">
        <v>109.98999786376901</v>
      </c>
      <c r="AJ6">
        <v>334.29000854492102</v>
      </c>
      <c r="AK6">
        <v>40.279998779296797</v>
      </c>
      <c r="AL6">
        <v>363.260009765625</v>
      </c>
      <c r="AM6">
        <v>258.70999145507801</v>
      </c>
      <c r="AS6">
        <v>318</v>
      </c>
      <c r="AT6">
        <v>456</v>
      </c>
      <c r="AU6">
        <v>1131</v>
      </c>
      <c r="AV6">
        <v>217</v>
      </c>
      <c r="AW6">
        <v>109</v>
      </c>
      <c r="AX6">
        <v>369</v>
      </c>
      <c r="AY6">
        <v>468</v>
      </c>
      <c r="AZ6">
        <v>171</v>
      </c>
      <c r="BA6">
        <v>1499</v>
      </c>
      <c r="BB6">
        <v>124</v>
      </c>
      <c r="BC6">
        <v>197</v>
      </c>
      <c r="BD6">
        <v>520</v>
      </c>
      <c r="BE6">
        <v>177</v>
      </c>
      <c r="BF6">
        <v>1431</v>
      </c>
      <c r="BG6">
        <v>160</v>
      </c>
      <c r="BH6">
        <v>232</v>
      </c>
      <c r="BM6">
        <v>81229</v>
      </c>
      <c r="BN6">
        <f t="shared" si="0"/>
        <v>58292.57922363258</v>
      </c>
      <c r="BO6">
        <f t="shared" ref="BO6:BP8" si="3">Y6*AT6</f>
        <v>57756.961669921708</v>
      </c>
      <c r="BP6">
        <f t="shared" si="3"/>
        <v>57861.959827423088</v>
      </c>
      <c r="BQ6">
        <f t="shared" ref="BQ6" si="4">AA6*AV6</f>
        <v>59078.25</v>
      </c>
      <c r="BR6">
        <f t="shared" ref="BR6" si="5">AB6*AW6</f>
        <v>56900.18212890625</v>
      </c>
      <c r="BS6">
        <f t="shared" ref="BS6" si="6">AC6*AX6</f>
        <v>58490.187973022112</v>
      </c>
      <c r="BT6">
        <f t="shared" ref="BT6" si="7">AD6*AY6</f>
        <v>57952.440856933274</v>
      </c>
      <c r="BU6">
        <f t="shared" ref="BU6" si="8">AE6*AZ6</f>
        <v>58567.5</v>
      </c>
      <c r="BV6">
        <f t="shared" ref="BV6" si="9">AF6*BA6</f>
        <v>57651.538627624424</v>
      </c>
      <c r="BW6">
        <f t="shared" ref="BW6" si="10">AG6*BB6</f>
        <v>56093.879394531185</v>
      </c>
      <c r="BX6">
        <f t="shared" ref="BX6" si="11">AH6*BC6</f>
        <v>56844.347595214698</v>
      </c>
      <c r="BY6">
        <f t="shared" ref="BY6" si="12">AI6*BD6</f>
        <v>57194.79888915988</v>
      </c>
      <c r="BZ6">
        <f t="shared" ref="BZ6" si="13">AJ6*BE6</f>
        <v>59169.331512451019</v>
      </c>
      <c r="CA6">
        <f t="shared" ref="CA6" si="14">AK6*BF6</f>
        <v>57640.678253173719</v>
      </c>
      <c r="CB6">
        <f t="shared" ref="CB6" si="15">AL6*BG6</f>
        <v>58121.6015625</v>
      </c>
      <c r="CC6">
        <f>AM6*BH6</f>
        <v>60020.718017578096</v>
      </c>
      <c r="CG6">
        <f t="shared" si="2"/>
        <v>1008865.9555320721</v>
      </c>
      <c r="CH6" s="6">
        <f>BM6/SUM(BM6:CD6)</f>
        <v>8.0515156205424862E-2</v>
      </c>
      <c r="CI6" s="6">
        <f>BN6/SUM(BM6:CD6)</f>
        <v>5.7780301638674376E-2</v>
      </c>
      <c r="CJ6" s="6">
        <f>BO6/SUM(BM6:CD6)</f>
        <v>5.7249391114066191E-2</v>
      </c>
      <c r="CK6" s="6">
        <f>BP6/SUM(BM6:CD6)</f>
        <v>5.7353466543438772E-2</v>
      </c>
      <c r="CL6" s="6">
        <f>BQ6/SUM(BM6:CD6)</f>
        <v>5.8559067907928711E-2</v>
      </c>
      <c r="CM6" s="6">
        <f>BR6/SUM(BM6:CD6)</f>
        <v>5.6400140986913677E-2</v>
      </c>
      <c r="CN6" s="6">
        <f>BS6/SUM(BM6:CD6)</f>
        <v>5.7976173794242671E-2</v>
      </c>
      <c r="CO6" s="6">
        <f>BT6/SUM(BM6:CD6)</f>
        <v>5.7443152421938329E-2</v>
      </c>
      <c r="CP6" s="6">
        <f>BU6/SUM(BM6:CD6)</f>
        <v>5.8052806399946089E-2</v>
      </c>
      <c r="CQ6" s="6">
        <f>BV6/SUM(BM6:CD6)</f>
        <v>5.7144894533802781E-2</v>
      </c>
      <c r="CR6" s="6">
        <f>BW6/SUM(BM6:CD6)</f>
        <v>5.560092407414767E-2</v>
      </c>
      <c r="CS6" s="6">
        <f>BX6/SUM(BM6:CD6)</f>
        <v>5.6344797129401797E-2</v>
      </c>
      <c r="CT6" s="6">
        <f>BY6/SUM(BM6:CD6)</f>
        <v>5.6692168642954711E-2</v>
      </c>
      <c r="CU6" s="6">
        <f>BZ6/SUM(BM6:CD6)</f>
        <v>5.8649348992300308E-2</v>
      </c>
      <c r="CV6" s="6">
        <f>CA6/SUM(BM6:CD6)</f>
        <v>5.7134129600769648E-2</v>
      </c>
      <c r="CW6" s="6">
        <f>CB6/SUM(BM6:CD6)</f>
        <v>5.7610826536263565E-2</v>
      </c>
      <c r="CX6" s="6">
        <f>CC6/SUM(BM6:CD6)</f>
        <v>5.9493253477785751E-2</v>
      </c>
      <c r="CY6" s="6"/>
      <c r="DC6" s="23">
        <f>SUM(BM6:CC6)</f>
        <v>1008865.9555320721</v>
      </c>
      <c r="DD6">
        <f>DC6-DC5</f>
        <v>5305.3900260924129</v>
      </c>
      <c r="DE6" s="6">
        <f>DD6/DC5</f>
        <v>5.2865668584910147E-3</v>
      </c>
      <c r="DF6" s="5">
        <f>DC6/1000000</f>
        <v>1.008865955532072</v>
      </c>
      <c r="DG6">
        <v>4369.009765625</v>
      </c>
      <c r="DH6" s="7">
        <f t="shared" ref="DH6:DH14" si="16">DG6-DG5</f>
        <v>30.07958984375</v>
      </c>
      <c r="DI6" s="6">
        <f t="shared" ref="DI6:DI14" si="17">DH6/DG5</f>
        <v>6.9324899514738086E-3</v>
      </c>
      <c r="DJ6" s="6">
        <f>1*(1+DI6)</f>
        <v>1.0069324899514738</v>
      </c>
    </row>
    <row r="7" spans="1:114">
      <c r="A7" s="1">
        <v>45091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t="s">
        <v>13</v>
      </c>
      <c r="N7" t="s">
        <v>14</v>
      </c>
      <c r="O7" t="s">
        <v>15</v>
      </c>
      <c r="P7" t="s">
        <v>16</v>
      </c>
      <c r="Q7" t="s">
        <v>59</v>
      </c>
      <c r="R7" t="s">
        <v>17</v>
      </c>
      <c r="S7" t="s">
        <v>33</v>
      </c>
      <c r="X7">
        <v>183.94999694824199</v>
      </c>
      <c r="Y7">
        <v>126.419998168945</v>
      </c>
      <c r="Z7">
        <v>53.310001373291001</v>
      </c>
      <c r="AA7">
        <v>263.76998901367102</v>
      </c>
      <c r="AB7">
        <v>527.20001220703102</v>
      </c>
      <c r="AC7">
        <v>157.08999633789</v>
      </c>
      <c r="AD7">
        <v>123.669998168945</v>
      </c>
      <c r="AE7">
        <v>338.42001342773398</v>
      </c>
      <c r="AF7">
        <v>38.650001525878899</v>
      </c>
      <c r="AG7">
        <v>452.54998779296801</v>
      </c>
      <c r="AH7">
        <v>288.44000244140602</v>
      </c>
      <c r="AI7">
        <v>108.66000366210901</v>
      </c>
      <c r="AJ7">
        <v>337.33999633789</v>
      </c>
      <c r="AK7">
        <v>39.360000610351499</v>
      </c>
      <c r="AL7">
        <v>365.89999389648398</v>
      </c>
      <c r="AM7">
        <v>256.79000854492102</v>
      </c>
      <c r="AN7">
        <v>429.97000122070301</v>
      </c>
      <c r="AS7">
        <v>318</v>
      </c>
      <c r="AT7">
        <v>456</v>
      </c>
      <c r="AU7">
        <v>1131</v>
      </c>
      <c r="AV7">
        <v>217</v>
      </c>
      <c r="AW7">
        <v>109</v>
      </c>
      <c r="AX7">
        <v>369</v>
      </c>
      <c r="AY7">
        <v>468</v>
      </c>
      <c r="AZ7">
        <v>171</v>
      </c>
      <c r="BA7">
        <v>1499</v>
      </c>
      <c r="BB7">
        <v>124</v>
      </c>
      <c r="BC7">
        <v>197</v>
      </c>
      <c r="BD7">
        <v>520</v>
      </c>
      <c r="BE7">
        <v>177</v>
      </c>
      <c r="BF7">
        <v>1431</v>
      </c>
      <c r="BG7">
        <v>160</v>
      </c>
      <c r="BH7">
        <v>232</v>
      </c>
      <c r="BI7">
        <v>138</v>
      </c>
      <c r="BM7">
        <v>25200</v>
      </c>
      <c r="BN7">
        <f t="shared" si="0"/>
        <v>58496.09902954095</v>
      </c>
      <c r="BO7">
        <f t="shared" si="3"/>
        <v>57647.519165038917</v>
      </c>
      <c r="BP7">
        <f t="shared" si="3"/>
        <v>60293.611553192124</v>
      </c>
      <c r="BQ7">
        <f t="shared" ref="BQ7" si="18">AA7*AV7</f>
        <v>57238.087615966615</v>
      </c>
      <c r="BR7">
        <f t="shared" ref="BR7" si="19">AB7*AW7</f>
        <v>57464.801330566384</v>
      </c>
      <c r="BS7">
        <f t="shared" ref="BS7" si="20">AC7*AX7</f>
        <v>57966.208648681408</v>
      </c>
      <c r="BT7">
        <f t="shared" ref="BT7" si="21">AD7*AY7</f>
        <v>57877.559143066261</v>
      </c>
      <c r="BU7">
        <f t="shared" ref="BU7" si="22">AE7*AZ7</f>
        <v>57869.822296142513</v>
      </c>
      <c r="BV7">
        <f t="shared" ref="BV7" si="23">AF7*BA7</f>
        <v>57936.352287292473</v>
      </c>
      <c r="BW7">
        <f t="shared" ref="BW7" si="24">AG7*BB7</f>
        <v>56116.19848632803</v>
      </c>
      <c r="BX7">
        <f t="shared" ref="BX7" si="25">AH7*BC7</f>
        <v>56822.680480956988</v>
      </c>
      <c r="BY7">
        <f t="shared" ref="BY7" si="26">AI7*BD7</f>
        <v>56503.201904296686</v>
      </c>
      <c r="BZ7">
        <f t="shared" ref="BZ7" si="27">AJ7*BE7</f>
        <v>59709.179351806531</v>
      </c>
      <c r="CA7">
        <f t="shared" ref="CA7" si="28">AK7*BF7</f>
        <v>56324.160873412991</v>
      </c>
      <c r="CB7">
        <f t="shared" ref="CB7" si="29">AL7*BG7</f>
        <v>58543.999023437435</v>
      </c>
      <c r="CC7">
        <f>AM7*BH7</f>
        <v>59575.281982421679</v>
      </c>
      <c r="CD7">
        <f>BI7*AN7</f>
        <v>59335.860168457017</v>
      </c>
      <c r="CG7">
        <f t="shared" si="2"/>
        <v>1010920.6233406048</v>
      </c>
      <c r="CH7" s="6">
        <f t="shared" ref="CH7:CH9" si="30">BM7/SUM(BM7:CD7)</f>
        <v>2.4927773178398678E-2</v>
      </c>
      <c r="CI7" s="6">
        <f t="shared" ref="CI7:CI9" si="31">BN7/SUM(BM7:CD7)</f>
        <v>5.786418604879142E-2</v>
      </c>
      <c r="CJ7" s="6">
        <f t="shared" ref="CJ7:CJ9" si="32">BO7/SUM(BM7:CD7)</f>
        <v>5.7024773096963521E-2</v>
      </c>
      <c r="CK7" s="6">
        <f t="shared" ref="CK7:CK8" si="33">BP7/SUM(BM7:CD7)</f>
        <v>5.9642280670811558E-2</v>
      </c>
      <c r="CL7" s="6">
        <f t="shared" ref="CL7:CL9" si="34">BQ7/SUM(BM7:CD7)</f>
        <v>5.6619764494290716E-2</v>
      </c>
      <c r="CM7" s="6">
        <f t="shared" ref="CM7:CM9" si="35">BR7/SUM(BM7:CD7)</f>
        <v>5.6844029099607195E-2</v>
      </c>
      <c r="CN7" s="6">
        <f t="shared" ref="CN7:CN9" si="36">BS7/SUM(BM7:CD7)</f>
        <v>5.7340019889129436E-2</v>
      </c>
      <c r="CO7" s="6">
        <f t="shared" ref="CO7:CO9" si="37">BT7/SUM(BM7:CD7)</f>
        <v>5.7252328033242469E-2</v>
      </c>
      <c r="CP7" s="6">
        <f t="shared" ref="CP7:CP9" si="38">BU7/SUM(BM7:CD7)</f>
        <v>5.7244674764780915E-2</v>
      </c>
      <c r="CQ7" s="6">
        <f t="shared" ref="CQ7:CQ9" si="39">BV7/SUM(BM7:CD7)</f>
        <v>5.7310486055612148E-2</v>
      </c>
      <c r="CR7" s="6">
        <f t="shared" ref="CR7:CR9" si="40">BW7/SUM(BM7:CD7)</f>
        <v>5.5509994742110484E-2</v>
      </c>
      <c r="CS7" s="6">
        <f t="shared" ref="CS7:CS9" si="41">BX7/SUM(BM7:CD7)</f>
        <v>5.6208844857853872E-2</v>
      </c>
      <c r="CT7" s="6">
        <f t="shared" ref="CT7:CT9" si="42">BY7/SUM(BM7:CD7)</f>
        <v>5.5892817496967138E-2</v>
      </c>
      <c r="CU7" s="6">
        <f t="shared" ref="CU7:CU9" si="43">BZ7/SUM(BM7:CD7)</f>
        <v>5.9064161886911069E-2</v>
      </c>
      <c r="CV7" s="6">
        <f t="shared" ref="CV7:CV9" si="44">CA7/SUM(BM7:CD7)</f>
        <v>5.571571058397129E-2</v>
      </c>
      <c r="CW7" s="6">
        <f t="shared" ref="CW7:CW9" si="45">CB7/SUM(BM7:CD7)</f>
        <v>5.791156859573976E-2</v>
      </c>
      <c r="CX7" s="6">
        <f t="shared" ref="CX7:CX9" si="46">CC7/SUM(BM7:CD7)</f>
        <v>5.8931710964164642E-2</v>
      </c>
      <c r="CY7" s="6">
        <f>CD7/SUM(BM7:CD7)</f>
        <v>5.8694875540653856E-2</v>
      </c>
      <c r="DC7" s="23">
        <f>SUM(BM7:CD7)</f>
        <v>1010920.6233406048</v>
      </c>
      <c r="DD7">
        <f>DC7-DC6</f>
        <v>2054.6678085327148</v>
      </c>
      <c r="DE7" s="6">
        <f>DD7/DC6</f>
        <v>2.0366113032817038E-3</v>
      </c>
      <c r="DF7" s="5">
        <f>DC7/1000000</f>
        <v>1.0109206233406047</v>
      </c>
      <c r="DG7">
        <v>4372.58984375</v>
      </c>
      <c r="DH7" s="7">
        <f t="shared" si="16"/>
        <v>3.580078125</v>
      </c>
      <c r="DI7" s="6">
        <f t="shared" si="17"/>
        <v>8.1942552593215799E-4</v>
      </c>
      <c r="DJ7" s="6">
        <f t="shared" ref="DJ7:DJ13" si="47">DJ6*(1+DI7)</f>
        <v>1.0077575961366305</v>
      </c>
    </row>
    <row r="8" spans="1:114">
      <c r="A8" s="1">
        <v>45092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  <c r="N8" t="s">
        <v>14</v>
      </c>
      <c r="O8" t="s">
        <v>15</v>
      </c>
      <c r="P8" t="s">
        <v>16</v>
      </c>
      <c r="Q8" t="s">
        <v>59</v>
      </c>
      <c r="R8" t="s">
        <v>17</v>
      </c>
      <c r="S8" t="s">
        <v>33</v>
      </c>
      <c r="X8">
        <v>186.009994506835</v>
      </c>
      <c r="Y8">
        <v>127.11000061035099</v>
      </c>
      <c r="Z8">
        <v>53.9799995422363</v>
      </c>
      <c r="AA8">
        <v>269.489990234375</v>
      </c>
      <c r="AB8">
        <v>529.17999267578102</v>
      </c>
      <c r="AC8">
        <v>158.27999877929599</v>
      </c>
      <c r="AD8">
        <v>125.08999633789</v>
      </c>
      <c r="AE8">
        <v>339.739990234375</v>
      </c>
      <c r="AF8">
        <v>39.049999237060497</v>
      </c>
      <c r="AG8">
        <v>455.95001220703102</v>
      </c>
      <c r="AH8">
        <v>292.60998535156199</v>
      </c>
      <c r="AI8">
        <v>109.400001525878</v>
      </c>
      <c r="AJ8">
        <v>348.100006103515</v>
      </c>
      <c r="AK8">
        <v>39.75</v>
      </c>
      <c r="AL8">
        <v>370.260009765625</v>
      </c>
      <c r="AM8">
        <v>255.89999389648401</v>
      </c>
      <c r="AN8">
        <v>426.52999877929602</v>
      </c>
      <c r="AS8">
        <v>318</v>
      </c>
      <c r="AT8">
        <v>456</v>
      </c>
      <c r="AU8">
        <v>1131</v>
      </c>
      <c r="AV8">
        <v>217</v>
      </c>
      <c r="AW8">
        <v>109</v>
      </c>
      <c r="AX8">
        <v>369</v>
      </c>
      <c r="AY8">
        <v>468</v>
      </c>
      <c r="AZ8">
        <v>171</v>
      </c>
      <c r="BA8">
        <v>1499</v>
      </c>
      <c r="BB8">
        <v>124</v>
      </c>
      <c r="BC8">
        <v>197</v>
      </c>
      <c r="BD8">
        <v>520</v>
      </c>
      <c r="BE8">
        <v>177</v>
      </c>
      <c r="BF8">
        <v>1431</v>
      </c>
      <c r="BG8">
        <v>160</v>
      </c>
      <c r="BH8">
        <v>232</v>
      </c>
      <c r="BI8">
        <v>138</v>
      </c>
      <c r="BM8">
        <v>25200</v>
      </c>
      <c r="BN8">
        <f t="shared" si="0"/>
        <v>59151.17825317353</v>
      </c>
      <c r="BO8">
        <f t="shared" si="3"/>
        <v>57962.160278320051</v>
      </c>
      <c r="BP8">
        <f t="shared" si="3"/>
        <v>61051.379482269258</v>
      </c>
      <c r="BQ8">
        <f t="shared" ref="BQ8" si="48">AA8*AV8</f>
        <v>58479.327880859375</v>
      </c>
      <c r="BR8">
        <f t="shared" ref="BR8" si="49">AB8*AW8</f>
        <v>57680.619201660134</v>
      </c>
      <c r="BS8">
        <f t="shared" ref="BS8" si="50">AC8*AX8</f>
        <v>58405.319549560219</v>
      </c>
      <c r="BT8">
        <f t="shared" ref="BT8" si="51">AD8*AY8</f>
        <v>58542.118286132521</v>
      </c>
      <c r="BU8">
        <f t="shared" ref="BU8" si="52">AE8*AZ8</f>
        <v>58095.538330078125</v>
      </c>
      <c r="BV8">
        <f t="shared" ref="BV8" si="53">AF8*BA8</f>
        <v>58535.948856353687</v>
      </c>
      <c r="BW8">
        <f t="shared" ref="BW8" si="54">AG8*BB8</f>
        <v>56537.801513671846</v>
      </c>
      <c r="BX8">
        <f t="shared" ref="BX8" si="55">AH8*BC8</f>
        <v>57644.167114257711</v>
      </c>
      <c r="BY8">
        <f t="shared" ref="BY8" si="56">AI8*BD8</f>
        <v>56888.000793456558</v>
      </c>
      <c r="BZ8">
        <f t="shared" ref="BZ8" si="57">AJ8*BE8</f>
        <v>61613.701080322156</v>
      </c>
      <c r="CA8">
        <f t="shared" ref="CA8" si="58">AK8*BF8</f>
        <v>56882.25</v>
      </c>
      <c r="CB8">
        <f t="shared" ref="CB8" si="59">AL8*BG8</f>
        <v>59241.6015625</v>
      </c>
      <c r="CC8">
        <f>AM8*BH8</f>
        <v>59368.798583984288</v>
      </c>
      <c r="CD8">
        <f>BI8*AN8</f>
        <v>58861.139831542852</v>
      </c>
      <c r="CG8">
        <f t="shared" si="2"/>
        <v>1020141.0505981423</v>
      </c>
      <c r="CH8" s="6">
        <f t="shared" si="30"/>
        <v>2.4702466374845331E-2</v>
      </c>
      <c r="CI8" s="6">
        <f t="shared" si="31"/>
        <v>5.7983333009186566E-2</v>
      </c>
      <c r="CJ8" s="6">
        <f t="shared" si="32"/>
        <v>5.6817790289230029E-2</v>
      </c>
      <c r="CK8" s="6">
        <f t="shared" si="33"/>
        <v>5.9846017809471366E-2</v>
      </c>
      <c r="CL8" s="6">
        <f t="shared" si="34"/>
        <v>5.7324747246050946E-2</v>
      </c>
      <c r="CM8" s="6">
        <f t="shared" si="35"/>
        <v>5.6541807790050296E-2</v>
      </c>
      <c r="CN8" s="6">
        <f t="shared" si="36"/>
        <v>5.7252200090678891E-2</v>
      </c>
      <c r="CO8" s="6">
        <f t="shared" si="37"/>
        <v>5.7386297955373276E-2</v>
      </c>
      <c r="CP8" s="6">
        <f t="shared" si="38"/>
        <v>5.6948535005051308E-2</v>
      </c>
      <c r="CQ8" s="6">
        <f t="shared" si="39"/>
        <v>5.7380250331100911E-2</v>
      </c>
      <c r="CR8" s="6">
        <f t="shared" si="40"/>
        <v>5.5421553206315803E-2</v>
      </c>
      <c r="CS8" s="6">
        <f t="shared" si="41"/>
        <v>5.6506075390710959E-2</v>
      </c>
      <c r="CT8" s="6">
        <f t="shared" si="42"/>
        <v>5.5764838362402189E-2</v>
      </c>
      <c r="CU8" s="6">
        <f t="shared" si="43"/>
        <v>6.039723726850911E-2</v>
      </c>
      <c r="CV8" s="6">
        <f t="shared" si="44"/>
        <v>5.5759201109148643E-2</v>
      </c>
      <c r="CW8" s="6">
        <f t="shared" si="45"/>
        <v>5.8071971055144479E-2</v>
      </c>
      <c r="CX8" s="6">
        <f t="shared" si="46"/>
        <v>5.8196656775231628E-2</v>
      </c>
      <c r="CY8" s="6">
        <f t="shared" ref="CY8" si="60">CD8/SUM(BM8:CD8)</f>
        <v>5.7699020931498271E-2</v>
      </c>
      <c r="DC8" s="23">
        <f>SUM(BM8:CD8)</f>
        <v>1020141.0505981423</v>
      </c>
      <c r="DD8">
        <f>DC8-DC7</f>
        <v>9220.4272575374926</v>
      </c>
      <c r="DE8" s="6">
        <f>DD8/DC7</f>
        <v>9.1208221938023481E-3</v>
      </c>
      <c r="DF8" s="5">
        <f>DC8/1000000</f>
        <v>1.0201410505981423</v>
      </c>
      <c r="DG8">
        <v>4425.83984375</v>
      </c>
      <c r="DH8" s="7">
        <f t="shared" si="16"/>
        <v>53.25</v>
      </c>
      <c r="DI8" s="6">
        <f t="shared" si="17"/>
        <v>1.2178137420346744E-2</v>
      </c>
      <c r="DJ8" s="6">
        <f t="shared" si="47"/>
        <v>1.0200302066287807</v>
      </c>
    </row>
    <row r="9" spans="1:114">
      <c r="A9" s="1">
        <v>45093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59</v>
      </c>
      <c r="R9" t="s">
        <v>17</v>
      </c>
      <c r="S9" t="s">
        <v>33</v>
      </c>
      <c r="X9">
        <v>184.919998168945</v>
      </c>
      <c r="Y9">
        <v>125.48999786376901</v>
      </c>
      <c r="Z9">
        <v>54.319999694824197</v>
      </c>
      <c r="AA9">
        <v>268.829986572265</v>
      </c>
      <c r="AB9">
        <v>523.65002441406205</v>
      </c>
      <c r="AC9">
        <v>157.259994506835</v>
      </c>
      <c r="AD9">
        <v>123.52999877929599</v>
      </c>
      <c r="AE9">
        <v>338.30999755859301</v>
      </c>
      <c r="AF9">
        <v>39.180000305175703</v>
      </c>
      <c r="AG9">
        <v>459.17001342773398</v>
      </c>
      <c r="AH9">
        <v>293.70001220703102</v>
      </c>
      <c r="AI9">
        <v>109.31999969482401</v>
      </c>
      <c r="AJ9">
        <v>342.329986572265</v>
      </c>
      <c r="AK9">
        <v>40.060001373291001</v>
      </c>
      <c r="AL9">
        <v>367.92999267578102</v>
      </c>
      <c r="AM9">
        <v>260.54000854492102</v>
      </c>
      <c r="AN9">
        <v>426.92001342773398</v>
      </c>
      <c r="AS9">
        <v>318</v>
      </c>
      <c r="AT9">
        <v>456</v>
      </c>
      <c r="AU9">
        <v>1131</v>
      </c>
      <c r="AV9">
        <v>217</v>
      </c>
      <c r="AW9">
        <v>109</v>
      </c>
      <c r="AX9">
        <v>369</v>
      </c>
      <c r="AY9">
        <v>468</v>
      </c>
      <c r="AZ9">
        <v>171</v>
      </c>
      <c r="BA9">
        <v>1499</v>
      </c>
      <c r="BB9">
        <v>124</v>
      </c>
      <c r="BC9">
        <v>197</v>
      </c>
      <c r="BD9">
        <v>520</v>
      </c>
      <c r="BE9">
        <v>177</v>
      </c>
      <c r="BF9">
        <v>1431</v>
      </c>
      <c r="BG9">
        <v>160</v>
      </c>
      <c r="BH9">
        <v>232</v>
      </c>
      <c r="BI9">
        <v>138</v>
      </c>
      <c r="BM9">
        <v>25200</v>
      </c>
      <c r="BN9">
        <f t="shared" si="0"/>
        <v>58804.559417724508</v>
      </c>
      <c r="BO9">
        <f t="shared" ref="BO9" si="61">Y9*AT9</f>
        <v>57223.439025878666</v>
      </c>
      <c r="BP9">
        <f t="shared" ref="BP9" si="62">Z9*AU9</f>
        <v>61435.91965484617</v>
      </c>
      <c r="BQ9">
        <f t="shared" ref="BQ9" si="63">AA9*AV9</f>
        <v>58336.107086181502</v>
      </c>
      <c r="BR9">
        <f t="shared" ref="BR9" si="64">AB9*AW9</f>
        <v>57077.852661132762</v>
      </c>
      <c r="BS9">
        <f t="shared" ref="BS9" si="65">AC9*AX9</f>
        <v>58028.937973022112</v>
      </c>
      <c r="BT9">
        <f t="shared" ref="BT9" si="66">AD9*AY9</f>
        <v>57812.039428710523</v>
      </c>
      <c r="BU9">
        <f t="shared" ref="BU9" si="67">AE9*AZ9</f>
        <v>57851.009582519408</v>
      </c>
      <c r="BV9">
        <f t="shared" ref="BV9" si="68">AF9*BA9</f>
        <v>58730.82045745838</v>
      </c>
      <c r="BW9">
        <f t="shared" ref="BW9" si="69">AG9*BB9</f>
        <v>56937.081665039012</v>
      </c>
      <c r="BX9">
        <f t="shared" ref="BX9" si="70">AH9*BC9</f>
        <v>57858.902404785113</v>
      </c>
      <c r="BY9">
        <f t="shared" ref="BY9" si="71">AI9*BD9</f>
        <v>56846.399841308485</v>
      </c>
      <c r="BZ9">
        <f t="shared" ref="BZ9" si="72">AJ9*BE9</f>
        <v>60592.407623290906</v>
      </c>
      <c r="CA9">
        <f t="shared" ref="CA9" si="73">AK9*BF9</f>
        <v>57325.861965179422</v>
      </c>
      <c r="CB9">
        <f t="shared" ref="CB9" si="74">AL9*BG9</f>
        <v>58868.798828124964</v>
      </c>
      <c r="CC9">
        <f>AM9*BH9</f>
        <v>60445.281982421679</v>
      </c>
      <c r="CD9">
        <f>BI9*AN9</f>
        <v>58914.961853027286</v>
      </c>
      <c r="CG9">
        <f t="shared" si="2"/>
        <v>1018290.381450651</v>
      </c>
      <c r="CH9" s="6">
        <f t="shared" si="30"/>
        <v>2.4747361321532092E-2</v>
      </c>
      <c r="CI9" s="6">
        <f t="shared" si="31"/>
        <v>5.7748320605711556E-2</v>
      </c>
      <c r="CJ9" s="6">
        <f t="shared" si="32"/>
        <v>5.6195600064844434E-2</v>
      </c>
      <c r="CK9" s="6">
        <f>BP9/SUM(BM9:CD9)</f>
        <v>6.0332416738852909E-2</v>
      </c>
      <c r="CL9" s="6">
        <f t="shared" si="34"/>
        <v>5.7288282545766761E-2</v>
      </c>
      <c r="CM9" s="6">
        <f t="shared" si="35"/>
        <v>5.6052628700881922E-2</v>
      </c>
      <c r="CN9" s="6">
        <f t="shared" si="36"/>
        <v>5.6986630758855246E-2</v>
      </c>
      <c r="CO9" s="6">
        <f t="shared" si="37"/>
        <v>5.6773628114165038E-2</v>
      </c>
      <c r="CP9" s="6">
        <f t="shared" si="38"/>
        <v>5.681189829182632E-2</v>
      </c>
      <c r="CQ9" s="6">
        <f t="shared" si="39"/>
        <v>5.7675906133759967E-2</v>
      </c>
      <c r="CR9" s="6">
        <f t="shared" si="40"/>
        <v>5.5914386212630972E-2</v>
      </c>
      <c r="CS9" s="6">
        <f t="shared" si="41"/>
        <v>5.6819649344384097E-2</v>
      </c>
      <c r="CT9" s="6">
        <f t="shared" si="42"/>
        <v>5.5825333202426414E-2</v>
      </c>
      <c r="CU9" s="6">
        <f t="shared" si="43"/>
        <v>5.9504055745838717E-2</v>
      </c>
      <c r="CV9" s="6">
        <f t="shared" si="44"/>
        <v>5.6296183298435276E-2</v>
      </c>
      <c r="CW9" s="6">
        <f t="shared" si="45"/>
        <v>5.7811406157309266E-2</v>
      </c>
      <c r="CX9" s="6">
        <f t="shared" si="46"/>
        <v>5.935957275400329E-2</v>
      </c>
      <c r="CY9" s="6">
        <f>CD9/SUM(BM9:CD9)</f>
        <v>5.7856740008775637E-2</v>
      </c>
      <c r="DB9" s="6"/>
      <c r="DC9" s="23">
        <f>SUM(BM9:CD9)</f>
        <v>1018290.381450651</v>
      </c>
      <c r="DD9">
        <f>DC9-DC8</f>
        <v>-1850.6691474913387</v>
      </c>
      <c r="DE9" s="6">
        <f>DD9/DC8</f>
        <v>-1.8141306502725582E-3</v>
      </c>
      <c r="DF9" s="5">
        <f>DC9/1000000</f>
        <v>1.018290381450651</v>
      </c>
      <c r="DG9">
        <v>4409.58984375</v>
      </c>
      <c r="DH9" s="7">
        <f t="shared" si="16"/>
        <v>-16.25</v>
      </c>
      <c r="DI9" s="6">
        <f t="shared" si="17"/>
        <v>-3.671619528426367E-3</v>
      </c>
      <c r="DJ9" s="6">
        <f t="shared" si="47"/>
        <v>1.0162850438025377</v>
      </c>
    </row>
    <row r="10" spans="1:114">
      <c r="A10" s="1">
        <v>45097</v>
      </c>
      <c r="B10" t="s">
        <v>2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  <c r="M10" t="s">
        <v>13</v>
      </c>
      <c r="N10" t="s">
        <v>14</v>
      </c>
      <c r="O10" t="s">
        <v>15</v>
      </c>
      <c r="P10" t="s">
        <v>16</v>
      </c>
      <c r="Q10" t="s">
        <v>59</v>
      </c>
      <c r="R10" t="s">
        <v>17</v>
      </c>
      <c r="S10" t="s">
        <v>33</v>
      </c>
      <c r="X10">
        <v>185.009994506835</v>
      </c>
      <c r="Y10">
        <v>125.77999877929599</v>
      </c>
      <c r="Z10">
        <v>54.040000915527301</v>
      </c>
      <c r="AA10">
        <v>270.04998779296801</v>
      </c>
      <c r="AB10">
        <v>519.70001220703102</v>
      </c>
      <c r="AC10">
        <v>153.67999267578099</v>
      </c>
      <c r="AD10">
        <v>123.09999847412099</v>
      </c>
      <c r="AE10">
        <v>330.72000122070301</v>
      </c>
      <c r="AF10">
        <v>39.369998931884702</v>
      </c>
      <c r="AG10">
        <v>458.38000488281199</v>
      </c>
      <c r="AH10">
        <v>293.04000854492102</v>
      </c>
      <c r="AI10">
        <v>110.230003356933</v>
      </c>
      <c r="AJ10">
        <v>338.04998779296801</v>
      </c>
      <c r="AK10">
        <v>39.340000152587798</v>
      </c>
      <c r="AL10">
        <v>366.89999389648398</v>
      </c>
      <c r="AM10">
        <v>274.45001220703102</v>
      </c>
      <c r="AN10">
        <v>438.079986572265</v>
      </c>
      <c r="AS10">
        <v>318</v>
      </c>
      <c r="AT10">
        <v>456</v>
      </c>
      <c r="AU10">
        <v>1131</v>
      </c>
      <c r="AV10">
        <v>217</v>
      </c>
      <c r="AW10">
        <v>109</v>
      </c>
      <c r="AX10">
        <v>369</v>
      </c>
      <c r="AY10">
        <v>468</v>
      </c>
      <c r="AZ10">
        <v>171</v>
      </c>
      <c r="BA10">
        <v>1499</v>
      </c>
      <c r="BB10">
        <v>124</v>
      </c>
      <c r="BC10">
        <v>197</v>
      </c>
      <c r="BD10">
        <v>520</v>
      </c>
      <c r="BE10">
        <v>177</v>
      </c>
      <c r="BF10">
        <v>1431</v>
      </c>
      <c r="BG10">
        <v>160</v>
      </c>
      <c r="BH10">
        <v>232</v>
      </c>
      <c r="BI10">
        <v>138</v>
      </c>
      <c r="BM10">
        <v>25200</v>
      </c>
      <c r="BN10">
        <f t="shared" si="0"/>
        <v>58833.17825317353</v>
      </c>
      <c r="BO10">
        <f t="shared" ref="BO10" si="75">Y10*AT10</f>
        <v>57355.679443358975</v>
      </c>
      <c r="BP10">
        <f t="shared" ref="BP10" si="76">Z10*AU10</f>
        <v>61119.241035461375</v>
      </c>
      <c r="BQ10">
        <f t="shared" ref="BQ10" si="77">AA10*AV10</f>
        <v>58600.847351074059</v>
      </c>
      <c r="BR10">
        <f t="shared" ref="BR10" si="78">AB10*AW10</f>
        <v>56647.301330566384</v>
      </c>
      <c r="BS10">
        <f t="shared" ref="BS10" si="79">AC10*AX10</f>
        <v>56707.917297363187</v>
      </c>
      <c r="BT10">
        <f t="shared" ref="BT10" si="80">AD10*AY10</f>
        <v>57610.799285888628</v>
      </c>
      <c r="BU10">
        <f t="shared" ref="BU10" si="81">AE10*AZ10</f>
        <v>56553.120208740213</v>
      </c>
      <c r="BV10">
        <f t="shared" ref="BV10" si="82">AF10*BA10</f>
        <v>59015.628398895169</v>
      </c>
      <c r="BW10">
        <f t="shared" ref="BW10" si="83">AG10*BB10</f>
        <v>56839.120605468685</v>
      </c>
      <c r="BX10">
        <f t="shared" ref="BX10" si="84">AH10*BC10</f>
        <v>57728.881683349442</v>
      </c>
      <c r="BY10">
        <f t="shared" ref="BY10" si="85">AI10*BD10</f>
        <v>57319.601745605156</v>
      </c>
      <c r="BZ10">
        <f t="shared" ref="BZ10" si="86">AJ10*BE10</f>
        <v>59834.847839355338</v>
      </c>
      <c r="CA10">
        <f t="shared" ref="CA10" si="87">AK10*BF10</f>
        <v>56295.540218353141</v>
      </c>
      <c r="CB10">
        <f t="shared" ref="CB10" si="88">AL10*BG10</f>
        <v>58703.999023437435</v>
      </c>
      <c r="CC10">
        <f>AM10*BH10</f>
        <v>63672.402832031199</v>
      </c>
      <c r="CD10">
        <f>BI10*AN10</f>
        <v>60455.038146972569</v>
      </c>
      <c r="CG10">
        <f t="shared" si="2"/>
        <v>1018493.1446990945</v>
      </c>
      <c r="CH10" s="6">
        <f t="shared" ref="CH10" si="89">BM10/SUM(BM10:CD10)</f>
        <v>2.4742434577156761E-2</v>
      </c>
      <c r="CI10" s="6">
        <f t="shared" ref="CI10" si="90">BN10/SUM(BM10:CD10)</f>
        <v>5.7764923170450316E-2</v>
      </c>
      <c r="CJ10" s="6">
        <f t="shared" ref="CJ10" si="91">BO10/SUM(BM10:CD10)</f>
        <v>5.6314251835543033E-2</v>
      </c>
      <c r="CK10" s="6">
        <f>BP10/SUM(BM10:CD10)</f>
        <v>6.00094770922769E-2</v>
      </c>
      <c r="CL10" s="6">
        <f t="shared" ref="CL10" si="92">BQ10/SUM(BM10:CD10)</f>
        <v>5.7536810783726189E-2</v>
      </c>
      <c r="CM10" s="6">
        <f t="shared" ref="CM10" si="93">BR10/SUM(BM10:CD10)</f>
        <v>5.561873599777873E-2</v>
      </c>
      <c r="CN10" s="6">
        <f t="shared" ref="CN10" si="94">BS10/SUM(BM10:CD10)</f>
        <v>5.5678251338762891E-2</v>
      </c>
      <c r="CO10" s="6">
        <f t="shared" ref="CO10" si="95">BT10/SUM(BM10:CD10)</f>
        <v>5.6564739375746381E-2</v>
      </c>
      <c r="CP10" s="6">
        <f t="shared" ref="CP10" si="96">BU10/SUM(BM10:CD10)</f>
        <v>5.5526264956303042E-2</v>
      </c>
      <c r="CQ10" s="6">
        <f t="shared" ref="CQ10" si="97">BV10/SUM(BM10:CD10)</f>
        <v>5.7944060503549936E-2</v>
      </c>
      <c r="CR10" s="6">
        <f t="shared" ref="CR10" si="98">BW10/SUM(BM10:CD10)</f>
        <v>5.5807072341425866E-2</v>
      </c>
      <c r="CS10" s="6">
        <f t="shared" ref="CS10" si="99">BX10/SUM(BM10:CD10)</f>
        <v>5.6680677708837175E-2</v>
      </c>
      <c r="CT10" s="6">
        <f t="shared" ref="CT10" si="100">BY10/SUM(BM10:CD10)</f>
        <v>5.6278829213464922E-2</v>
      </c>
      <c r="CU10" s="6">
        <f t="shared" ref="CU10" si="101">BZ10/SUM(BM10:CD10)</f>
        <v>5.874840508330869E-2</v>
      </c>
      <c r="CV10" s="6">
        <f t="shared" ref="CV10" si="102">CA10/SUM(BM10:CD10)</f>
        <v>5.5273361938027774E-2</v>
      </c>
      <c r="CW10" s="6">
        <f t="shared" ref="CW10" si="103">CB10/SUM(BM10:CD10)</f>
        <v>5.7638089494241075E-2</v>
      </c>
      <c r="CX10" s="6">
        <f t="shared" ref="CX10" si="104">CC10/SUM(BM10:CD10)</f>
        <v>6.251628021594853E-2</v>
      </c>
      <c r="CY10" s="6">
        <f>CD10/SUM(BM10:CD10)</f>
        <v>5.9357334373451788E-2</v>
      </c>
      <c r="DC10" s="23">
        <f>SUM(BM10:CD10)</f>
        <v>1018493.1446990945</v>
      </c>
      <c r="DD10">
        <f>DC10-DC9</f>
        <v>202.7632484434871</v>
      </c>
      <c r="DE10" s="6">
        <f>DD10/DC9</f>
        <v>1.9912124491899027E-4</v>
      </c>
      <c r="DF10" s="5">
        <f>DC10/1000000</f>
        <v>1.0184931446990946</v>
      </c>
      <c r="DG10">
        <v>4388.7099609375</v>
      </c>
      <c r="DH10" s="7">
        <f t="shared" si="16"/>
        <v>-20.8798828125</v>
      </c>
      <c r="DI10" s="6">
        <f t="shared" si="17"/>
        <v>-4.7351076976228125E-3</v>
      </c>
      <c r="DJ10" s="6">
        <f t="shared" si="47"/>
        <v>1.0114728246686493</v>
      </c>
    </row>
    <row r="11" spans="1:114">
      <c r="A11" s="1">
        <v>45098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N11" t="s">
        <v>14</v>
      </c>
      <c r="O11" t="s">
        <v>15</v>
      </c>
      <c r="P11" t="s">
        <v>16</v>
      </c>
      <c r="Q11" t="s">
        <v>59</v>
      </c>
      <c r="R11" t="s">
        <v>17</v>
      </c>
      <c r="S11" t="s">
        <v>33</v>
      </c>
      <c r="X11">
        <v>183.96000671386699</v>
      </c>
      <c r="Y11">
        <v>124.83000183105401</v>
      </c>
      <c r="Z11">
        <v>53.959999084472599</v>
      </c>
      <c r="AA11">
        <v>273.829986572265</v>
      </c>
      <c r="AB11">
        <v>519.61999511718705</v>
      </c>
      <c r="AC11">
        <v>154.88000488281199</v>
      </c>
      <c r="AD11">
        <v>120.550003051757</v>
      </c>
      <c r="AE11">
        <v>325.07000732421801</v>
      </c>
      <c r="AF11">
        <v>39.419998168945298</v>
      </c>
      <c r="AG11">
        <v>466.04000854492102</v>
      </c>
      <c r="AH11">
        <v>294.51998901367102</v>
      </c>
      <c r="AI11">
        <v>111.16000366210901</v>
      </c>
      <c r="AJ11">
        <v>333.55999755859301</v>
      </c>
      <c r="AK11">
        <v>38.900001525878899</v>
      </c>
      <c r="AL11">
        <v>361.89999389648398</v>
      </c>
      <c r="AM11">
        <v>259.45999145507801</v>
      </c>
      <c r="AN11">
        <v>430.45001220703102</v>
      </c>
      <c r="AS11">
        <v>318</v>
      </c>
      <c r="AT11">
        <v>456</v>
      </c>
      <c r="AU11">
        <v>1131</v>
      </c>
      <c r="AV11">
        <v>217</v>
      </c>
      <c r="AW11">
        <v>109</v>
      </c>
      <c r="AX11">
        <v>369</v>
      </c>
      <c r="AY11">
        <v>468</v>
      </c>
      <c r="AZ11">
        <v>171</v>
      </c>
      <c r="BA11">
        <v>1499</v>
      </c>
      <c r="BB11">
        <v>124</v>
      </c>
      <c r="BC11">
        <v>197</v>
      </c>
      <c r="BD11">
        <v>520</v>
      </c>
      <c r="BE11">
        <v>177</v>
      </c>
      <c r="BF11">
        <v>1431</v>
      </c>
      <c r="BG11">
        <v>160</v>
      </c>
      <c r="BH11">
        <v>232</v>
      </c>
      <c r="BI11">
        <v>138</v>
      </c>
      <c r="BM11">
        <v>25200</v>
      </c>
      <c r="BN11">
        <f t="shared" ref="BN11:BN12" si="105">X11*AS11</f>
        <v>58499.2821350097</v>
      </c>
      <c r="BO11">
        <f t="shared" ref="BO11:BO12" si="106">Y11*AT11</f>
        <v>56922.480834960625</v>
      </c>
      <c r="BP11">
        <f t="shared" ref="BP11:BP12" si="107">Z11*AU11</f>
        <v>61028.758964538509</v>
      </c>
      <c r="BQ11">
        <f t="shared" ref="BQ11:BQ12" si="108">AA11*AV11</f>
        <v>59421.107086181502</v>
      </c>
      <c r="BR11">
        <f t="shared" ref="BR11:BR12" si="109">AB11*AW11</f>
        <v>56638.579467773387</v>
      </c>
      <c r="BS11">
        <f t="shared" ref="BS11:BS12" si="110">AC11*AX11</f>
        <v>57150.721801757623</v>
      </c>
      <c r="BT11">
        <f t="shared" ref="BT11:BT12" si="111">AD11*AY11</f>
        <v>56417.401428222278</v>
      </c>
      <c r="BU11">
        <f t="shared" ref="BU11:BU12" si="112">AE11*AZ11</f>
        <v>55586.971252441283</v>
      </c>
      <c r="BV11">
        <f t="shared" ref="BV11:BV12" si="113">AF11*BA11</f>
        <v>59090.577255249002</v>
      </c>
      <c r="BW11">
        <f t="shared" ref="BW11:BW12" si="114">AG11*BB11</f>
        <v>57788.961059570203</v>
      </c>
      <c r="BX11">
        <f t="shared" ref="BX11:BX12" si="115">AH11*BC11</f>
        <v>58020.437835693192</v>
      </c>
      <c r="BY11">
        <f t="shared" ref="BY11:BY12" si="116">AI11*BD11</f>
        <v>57803.201904296686</v>
      </c>
      <c r="BZ11">
        <f t="shared" ref="BZ11:BZ12" si="117">AJ11*BE11</f>
        <v>59040.119567870963</v>
      </c>
      <c r="CA11">
        <f t="shared" ref="CA11:CA12" si="118">AK11*BF11</f>
        <v>55665.902183532708</v>
      </c>
      <c r="CB11">
        <f t="shared" ref="CB11:CB12" si="119">AL11*BG11</f>
        <v>57903.999023437435</v>
      </c>
      <c r="CC11">
        <f t="shared" ref="CC11:CC12" si="120">AM11*BH11</f>
        <v>60194.718017578096</v>
      </c>
      <c r="CD11">
        <f t="shared" ref="CD11:CD12" si="121">BI11*AN11</f>
        <v>59402.101684570283</v>
      </c>
      <c r="CG11">
        <f t="shared" si="2"/>
        <v>1011775.3215026836</v>
      </c>
      <c r="CH11" s="6">
        <f t="shared" ref="CH11:CH12" si="122">BM11/SUM(BM11:CD11)</f>
        <v>2.4906715418372815E-2</v>
      </c>
      <c r="CI11" s="6">
        <f t="shared" ref="CI11:CI12" si="123">BN11/SUM(BM11:CD11)</f>
        <v>5.7818451282372514E-2</v>
      </c>
      <c r="CJ11" s="6">
        <f t="shared" ref="CJ11:CJ12" si="124">BO11/SUM(BM11:CD11)</f>
        <v>5.6260001232704158E-2</v>
      </c>
      <c r="CK11" s="6">
        <f t="shared" ref="CK11:CK12" si="125">BP11/SUM(BM11:CD11)</f>
        <v>6.0318489359771008E-2</v>
      </c>
      <c r="CL11" s="6">
        <f t="shared" ref="CL11:CL12" si="126">BQ11/SUM(BM11:CD11)</f>
        <v>5.8729547779372178E-2</v>
      </c>
      <c r="CM11" s="6">
        <f t="shared" ref="CM11:CM12" si="127">BR11/SUM(BM11:CD11)</f>
        <v>5.5979403988282751E-2</v>
      </c>
      <c r="CN11" s="6">
        <f t="shared" ref="CN11:CN12" si="128">BS11/SUM(BM11:CD11)</f>
        <v>5.6485585867895712E-2</v>
      </c>
      <c r="CO11" s="6">
        <f t="shared" ref="CO11:CO12" si="129">BT11/SUM(BM11:CD11)</f>
        <v>5.5760800080033028E-2</v>
      </c>
      <c r="CP11" s="6">
        <f t="shared" ref="CP11:CP12" si="130">BU11/SUM(BM11:CD11)</f>
        <v>5.4940034680707371E-2</v>
      </c>
      <c r="CQ11" s="6">
        <f t="shared" ref="CQ11:CQ12" si="131">BV11/SUM(BM11:CD11)</f>
        <v>5.8402864746184932E-2</v>
      </c>
      <c r="CR11" s="6">
        <f t="shared" ref="CR11:CR12" si="132">BW11/SUM(BM11:CD11)</f>
        <v>5.7116397120402514E-2</v>
      </c>
      <c r="CS11" s="6">
        <f t="shared" ref="CS11:CS12" si="133">BX11/SUM(BM11:CD11)</f>
        <v>5.7345179905674643E-2</v>
      </c>
      <c r="CT11" s="6">
        <f t="shared" ref="CT11:CT12" si="134">BY11/SUM(BM11:CD11)</f>
        <v>5.7130472226232659E-2</v>
      </c>
      <c r="CU11" s="6">
        <f t="shared" ref="CU11:CU12" si="135">BZ11/SUM(BM11:CD11)</f>
        <v>5.8352994299351833E-2</v>
      </c>
      <c r="CV11" s="6">
        <f t="shared" ref="CV11:CV12" si="136">CA11/SUM(BM11:CD11)</f>
        <v>5.501804699175504E-2</v>
      </c>
      <c r="CW11" s="6">
        <f t="shared" ref="CW11:CW12" si="137">CB11/SUM(BM11:CD11)</f>
        <v>5.7230096240575137E-2</v>
      </c>
      <c r="CX11" s="6">
        <f t="shared" ref="CX11:CX12" si="138">CC11/SUM(BM11:CD11)</f>
        <v>5.9494155212421275E-2</v>
      </c>
      <c r="CY11" s="6">
        <f t="shared" ref="CY11:CY12" si="139">CD11/SUM(BM11:CD11)</f>
        <v>5.8710763567890331E-2</v>
      </c>
      <c r="DC11" s="23">
        <f t="shared" ref="DC11:DC12" si="140">SUM(BM11:CD11)</f>
        <v>1011775.3215026836</v>
      </c>
      <c r="DD11">
        <f t="shared" ref="DD11:DD12" si="141">DC11-DC10</f>
        <v>-6717.8231964109</v>
      </c>
      <c r="DE11" s="6">
        <f t="shared" ref="DE11:DE12" si="142">DD11/DC10</f>
        <v>-6.5958452753215402E-3</v>
      </c>
      <c r="DF11" s="5">
        <f t="shared" ref="DF11:DF12" si="143">DC11/1000000</f>
        <v>1.0117753215026837</v>
      </c>
      <c r="DG11">
        <v>4365.68994140625</v>
      </c>
      <c r="DH11" s="7">
        <f t="shared" si="16"/>
        <v>-23.02001953125</v>
      </c>
      <c r="DI11" s="6">
        <f t="shared" si="17"/>
        <v>-5.2452815830036185E-3</v>
      </c>
      <c r="DJ11" s="6">
        <f t="shared" si="47"/>
        <v>1.0061673648897063</v>
      </c>
    </row>
    <row r="12" spans="1:114">
      <c r="A12" s="1">
        <v>45099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11</v>
      </c>
      <c r="L12" t="s">
        <v>12</v>
      </c>
      <c r="M12" t="s">
        <v>13</v>
      </c>
      <c r="N12" t="s">
        <v>14</v>
      </c>
      <c r="O12" t="s">
        <v>15</v>
      </c>
      <c r="P12" t="s">
        <v>16</v>
      </c>
      <c r="Q12" t="s">
        <v>59</v>
      </c>
      <c r="R12" t="s">
        <v>17</v>
      </c>
      <c r="S12" t="s">
        <v>33</v>
      </c>
      <c r="X12">
        <v>187</v>
      </c>
      <c r="Y12">
        <v>130.14999389648401</v>
      </c>
      <c r="Z12">
        <v>54.639999389648402</v>
      </c>
      <c r="AA12">
        <v>275.329986572265</v>
      </c>
      <c r="AB12">
        <v>524.20001220703102</v>
      </c>
      <c r="AC12">
        <v>152.63999938964801</v>
      </c>
      <c r="AD12">
        <v>123.150001525878</v>
      </c>
      <c r="AE12">
        <v>319.579986572265</v>
      </c>
      <c r="AF12">
        <v>38.700000762939403</v>
      </c>
      <c r="AG12">
        <v>463.42999267578102</v>
      </c>
      <c r="AH12">
        <v>293.29998779296801</v>
      </c>
      <c r="AI12">
        <v>113.720001220703</v>
      </c>
      <c r="AJ12">
        <v>339.70999145507801</v>
      </c>
      <c r="AK12">
        <v>38.7299995422363</v>
      </c>
      <c r="AL12">
        <v>366.17001342773398</v>
      </c>
      <c r="AM12">
        <v>264.60998535156199</v>
      </c>
      <c r="AN12">
        <v>430.25</v>
      </c>
      <c r="AS12">
        <v>318</v>
      </c>
      <c r="AT12">
        <v>456</v>
      </c>
      <c r="AU12">
        <v>1131</v>
      </c>
      <c r="AV12">
        <v>217</v>
      </c>
      <c r="AW12">
        <v>109</v>
      </c>
      <c r="AX12">
        <v>369</v>
      </c>
      <c r="AY12">
        <v>468</v>
      </c>
      <c r="AZ12">
        <v>171</v>
      </c>
      <c r="BA12">
        <v>1499</v>
      </c>
      <c r="BB12">
        <v>124</v>
      </c>
      <c r="BC12">
        <v>197</v>
      </c>
      <c r="BD12">
        <v>520</v>
      </c>
      <c r="BE12">
        <v>177</v>
      </c>
      <c r="BF12">
        <v>1431</v>
      </c>
      <c r="BG12">
        <v>160</v>
      </c>
      <c r="BH12">
        <v>232</v>
      </c>
      <c r="BI12">
        <v>138</v>
      </c>
      <c r="BM12">
        <v>25200</v>
      </c>
      <c r="BN12">
        <f t="shared" si="105"/>
        <v>59466</v>
      </c>
      <c r="BO12">
        <f t="shared" si="106"/>
        <v>59348.397216796708</v>
      </c>
      <c r="BP12">
        <f t="shared" si="107"/>
        <v>61797.839309692339</v>
      </c>
      <c r="BQ12">
        <f t="shared" si="108"/>
        <v>59746.607086181502</v>
      </c>
      <c r="BR12">
        <f t="shared" si="109"/>
        <v>57137.801330566384</v>
      </c>
      <c r="BS12">
        <f t="shared" si="110"/>
        <v>56324.159774780113</v>
      </c>
      <c r="BT12">
        <f t="shared" si="111"/>
        <v>57634.200714110906</v>
      </c>
      <c r="BU12">
        <f t="shared" si="112"/>
        <v>54648.177703857313</v>
      </c>
      <c r="BV12">
        <f t="shared" si="113"/>
        <v>58011.301143646167</v>
      </c>
      <c r="BW12">
        <f t="shared" si="114"/>
        <v>57465.319091796846</v>
      </c>
      <c r="BX12">
        <f t="shared" si="115"/>
        <v>57780.097595214698</v>
      </c>
      <c r="BY12">
        <f t="shared" si="116"/>
        <v>59134.40063476556</v>
      </c>
      <c r="BZ12">
        <f t="shared" si="117"/>
        <v>60128.668487548806</v>
      </c>
      <c r="CA12">
        <f t="shared" si="118"/>
        <v>55422.629344940142</v>
      </c>
      <c r="CB12">
        <f t="shared" si="119"/>
        <v>58587.202148437435</v>
      </c>
      <c r="CC12">
        <f t="shared" si="120"/>
        <v>61389.516601562384</v>
      </c>
      <c r="CD12">
        <f t="shared" si="121"/>
        <v>59374.5</v>
      </c>
      <c r="CG12">
        <f t="shared" si="2"/>
        <v>1018596.8181838973</v>
      </c>
      <c r="CH12" s="6">
        <f t="shared" si="122"/>
        <v>2.4739916275146264E-2</v>
      </c>
      <c r="CI12" s="6">
        <f t="shared" si="123"/>
        <v>5.8380311953089195E-2</v>
      </c>
      <c r="CJ12" s="6">
        <f t="shared" si="124"/>
        <v>5.8264856278082304E-2</v>
      </c>
      <c r="CK12" s="6">
        <f t="shared" si="125"/>
        <v>6.0669578194711547E-2</v>
      </c>
      <c r="CL12" s="6">
        <f t="shared" si="126"/>
        <v>5.8655795914134556E-2</v>
      </c>
      <c r="CM12" s="6">
        <f t="shared" si="127"/>
        <v>5.6094619883498141E-2</v>
      </c>
      <c r="CN12" s="6">
        <f t="shared" si="128"/>
        <v>5.5295833218096072E-2</v>
      </c>
      <c r="CO12" s="6">
        <f t="shared" si="129"/>
        <v>5.6581956359209477E-2</v>
      </c>
      <c r="CP12" s="6">
        <f t="shared" si="130"/>
        <v>5.3650450038997807E-2</v>
      </c>
      <c r="CQ12" s="6">
        <f t="shared" si="131"/>
        <v>5.6952171956591385E-2</v>
      </c>
      <c r="CR12" s="6">
        <f t="shared" si="132"/>
        <v>5.6416158057762622E-2</v>
      </c>
      <c r="CS12" s="6">
        <f t="shared" si="133"/>
        <v>5.6725189558547287E-2</v>
      </c>
      <c r="CT12" s="6">
        <f t="shared" si="134"/>
        <v>5.8054766693851428E-2</v>
      </c>
      <c r="CU12" s="6">
        <f t="shared" si="135"/>
        <v>5.9030881909443771E-2</v>
      </c>
      <c r="CV12" s="6">
        <f t="shared" si="136"/>
        <v>5.4410762291360458E-2</v>
      </c>
      <c r="CW12" s="6">
        <f t="shared" si="137"/>
        <v>5.7517558569341723E-2</v>
      </c>
      <c r="CX12" s="6">
        <f t="shared" si="138"/>
        <v>6.0268710352950595E-2</v>
      </c>
      <c r="CY12" s="6">
        <f t="shared" si="139"/>
        <v>5.829048249518539E-2</v>
      </c>
      <c r="DC12" s="23">
        <f t="shared" si="140"/>
        <v>1018596.8181838973</v>
      </c>
      <c r="DD12">
        <f t="shared" si="141"/>
        <v>6821.4966812137282</v>
      </c>
      <c r="DE12" s="6">
        <f t="shared" si="142"/>
        <v>6.7421062129509896E-3</v>
      </c>
      <c r="DF12" s="5">
        <f t="shared" si="143"/>
        <v>1.0185968181838974</v>
      </c>
      <c r="DG12">
        <v>4381.89013671875</v>
      </c>
      <c r="DH12" s="7">
        <f t="shared" si="16"/>
        <v>16.2001953125</v>
      </c>
      <c r="DI12" s="6">
        <f t="shared" si="17"/>
        <v>3.7107984144384037E-3</v>
      </c>
      <c r="DJ12" s="6">
        <f t="shared" si="47"/>
        <v>1.0099010491519986</v>
      </c>
    </row>
    <row r="13" spans="1:114">
      <c r="A13" s="1">
        <v>45100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10</v>
      </c>
      <c r="K13" t="s">
        <v>11</v>
      </c>
      <c r="L13" t="s">
        <v>12</v>
      </c>
      <c r="M13" t="s">
        <v>13</v>
      </c>
      <c r="N13" t="s">
        <v>14</v>
      </c>
      <c r="O13" t="s">
        <v>15</v>
      </c>
      <c r="P13" t="s">
        <v>16</v>
      </c>
      <c r="Q13" t="s">
        <v>59</v>
      </c>
      <c r="R13" t="s">
        <v>17</v>
      </c>
      <c r="S13" t="s">
        <v>33</v>
      </c>
      <c r="X13">
        <v>186.67999267578099</v>
      </c>
      <c r="Y13">
        <v>129.33000183105401</v>
      </c>
      <c r="Z13">
        <v>53.970001220703097</v>
      </c>
      <c r="AA13">
        <v>274.850006103515</v>
      </c>
      <c r="AB13">
        <v>524.44000244140602</v>
      </c>
      <c r="AC13">
        <v>151.350006103515</v>
      </c>
      <c r="AD13">
        <v>122.33999633789</v>
      </c>
      <c r="AE13">
        <v>314.70999145507801</v>
      </c>
      <c r="AF13">
        <v>38.2299995422363</v>
      </c>
      <c r="AG13">
        <v>459.35998535156199</v>
      </c>
      <c r="AH13">
        <v>289.91000366210898</v>
      </c>
      <c r="AI13">
        <v>114.59999847412099</v>
      </c>
      <c r="AJ13">
        <v>335.01998901367102</v>
      </c>
      <c r="AK13">
        <v>38.299999237060497</v>
      </c>
      <c r="AL13">
        <v>362.54000854492102</v>
      </c>
      <c r="AM13">
        <v>256.600006103515</v>
      </c>
      <c r="AN13">
        <v>422.08999633789</v>
      </c>
      <c r="AS13">
        <v>318</v>
      </c>
      <c r="AT13">
        <v>456</v>
      </c>
      <c r="AU13">
        <v>1131</v>
      </c>
      <c r="AV13">
        <v>217</v>
      </c>
      <c r="AW13">
        <v>109</v>
      </c>
      <c r="AX13">
        <v>369</v>
      </c>
      <c r="AY13">
        <v>468</v>
      </c>
      <c r="AZ13">
        <v>171</v>
      </c>
      <c r="BA13">
        <v>1499</v>
      </c>
      <c r="BB13">
        <v>124</v>
      </c>
      <c r="BC13">
        <v>197</v>
      </c>
      <c r="BD13">
        <v>520</v>
      </c>
      <c r="BE13">
        <v>177</v>
      </c>
      <c r="BF13">
        <v>1431</v>
      </c>
      <c r="BG13">
        <v>160</v>
      </c>
      <c r="BH13">
        <v>232</v>
      </c>
      <c r="BI13">
        <v>138</v>
      </c>
      <c r="BM13">
        <v>25661</v>
      </c>
      <c r="BN13">
        <f t="shared" ref="BN13" si="144">X13*AS13</f>
        <v>59364.237670898357</v>
      </c>
      <c r="BO13">
        <f t="shared" ref="BO13" si="145">Y13*AT13</f>
        <v>58974.480834960625</v>
      </c>
      <c r="BP13">
        <f t="shared" ref="BP13" si="146">Z13*AU13</f>
        <v>61040.071380615205</v>
      </c>
      <c r="BQ13">
        <f t="shared" ref="BQ13" si="147">AA13*AV13</f>
        <v>59642.451324462752</v>
      </c>
      <c r="BR13">
        <f t="shared" ref="BR13" si="148">AB13*AW13</f>
        <v>57163.960266113259</v>
      </c>
      <c r="BS13">
        <f t="shared" ref="BS13" si="149">AC13*AX13</f>
        <v>55848.152252197033</v>
      </c>
      <c r="BT13">
        <f t="shared" ref="BT13" si="150">AD13*AY13</f>
        <v>57255.118286132521</v>
      </c>
      <c r="BU13">
        <f t="shared" ref="BU13" si="151">AE13*AZ13</f>
        <v>53815.408538818338</v>
      </c>
      <c r="BV13">
        <f t="shared" ref="BV13" si="152">AF13*BA13</f>
        <v>57306.769313812212</v>
      </c>
      <c r="BW13">
        <f t="shared" ref="BW13" si="153">AG13*BB13</f>
        <v>56960.638183593685</v>
      </c>
      <c r="BX13">
        <f t="shared" ref="BX13" si="154">AH13*BC13</f>
        <v>57112.270721435467</v>
      </c>
      <c r="BY13">
        <f t="shared" ref="BY13" si="155">AI13*BD13</f>
        <v>59591.999206542918</v>
      </c>
      <c r="BZ13">
        <f t="shared" ref="BZ13" si="156">AJ13*BE13</f>
        <v>59298.538055419769</v>
      </c>
      <c r="CA13">
        <f t="shared" ref="CA13" si="157">AK13*BF13</f>
        <v>54807.29890823357</v>
      </c>
      <c r="CB13">
        <f t="shared" ref="CB13" si="158">AL13*BG13</f>
        <v>58006.401367187362</v>
      </c>
      <c r="CC13">
        <f t="shared" ref="CC13" si="159">AM13*BH13</f>
        <v>59531.201416015479</v>
      </c>
      <c r="CD13">
        <f t="shared" ref="CD13" si="160">BI13*AN13</f>
        <v>58248.419494628819</v>
      </c>
      <c r="CG13">
        <f t="shared" si="2"/>
        <v>1009628.4172210674</v>
      </c>
      <c r="CH13" s="6">
        <f t="shared" ref="CH13" si="161">BM13/SUM(BM13:CD13)</f>
        <v>2.5416281438105846E-2</v>
      </c>
      <c r="CI13" s="6">
        <f t="shared" ref="CI13" si="162">BN13/SUM(BM13:CD13)</f>
        <v>5.879810498430138E-2</v>
      </c>
      <c r="CJ13" s="6">
        <f t="shared" ref="CJ13" si="163">BO13/SUM(BM13:CD13)</f>
        <v>5.8412065101420003E-2</v>
      </c>
      <c r="CK13" s="6">
        <f t="shared" ref="CK13" si="164">BP13/SUM(BM13:CD13)</f>
        <v>6.0457956946798105E-2</v>
      </c>
      <c r="CL13" s="6">
        <f t="shared" ref="CL13" si="165">BQ13/SUM(BM13:CD13)</f>
        <v>5.9073665426954296E-2</v>
      </c>
      <c r="CM13" s="6">
        <f t="shared" ref="CM13" si="166">BR13/SUM(BM13:CD13)</f>
        <v>5.6618810733807513E-2</v>
      </c>
      <c r="CN13" s="6">
        <f t="shared" ref="CN13" si="167">BS13/SUM(BM13:CD13)</f>
        <v>5.5315551047894651E-2</v>
      </c>
      <c r="CO13" s="6">
        <f t="shared" ref="CO13" si="168">BT13/SUM(BM13:CD13)</f>
        <v>5.6709099416717382E-2</v>
      </c>
      <c r="CP13" s="6">
        <f t="shared" ref="CP13" si="169">BU13/SUM(BM13:CD13)</f>
        <v>5.3302192787859061E-2</v>
      </c>
      <c r="CQ13" s="6">
        <f t="shared" ref="CQ13" si="170">BV13/SUM(BM13:CD13)</f>
        <v>5.6760257869469588E-2</v>
      </c>
      <c r="CR13" s="6">
        <f t="shared" ref="CR13" si="171">BW13/SUM(BM13:CD13)</f>
        <v>5.6417427651624462E-2</v>
      </c>
      <c r="CS13" s="6">
        <f t="shared" ref="CS13" si="172">BX13/SUM(BM13:CD13)</f>
        <v>5.6567614131378209E-2</v>
      </c>
      <c r="CT13" s="6">
        <f t="shared" ref="CT13" si="173">BY13/SUM(BM13:CD13)</f>
        <v>5.9023694450445231E-2</v>
      </c>
      <c r="CU13" s="6">
        <f t="shared" ref="CU13" si="174">BZ13/SUM(BM13:CD13)</f>
        <v>5.8733031919441125E-2</v>
      </c>
      <c r="CV13" s="6">
        <f t="shared" ref="CV13" si="175">CA13/SUM(BM13:CD13)</f>
        <v>5.4284623900629582E-2</v>
      </c>
      <c r="CW13" s="6">
        <f t="shared" ref="CW13" si="176">CB13/SUM(BM13:CD13)</f>
        <v>5.7453217815368135E-2</v>
      </c>
      <c r="CX13" s="6">
        <f t="shared" ref="CX13" si="177">CC13/SUM(BM13:CD13)</f>
        <v>5.8963476463817263E-2</v>
      </c>
      <c r="CY13" s="6">
        <f t="shared" ref="CY13" si="178">CD13/SUM(BM13:CD13)</f>
        <v>5.769292791396817E-2</v>
      </c>
      <c r="DC13" s="23">
        <f t="shared" ref="DC13" si="179">SUM(BM13:CD13)</f>
        <v>1009628.4172210674</v>
      </c>
      <c r="DD13">
        <f t="shared" ref="DD13" si="180">DC13-DC12</f>
        <v>-8968.4009628299391</v>
      </c>
      <c r="DE13" s="6">
        <f t="shared" ref="DE13" si="181">DD13/DC12</f>
        <v>-8.8046622596172162E-3</v>
      </c>
      <c r="DF13" s="5">
        <f t="shared" ref="DF13" si="182">DC13/1000000</f>
        <v>1.0096284172210674</v>
      </c>
      <c r="DG13">
        <v>4348.330078125</v>
      </c>
      <c r="DH13" s="7">
        <f t="shared" si="16"/>
        <v>-33.56005859375</v>
      </c>
      <c r="DI13" s="6">
        <f t="shared" si="17"/>
        <v>-7.6588087666845219E-3</v>
      </c>
      <c r="DJ13" s="6">
        <f t="shared" si="47"/>
        <v>1.0021664101432695</v>
      </c>
    </row>
    <row r="14" spans="1:114">
      <c r="A14" s="1">
        <v>45103</v>
      </c>
      <c r="B14" t="s">
        <v>2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9</v>
      </c>
      <c r="J14" t="s">
        <v>10</v>
      </c>
      <c r="K14" t="s">
        <v>11</v>
      </c>
      <c r="L14" t="s">
        <v>12</v>
      </c>
      <c r="M14" t="s">
        <v>13</v>
      </c>
      <c r="N14" t="s">
        <v>14</v>
      </c>
      <c r="O14" t="s">
        <v>15</v>
      </c>
      <c r="P14" t="s">
        <v>16</v>
      </c>
      <c r="Q14" t="s">
        <v>59</v>
      </c>
      <c r="R14" t="s">
        <v>17</v>
      </c>
      <c r="S14" t="s">
        <v>33</v>
      </c>
      <c r="X14">
        <v>185.27000427246</v>
      </c>
      <c r="Y14">
        <v>127.33000183105401</v>
      </c>
      <c r="Z14">
        <v>53.490001678466797</v>
      </c>
      <c r="AA14">
        <v>276.42001342773398</v>
      </c>
      <c r="AB14">
        <v>523.41998291015602</v>
      </c>
      <c r="AC14">
        <v>154.05999755859301</v>
      </c>
      <c r="AD14">
        <v>118.33999633789</v>
      </c>
      <c r="AE14">
        <v>312.51998901367102</v>
      </c>
      <c r="AF14">
        <v>38.455001831054602</v>
      </c>
      <c r="AG14">
        <v>452.75</v>
      </c>
      <c r="AH14">
        <v>289.08999633789</v>
      </c>
      <c r="AI14">
        <v>113.06999969482401</v>
      </c>
      <c r="AJ14">
        <v>328.600006103515</v>
      </c>
      <c r="AK14">
        <v>36.895000457763601</v>
      </c>
      <c r="AL14">
        <v>357.67999267578102</v>
      </c>
      <c r="AM14">
        <v>241.05000305175699</v>
      </c>
      <c r="AN14">
        <v>406.32000732421801</v>
      </c>
      <c r="AS14">
        <v>318</v>
      </c>
      <c r="AT14">
        <v>456</v>
      </c>
      <c r="AU14">
        <v>1131</v>
      </c>
      <c r="AV14">
        <v>217</v>
      </c>
      <c r="AW14">
        <v>109</v>
      </c>
      <c r="AX14">
        <v>369</v>
      </c>
      <c r="AY14">
        <v>468</v>
      </c>
      <c r="AZ14">
        <v>171</v>
      </c>
      <c r="BA14">
        <v>1499</v>
      </c>
      <c r="BB14">
        <v>124</v>
      </c>
      <c r="BC14">
        <v>197</v>
      </c>
      <c r="BD14">
        <v>520</v>
      </c>
      <c r="BE14">
        <v>177</v>
      </c>
      <c r="BF14">
        <v>1431</v>
      </c>
      <c r="BG14">
        <v>160</v>
      </c>
      <c r="BH14">
        <v>232</v>
      </c>
      <c r="BI14">
        <v>138</v>
      </c>
      <c r="BM14">
        <v>25662</v>
      </c>
      <c r="BN14">
        <f t="shared" ref="BN14" si="183">X14*AS14</f>
        <v>58915.86135864228</v>
      </c>
      <c r="BO14">
        <f t="shared" ref="BO14" si="184">Y14*AT14</f>
        <v>58062.480834960625</v>
      </c>
      <c r="BP14">
        <f t="shared" ref="BP14" si="185">Z14*AU14</f>
        <v>60497.191898345947</v>
      </c>
      <c r="BQ14">
        <f t="shared" ref="BQ14" si="186">AA14*AV14</f>
        <v>59983.142913818272</v>
      </c>
      <c r="BR14">
        <f t="shared" ref="BR14" si="187">AB14*AW14</f>
        <v>57052.778137207009</v>
      </c>
      <c r="BS14">
        <f t="shared" ref="BS14" si="188">AC14*AX14</f>
        <v>56848.139099120825</v>
      </c>
      <c r="BT14">
        <f t="shared" ref="BT14" si="189">AD14*AY14</f>
        <v>55383.118286132521</v>
      </c>
      <c r="BU14">
        <f t="shared" ref="BU14" si="190">AE14*AZ14</f>
        <v>53440.918121337745</v>
      </c>
      <c r="BV14">
        <f t="shared" ref="BV14" si="191">AF14*BA14</f>
        <v>57644.047744750846</v>
      </c>
      <c r="BW14">
        <f t="shared" ref="BW14" si="192">AG14*BB14</f>
        <v>56141</v>
      </c>
      <c r="BX14">
        <f t="shared" ref="BX14" si="193">AH14*BC14</f>
        <v>56950.729278564329</v>
      </c>
      <c r="BY14">
        <f t="shared" ref="BY14" si="194">AI14*BD14</f>
        <v>58796.399841308485</v>
      </c>
      <c r="BZ14">
        <f t="shared" ref="BZ14" si="195">AJ14*BE14</f>
        <v>58162.201080322156</v>
      </c>
      <c r="CA14">
        <f t="shared" ref="CA14" si="196">AK14*BF14</f>
        <v>52796.745655059713</v>
      </c>
      <c r="CB14">
        <f t="shared" ref="CB14" si="197">AL14*BG14</f>
        <v>57228.798828124964</v>
      </c>
      <c r="CC14">
        <f t="shared" ref="CC14" si="198">AM14*BH14</f>
        <v>55923.600708007623</v>
      </c>
      <c r="CD14">
        <f t="shared" ref="CD14" si="199">BI14*AN14</f>
        <v>56072.161010742086</v>
      </c>
      <c r="CG14">
        <f t="shared" si="2"/>
        <v>995561.31479644543</v>
      </c>
      <c r="CH14" s="6">
        <f t="shared" ref="CH14" si="200">BM14/SUM(BM14:CD14)</f>
        <v>2.5776413384691336E-2</v>
      </c>
      <c r="CI14" s="6">
        <f t="shared" ref="CI14" si="201">BN14/SUM(BM14:CD14)</f>
        <v>5.9178536251871479E-2</v>
      </c>
      <c r="CJ14" s="6">
        <f t="shared" ref="CJ14" si="202">BO14/SUM(BM14:CD14)</f>
        <v>5.8321350952484731E-2</v>
      </c>
      <c r="CK14" s="6">
        <f t="shared" ref="CK14" si="203">BP14/SUM(BM14:CD14)</f>
        <v>6.0766917114206405E-2</v>
      </c>
      <c r="CL14" s="6">
        <f t="shared" ref="CL14" si="204">BQ14/SUM(BM14:CD14)</f>
        <v>6.0250576255147632E-2</v>
      </c>
      <c r="CM14" s="6">
        <f t="shared" ref="CM14" si="205">BR14/SUM(BM14:CD14)</f>
        <v>5.7307146520525598E-2</v>
      </c>
      <c r="CN14" s="6">
        <f t="shared" ref="CN14" si="206">BS14/SUM(BM14:CD14)</f>
        <v>5.7101595104410131E-2</v>
      </c>
      <c r="CO14" s="6">
        <f t="shared" ref="CO14" si="207">BT14/SUM(BM14:CD14)</f>
        <v>5.5630042532795958E-2</v>
      </c>
      <c r="CP14" s="6">
        <f t="shared" ref="CP14" si="208">BU14/SUM(BM14:CD14)</f>
        <v>5.3679183117178862E-2</v>
      </c>
      <c r="CQ14" s="6">
        <f t="shared" ref="CQ14" si="209">BV14/SUM(BM14:CD14)</f>
        <v>5.7901052288815452E-2</v>
      </c>
      <c r="CR14" s="6">
        <f t="shared" ref="CR14" si="210">BW14/SUM(BM14:CD14)</f>
        <v>5.6391303243315261E-2</v>
      </c>
      <c r="CS14" s="6">
        <f t="shared" ref="CS14" si="211">BX14/SUM(BM14:CD14)</f>
        <v>5.7204642679600903E-2</v>
      </c>
      <c r="CT14" s="6">
        <f t="shared" ref="CT14" si="212">BY14/SUM(BM14:CD14)</f>
        <v>5.9058542118352722E-2</v>
      </c>
      <c r="CU14" s="6">
        <f t="shared" ref="CU14" si="213">BZ14/SUM(BM14:CD14)</f>
        <v>5.8421515798064254E-2</v>
      </c>
      <c r="CV14" s="6">
        <f t="shared" ref="CV14" si="214">CA14/SUM(BM14:CD14)</f>
        <v>5.3032138624083285E-2</v>
      </c>
      <c r="CW14" s="6">
        <f t="shared" ref="CW14" si="215">CB14/SUM(BM14:CD14)</f>
        <v>5.7483951995288295E-2</v>
      </c>
      <c r="CX14" s="6">
        <f t="shared" ref="CX14" si="216">CC14/SUM(BM14:CD14)</f>
        <v>5.6172934682020947E-2</v>
      </c>
      <c r="CY14" s="6">
        <f t="shared" ref="CY14" si="217">CD14/SUM(BM14:CD14)</f>
        <v>5.6322157337146753E-2</v>
      </c>
      <c r="DC14" s="23">
        <f t="shared" ref="DC14" si="218">SUM(BM14:CD14)</f>
        <v>995561.31479644543</v>
      </c>
      <c r="DD14">
        <f t="shared" ref="DD14" si="219">DC14-DC13</f>
        <v>-14067.102424621931</v>
      </c>
      <c r="DE14" s="6">
        <f t="shared" ref="DE14" si="220">DD14/DC13</f>
        <v>-1.3932950167290913E-2</v>
      </c>
      <c r="DF14" s="5">
        <f t="shared" ref="DF14" si="221">DC14/1000000</f>
        <v>0.99556131479644538</v>
      </c>
      <c r="DG14">
        <v>4328.81982421875</v>
      </c>
      <c r="DH14" s="7">
        <f t="shared" si="16"/>
        <v>-19.51025390625</v>
      </c>
      <c r="DI14" s="6">
        <f t="shared" si="17"/>
        <v>-4.4868382932564356E-3</v>
      </c>
      <c r="DJ14" s="6">
        <f t="shared" ref="DJ14" si="222">DJ13*(1+DI14)</f>
        <v>0.99766985151802323</v>
      </c>
    </row>
    <row r="15" spans="1:114">
      <c r="A15" s="1">
        <v>45104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  <c r="M15" t="s">
        <v>13</v>
      </c>
      <c r="N15" t="s">
        <v>14</v>
      </c>
      <c r="O15" t="s">
        <v>15</v>
      </c>
      <c r="P15" t="s">
        <v>16</v>
      </c>
      <c r="Q15" t="s">
        <v>59</v>
      </c>
      <c r="R15" t="s">
        <v>17</v>
      </c>
      <c r="S15" t="s">
        <v>33</v>
      </c>
      <c r="X15">
        <v>188.05999755859301</v>
      </c>
      <c r="Y15">
        <v>129.17999267578099</v>
      </c>
      <c r="Z15">
        <v>53.490001678466797</v>
      </c>
      <c r="AA15">
        <v>275.79998779296801</v>
      </c>
      <c r="AB15">
        <v>530.33001708984295</v>
      </c>
      <c r="AC15">
        <v>153.52999877929599</v>
      </c>
      <c r="AD15">
        <v>118.33000183105401</v>
      </c>
      <c r="AE15">
        <v>313.45001220703102</v>
      </c>
      <c r="AF15">
        <v>39.009998321533203</v>
      </c>
      <c r="AG15">
        <v>453.14999389648398</v>
      </c>
      <c r="AH15">
        <v>291.29998779296801</v>
      </c>
      <c r="AI15">
        <v>113.31999969482401</v>
      </c>
      <c r="AJ15">
        <v>334.57000732421801</v>
      </c>
      <c r="AK15">
        <v>36.419998168945298</v>
      </c>
      <c r="AL15">
        <v>363.829986572265</v>
      </c>
      <c r="AM15">
        <v>250.21000671386699</v>
      </c>
      <c r="AN15">
        <v>418.760009765625</v>
      </c>
      <c r="AS15">
        <v>263</v>
      </c>
      <c r="AT15">
        <v>383</v>
      </c>
      <c r="AU15">
        <v>911</v>
      </c>
      <c r="AV15">
        <v>177</v>
      </c>
      <c r="AW15">
        <v>94</v>
      </c>
      <c r="AX15">
        <v>577</v>
      </c>
      <c r="AY15">
        <v>412</v>
      </c>
      <c r="AZ15">
        <v>258</v>
      </c>
      <c r="BA15">
        <v>1267</v>
      </c>
      <c r="BB15">
        <v>154</v>
      </c>
      <c r="BC15">
        <v>185</v>
      </c>
      <c r="BD15">
        <v>431</v>
      </c>
      <c r="BE15">
        <v>177</v>
      </c>
      <c r="BF15">
        <v>1931</v>
      </c>
      <c r="BG15">
        <v>137</v>
      </c>
      <c r="BH15">
        <v>203</v>
      </c>
      <c r="BI15">
        <v>138</v>
      </c>
      <c r="BM15">
        <v>30023</v>
      </c>
      <c r="BN15">
        <f t="shared" ref="BN15" si="223">X15*AS15</f>
        <v>49459.77935790996</v>
      </c>
      <c r="BO15">
        <f t="shared" ref="BO15:BO16" si="224">Y15*AT15</f>
        <v>49475.937194824124</v>
      </c>
      <c r="BP15">
        <f t="shared" ref="BP15:BP16" si="225">Z15*AU15</f>
        <v>48729.391529083252</v>
      </c>
      <c r="BQ15">
        <f t="shared" ref="BQ15:BQ16" si="226">AA15*AV15</f>
        <v>48816.597839355338</v>
      </c>
      <c r="BR15">
        <f t="shared" ref="BR15:BR16" si="227">AB15*AW15</f>
        <v>49851.02160644524</v>
      </c>
      <c r="BS15">
        <f t="shared" ref="BS15:BS16" si="228">AC15*AX15</f>
        <v>88586.809295653788</v>
      </c>
      <c r="BT15">
        <f t="shared" ref="BT15:BT16" si="229">AD15*AY15</f>
        <v>48751.960754394247</v>
      </c>
      <c r="BU15">
        <f t="shared" ref="BU15:BU16" si="230">AE15*AZ15</f>
        <v>80870.103149414004</v>
      </c>
      <c r="BV15">
        <f t="shared" ref="BV15:BV16" si="231">AF15*BA15</f>
        <v>49425.667873382568</v>
      </c>
      <c r="BW15">
        <f t="shared" ref="BW15:BW16" si="232">AG15*BB15</f>
        <v>69785.099060058536</v>
      </c>
      <c r="BX15">
        <f t="shared" ref="BX15:BX16" si="233">AH15*BC15</f>
        <v>53890.497741699081</v>
      </c>
      <c r="BY15">
        <f t="shared" ref="BY15:BY16" si="234">AI15*BD15</f>
        <v>48840.919868469144</v>
      </c>
      <c r="BZ15">
        <f t="shared" ref="BZ15:BZ16" si="235">AJ15*BE15</f>
        <v>59218.891296386588</v>
      </c>
      <c r="CA15">
        <f t="shared" ref="CA15:CA16" si="236">AK15*BF15</f>
        <v>70327.016464233369</v>
      </c>
      <c r="CB15">
        <f t="shared" ref="CB15:CB16" si="237">AL15*BG15</f>
        <v>49844.708160400303</v>
      </c>
      <c r="CC15">
        <f t="shared" ref="CC15:CC16" si="238">AM15*BH15</f>
        <v>50792.631362914995</v>
      </c>
      <c r="CD15">
        <f t="shared" ref="CD15:CD16" si="239">BI15*AN15</f>
        <v>57788.88134765625</v>
      </c>
      <c r="CG15">
        <f t="shared" si="2"/>
        <v>1004478.9139022809</v>
      </c>
      <c r="CH15" s="6">
        <f t="shared" ref="CH15:CH16" si="240">BM15/SUM(BM15:CD15)</f>
        <v>2.9889129163860915E-2</v>
      </c>
      <c r="CI15" s="6">
        <f t="shared" ref="CI15:CI16" si="241">BN15/SUM(BM15:CD15)</f>
        <v>4.9239241036692957E-2</v>
      </c>
      <c r="CJ15" s="6">
        <f t="shared" ref="CJ15:CJ16" si="242">BO15/SUM(BM15:CD15)</f>
        <v>4.9255326826738458E-2</v>
      </c>
      <c r="CK15" s="6">
        <f t="shared" ref="CK15:CK16" si="243">BP15/SUM(BM15:CD15)</f>
        <v>4.8512109965330556E-2</v>
      </c>
      <c r="CL15" s="6">
        <f t="shared" ref="CL15:CL16" si="244">BQ15/SUM(BM15:CD15)</f>
        <v>4.8598927427663634E-2</v>
      </c>
      <c r="CM15" s="6">
        <f t="shared" ref="CM15:CM16" si="245">BR15/SUM(BM15:CD15)</f>
        <v>4.9628738758467274E-2</v>
      </c>
      <c r="CN15" s="6">
        <f t="shared" ref="CN15:CN16" si="246">BS15/SUM(BM15:CD15)</f>
        <v>8.8191805790630878E-2</v>
      </c>
      <c r="CO15" s="6">
        <f t="shared" ref="CO15:CO16" si="247">BT15/SUM(BM15:CD15)</f>
        <v>4.8534578555759517E-2</v>
      </c>
      <c r="CP15" s="6">
        <f t="shared" ref="CP15:CP16" si="248">BU15/SUM(BM15:CD15)</f>
        <v>8.0509507994790341E-2</v>
      </c>
      <c r="CQ15" s="6">
        <f t="shared" ref="CQ15:CQ16" si="249">BV15/SUM(BM15:CD15)</f>
        <v>4.9205281653319867E-2</v>
      </c>
      <c r="CR15" s="6">
        <f t="shared" ref="CR15:CR16" si="250">BW15/SUM(BM15:CD15)</f>
        <v>6.9473931303298084E-2</v>
      </c>
      <c r="CS15" s="6">
        <f t="shared" ref="CS15:CS16" si="251">BX15/SUM(BM15:CD15)</f>
        <v>5.365020310116906E-2</v>
      </c>
      <c r="CT15" s="6">
        <f t="shared" ref="CT15:CT16" si="252">BY15/SUM(BM15:CD15)</f>
        <v>4.8623141006243716E-2</v>
      </c>
      <c r="CU15" s="6">
        <f t="shared" ref="CU15:CU16" si="253">BZ15/SUM(BM15:CD15)</f>
        <v>5.8954837654409543E-2</v>
      </c>
      <c r="CV15" s="6">
        <f t="shared" ref="CV15:CV16" si="254">CA15/SUM(BM15:CD15)</f>
        <v>7.0013432328829381E-2</v>
      </c>
      <c r="CW15" s="6">
        <f t="shared" ref="CW15:CW16" si="255">CB15/SUM(BM15:CD15)</f>
        <v>4.9622453463716382E-2</v>
      </c>
      <c r="CX15" s="6">
        <f t="shared" ref="CX15:CX16" si="256">CC15/SUM(BM15:CD15)</f>
        <v>5.0566149931004202E-2</v>
      </c>
      <c r="CY15" s="6">
        <f t="shared" ref="CY15:CY16" si="257">CD15/SUM(BM15:CD15)</f>
        <v>5.7531204038075157E-2</v>
      </c>
      <c r="DC15" s="23">
        <f t="shared" ref="DC15:DC16" si="258">SUM(BM15:CD15)</f>
        <v>1004478.9139022809</v>
      </c>
      <c r="DD15">
        <f t="shared" ref="DD15" si="259">DC15-DC14</f>
        <v>8917.5991058354266</v>
      </c>
      <c r="DE15" s="6">
        <f t="shared" ref="DE15" si="260">DD15/DC14</f>
        <v>8.9573579982451784E-3</v>
      </c>
      <c r="DF15" s="5">
        <f t="shared" ref="DF15:DF16" si="261">DC15/1000000</f>
        <v>1.0044789139022809</v>
      </c>
      <c r="DG15">
        <v>4378.41015625</v>
      </c>
      <c r="DH15" s="7">
        <f t="shared" ref="DH15" si="262">DG15-DG14</f>
        <v>49.59033203125</v>
      </c>
      <c r="DI15" s="6">
        <f t="shared" ref="DI15" si="263">DH15/DG14</f>
        <v>1.1455854954693081E-2</v>
      </c>
      <c r="DJ15" s="6">
        <f t="shared" ref="DJ15" si="264">DJ14*(1+DI15)</f>
        <v>1.0090990126296839</v>
      </c>
    </row>
    <row r="16" spans="1:114">
      <c r="A16" s="1">
        <v>45105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8</v>
      </c>
      <c r="I16" t="s">
        <v>9</v>
      </c>
      <c r="J16" t="s">
        <v>10</v>
      </c>
      <c r="K16" t="s">
        <v>11</v>
      </c>
      <c r="L16" t="s">
        <v>12</v>
      </c>
      <c r="M16" t="s">
        <v>13</v>
      </c>
      <c r="N16" t="s">
        <v>14</v>
      </c>
      <c r="O16" t="s">
        <v>15</v>
      </c>
      <c r="P16" t="s">
        <v>16</v>
      </c>
      <c r="Q16" t="s">
        <v>59</v>
      </c>
      <c r="R16" t="s">
        <v>17</v>
      </c>
      <c r="S16" t="s">
        <v>33</v>
      </c>
      <c r="X16">
        <v>189.25</v>
      </c>
      <c r="Y16">
        <v>129.03999328613199</v>
      </c>
      <c r="Z16">
        <v>53.450000762939403</v>
      </c>
      <c r="AA16">
        <v>274.739990234375</v>
      </c>
      <c r="AB16">
        <v>532.79998779296795</v>
      </c>
      <c r="AC16">
        <v>154.919998168945</v>
      </c>
      <c r="AD16">
        <v>120.180000305175</v>
      </c>
      <c r="AE16">
        <v>313.66000366210898</v>
      </c>
      <c r="AF16">
        <v>38.900001525878899</v>
      </c>
      <c r="AG16">
        <v>449.66000366210898</v>
      </c>
      <c r="AH16">
        <v>291.739990234375</v>
      </c>
      <c r="AI16">
        <v>112.44000244140599</v>
      </c>
      <c r="AJ16">
        <v>335.850006103515</v>
      </c>
      <c r="AK16">
        <v>36.290000915527301</v>
      </c>
      <c r="AL16">
        <v>364.54000854492102</v>
      </c>
      <c r="AM16">
        <v>256.239990234375</v>
      </c>
      <c r="AN16">
        <v>411.17001342773398</v>
      </c>
      <c r="AS16">
        <v>268</v>
      </c>
      <c r="AT16">
        <v>389</v>
      </c>
      <c r="AU16">
        <v>939</v>
      </c>
      <c r="AV16">
        <v>183</v>
      </c>
      <c r="AW16">
        <v>95</v>
      </c>
      <c r="AX16">
        <v>577</v>
      </c>
      <c r="AY16">
        <v>425</v>
      </c>
      <c r="AZ16">
        <v>258</v>
      </c>
      <c r="BA16">
        <v>1309</v>
      </c>
      <c r="BB16">
        <v>154</v>
      </c>
      <c r="BC16">
        <v>185</v>
      </c>
      <c r="BD16">
        <v>449</v>
      </c>
      <c r="BE16">
        <v>177</v>
      </c>
      <c r="BF16">
        <v>1931</v>
      </c>
      <c r="BG16">
        <v>138</v>
      </c>
      <c r="BH16">
        <v>203</v>
      </c>
      <c r="BI16">
        <v>138</v>
      </c>
      <c r="BM16">
        <v>19150</v>
      </c>
      <c r="BN16">
        <f>X16*AS16</f>
        <v>50719</v>
      </c>
      <c r="BO16">
        <f t="shared" si="224"/>
        <v>50196.557388305344</v>
      </c>
      <c r="BP16">
        <f t="shared" si="225"/>
        <v>50189.550716400103</v>
      </c>
      <c r="BQ16">
        <f t="shared" si="226"/>
        <v>50277.418212890625</v>
      </c>
      <c r="BR16">
        <f t="shared" si="227"/>
        <v>50615.998840331958</v>
      </c>
      <c r="BS16">
        <f t="shared" si="228"/>
        <v>89388.838943481271</v>
      </c>
      <c r="BT16">
        <f t="shared" si="229"/>
        <v>51076.500129699372</v>
      </c>
      <c r="BU16">
        <f t="shared" si="230"/>
        <v>80924.280944824117</v>
      </c>
      <c r="BV16">
        <f t="shared" si="231"/>
        <v>50920.101997375481</v>
      </c>
      <c r="BW16">
        <f t="shared" si="232"/>
        <v>69247.640563964786</v>
      </c>
      <c r="BX16">
        <f t="shared" si="233"/>
        <v>53971.898193359375</v>
      </c>
      <c r="BY16">
        <f t="shared" si="234"/>
        <v>50485.56109619129</v>
      </c>
      <c r="BZ16">
        <f t="shared" si="235"/>
        <v>59445.451080322156</v>
      </c>
      <c r="CA16">
        <f t="shared" si="236"/>
        <v>70075.991767883213</v>
      </c>
      <c r="CB16">
        <f t="shared" si="237"/>
        <v>50306.521179199102</v>
      </c>
      <c r="CC16">
        <f t="shared" si="238"/>
        <v>52016.718017578125</v>
      </c>
      <c r="CD16">
        <f t="shared" si="239"/>
        <v>56741.461853027286</v>
      </c>
      <c r="CG16">
        <f t="shared" si="2"/>
        <v>1005749.4909248336</v>
      </c>
      <c r="CH16" s="6">
        <f t="shared" si="240"/>
        <v>1.9040526664737042E-2</v>
      </c>
      <c r="CI16" s="6">
        <f t="shared" si="241"/>
        <v>5.0429058585315829E-2</v>
      </c>
      <c r="CJ16" s="6">
        <f t="shared" si="242"/>
        <v>4.9909602581202667E-2</v>
      </c>
      <c r="CK16" s="6">
        <f t="shared" si="243"/>
        <v>4.9902635963800956E-2</v>
      </c>
      <c r="CL16" s="6">
        <f t="shared" si="244"/>
        <v>4.9990001154918001E-2</v>
      </c>
      <c r="CM16" s="6">
        <f t="shared" si="245"/>
        <v>5.0326646244472056E-2</v>
      </c>
      <c r="CN16" s="6">
        <f t="shared" si="246"/>
        <v>8.8877836628367624E-2</v>
      </c>
      <c r="CO16" s="6">
        <f t="shared" si="247"/>
        <v>5.0784515021461404E-2</v>
      </c>
      <c r="CP16" s="6">
        <f t="shared" si="248"/>
        <v>8.0461667318777824E-2</v>
      </c>
      <c r="CQ16" s="6">
        <f t="shared" si="249"/>
        <v>5.0629010958337224E-2</v>
      </c>
      <c r="CR16" s="6">
        <f t="shared" si="250"/>
        <v>6.8851777891817123E-2</v>
      </c>
      <c r="CS16" s="6">
        <f t="shared" si="251"/>
        <v>5.3663361185228839E-2</v>
      </c>
      <c r="CT16" s="6">
        <f t="shared" si="252"/>
        <v>5.0196954163772393E-2</v>
      </c>
      <c r="CU16" s="6">
        <f t="shared" si="253"/>
        <v>5.9105623832490628E-2</v>
      </c>
      <c r="CV16" s="6">
        <f t="shared" si="254"/>
        <v>6.9675393723982973E-2</v>
      </c>
      <c r="CW16" s="6">
        <f t="shared" si="255"/>
        <v>5.0018937750532601E-2</v>
      </c>
      <c r="CX16" s="6">
        <f t="shared" si="256"/>
        <v>5.1719358037900995E-2</v>
      </c>
      <c r="CY16" s="6">
        <f t="shared" si="257"/>
        <v>5.6417092292883851E-2</v>
      </c>
      <c r="DC16" s="23">
        <f t="shared" si="258"/>
        <v>1005749.4909248336</v>
      </c>
      <c r="DD16">
        <f t="shared" ref="DD16" si="265">DC16-DC15</f>
        <v>1270.5770225527231</v>
      </c>
      <c r="DE16" s="6">
        <f t="shared" ref="DE16" si="266">DD16/DC15</f>
        <v>1.2649115924362043E-3</v>
      </c>
      <c r="DF16" s="5">
        <f t="shared" si="261"/>
        <v>1.0057494909248337</v>
      </c>
      <c r="DG16">
        <v>4376.85986328125</v>
      </c>
      <c r="DH16" s="7">
        <f t="shared" ref="DH16" si="267">DG16-DG15</f>
        <v>-1.55029296875</v>
      </c>
      <c r="DI16" s="6">
        <f t="shared" ref="DI16" si="268">DH16/DG15</f>
        <v>-3.5407668843838685E-4</v>
      </c>
      <c r="DJ16" s="6">
        <f t="shared" ref="DJ16" si="269">DJ15*(1+DI16)</f>
        <v>1.0087417141929855</v>
      </c>
    </row>
    <row r="17" spans="1:114">
      <c r="A17" s="1">
        <v>45106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t="s">
        <v>10</v>
      </c>
      <c r="K17" t="s">
        <v>11</v>
      </c>
      <c r="L17" t="s">
        <v>12</v>
      </c>
      <c r="M17" t="s">
        <v>13</v>
      </c>
      <c r="N17" t="s">
        <v>14</v>
      </c>
      <c r="O17" t="s">
        <v>15</v>
      </c>
      <c r="P17" t="s">
        <v>16</v>
      </c>
      <c r="Q17" t="s">
        <v>59</v>
      </c>
      <c r="R17" t="s">
        <v>17</v>
      </c>
      <c r="S17" t="s">
        <v>33</v>
      </c>
      <c r="X17">
        <v>189.58999633789</v>
      </c>
      <c r="Y17">
        <v>127.900001525878</v>
      </c>
      <c r="Z17">
        <v>53.290000915527301</v>
      </c>
      <c r="AA17">
        <v>277.25</v>
      </c>
      <c r="AB17">
        <v>531.69000244140602</v>
      </c>
      <c r="AC17">
        <v>156.24000549316401</v>
      </c>
      <c r="AD17">
        <v>119.09999847412099</v>
      </c>
      <c r="AE17">
        <v>323.08999633789</v>
      </c>
      <c r="AF17">
        <v>39.220001220703097</v>
      </c>
      <c r="AG17">
        <v>457.44000244140602</v>
      </c>
      <c r="AH17">
        <v>294.47000122070301</v>
      </c>
      <c r="AI17">
        <v>113.540000915527</v>
      </c>
      <c r="AJ17">
        <v>335.04998779296801</v>
      </c>
      <c r="AK17">
        <v>36.119998931884702</v>
      </c>
      <c r="AL17">
        <v>363.80999755859301</v>
      </c>
      <c r="AM17">
        <v>257.5</v>
      </c>
      <c r="AN17">
        <v>408.22000122070301</v>
      </c>
      <c r="AS17">
        <v>268</v>
      </c>
      <c r="AT17">
        <v>389</v>
      </c>
      <c r="AU17">
        <v>939</v>
      </c>
      <c r="AV17">
        <v>183</v>
      </c>
      <c r="AW17">
        <v>95</v>
      </c>
      <c r="AX17">
        <v>577</v>
      </c>
      <c r="AY17">
        <v>425</v>
      </c>
      <c r="AZ17">
        <v>258</v>
      </c>
      <c r="BA17">
        <v>1309</v>
      </c>
      <c r="BB17">
        <v>154</v>
      </c>
      <c r="BC17">
        <v>185</v>
      </c>
      <c r="BD17">
        <v>449</v>
      </c>
      <c r="BE17">
        <v>177</v>
      </c>
      <c r="BF17">
        <v>1931</v>
      </c>
      <c r="BG17">
        <v>138</v>
      </c>
      <c r="BH17">
        <v>203</v>
      </c>
      <c r="BI17">
        <v>138</v>
      </c>
      <c r="BM17">
        <v>19150</v>
      </c>
      <c r="BN17">
        <f>X17*AS17</f>
        <v>50810.11901855452</v>
      </c>
      <c r="BO17">
        <f t="shared" ref="BO17" si="270">Y17*AT17</f>
        <v>49753.100593566538</v>
      </c>
      <c r="BP17">
        <f t="shared" ref="BP17" si="271">Z17*AU17</f>
        <v>50039.310859680132</v>
      </c>
      <c r="BQ17">
        <f t="shared" ref="BQ17" si="272">AA17*AV17</f>
        <v>50736.75</v>
      </c>
      <c r="BR17">
        <f t="shared" ref="BR17" si="273">AB17*AW17</f>
        <v>50510.550231933572</v>
      </c>
      <c r="BS17">
        <f t="shared" ref="BS17" si="274">AC17*AX17</f>
        <v>90150.483169555635</v>
      </c>
      <c r="BT17">
        <f t="shared" ref="BT17" si="275">AD17*AY17</f>
        <v>50617.499351501421</v>
      </c>
      <c r="BU17">
        <f t="shared" ref="BU17" si="276">AE17*AZ17</f>
        <v>83357.219055175621</v>
      </c>
      <c r="BV17">
        <f t="shared" ref="BV17" si="277">AF17*BA17</f>
        <v>51338.981597900354</v>
      </c>
      <c r="BW17">
        <f t="shared" ref="BW17" si="278">AG17*BB17</f>
        <v>70445.760375976533</v>
      </c>
      <c r="BX17">
        <f t="shared" ref="BX17" si="279">AH17*BC17</f>
        <v>54476.950225830056</v>
      </c>
      <c r="BY17">
        <f t="shared" ref="BY17" si="280">AI17*BD17</f>
        <v>50979.460411071625</v>
      </c>
      <c r="BZ17">
        <f t="shared" ref="BZ17" si="281">AJ17*BE17</f>
        <v>59303.847839355338</v>
      </c>
      <c r="CA17">
        <f t="shared" ref="CA17" si="282">AK17*BF17</f>
        <v>69747.717937469366</v>
      </c>
      <c r="CB17">
        <f t="shared" ref="CB17" si="283">AL17*BG17</f>
        <v>50205.779663085836</v>
      </c>
      <c r="CC17">
        <f t="shared" ref="CC17" si="284">AM17*BH17</f>
        <v>52272.5</v>
      </c>
      <c r="CD17">
        <f t="shared" ref="CD17" si="285">BI17*AN17</f>
        <v>56334.360168457017</v>
      </c>
      <c r="CG17">
        <f t="shared" ref="CG17" si="286">SUM(BM17:CD17)</f>
        <v>1010230.3904991137</v>
      </c>
      <c r="CH17" s="6">
        <f t="shared" ref="CH17" si="287">BM17/SUM(BM17:CD17)</f>
        <v>1.8956071981301972E-2</v>
      </c>
      <c r="CI17" s="6">
        <f t="shared" ref="CI17" si="288">BN17/SUM(BM17:CD17)</f>
        <v>5.0295575639385894E-2</v>
      </c>
      <c r="CJ17" s="6">
        <f t="shared" ref="CJ17" si="289">BO17/SUM(BM17:CD17)</f>
        <v>4.9249261417472857E-2</v>
      </c>
      <c r="CK17" s="6">
        <f t="shared" ref="CK17" si="290">BP17/SUM(BM17:CD17)</f>
        <v>4.9532573292472168E-2</v>
      </c>
      <c r="CL17" s="6">
        <f t="shared" ref="CL17" si="291">BQ17/SUM(BM17:CD17)</f>
        <v>5.0222949613437227E-2</v>
      </c>
      <c r="CM17" s="6">
        <f t="shared" ref="CM17" si="292">BR17/SUM(BM17:CD17)</f>
        <v>4.9999040522804274E-2</v>
      </c>
      <c r="CN17" s="6">
        <f t="shared" ref="CN17" si="293">BS17/SUM(BM17:CD17)</f>
        <v>8.9237548204242748E-2</v>
      </c>
      <c r="CO17" s="6">
        <f t="shared" ref="CO17" si="294">BT17/SUM(BM17:CD17)</f>
        <v>5.0104906591152319E-2</v>
      </c>
      <c r="CP17" s="6">
        <f t="shared" ref="CP17" si="295">BU17/SUM(BM17:CD17)</f>
        <v>8.2513078045486452E-2</v>
      </c>
      <c r="CQ17" s="6">
        <f t="shared" ref="CQ17" si="296">BV17/SUM(BM17:CD17)</f>
        <v>5.0819082538722533E-2</v>
      </c>
      <c r="CR17" s="6">
        <f t="shared" ref="CR17" si="297">BW17/SUM(BM17:CD17)</f>
        <v>6.9732370990316525E-2</v>
      </c>
      <c r="CS17" s="6">
        <f t="shared" ref="CS17" si="298">BX17/SUM(BM17:CD17)</f>
        <v>5.392527361893678E-2</v>
      </c>
      <c r="CT17" s="6">
        <f t="shared" ref="CT17" si="299">BY17/SUM(BM17:CD17)</f>
        <v>5.0463202147269348E-2</v>
      </c>
      <c r="CU17" s="6">
        <f t="shared" ref="CU17" si="300">BZ17/SUM(BM17:CD17)</f>
        <v>5.8703290256449048E-2</v>
      </c>
      <c r="CV17" s="6">
        <f t="shared" ref="CV17" si="301">CA17/SUM(BM17:CD17)</f>
        <v>6.9041397480637909E-2</v>
      </c>
      <c r="CW17" s="6">
        <f t="shared" ref="CW17" si="302">CB17/SUM(BM17:CD17)</f>
        <v>4.9697356301349443E-2</v>
      </c>
      <c r="CX17" s="6">
        <f t="shared" ref="CX17" si="303">CC17/SUM(BM17:CD17)</f>
        <v>5.1743147396480803E-2</v>
      </c>
      <c r="CY17" s="6">
        <f t="shared" ref="CY17" si="304">CD17/SUM(BM17:CD17)</f>
        <v>5.5763873962081566E-2</v>
      </c>
      <c r="DC17" s="23">
        <f t="shared" ref="DC17" si="305">SUM(BM17:CD17)</f>
        <v>1010230.3904991137</v>
      </c>
      <c r="DD17">
        <f t="shared" ref="DD17" si="306">DC17-DC16</f>
        <v>4480.8995742801344</v>
      </c>
      <c r="DE17" s="6">
        <f t="shared" ref="DE17" si="307">DD17/DC16</f>
        <v>4.4552839595869325E-3</v>
      </c>
      <c r="DF17" s="5">
        <f t="shared" ref="DF17" si="308">DC17/1000000</f>
        <v>1.0102303904991137</v>
      </c>
      <c r="DG17">
        <v>4396.43994140625</v>
      </c>
      <c r="DH17" s="7">
        <f t="shared" ref="DH17" si="309">DG17-DG16</f>
        <v>19.580078125</v>
      </c>
      <c r="DI17" s="6">
        <f t="shared" ref="DI17" si="310">DH17/DG16</f>
        <v>4.4735446728059467E-3</v>
      </c>
      <c r="DJ17" s="6">
        <f t="shared" ref="DJ17" si="311">DJ16*(1+DI17)</f>
        <v>1.0132543653147508</v>
      </c>
    </row>
    <row r="18" spans="1:114">
      <c r="A18" s="1">
        <v>45107</v>
      </c>
      <c r="B18" t="s">
        <v>2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H18" t="s">
        <v>8</v>
      </c>
      <c r="I18" t="s">
        <v>9</v>
      </c>
      <c r="J18" t="s">
        <v>10</v>
      </c>
      <c r="K18" t="s">
        <v>11</v>
      </c>
      <c r="L18" t="s">
        <v>12</v>
      </c>
      <c r="M18" t="s">
        <v>13</v>
      </c>
      <c r="N18" t="s">
        <v>14</v>
      </c>
      <c r="O18" t="s">
        <v>15</v>
      </c>
      <c r="P18" t="s">
        <v>16</v>
      </c>
      <c r="Q18" t="s">
        <v>59</v>
      </c>
      <c r="R18" t="s">
        <v>17</v>
      </c>
      <c r="S18" t="s">
        <v>33</v>
      </c>
      <c r="X18">
        <v>193.97000122070301</v>
      </c>
      <c r="Y18">
        <v>130.36000061035099</v>
      </c>
      <c r="Z18">
        <v>54.090000152587798</v>
      </c>
      <c r="AA18">
        <v>280.600006103515</v>
      </c>
      <c r="AB18">
        <v>538.38000488281205</v>
      </c>
      <c r="AC18">
        <v>157.350006103515</v>
      </c>
      <c r="AD18">
        <v>119.699996948242</v>
      </c>
      <c r="AE18">
        <v>322.54000854492102</v>
      </c>
      <c r="AF18">
        <v>39.619998931884702</v>
      </c>
      <c r="AG18">
        <v>460.38000488281199</v>
      </c>
      <c r="AH18">
        <v>298.41000366210898</v>
      </c>
      <c r="AI18">
        <v>115.389999389648</v>
      </c>
      <c r="AJ18">
        <v>340.54000854492102</v>
      </c>
      <c r="AK18">
        <v>36.680000305175703</v>
      </c>
      <c r="AL18">
        <v>369.42001342773398</v>
      </c>
      <c r="AM18">
        <v>261.76998901367102</v>
      </c>
      <c r="AN18">
        <v>423.01998901367102</v>
      </c>
      <c r="AS18">
        <v>268</v>
      </c>
      <c r="AT18">
        <v>389</v>
      </c>
      <c r="AU18">
        <v>939</v>
      </c>
      <c r="AV18">
        <v>183</v>
      </c>
      <c r="AW18">
        <v>95</v>
      </c>
      <c r="AX18">
        <v>577</v>
      </c>
      <c r="AY18">
        <v>425</v>
      </c>
      <c r="AZ18">
        <v>258</v>
      </c>
      <c r="BA18">
        <v>1309</v>
      </c>
      <c r="BB18">
        <v>154</v>
      </c>
      <c r="BC18">
        <v>185</v>
      </c>
      <c r="BD18">
        <v>449</v>
      </c>
      <c r="BE18">
        <v>177</v>
      </c>
      <c r="BF18">
        <v>1931</v>
      </c>
      <c r="BG18">
        <v>138</v>
      </c>
      <c r="BH18">
        <v>203</v>
      </c>
      <c r="BI18">
        <v>138</v>
      </c>
      <c r="BM18">
        <v>19150</v>
      </c>
      <c r="BN18">
        <f>X18*AS18</f>
        <v>51983.960327148408</v>
      </c>
      <c r="BO18">
        <f t="shared" ref="BO18" si="312">Y18*AT18</f>
        <v>50710.04023742654</v>
      </c>
      <c r="BP18">
        <f t="shared" ref="BP18" si="313">Z18*AU18</f>
        <v>50790.510143279942</v>
      </c>
      <c r="BQ18">
        <f t="shared" ref="BQ18" si="314">AA18*AV18</f>
        <v>51349.801116943243</v>
      </c>
      <c r="BR18">
        <f t="shared" ref="BR18" si="315">AB18*AW18</f>
        <v>51146.100463867144</v>
      </c>
      <c r="BS18">
        <f t="shared" ref="BS18" si="316">AC18*AX18</f>
        <v>90790.953521728152</v>
      </c>
      <c r="BT18">
        <f t="shared" ref="BT18" si="317">AD18*AY18</f>
        <v>50872.49870300285</v>
      </c>
      <c r="BU18">
        <f t="shared" ref="BU18" si="318">AE18*AZ18</f>
        <v>83215.322204589625</v>
      </c>
      <c r="BV18">
        <f t="shared" ref="BV18" si="319">AF18*BA18</f>
        <v>51862.578601837071</v>
      </c>
      <c r="BW18">
        <f t="shared" ref="BW18" si="320">AG18*BB18</f>
        <v>70898.520751953052</v>
      </c>
      <c r="BX18">
        <f t="shared" ref="BX18" si="321">AH18*BC18</f>
        <v>55205.850677490162</v>
      </c>
      <c r="BY18">
        <f t="shared" ref="BY18" si="322">AI18*BD18</f>
        <v>51810.109725951952</v>
      </c>
      <c r="BZ18">
        <f t="shared" ref="BZ18" si="323">AJ18*BE18</f>
        <v>60275.581512451019</v>
      </c>
      <c r="CA18">
        <f t="shared" ref="CA18" si="324">AK18*BF18</f>
        <v>70829.080589294288</v>
      </c>
      <c r="CB18">
        <f t="shared" ref="CB18" si="325">AL18*BG18</f>
        <v>50979.961853027286</v>
      </c>
      <c r="CC18">
        <f t="shared" ref="CC18" si="326">AM18*BH18</f>
        <v>53139.307769775216</v>
      </c>
      <c r="CD18">
        <f t="shared" ref="CD18" si="327">BI18*AN18</f>
        <v>58376.758483886602</v>
      </c>
      <c r="CG18">
        <f t="shared" ref="CG18" si="328">SUM(BM18:CD18)</f>
        <v>1023386.9366836523</v>
      </c>
      <c r="CH18" s="6">
        <f t="shared" ref="CH18" si="329">BM18/SUM(BM18:CD18)</f>
        <v>1.8712374873629655E-2</v>
      </c>
      <c r="CI18" s="6">
        <f t="shared" ref="CI18" si="330">BN18/SUM(BM18:CD18)</f>
        <v>5.0795997548694141E-2</v>
      </c>
      <c r="CJ18" s="6">
        <f t="shared" ref="CJ18" si="331">BO18/SUM(BM18:CD18)</f>
        <v>4.9551189701282986E-2</v>
      </c>
      <c r="CK18" s="6">
        <f t="shared" ref="CK18" si="332">BP18/SUM(BM18:CD18)</f>
        <v>4.962982066965764E-2</v>
      </c>
      <c r="CL18" s="6">
        <f t="shared" ref="CL18" si="333">BQ18/SUM(BM18:CD18)</f>
        <v>5.0176330453606727E-2</v>
      </c>
      <c r="CM18" s="6">
        <f t="shared" ref="CM18" si="334">BR18/SUM(BM18:CD18)</f>
        <v>4.9977284867060344E-2</v>
      </c>
      <c r="CN18" s="6">
        <f t="shared" ref="CN18" si="335">BS18/SUM(BM18:CD18)</f>
        <v>8.8716154435136488E-2</v>
      </c>
      <c r="CO18" s="6">
        <f t="shared" ref="CO18" si="336">BT18/SUM(BM18:CD18)</f>
        <v>4.9709935586883955E-2</v>
      </c>
      <c r="CP18" s="6">
        <f t="shared" ref="CP18" si="337">BU18/SUM(BM18:CD18)</f>
        <v>8.1313645134316395E-2</v>
      </c>
      <c r="CQ18" s="6">
        <f t="shared" ref="CQ18" si="338">BV18/SUM(BM18:CD18)</f>
        <v>5.0677389697684545E-2</v>
      </c>
      <c r="CR18" s="6">
        <f t="shared" ref="CR18" si="339">BW18/SUM(BM18:CD18)</f>
        <v>6.9278313226963817E-2</v>
      </c>
      <c r="CS18" s="6">
        <f t="shared" ref="CS18" si="340">BX18/SUM(BM18:CD18)</f>
        <v>5.3944259691635382E-2</v>
      </c>
      <c r="CT18" s="6">
        <f t="shared" ref="CT18" si="341">BY18/SUM(BM18:CD18)</f>
        <v>5.0626119866104373E-2</v>
      </c>
      <c r="CU18" s="6">
        <f t="shared" ref="CU18" si="342">BZ18/SUM(BM18:CD18)</f>
        <v>5.8898134568511992E-2</v>
      </c>
      <c r="CV18" s="6">
        <f t="shared" ref="CV18" si="343">CA18/SUM(BM18:CD18)</f>
        <v>6.9210459944720651E-2</v>
      </c>
      <c r="CW18" s="6">
        <f t="shared" ref="CW18" si="344">CB18/SUM(BM18:CD18)</f>
        <v>4.9814942936667682E-2</v>
      </c>
      <c r="CX18" s="6">
        <f t="shared" ref="CX18" si="345">CC18/SUM(BM18:CD18)</f>
        <v>5.192494242888851E-2</v>
      </c>
      <c r="CY18" s="6">
        <f t="shared" ref="CY18" si="346">CD18/SUM(BM18:CD18)</f>
        <v>5.7042704368554908E-2</v>
      </c>
      <c r="DC18" s="23">
        <f t="shared" ref="DC18" si="347">SUM(BM18:CD18)</f>
        <v>1023386.9366836523</v>
      </c>
      <c r="DD18">
        <f t="shared" ref="DD18" si="348">DC18-DC17</f>
        <v>13156.546184538631</v>
      </c>
      <c r="DE18" s="6">
        <f t="shared" ref="DE18" si="349">DD18/DC17</f>
        <v>1.3023312610936717E-2</v>
      </c>
      <c r="DF18" s="5">
        <f t="shared" ref="DF18" si="350">DC18/1000000</f>
        <v>1.0233869366836523</v>
      </c>
      <c r="DG18">
        <v>4450.3798828125</v>
      </c>
      <c r="DH18" s="7">
        <f t="shared" ref="DH18" si="351">DG18-DG17</f>
        <v>53.93994140625</v>
      </c>
      <c r="DI18" s="6">
        <f t="shared" ref="DI18" si="352">DH18/DG17</f>
        <v>1.2269004495714029E-2</v>
      </c>
      <c r="DJ18" s="6">
        <f t="shared" ref="DJ18" si="353">DJ17*(1+DI18)</f>
        <v>1.0256859876780995</v>
      </c>
    </row>
    <row r="21" spans="1:114"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</row>
    <row r="22" spans="1:114"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</row>
    <row r="34" spans="25:41"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</row>
  </sheetData>
  <mergeCells count="5">
    <mergeCell ref="B4:V4"/>
    <mergeCell ref="W4:AQ4"/>
    <mergeCell ref="AR4:BL4"/>
    <mergeCell ref="BM4:CG4"/>
    <mergeCell ref="CH4:DB4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2C7E-FB9E-47F6-B66E-5BAF10058C78}">
  <dimension ref="A1:N46"/>
  <sheetViews>
    <sheetView workbookViewId="0">
      <selection activeCell="C5" sqref="C5:C17"/>
    </sheetView>
  </sheetViews>
  <sheetFormatPr defaultRowHeight="14.25"/>
  <cols>
    <col min="1" max="1" width="18.5" customWidth="1"/>
    <col min="2" max="2" width="27.75" customWidth="1"/>
    <col min="3" max="3" width="38.875" customWidth="1"/>
    <col min="4" max="4" width="23.75" customWidth="1"/>
    <col min="5" max="5" width="23" customWidth="1"/>
    <col min="6" max="6" width="18" customWidth="1"/>
    <col min="7" max="7" width="11.625" customWidth="1"/>
    <col min="8" max="8" width="12" customWidth="1"/>
    <col min="9" max="9" width="9.125" customWidth="1"/>
    <col min="10" max="10" width="9.375" customWidth="1"/>
    <col min="11" max="11" width="12.5" customWidth="1"/>
    <col min="12" max="12" width="11.125" customWidth="1"/>
    <col min="13" max="14" width="12" customWidth="1"/>
    <col min="15" max="15" width="12.25" customWidth="1"/>
    <col min="16" max="16" width="12.75" customWidth="1"/>
  </cols>
  <sheetData>
    <row r="1" spans="1:9" ht="36.75" customHeight="1">
      <c r="A1" s="58" t="s">
        <v>103</v>
      </c>
      <c r="B1" s="58"/>
      <c r="C1" s="58"/>
      <c r="D1" s="58"/>
      <c r="E1" s="58"/>
      <c r="F1" s="58"/>
    </row>
    <row r="2" spans="1:9" ht="31.5" customHeight="1">
      <c r="A2" t="s">
        <v>34</v>
      </c>
      <c r="B2">
        <v>0</v>
      </c>
      <c r="C2" t="s">
        <v>35</v>
      </c>
      <c r="D2" s="6">
        <v>3.7100000000000001E-2</v>
      </c>
    </row>
    <row r="3" spans="1:9">
      <c r="A3" s="8" t="s">
        <v>0</v>
      </c>
      <c r="B3" s="8" t="s">
        <v>36</v>
      </c>
      <c r="C3" s="8" t="s">
        <v>37</v>
      </c>
      <c r="D3" s="8" t="s">
        <v>38</v>
      </c>
      <c r="E3" s="8" t="s">
        <v>39</v>
      </c>
      <c r="F3" s="8" t="s">
        <v>40</v>
      </c>
      <c r="G3" s="8" t="s">
        <v>41</v>
      </c>
      <c r="H3" s="8" t="s">
        <v>42</v>
      </c>
      <c r="I3" s="8" t="s">
        <v>43</v>
      </c>
    </row>
    <row r="4" spans="1:9">
      <c r="A4" s="1">
        <v>45089</v>
      </c>
      <c r="B4">
        <f>'Basic Data'!DC5*(1-'Portfolio and Benchmark'!$B$2)</f>
        <v>1003560.5655059797</v>
      </c>
    </row>
    <row r="5" spans="1:9">
      <c r="A5" s="1">
        <v>45090</v>
      </c>
      <c r="B5">
        <f>'Basic Data'!DC6*(1-'Portfolio and Benchmark'!$B$2)</f>
        <v>1008865.9555320721</v>
      </c>
      <c r="C5" s="6">
        <f>(B5-B4)/B4</f>
        <v>5.2865668584910147E-3</v>
      </c>
      <c r="D5" s="6">
        <f>1+C5</f>
        <v>1.0052865668584909</v>
      </c>
      <c r="E5" s="6">
        <f>'Basic Data'!DI6</f>
        <v>6.9324899514738086E-3</v>
      </c>
      <c r="F5" s="6">
        <f>1+E5</f>
        <v>1.0069324899514738</v>
      </c>
      <c r="G5" s="6">
        <f>C5-$D$2</f>
        <v>-3.1813433141508987E-2</v>
      </c>
      <c r="H5" s="6">
        <f>E5-$D$2</f>
        <v>-3.0167510048526192E-2</v>
      </c>
      <c r="I5" s="6">
        <f>C5-E5</f>
        <v>-1.6459230929827939E-3</v>
      </c>
    </row>
    <row r="6" spans="1:9">
      <c r="A6" s="1">
        <v>45091</v>
      </c>
      <c r="B6">
        <f>'Basic Data'!DC7*(1-'Portfolio and Benchmark'!$B$2)</f>
        <v>1010920.6233406048</v>
      </c>
      <c r="C6" s="6">
        <f t="shared" ref="C6:C9" si="0">(B6-B5)/B5</f>
        <v>2.0366113032817038E-3</v>
      </c>
      <c r="D6" s="6">
        <f t="shared" ref="D6:D9" si="1">1+C6</f>
        <v>1.0020366113032817</v>
      </c>
      <c r="E6" s="6">
        <f>'Basic Data'!DI7</f>
        <v>8.1942552593215799E-4</v>
      </c>
      <c r="F6" s="6">
        <f t="shared" ref="F6:F9" si="2">1+E6</f>
        <v>1.0008194255259322</v>
      </c>
      <c r="G6" s="6">
        <f>C6-$D$2</f>
        <v>-3.5063388696718295E-2</v>
      </c>
      <c r="H6" s="6">
        <f t="shared" ref="H6:H9" si="3">E6-$D$2</f>
        <v>-3.6280574474067843E-2</v>
      </c>
      <c r="I6" s="6">
        <f t="shared" ref="I6:I9" si="4">C6-E6</f>
        <v>1.2171857773495458E-3</v>
      </c>
    </row>
    <row r="7" spans="1:9">
      <c r="A7" s="1">
        <v>45092</v>
      </c>
      <c r="B7">
        <f>'Basic Data'!DC8*(1-'Portfolio and Benchmark'!$B$2)</f>
        <v>1020141.0505981423</v>
      </c>
      <c r="C7" s="6">
        <f t="shared" si="0"/>
        <v>9.1208221938023481E-3</v>
      </c>
      <c r="D7" s="6">
        <f t="shared" si="1"/>
        <v>1.0091208221938024</v>
      </c>
      <c r="E7" s="6">
        <f>'Basic Data'!DI8</f>
        <v>1.2178137420346744E-2</v>
      </c>
      <c r="F7" s="6">
        <f t="shared" si="2"/>
        <v>1.0121781374203467</v>
      </c>
      <c r="G7" s="6">
        <f t="shared" ref="G7:G9" si="5">C7-$D$2</f>
        <v>-2.7979177806197651E-2</v>
      </c>
      <c r="H7" s="6">
        <f t="shared" si="3"/>
        <v>-2.4921862579653259E-2</v>
      </c>
      <c r="I7" s="6">
        <f t="shared" si="4"/>
        <v>-3.0573152265443958E-3</v>
      </c>
    </row>
    <row r="8" spans="1:9">
      <c r="A8" s="1">
        <v>45093</v>
      </c>
      <c r="B8">
        <f>'Basic Data'!DC9*(1-'Portfolio and Benchmark'!$B$2)</f>
        <v>1018290.381450651</v>
      </c>
      <c r="C8" s="6">
        <f t="shared" si="0"/>
        <v>-1.8141306502725582E-3</v>
      </c>
      <c r="D8" s="6">
        <f t="shared" si="1"/>
        <v>0.99818586934972742</v>
      </c>
      <c r="E8" s="6">
        <f>'Basic Data'!DI9</f>
        <v>-3.671619528426367E-3</v>
      </c>
      <c r="F8" s="6">
        <f t="shared" si="2"/>
        <v>0.99632838047157368</v>
      </c>
      <c r="G8" s="6">
        <f t="shared" si="5"/>
        <v>-3.8914130650272556E-2</v>
      </c>
      <c r="H8" s="6">
        <f t="shared" si="3"/>
        <v>-4.0771619528426367E-2</v>
      </c>
      <c r="I8" s="6">
        <f t="shared" si="4"/>
        <v>1.8574888781538088E-3</v>
      </c>
    </row>
    <row r="9" spans="1:9">
      <c r="A9" s="1">
        <v>45097</v>
      </c>
      <c r="B9">
        <f>'Basic Data'!DC10*(1-'Portfolio and Benchmark'!$B$2)</f>
        <v>1018493.1446990945</v>
      </c>
      <c r="C9" s="6">
        <f t="shared" si="0"/>
        <v>1.9912124491899027E-4</v>
      </c>
      <c r="D9" s="6">
        <f t="shared" si="1"/>
        <v>1.0001991212449191</v>
      </c>
      <c r="E9" s="6">
        <f>'Basic Data'!DI10</f>
        <v>-4.7351076976228125E-3</v>
      </c>
      <c r="F9" s="6">
        <f t="shared" si="2"/>
        <v>0.99526489230237714</v>
      </c>
      <c r="G9" s="6">
        <f t="shared" si="5"/>
        <v>-3.690087875508101E-2</v>
      </c>
      <c r="H9" s="6">
        <f t="shared" si="3"/>
        <v>-4.1835107697622817E-2</v>
      </c>
      <c r="I9" s="6">
        <f t="shared" si="4"/>
        <v>4.934228942541803E-3</v>
      </c>
    </row>
    <row r="10" spans="1:9">
      <c r="A10" s="1">
        <v>45098</v>
      </c>
      <c r="B10">
        <f>'Basic Data'!DC11*(1-'Portfolio and Benchmark'!$B$2)</f>
        <v>1011775.3215026836</v>
      </c>
      <c r="C10" s="6">
        <f t="shared" ref="C10" si="6">(B10-B9)/B9</f>
        <v>-6.5958452753215402E-3</v>
      </c>
      <c r="D10" s="6">
        <f t="shared" ref="D10" si="7">1+C10</f>
        <v>0.99340415472467847</v>
      </c>
      <c r="E10" s="6">
        <f>'Basic Data'!DI11</f>
        <v>-5.2452815830036185E-3</v>
      </c>
      <c r="F10" s="6">
        <f t="shared" ref="F10" si="8">1+E10</f>
        <v>0.99475471841699636</v>
      </c>
      <c r="G10" s="6">
        <f t="shared" ref="G10" si="9">C10-$D$2</f>
        <v>-4.369584527532154E-2</v>
      </c>
      <c r="H10" s="6">
        <f t="shared" ref="H10" si="10">E10-$D$2</f>
        <v>-4.2345281583003616E-2</v>
      </c>
      <c r="I10" s="6">
        <f t="shared" ref="I10" si="11">C10-E10</f>
        <v>-1.3505636923179217E-3</v>
      </c>
    </row>
    <row r="11" spans="1:9">
      <c r="A11" s="1">
        <v>45099</v>
      </c>
      <c r="B11">
        <f>'Basic Data'!DC12*(1-'Portfolio and Benchmark'!$B$2)</f>
        <v>1018596.8181838973</v>
      </c>
      <c r="C11" s="6">
        <f t="shared" ref="C11:C17" si="12">(B11-B10)/B10</f>
        <v>6.7421062129509896E-3</v>
      </c>
      <c r="D11" s="6">
        <f t="shared" ref="D11:D17" si="13">1+C11</f>
        <v>1.0067421062129509</v>
      </c>
      <c r="E11" s="6">
        <f>'Basic Data'!DI12</f>
        <v>3.7107984144384037E-3</v>
      </c>
      <c r="F11" s="6">
        <f t="shared" ref="F11" si="14">1+E11</f>
        <v>1.0037107984144384</v>
      </c>
      <c r="G11" s="6">
        <f t="shared" ref="G11" si="15">C11-$D$2</f>
        <v>-3.0357893787049013E-2</v>
      </c>
      <c r="H11" s="6">
        <f t="shared" ref="H11" si="16">E11-$D$2</f>
        <v>-3.33892015855616E-2</v>
      </c>
      <c r="I11" s="6">
        <f t="shared" ref="I11" si="17">C11-E11</f>
        <v>3.0313077985125859E-3</v>
      </c>
    </row>
    <row r="12" spans="1:9">
      <c r="A12" s="1">
        <v>45100</v>
      </c>
      <c r="B12">
        <f>'Basic Data'!DC13*(1-'Portfolio and Benchmark'!$B$2)</f>
        <v>1009628.4172210674</v>
      </c>
      <c r="C12" s="6">
        <f t="shared" si="12"/>
        <v>-8.8046622596172162E-3</v>
      </c>
      <c r="D12" s="6">
        <f t="shared" si="13"/>
        <v>0.99119533774038282</v>
      </c>
      <c r="E12" s="6">
        <f>'Basic Data'!DI13</f>
        <v>-7.6588087666845219E-3</v>
      </c>
      <c r="F12" s="6">
        <f t="shared" ref="F12:F17" si="18">1+E12</f>
        <v>0.99234119123331543</v>
      </c>
      <c r="G12" s="6">
        <f t="shared" ref="G12:G17" si="19">C12-$D$2</f>
        <v>-4.5904662259617215E-2</v>
      </c>
      <c r="H12" s="6">
        <f t="shared" ref="H12:H17" si="20">E12-$D$2</f>
        <v>-4.4758808766684526E-2</v>
      </c>
      <c r="I12" s="6">
        <f t="shared" ref="I12:I17" si="21">C12-E12</f>
        <v>-1.1458534929326943E-3</v>
      </c>
    </row>
    <row r="13" spans="1:9">
      <c r="A13" s="1">
        <v>45103</v>
      </c>
      <c r="B13">
        <f>'Basic Data'!DC14*(1-'Portfolio and Benchmark'!$B$2)</f>
        <v>995561.31479644543</v>
      </c>
      <c r="C13" s="6">
        <f t="shared" si="12"/>
        <v>-1.3932950167290913E-2</v>
      </c>
      <c r="D13" s="6">
        <f t="shared" si="13"/>
        <v>0.9860670498327091</v>
      </c>
      <c r="E13" s="6">
        <f>'Basic Data'!DI14</f>
        <v>-4.4868382932564356E-3</v>
      </c>
      <c r="F13" s="6">
        <f t="shared" si="18"/>
        <v>0.99551316170674353</v>
      </c>
      <c r="G13" s="6">
        <f t="shared" si="19"/>
        <v>-5.1032950167290911E-2</v>
      </c>
      <c r="H13" s="6">
        <f t="shared" si="20"/>
        <v>-4.1586838293256434E-2</v>
      </c>
      <c r="I13" s="6">
        <f t="shared" si="21"/>
        <v>-9.4461118740344768E-3</v>
      </c>
    </row>
    <row r="14" spans="1:9">
      <c r="A14" s="1">
        <v>45104</v>
      </c>
      <c r="B14">
        <f>'Basic Data'!DC15*(1-'Portfolio and Benchmark'!$B$2)</f>
        <v>1004478.9139022809</v>
      </c>
      <c r="C14" s="6">
        <f t="shared" si="12"/>
        <v>8.9573579982451784E-3</v>
      </c>
      <c r="D14" s="6">
        <f t="shared" si="13"/>
        <v>1.0089573579982452</v>
      </c>
      <c r="E14" s="6">
        <f>'Basic Data'!DI15</f>
        <v>1.1455854954693081E-2</v>
      </c>
      <c r="F14" s="6">
        <f t="shared" si="18"/>
        <v>1.011455854954693</v>
      </c>
      <c r="G14" s="6">
        <f t="shared" si="19"/>
        <v>-2.8142642001754821E-2</v>
      </c>
      <c r="H14" s="6">
        <f t="shared" si="20"/>
        <v>-2.5644145045306918E-2</v>
      </c>
      <c r="I14" s="6">
        <f t="shared" si="21"/>
        <v>-2.4984969564479029E-3</v>
      </c>
    </row>
    <row r="15" spans="1:9">
      <c r="A15" s="1">
        <v>45105</v>
      </c>
      <c r="B15">
        <f>'Basic Data'!DC16*(1-'Portfolio and Benchmark'!$B$2)</f>
        <v>1005749.4909248336</v>
      </c>
      <c r="C15" s="6">
        <f t="shared" si="12"/>
        <v>1.2649115924362043E-3</v>
      </c>
      <c r="D15" s="6">
        <f t="shared" si="13"/>
        <v>1.0012649115924361</v>
      </c>
      <c r="E15" s="6">
        <f>'Basic Data'!DI16</f>
        <v>-3.5407668843838685E-4</v>
      </c>
      <c r="F15" s="6">
        <f t="shared" si="18"/>
        <v>0.99964592331156166</v>
      </c>
      <c r="G15" s="6">
        <f t="shared" si="19"/>
        <v>-3.5835088407563796E-2</v>
      </c>
      <c r="H15" s="6">
        <f t="shared" si="20"/>
        <v>-3.7454076688438386E-2</v>
      </c>
      <c r="I15" s="6">
        <f t="shared" si="21"/>
        <v>1.6189882808745912E-3</v>
      </c>
    </row>
    <row r="16" spans="1:9">
      <c r="A16" s="1">
        <v>45106</v>
      </c>
      <c r="B16">
        <f>'Basic Data'!DC17*(1-'Portfolio and Benchmark'!$B$2)</f>
        <v>1010230.3904991137</v>
      </c>
      <c r="C16" s="6">
        <f t="shared" si="12"/>
        <v>4.4552839595869325E-3</v>
      </c>
      <c r="D16" s="6">
        <f t="shared" si="13"/>
        <v>1.0044552839595868</v>
      </c>
      <c r="E16" s="6">
        <f>'Basic Data'!DI17</f>
        <v>4.4735446728059467E-3</v>
      </c>
      <c r="F16" s="6">
        <f t="shared" si="18"/>
        <v>1.0044735446728059</v>
      </c>
      <c r="G16" s="6">
        <f t="shared" si="19"/>
        <v>-3.2644716040413066E-2</v>
      </c>
      <c r="H16" s="6">
        <f t="shared" si="20"/>
        <v>-3.2626455327194055E-2</v>
      </c>
      <c r="I16" s="6">
        <f t="shared" si="21"/>
        <v>-1.8260713219014207E-5</v>
      </c>
    </row>
    <row r="17" spans="1:9">
      <c r="A17" s="1">
        <v>45107</v>
      </c>
      <c r="B17">
        <f>'Basic Data'!DC18*(1-'Portfolio and Benchmark'!$B$2)</f>
        <v>1023386.9366836523</v>
      </c>
      <c r="C17" s="6">
        <f t="shared" si="12"/>
        <v>1.3023312610936717E-2</v>
      </c>
      <c r="D17" s="6">
        <f t="shared" si="13"/>
        <v>1.0130233126109367</v>
      </c>
      <c r="E17" s="6">
        <f>'Basic Data'!DI18</f>
        <v>1.2269004495714029E-2</v>
      </c>
      <c r="F17" s="6">
        <f t="shared" si="18"/>
        <v>1.0122690044957141</v>
      </c>
      <c r="G17" s="6">
        <f t="shared" si="19"/>
        <v>-2.4076687389063284E-2</v>
      </c>
      <c r="H17" s="6">
        <f t="shared" si="20"/>
        <v>-2.4830995504285972E-2</v>
      </c>
      <c r="I17" s="6">
        <f t="shared" si="21"/>
        <v>7.543081152226877E-4</v>
      </c>
    </row>
    <row r="19" spans="1:9">
      <c r="B19" s="9"/>
      <c r="C19" s="10" t="s">
        <v>44</v>
      </c>
      <c r="D19" s="11" t="s">
        <v>45</v>
      </c>
    </row>
    <row r="20" spans="1:9">
      <c r="B20" s="12" t="s">
        <v>46</v>
      </c>
      <c r="C20" s="13">
        <f>AVERAGE(C4:C17)</f>
        <v>1.5337312017036807E-3</v>
      </c>
      <c r="D20" s="13">
        <f>AVERAGE(E5:E17)</f>
        <v>1.9759632983055407E-3</v>
      </c>
    </row>
    <row r="21" spans="1:9">
      <c r="B21" s="14" t="s">
        <v>47</v>
      </c>
      <c r="C21" s="15">
        <f>PRODUCT(D4:D17)^(1/COUNT(D4:D17))-1</f>
        <v>1.5060106647815097E-3</v>
      </c>
      <c r="D21" s="15">
        <f>PRODUCT(F5:F17)^(1/COUNT(D5:D17))-1</f>
        <v>1.9528000052404515E-3</v>
      </c>
      <c r="F21" t="s">
        <v>60</v>
      </c>
    </row>
    <row r="22" spans="1:9">
      <c r="B22" s="14" t="s">
        <v>48</v>
      </c>
      <c r="C22" s="16">
        <f>PRODUCT(D4:D17)-1</f>
        <v>1.9756028543903792E-2</v>
      </c>
      <c r="D22" s="16">
        <f>PRODUCT(F5:F17)-1</f>
        <v>2.5685987678099487E-2</v>
      </c>
    </row>
    <row r="23" spans="1:9">
      <c r="B23" s="14" t="s">
        <v>49</v>
      </c>
      <c r="C23" s="15">
        <f>(1+C22)^(252/COUNT(D4:D17))-1</f>
        <v>0.46115789116152017</v>
      </c>
      <c r="D23" s="15">
        <f>(1+D22)^(252/COUNT(D5:D17))-1</f>
        <v>0.63497209026934787</v>
      </c>
      <c r="F23" t="s">
        <v>61</v>
      </c>
    </row>
    <row r="24" spans="1:9">
      <c r="B24" s="14" t="s">
        <v>50</v>
      </c>
      <c r="C24" s="17">
        <f>_xlfn.STDEV.S(C4:C17)</f>
        <v>7.7456236162767398E-3</v>
      </c>
      <c r="D24" s="17">
        <f>_xlfn.STDEV.S(E5:E17)</f>
        <v>7.0955236372354912E-3</v>
      </c>
    </row>
    <row r="25" spans="1:9">
      <c r="B25" s="14" t="s">
        <v>51</v>
      </c>
      <c r="C25" s="18">
        <f>C24*252^0.5</f>
        <v>0.12295796302666225</v>
      </c>
      <c r="D25" s="18">
        <f>D24*252^0.5</f>
        <v>0.11263794579543357</v>
      </c>
    </row>
    <row r="26" spans="1:9">
      <c r="B26" s="14" t="s">
        <v>52</v>
      </c>
      <c r="C26" s="17">
        <f>(C23-D2)/C25</f>
        <v>3.4488038084167618</v>
      </c>
      <c r="D26" s="19"/>
      <c r="F26" t="s">
        <v>62</v>
      </c>
    </row>
    <row r="27" spans="1:9">
      <c r="B27" s="14" t="s">
        <v>53</v>
      </c>
      <c r="C27" s="17">
        <f>G45</f>
        <v>-1.9E-3</v>
      </c>
      <c r="D27" s="19"/>
      <c r="F27" t="s">
        <v>63</v>
      </c>
    </row>
    <row r="28" spans="1:9">
      <c r="B28" s="14" t="s">
        <v>54</v>
      </c>
      <c r="C28" s="17">
        <f>G46</f>
        <v>0.95940000000000003</v>
      </c>
      <c r="D28" s="19"/>
    </row>
    <row r="29" spans="1:9">
      <c r="B29" s="14" t="s">
        <v>55</v>
      </c>
      <c r="C29" s="17">
        <f>_xlfn.STDEV.S(I4:I17)</f>
        <v>3.5329407483496635E-3</v>
      </c>
      <c r="D29" s="19"/>
    </row>
    <row r="30" spans="1:9" ht="15" thickBot="1">
      <c r="B30" s="14" t="s">
        <v>56</v>
      </c>
      <c r="C30" s="17">
        <f>C27/C29</f>
        <v>-0.53779560296547391</v>
      </c>
      <c r="D30" s="19"/>
    </row>
    <row r="31" spans="1:9">
      <c r="B31" s="20" t="s">
        <v>57</v>
      </c>
      <c r="C31" s="21">
        <f>CORREL(C4:C17,E4:E17)</f>
        <v>0.89029108701626358</v>
      </c>
      <c r="D31" s="22"/>
      <c r="F31" s="24" t="s">
        <v>64</v>
      </c>
      <c r="G31" s="24"/>
    </row>
    <row r="32" spans="1:9">
      <c r="F32" t="s">
        <v>65</v>
      </c>
      <c r="G32">
        <v>0.88303799999999999</v>
      </c>
    </row>
    <row r="33" spans="6:14">
      <c r="F33" t="s">
        <v>66</v>
      </c>
      <c r="G33">
        <v>0.77975609999999995</v>
      </c>
    </row>
    <row r="34" spans="6:14">
      <c r="F34" t="s">
        <v>67</v>
      </c>
      <c r="G34">
        <v>0.76140249999999998</v>
      </c>
    </row>
    <row r="35" spans="6:14">
      <c r="F35" t="s">
        <v>68</v>
      </c>
      <c r="G35">
        <v>5.3569999999999998E-3</v>
      </c>
    </row>
    <row r="36" spans="6:14" ht="15" thickBot="1">
      <c r="F36" s="25" t="s">
        <v>69</v>
      </c>
      <c r="G36" s="25">
        <v>14</v>
      </c>
    </row>
    <row r="38" spans="6:14" ht="15" thickBot="1">
      <c r="F38" t="s">
        <v>70</v>
      </c>
    </row>
    <row r="39" spans="6:14">
      <c r="F39" s="26"/>
      <c r="G39" s="26" t="s">
        <v>71</v>
      </c>
      <c r="H39" s="26" t="s">
        <v>72</v>
      </c>
      <c r="I39" s="26" t="s">
        <v>73</v>
      </c>
      <c r="J39" s="26" t="s">
        <v>74</v>
      </c>
      <c r="K39" s="26" t="s">
        <v>75</v>
      </c>
    </row>
    <row r="40" spans="6:14">
      <c r="F40" t="s">
        <v>76</v>
      </c>
      <c r="G40">
        <v>1</v>
      </c>
      <c r="H40">
        <v>5.2400000000000005E-4</v>
      </c>
      <c r="I40">
        <v>5.2400000000000005E-4</v>
      </c>
      <c r="J40">
        <v>42.485061999999999</v>
      </c>
      <c r="K40">
        <v>2.9E-5</v>
      </c>
    </row>
    <row r="41" spans="6:14">
      <c r="F41" t="s">
        <v>77</v>
      </c>
      <c r="G41">
        <v>12</v>
      </c>
      <c r="H41">
        <v>1.4799999999999999E-4</v>
      </c>
      <c r="I41">
        <v>1.2E-5</v>
      </c>
    </row>
    <row r="42" spans="6:14" ht="15" thickBot="1">
      <c r="F42" s="25" t="s">
        <v>78</v>
      </c>
      <c r="G42" s="25">
        <v>13</v>
      </c>
      <c r="H42" s="25">
        <f>H40+H41</f>
        <v>6.7200000000000007E-4</v>
      </c>
      <c r="I42" s="25"/>
      <c r="J42" s="25"/>
      <c r="K42" s="25"/>
    </row>
    <row r="43" spans="6:14" ht="15" thickBot="1"/>
    <row r="44" spans="6:14">
      <c r="F44" s="26"/>
      <c r="G44" s="26" t="s">
        <v>79</v>
      </c>
      <c r="H44" s="26" t="s">
        <v>68</v>
      </c>
      <c r="I44" s="26" t="s">
        <v>80</v>
      </c>
      <c r="J44" s="26" t="s">
        <v>81</v>
      </c>
      <c r="K44" s="26" t="s">
        <v>82</v>
      </c>
      <c r="L44" s="26" t="s">
        <v>83</v>
      </c>
      <c r="M44" s="26" t="s">
        <v>84</v>
      </c>
      <c r="N44" s="26" t="s">
        <v>85</v>
      </c>
    </row>
    <row r="45" spans="6:14">
      <c r="F45" t="s">
        <v>86</v>
      </c>
      <c r="G45">
        <v>-1.9E-3</v>
      </c>
      <c r="H45">
        <v>5.0000000000000001E-3</v>
      </c>
      <c r="I45">
        <v>-0.34699999999999998</v>
      </c>
      <c r="J45">
        <v>0.73399999999999999</v>
      </c>
      <c r="K45">
        <v>-1.4E-2</v>
      </c>
      <c r="L45">
        <v>0.01</v>
      </c>
      <c r="M45">
        <v>-1.4E-2</v>
      </c>
      <c r="N45">
        <v>0.01</v>
      </c>
    </row>
    <row r="46" spans="6:14" ht="15" thickBot="1">
      <c r="F46" s="25" t="s">
        <v>87</v>
      </c>
      <c r="G46" s="25">
        <v>0.95940000000000003</v>
      </c>
      <c r="H46" s="25">
        <v>0.14699999999999999</v>
      </c>
      <c r="I46" s="25">
        <v>6.5179999999999998</v>
      </c>
      <c r="J46" s="25">
        <v>0</v>
      </c>
      <c r="K46" s="25">
        <v>0.63900000000000001</v>
      </c>
      <c r="L46" s="25">
        <v>1.28</v>
      </c>
      <c r="M46" s="25">
        <v>0.63900000000000001</v>
      </c>
      <c r="N46" s="25">
        <v>1.28</v>
      </c>
    </row>
  </sheetData>
  <mergeCells count="1">
    <mergeCell ref="A1:F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C7D3-9892-4B69-8B5C-47F6101E7D94}">
  <dimension ref="A1:G15"/>
  <sheetViews>
    <sheetView zoomScale="85" zoomScaleNormal="85" workbookViewId="0">
      <selection activeCell="F9" sqref="F9"/>
    </sheetView>
  </sheetViews>
  <sheetFormatPr defaultRowHeight="14.25"/>
  <cols>
    <col min="1" max="1" width="33" customWidth="1"/>
    <col min="2" max="2" width="42.125" customWidth="1"/>
    <col min="3" max="3" width="37.375" customWidth="1"/>
    <col min="4" max="4" width="42" customWidth="1"/>
    <col min="5" max="5" width="32.5" customWidth="1"/>
    <col min="6" max="6" width="31.75" customWidth="1"/>
  </cols>
  <sheetData>
    <row r="1" spans="1:7" ht="23.25">
      <c r="A1" s="60" t="s">
        <v>102</v>
      </c>
      <c r="B1" s="60"/>
      <c r="C1" s="60"/>
      <c r="D1" s="60"/>
      <c r="E1" s="60"/>
      <c r="F1" s="60"/>
      <c r="G1" s="60"/>
    </row>
    <row r="3" spans="1:7" ht="18.75" thickBot="1">
      <c r="A3" s="59" t="s">
        <v>88</v>
      </c>
      <c r="B3" s="59"/>
      <c r="C3" s="59"/>
      <c r="D3" s="59"/>
      <c r="E3" s="59"/>
      <c r="F3" s="59"/>
    </row>
    <row r="4" spans="1:7" ht="15" thickBot="1">
      <c r="A4" s="28"/>
      <c r="B4" s="29" t="s">
        <v>89</v>
      </c>
      <c r="C4" s="29" t="s">
        <v>90</v>
      </c>
      <c r="D4" s="29" t="s">
        <v>91</v>
      </c>
      <c r="E4" s="29" t="s">
        <v>92</v>
      </c>
      <c r="F4" s="29" t="s">
        <v>93</v>
      </c>
    </row>
    <row r="5" spans="1:7">
      <c r="A5" s="30" t="s">
        <v>94</v>
      </c>
      <c r="B5" s="31">
        <f>SUM('Basic Data'!CI18:CY18)</f>
        <v>0.98128762512637047</v>
      </c>
      <c r="C5" s="32">
        <v>1</v>
      </c>
      <c r="D5" s="31">
        <f>B5-C5</f>
        <v>-1.8712374873629534E-2</v>
      </c>
      <c r="E5" s="31">
        <f>PRODUCT('[1]Portfolio and Benchmark'!F4:F47)-1</f>
        <v>-1.4718495260398812E-2</v>
      </c>
      <c r="F5" s="31">
        <f>D5*E5</f>
        <v>2.7541800088832212E-4</v>
      </c>
    </row>
    <row r="6" spans="1:7" ht="15" thickBot="1">
      <c r="A6" s="33" t="s">
        <v>2</v>
      </c>
      <c r="B6" s="34">
        <f>1-B5</f>
        <v>1.8712374873629534E-2</v>
      </c>
      <c r="C6" s="35">
        <v>0</v>
      </c>
      <c r="D6" s="34">
        <f>B6-C6</f>
        <v>1.8712374873629534E-2</v>
      </c>
      <c r="E6" s="36">
        <v>0</v>
      </c>
      <c r="F6" s="36">
        <f>D6*E6</f>
        <v>0</v>
      </c>
    </row>
    <row r="7" spans="1:7" ht="71.25" customHeight="1">
      <c r="A7" s="19"/>
      <c r="B7" s="19"/>
      <c r="C7" s="19"/>
      <c r="D7" s="19"/>
      <c r="E7" s="19"/>
      <c r="F7" s="19"/>
    </row>
    <row r="8" spans="1:7" ht="28.5">
      <c r="A8" s="37" t="s">
        <v>95</v>
      </c>
      <c r="B8" s="19"/>
      <c r="C8" s="19"/>
      <c r="D8" s="19"/>
      <c r="E8" s="19"/>
      <c r="F8" s="31">
        <f>F5+F6</f>
        <v>2.7541800088832212E-4</v>
      </c>
    </row>
    <row r="9" spans="1:7">
      <c r="A9" s="19"/>
      <c r="B9" s="19"/>
      <c r="C9" s="19"/>
      <c r="D9" s="19"/>
      <c r="E9" s="19"/>
      <c r="F9" s="19"/>
    </row>
    <row r="10" spans="1:7" ht="18.75" thickBot="1">
      <c r="A10" s="27" t="s">
        <v>96</v>
      </c>
      <c r="B10" s="27"/>
      <c r="C10" s="27"/>
      <c r="D10" s="27"/>
      <c r="E10" s="27"/>
      <c r="F10" s="27"/>
    </row>
    <row r="11" spans="1:7" ht="57.75" customHeight="1" thickBot="1">
      <c r="A11" s="28"/>
      <c r="B11" s="29" t="s">
        <v>97</v>
      </c>
      <c r="C11" s="29" t="s">
        <v>98</v>
      </c>
      <c r="D11" s="29" t="s">
        <v>99</v>
      </c>
      <c r="E11" s="29" t="s">
        <v>89</v>
      </c>
      <c r="F11" s="29" t="s">
        <v>93</v>
      </c>
    </row>
    <row r="12" spans="1:7" ht="29.25" thickBot="1">
      <c r="A12" s="38" t="s">
        <v>100</v>
      </c>
      <c r="B12" s="39">
        <f>'Portfolio and Benchmark'!C22</f>
        <v>1.9756028543903792E-2</v>
      </c>
      <c r="C12" s="34">
        <f>'Portfolio and Benchmark'!D22</f>
        <v>2.5685987678099487E-2</v>
      </c>
      <c r="D12" s="34">
        <f>B12-C12</f>
        <v>-5.9299591341956948E-3</v>
      </c>
      <c r="E12" s="34">
        <f>B5</f>
        <v>0.98128762512637047</v>
      </c>
      <c r="F12" s="34">
        <f>D12*E12</f>
        <v>-5.8189955158913214E-3</v>
      </c>
    </row>
    <row r="13" spans="1:7">
      <c r="A13" s="37"/>
      <c r="B13" s="40"/>
      <c r="C13" s="32"/>
      <c r="D13" s="31"/>
      <c r="E13" s="31"/>
      <c r="F13" s="31"/>
    </row>
    <row r="14" spans="1:7" ht="71.25" customHeight="1">
      <c r="A14" s="19"/>
      <c r="B14" s="19"/>
      <c r="C14" s="19"/>
      <c r="D14" s="19"/>
      <c r="E14" s="19"/>
      <c r="F14" s="19"/>
    </row>
    <row r="15" spans="1:7" ht="28.5">
      <c r="A15" s="37" t="s">
        <v>101</v>
      </c>
      <c r="B15" s="19"/>
      <c r="C15" s="19"/>
      <c r="D15" s="19"/>
      <c r="E15" s="19"/>
      <c r="F15" s="31">
        <f>F8+F12</f>
        <v>-5.5435775150029995E-3</v>
      </c>
    </row>
  </sheetData>
  <mergeCells count="2">
    <mergeCell ref="A3:F3"/>
    <mergeCell ref="A1:G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B418F-C879-4239-BD73-C21734728287}">
  <dimension ref="A1:R32"/>
  <sheetViews>
    <sheetView tabSelected="1" workbookViewId="0">
      <selection activeCell="C11" sqref="C11"/>
    </sheetView>
  </sheetViews>
  <sheetFormatPr defaultRowHeight="14.25"/>
  <cols>
    <col min="1" max="1" width="15" customWidth="1"/>
    <col min="2" max="2" width="21.75" customWidth="1"/>
    <col min="3" max="3" width="17.375" customWidth="1"/>
    <col min="4" max="4" width="13.375" customWidth="1"/>
    <col min="5" max="5" width="17.875" customWidth="1"/>
    <col min="6" max="6" width="17" customWidth="1"/>
    <col min="7" max="7" width="9" customWidth="1"/>
    <col min="9" max="9" width="8.875" customWidth="1"/>
    <col min="10" max="10" width="21.125" customWidth="1"/>
    <col min="11" max="11" width="12.25" customWidth="1"/>
    <col min="12" max="12" width="13.375" customWidth="1"/>
    <col min="13" max="13" width="9.5" bestFit="1" customWidth="1"/>
    <col min="14" max="14" width="16.5" customWidth="1"/>
    <col min="15" max="15" width="14.875" customWidth="1"/>
    <col min="16" max="16" width="13" customWidth="1"/>
    <col min="17" max="17" width="14.875" customWidth="1"/>
    <col min="18" max="18" width="14.5" customWidth="1"/>
  </cols>
  <sheetData>
    <row r="1" spans="1:15" ht="23.25">
      <c r="A1" s="61" t="s">
        <v>104</v>
      </c>
      <c r="B1" s="61"/>
      <c r="C1" s="61"/>
      <c r="D1" s="61"/>
      <c r="E1" s="61"/>
      <c r="F1" s="61"/>
      <c r="J1" s="62" t="s">
        <v>110</v>
      </c>
      <c r="K1" s="62"/>
      <c r="L1" s="62"/>
    </row>
    <row r="2" spans="1:15">
      <c r="A2" s="8" t="s">
        <v>0</v>
      </c>
      <c r="B2" s="8" t="str">
        <f>'Portfolio and Benchmark'!C3</f>
        <v>Portfolio Daily Return</v>
      </c>
      <c r="C2" s="41" t="s">
        <v>105</v>
      </c>
      <c r="D2" s="41" t="s">
        <v>106</v>
      </c>
      <c r="E2" s="41" t="s">
        <v>107</v>
      </c>
      <c r="F2" s="41" t="s">
        <v>108</v>
      </c>
      <c r="G2" s="41" t="s">
        <v>109</v>
      </c>
      <c r="N2" t="s">
        <v>111</v>
      </c>
      <c r="O2" t="s">
        <v>112</v>
      </c>
    </row>
    <row r="3" spans="1:15">
      <c r="A3" s="1">
        <v>45089</v>
      </c>
      <c r="C3">
        <v>0.43</v>
      </c>
      <c r="D3">
        <v>0.44</v>
      </c>
      <c r="E3">
        <v>-1.31</v>
      </c>
      <c r="F3">
        <v>1.6E-2</v>
      </c>
      <c r="G3" s="42">
        <v>0</v>
      </c>
    </row>
    <row r="4" spans="1:15">
      <c r="A4" s="1">
        <v>45090</v>
      </c>
      <c r="B4" s="63">
        <f>'Portfolio and Benchmark'!C5</f>
        <v>5.2865668584910147E-3</v>
      </c>
      <c r="C4">
        <v>-0.21</v>
      </c>
      <c r="D4">
        <v>-0.5</v>
      </c>
      <c r="E4">
        <v>-0.1</v>
      </c>
      <c r="F4">
        <v>1.6E-2</v>
      </c>
      <c r="G4" s="42">
        <f t="shared" ref="G4:G16" si="0">B4-F4</f>
        <v>-1.0713433141508986E-2</v>
      </c>
    </row>
    <row r="5" spans="1:15">
      <c r="A5" s="1">
        <v>45091</v>
      </c>
      <c r="B5" s="63">
        <f>'Portfolio and Benchmark'!C6</f>
        <v>2.0366113032817038E-3</v>
      </c>
      <c r="C5">
        <v>-0.22</v>
      </c>
      <c r="D5">
        <v>-0.19</v>
      </c>
      <c r="E5">
        <v>0.35</v>
      </c>
      <c r="F5">
        <v>1.6E-2</v>
      </c>
      <c r="G5" s="42">
        <f t="shared" si="0"/>
        <v>-1.3963388696718296E-2</v>
      </c>
    </row>
    <row r="6" spans="1:15">
      <c r="A6" s="1">
        <v>45092</v>
      </c>
      <c r="B6" s="63">
        <f>'Portfolio and Benchmark'!C7</f>
        <v>9.1208221938023481E-3</v>
      </c>
      <c r="C6">
        <v>0.47</v>
      </c>
      <c r="D6">
        <v>0.85</v>
      </c>
      <c r="E6">
        <v>0.02</v>
      </c>
      <c r="F6">
        <v>1.6E-2</v>
      </c>
      <c r="G6" s="42">
        <f t="shared" si="0"/>
        <v>-6.8791778061976522E-3</v>
      </c>
    </row>
    <row r="7" spans="1:15">
      <c r="A7" s="1">
        <v>45093</v>
      </c>
      <c r="B7" s="63">
        <f>'Portfolio and Benchmark'!C8</f>
        <v>-1.8141306502725582E-3</v>
      </c>
      <c r="C7">
        <v>-0.72</v>
      </c>
      <c r="D7">
        <v>-0.33</v>
      </c>
      <c r="E7">
        <v>-0.48</v>
      </c>
      <c r="F7">
        <v>1.6E-2</v>
      </c>
      <c r="G7" s="42">
        <f t="shared" si="0"/>
        <v>-1.7814130650272559E-2</v>
      </c>
    </row>
    <row r="8" spans="1:15">
      <c r="A8" s="1">
        <v>45097</v>
      </c>
      <c r="B8" s="63">
        <f>'Portfolio and Benchmark'!C9</f>
        <v>1.9912124491899027E-4</v>
      </c>
      <c r="C8">
        <v>1.32</v>
      </c>
      <c r="D8">
        <v>0.88</v>
      </c>
      <c r="E8">
        <v>1.2</v>
      </c>
      <c r="F8">
        <v>1.6E-2</v>
      </c>
      <c r="G8" s="42">
        <f t="shared" si="0"/>
        <v>-1.5800878755081009E-2</v>
      </c>
    </row>
    <row r="9" spans="1:15">
      <c r="A9" s="1">
        <v>45098</v>
      </c>
      <c r="B9" s="63">
        <f>'Portfolio and Benchmark'!C10</f>
        <v>-6.5958452753215402E-3</v>
      </c>
      <c r="C9">
        <v>0.99</v>
      </c>
      <c r="D9">
        <v>-7.0000000000000007E-2</v>
      </c>
      <c r="E9">
        <v>-0.38</v>
      </c>
      <c r="F9">
        <v>1.6E-2</v>
      </c>
      <c r="G9" s="42">
        <f t="shared" si="0"/>
        <v>-2.259584527532154E-2</v>
      </c>
    </row>
    <row r="10" spans="1:15">
      <c r="A10" s="1">
        <v>45099</v>
      </c>
      <c r="B10" s="63">
        <f>'Portfolio and Benchmark'!C11</f>
        <v>6.7421062129509896E-3</v>
      </c>
      <c r="C10">
        <v>-0.26</v>
      </c>
      <c r="D10">
        <v>-0.46</v>
      </c>
      <c r="E10">
        <v>-0.32</v>
      </c>
      <c r="F10">
        <v>1.6E-2</v>
      </c>
      <c r="G10" s="42">
        <f t="shared" si="0"/>
        <v>-9.2578937870490107E-3</v>
      </c>
      <c r="J10" t="s">
        <v>113</v>
      </c>
    </row>
    <row r="11" spans="1:15">
      <c r="A11" s="1">
        <v>45100</v>
      </c>
      <c r="B11" s="63">
        <f>'Portfolio and Benchmark'!C12</f>
        <v>-8.8046622596172162E-3</v>
      </c>
      <c r="C11">
        <v>0.17</v>
      </c>
      <c r="D11">
        <v>1.27</v>
      </c>
      <c r="E11">
        <v>-0.21</v>
      </c>
      <c r="F11">
        <v>1.6E-2</v>
      </c>
      <c r="G11" s="42">
        <f t="shared" si="0"/>
        <v>-2.4804662259617215E-2</v>
      </c>
      <c r="J11" t="s">
        <v>114</v>
      </c>
    </row>
    <row r="12" spans="1:15">
      <c r="A12" s="1">
        <v>45103</v>
      </c>
      <c r="B12" s="63">
        <f>'Portfolio and Benchmark'!C13</f>
        <v>-1.3932950167290913E-2</v>
      </c>
      <c r="C12">
        <v>-1.0900000000000001</v>
      </c>
      <c r="D12">
        <v>0.4</v>
      </c>
      <c r="E12">
        <v>1.06</v>
      </c>
      <c r="F12">
        <v>1.6E-2</v>
      </c>
      <c r="G12" s="42">
        <f t="shared" si="0"/>
        <v>-2.9932950167290914E-2</v>
      </c>
    </row>
    <row r="13" spans="1:15">
      <c r="A13" s="1">
        <v>45104</v>
      </c>
      <c r="B13" s="63">
        <f>'Portfolio and Benchmark'!C14</f>
        <v>8.9573579982451784E-3</v>
      </c>
      <c r="C13">
        <v>-0.72</v>
      </c>
      <c r="D13">
        <v>-0.32</v>
      </c>
      <c r="E13">
        <v>-0.2</v>
      </c>
      <c r="F13">
        <v>1.6E-2</v>
      </c>
      <c r="G13" s="42">
        <f t="shared" si="0"/>
        <v>-7.042642001754822E-3</v>
      </c>
      <c r="J13" t="s">
        <v>115</v>
      </c>
    </row>
    <row r="14" spans="1:15" ht="15" thickBot="1">
      <c r="A14" s="1">
        <v>45105</v>
      </c>
      <c r="B14" s="63">
        <f>'Portfolio and Benchmark'!C15</f>
        <v>1.2649115924362043E-3</v>
      </c>
      <c r="C14">
        <v>0.65</v>
      </c>
      <c r="D14">
        <v>-0.71</v>
      </c>
      <c r="E14">
        <v>-1.08</v>
      </c>
      <c r="F14">
        <v>1.6E-2</v>
      </c>
      <c r="G14" s="42">
        <f t="shared" si="0"/>
        <v>-1.4735088407563796E-2</v>
      </c>
    </row>
    <row r="15" spans="1:15">
      <c r="A15" s="1">
        <v>45106</v>
      </c>
      <c r="B15" s="63">
        <f>'Portfolio and Benchmark'!C16</f>
        <v>4.4552839595869325E-3</v>
      </c>
      <c r="C15">
        <v>1.32</v>
      </c>
      <c r="D15">
        <v>0.04</v>
      </c>
      <c r="E15">
        <v>-0.86</v>
      </c>
      <c r="F15">
        <v>1.6E-2</v>
      </c>
      <c r="G15" s="42">
        <f t="shared" si="0"/>
        <v>-1.1544716040413069E-2</v>
      </c>
      <c r="J15" s="24" t="s">
        <v>64</v>
      </c>
      <c r="K15" s="24"/>
    </row>
    <row r="16" spans="1:15">
      <c r="A16" s="1">
        <v>45107</v>
      </c>
      <c r="B16" s="63">
        <f>'Portfolio and Benchmark'!C17</f>
        <v>1.3023312610936717E-2</v>
      </c>
      <c r="C16">
        <v>-0.01</v>
      </c>
      <c r="D16">
        <v>-0.15</v>
      </c>
      <c r="E16">
        <v>-0.42</v>
      </c>
      <c r="F16">
        <v>1.6E-2</v>
      </c>
      <c r="G16" s="42">
        <f>B16-F16</f>
        <v>-2.9766873890632838E-3</v>
      </c>
      <c r="J16" t="s">
        <v>65</v>
      </c>
      <c r="K16">
        <v>0.42018</v>
      </c>
    </row>
    <row r="17" spans="9:18">
      <c r="J17" t="s">
        <v>66</v>
      </c>
      <c r="K17">
        <v>0.17649999999999999</v>
      </c>
    </row>
    <row r="18" spans="9:18">
      <c r="J18" t="s">
        <v>67</v>
      </c>
      <c r="K18">
        <v>-0.70540000000000003</v>
      </c>
    </row>
    <row r="19" spans="9:18">
      <c r="J19" t="s">
        <v>68</v>
      </c>
      <c r="K19">
        <v>2.1389999999999998E-3</v>
      </c>
    </row>
    <row r="20" spans="9:18" ht="15" thickBot="1">
      <c r="J20" s="25" t="s">
        <v>69</v>
      </c>
      <c r="K20" s="25">
        <v>14</v>
      </c>
    </row>
    <row r="22" spans="9:18" ht="15" thickBot="1">
      <c r="J22" t="s">
        <v>70</v>
      </c>
    </row>
    <row r="23" spans="9:18">
      <c r="J23" s="26"/>
      <c r="K23" s="26" t="s">
        <v>71</v>
      </c>
      <c r="L23" s="26" t="s">
        <v>72</v>
      </c>
      <c r="M23" s="26" t="s">
        <v>73</v>
      </c>
      <c r="N23" s="26" t="s">
        <v>74</v>
      </c>
      <c r="O23" s="26" t="s">
        <v>75</v>
      </c>
    </row>
    <row r="24" spans="9:18">
      <c r="J24" t="s">
        <v>76</v>
      </c>
      <c r="K24">
        <v>3</v>
      </c>
      <c r="L24">
        <v>1.1900000000000001E-4</v>
      </c>
      <c r="M24">
        <v>1.1900000000000001E-4</v>
      </c>
      <c r="N24">
        <v>2.1434060000000001</v>
      </c>
      <c r="O24">
        <v>1.6665369999999999</v>
      </c>
    </row>
    <row r="25" spans="9:18">
      <c r="J25" t="s">
        <v>77</v>
      </c>
      <c r="K25">
        <v>10</v>
      </c>
      <c r="L25">
        <v>5.5400000000000002E-4</v>
      </c>
      <c r="M25">
        <v>5.5000000000000002E-5</v>
      </c>
    </row>
    <row r="26" spans="9:18" ht="15" thickBot="1">
      <c r="J26" s="25" t="s">
        <v>78</v>
      </c>
      <c r="K26" s="25">
        <v>13</v>
      </c>
      <c r="L26" s="25">
        <f>L24+L25</f>
        <v>6.7299999999999999E-4</v>
      </c>
      <c r="M26" s="25"/>
      <c r="N26" s="25"/>
      <c r="O26" s="25"/>
    </row>
    <row r="27" spans="9:18" ht="15" thickBot="1"/>
    <row r="28" spans="9:18">
      <c r="J28" s="26"/>
      <c r="K28" s="26" t="s">
        <v>79</v>
      </c>
      <c r="L28" s="26" t="s">
        <v>68</v>
      </c>
      <c r="M28" s="26" t="s">
        <v>80</v>
      </c>
      <c r="N28" s="26" t="s">
        <v>81</v>
      </c>
      <c r="O28" s="26" t="s">
        <v>82</v>
      </c>
      <c r="P28" s="26" t="s">
        <v>83</v>
      </c>
      <c r="Q28" s="26" t="s">
        <v>84</v>
      </c>
      <c r="R28" s="26" t="s">
        <v>85</v>
      </c>
    </row>
    <row r="29" spans="9:18">
      <c r="J29" t="s">
        <v>86</v>
      </c>
      <c r="K29">
        <v>-3.6400000000000002E-2</v>
      </c>
      <c r="L29">
        <v>2E-3</v>
      </c>
      <c r="M29">
        <v>-16.995999999999999</v>
      </c>
      <c r="N29">
        <v>0</v>
      </c>
      <c r="O29">
        <v>-4.1000000000000002E-2</v>
      </c>
      <c r="P29">
        <v>-3.2000000000000001E-2</v>
      </c>
      <c r="Q29">
        <v>-4.1000000000000002E-2</v>
      </c>
      <c r="R29">
        <v>-3.2000000000000001E-2</v>
      </c>
    </row>
    <row r="30" spans="9:18">
      <c r="I30" s="41" t="s">
        <v>105</v>
      </c>
      <c r="J30" t="s">
        <v>87</v>
      </c>
      <c r="K30">
        <v>1.6999999999999999E-3</v>
      </c>
      <c r="L30">
        <v>3.0000000000000001E-3</v>
      </c>
      <c r="M30">
        <v>0.56399999999999995</v>
      </c>
      <c r="N30">
        <v>0.58499999999999996</v>
      </c>
      <c r="O30">
        <v>-5.0000000000000001E-3</v>
      </c>
      <c r="P30">
        <v>8.0000000000000002E-3</v>
      </c>
      <c r="Q30">
        <v>-5.0000000000000001E-3</v>
      </c>
      <c r="R30">
        <v>8.0000000000000002E-3</v>
      </c>
    </row>
    <row r="31" spans="9:18">
      <c r="I31" s="41" t="s">
        <v>106</v>
      </c>
      <c r="J31" t="s">
        <v>116</v>
      </c>
      <c r="K31">
        <v>-4.3E-3</v>
      </c>
      <c r="L31">
        <v>4.0000000000000001E-3</v>
      </c>
      <c r="M31">
        <v>-1.069</v>
      </c>
      <c r="N31">
        <v>0.31</v>
      </c>
      <c r="O31">
        <v>-1.2999999999999999E-2</v>
      </c>
      <c r="P31">
        <v>5.0000000000000001E-3</v>
      </c>
      <c r="Q31">
        <v>-1.2999999999999999E-2</v>
      </c>
      <c r="R31">
        <v>5.0000000000000001E-3</v>
      </c>
    </row>
    <row r="32" spans="9:18" ht="15" thickBot="1">
      <c r="I32" s="41" t="s">
        <v>107</v>
      </c>
      <c r="J32" s="25" t="s">
        <v>117</v>
      </c>
      <c r="K32" s="25">
        <v>-1.1000000000000001E-3</v>
      </c>
      <c r="L32" s="25">
        <v>3.0000000000000001E-3</v>
      </c>
      <c r="M32" s="25">
        <v>-0.33800000000000002</v>
      </c>
      <c r="N32" s="25">
        <v>0.74199999999999999</v>
      </c>
      <c r="O32" s="25">
        <v>-8.9999999999999993E-3</v>
      </c>
      <c r="P32" s="25">
        <v>6.0000000000000001E-3</v>
      </c>
      <c r="Q32" s="25">
        <v>-8.9999999999999993E-3</v>
      </c>
      <c r="R32" s="25">
        <v>6.0000000000000001E-3</v>
      </c>
    </row>
  </sheetData>
  <mergeCells count="2">
    <mergeCell ref="A1:F1"/>
    <mergeCell ref="J1:L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Basic Data</vt:lpstr>
      <vt:lpstr>Portfolio and Benchmark</vt:lpstr>
      <vt:lpstr>Performance Attribution</vt:lpstr>
      <vt:lpstr>Fama French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Wu</dc:creator>
  <cp:lastModifiedBy>Ted Wu</cp:lastModifiedBy>
  <dcterms:created xsi:type="dcterms:W3CDTF">2023-06-12T17:21:26Z</dcterms:created>
  <dcterms:modified xsi:type="dcterms:W3CDTF">2023-07-03T08:34:35Z</dcterms:modified>
</cp:coreProperties>
</file>