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lylovesstudy/Desktop/Resume/"/>
    </mc:Choice>
  </mc:AlternateContent>
  <xr:revisionPtr revIDLastSave="0" documentId="13_ncr:1_{8C1F257B-42EB-814B-84CE-E2A5B63D5D1C}" xr6:coauthVersionLast="47" xr6:coauthVersionMax="47" xr10:uidLastSave="{00000000-0000-0000-0000-000000000000}"/>
  <bookViews>
    <workbookView xWindow="5560" yWindow="500" windowWidth="28040" windowHeight="17440" activeTab="5" xr2:uid="{E135D308-3BF3-B547-8F68-58CAD5AD8A9B}"/>
  </bookViews>
  <sheets>
    <sheet name="DCF" sheetId="7" r:id="rId1"/>
    <sheet name="WACC" sheetId="1" r:id="rId2"/>
    <sheet name="CFS" sheetId="2" r:id="rId3"/>
    <sheet name="BS" sheetId="5" r:id="rId4"/>
    <sheet name="IS" sheetId="3" r:id="rId5"/>
    <sheet name="Sheet1" sheetId="9" r:id="rId6"/>
  </sheets>
  <definedNames>
    <definedName name="tgr">DCF!$D$10</definedName>
    <definedName name="wacc">DCF!$D$9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9" l="1"/>
  <c r="G2" i="9"/>
  <c r="F2" i="9"/>
  <c r="E2" i="9"/>
  <c r="D2" i="9"/>
  <c r="E1" i="9"/>
  <c r="F1" i="9" s="1"/>
  <c r="G1" i="9" s="1"/>
  <c r="H1" i="9" s="1"/>
  <c r="I1" i="9" s="1"/>
  <c r="J1" i="9" s="1"/>
  <c r="K1" i="9" s="1"/>
  <c r="L1" i="9" s="1"/>
  <c r="M1" i="9" s="1"/>
  <c r="J55" i="7"/>
  <c r="M49" i="7"/>
  <c r="N46" i="7"/>
  <c r="N45" i="7"/>
  <c r="G40" i="7"/>
  <c r="H40" i="7"/>
  <c r="I40" i="7"/>
  <c r="F37" i="7"/>
  <c r="G37" i="7"/>
  <c r="H37" i="7"/>
  <c r="I37" i="7"/>
  <c r="E37" i="7"/>
  <c r="K43" i="7"/>
  <c r="L43" i="7"/>
  <c r="M43" i="7"/>
  <c r="N43" i="7"/>
  <c r="J43" i="7"/>
  <c r="I20" i="5"/>
  <c r="N23" i="7"/>
  <c r="N24" i="7" s="1"/>
  <c r="M23" i="7"/>
  <c r="M24" i="7" s="1"/>
  <c r="M46" i="7" s="1"/>
  <c r="L23" i="7"/>
  <c r="L24" i="7" s="1"/>
  <c r="L46" i="7" s="1"/>
  <c r="K23" i="7"/>
  <c r="K45" i="7" s="1"/>
  <c r="J23" i="7"/>
  <c r="J24" i="7" s="1"/>
  <c r="J46" i="7" s="1"/>
  <c r="Q23" i="7"/>
  <c r="M27" i="7"/>
  <c r="M28" i="7" s="1"/>
  <c r="N27" i="7"/>
  <c r="N28" i="7" s="1"/>
  <c r="N49" i="7" s="1"/>
  <c r="K27" i="7"/>
  <c r="K48" i="7" s="1"/>
  <c r="L27" i="7"/>
  <c r="L48" i="7" s="1"/>
  <c r="J27" i="7"/>
  <c r="J48" i="7" s="1"/>
  <c r="I23" i="7"/>
  <c r="I25" i="7" s="1"/>
  <c r="H23" i="7"/>
  <c r="H25" i="7" s="1"/>
  <c r="G23" i="7"/>
  <c r="G25" i="7" s="1"/>
  <c r="F23" i="7"/>
  <c r="F25" i="7" s="1"/>
  <c r="E23" i="7"/>
  <c r="E25" i="7" s="1"/>
  <c r="J17" i="7"/>
  <c r="K17" i="7"/>
  <c r="L17" i="7"/>
  <c r="M17" i="7"/>
  <c r="N17" i="7"/>
  <c r="M20" i="7"/>
  <c r="N20" i="7"/>
  <c r="E19" i="7"/>
  <c r="E40" i="7" s="1"/>
  <c r="F19" i="7"/>
  <c r="F40" i="7" s="1"/>
  <c r="G19" i="7"/>
  <c r="H19" i="7"/>
  <c r="I19" i="7"/>
  <c r="M14" i="7"/>
  <c r="N14" i="7"/>
  <c r="I13" i="7"/>
  <c r="I34" i="7" s="1"/>
  <c r="H13" i="7"/>
  <c r="H34" i="7" s="1"/>
  <c r="G13" i="7"/>
  <c r="G34" i="7" s="1"/>
  <c r="H31" i="7" l="1"/>
  <c r="J45" i="7"/>
  <c r="I31" i="7"/>
  <c r="N48" i="7"/>
  <c r="G31" i="7"/>
  <c r="J52" i="7" s="1"/>
  <c r="M48" i="7"/>
  <c r="M45" i="7"/>
  <c r="L45" i="7"/>
  <c r="K25" i="7"/>
  <c r="N25" i="7"/>
  <c r="M25" i="7"/>
  <c r="L25" i="7"/>
  <c r="J25" i="7"/>
  <c r="F13" i="7"/>
  <c r="E13" i="7"/>
  <c r="J51" i="7" l="1"/>
  <c r="J54" i="7" s="1"/>
  <c r="K52" i="7"/>
  <c r="E34" i="7"/>
  <c r="F31" i="7"/>
  <c r="F34" i="7"/>
  <c r="K51" i="7" l="1"/>
  <c r="K54" i="7" s="1"/>
  <c r="L52" i="7"/>
  <c r="M52" i="7" l="1"/>
  <c r="L51" i="7"/>
  <c r="L54" i="7" s="1"/>
  <c r="N52" i="7" l="1"/>
  <c r="N51" i="7" s="1"/>
  <c r="N54" i="7" s="1"/>
  <c r="M51" i="7"/>
  <c r="M54" i="7" s="1"/>
  <c r="N57" i="7" l="1"/>
  <c r="N58" i="7" s="1"/>
  <c r="K11" i="7" l="1"/>
  <c r="L11" i="7" s="1"/>
  <c r="M11" i="7" s="1"/>
  <c r="N11" i="7" s="1"/>
  <c r="F12" i="7"/>
  <c r="G12" i="7" s="1"/>
  <c r="H12" i="7" s="1"/>
  <c r="I12" i="7" s="1"/>
  <c r="J12" i="7" s="1"/>
  <c r="K12" i="7" s="1"/>
  <c r="L12" i="7" s="1"/>
  <c r="M12" i="7" s="1"/>
  <c r="N12" i="7" s="1"/>
  <c r="E24" i="7"/>
  <c r="F14" i="7"/>
  <c r="H14" i="7"/>
  <c r="I14" i="7"/>
  <c r="K14" i="7"/>
  <c r="L14" i="7"/>
  <c r="G17" i="7"/>
  <c r="E20" i="7"/>
  <c r="H20" i="7"/>
  <c r="I20" i="7"/>
  <c r="F22" i="7"/>
  <c r="F33" i="7" s="1"/>
  <c r="G22" i="7"/>
  <c r="H22" i="7" s="1"/>
  <c r="I24" i="7"/>
  <c r="K24" i="7"/>
  <c r="K46" i="7" s="1"/>
  <c r="K32" i="7"/>
  <c r="E33" i="7"/>
  <c r="L32" i="7" l="1"/>
  <c r="K55" i="7"/>
  <c r="G33" i="7"/>
  <c r="H33" i="7"/>
  <c r="I22" i="7"/>
  <c r="I33" i="7" s="1"/>
  <c r="G14" i="7"/>
  <c r="G20" i="7"/>
  <c r="F24" i="7"/>
  <c r="F17" i="7"/>
  <c r="H24" i="7"/>
  <c r="J14" i="7"/>
  <c r="G24" i="7"/>
  <c r="L20" i="7"/>
  <c r="K20" i="7"/>
  <c r="G28" i="7"/>
  <c r="J20" i="7"/>
  <c r="I17" i="7"/>
  <c r="H17" i="7"/>
  <c r="E28" i="7"/>
  <c r="E17" i="7"/>
  <c r="F20" i="7"/>
  <c r="K28" i="7"/>
  <c r="K49" i="7" s="1"/>
  <c r="L28" i="7"/>
  <c r="L49" i="7" s="1"/>
  <c r="J28" i="7"/>
  <c r="J49" i="7" s="1"/>
  <c r="I28" i="7"/>
  <c r="H28" i="7"/>
  <c r="F28" i="7"/>
  <c r="E17" i="1"/>
  <c r="F16" i="1" s="1"/>
  <c r="G8" i="1"/>
  <c r="D10" i="1"/>
  <c r="D6" i="1"/>
  <c r="D7" i="1" s="1"/>
  <c r="D11" i="1" s="1"/>
  <c r="J22" i="7" l="1"/>
  <c r="M32" i="7"/>
  <c r="L55" i="7"/>
  <c r="J33" i="7"/>
  <c r="K22" i="7"/>
  <c r="F15" i="1"/>
  <c r="E21" i="1" s="1"/>
  <c r="N32" i="7" l="1"/>
  <c r="N55" i="7" s="1"/>
  <c r="M55" i="7"/>
  <c r="L59" i="7" s="1"/>
  <c r="K33" i="7"/>
  <c r="L22" i="7"/>
  <c r="L62" i="7" l="1"/>
  <c r="L64" i="7" s="1"/>
  <c r="I5" i="7" s="1"/>
  <c r="L33" i="7"/>
  <c r="M22" i="7"/>
  <c r="N22" i="7" l="1"/>
  <c r="N33" i="7" s="1"/>
  <c r="M33" i="7"/>
</calcChain>
</file>

<file path=xl/sharedStrings.xml><?xml version="1.0" encoding="utf-8"?>
<sst xmlns="http://schemas.openxmlformats.org/spreadsheetml/2006/main" count="167" uniqueCount="127">
  <si>
    <t>Rogers Communications Inc</t>
  </si>
  <si>
    <t>Company:</t>
  </si>
  <si>
    <t>Cost of Debt</t>
  </si>
  <si>
    <t>Total Debt</t>
  </si>
  <si>
    <t>Income Tax Expenses</t>
  </si>
  <si>
    <t>Income Before Tax</t>
  </si>
  <si>
    <t>Effective Tax Rate</t>
  </si>
  <si>
    <t>Cost of Debt after Tax</t>
  </si>
  <si>
    <t>Cost of Equity</t>
  </si>
  <si>
    <t>Risk Free Rate</t>
  </si>
  <si>
    <t>Market Return</t>
  </si>
  <si>
    <t>Weight of Debt and Equity</t>
  </si>
  <si>
    <t>Market Cap</t>
  </si>
  <si>
    <t>Total</t>
  </si>
  <si>
    <t>WACC</t>
  </si>
  <si>
    <t>Data: Yahoo Finance</t>
  </si>
  <si>
    <t>CAD in millions</t>
  </si>
  <si>
    <t>Levered Beta</t>
  </si>
  <si>
    <t>Net Change in Cash</t>
  </si>
  <si>
    <t>Foreign Exchange Effects</t>
  </si>
  <si>
    <t>Cash from Financing Activities</t>
  </si>
  <si>
    <t>Issuance (Retirement) of Debt</t>
  </si>
  <si>
    <t>Issuance (Retirement) of Stock</t>
  </si>
  <si>
    <t>Total Cash Dividends Paid</t>
  </si>
  <si>
    <t>Financing Cash Flow Items</t>
  </si>
  <si>
    <t>Cash from Investing Activities</t>
  </si>
  <si>
    <t>Other Investing Cash Flow Items</t>
  </si>
  <si>
    <t>Capital Expenditures</t>
  </si>
  <si>
    <t>Cash from Operating Activities</t>
  </si>
  <si>
    <t>Changes in Working Capital</t>
  </si>
  <si>
    <t>Cash Receipts</t>
  </si>
  <si>
    <t>Cash Payments</t>
  </si>
  <si>
    <t>Cash Interest Paid</t>
  </si>
  <si>
    <t>Cash Taxes Paid</t>
  </si>
  <si>
    <t>Non-Cash Items</t>
  </si>
  <si>
    <t>Deferred Taxes</t>
  </si>
  <si>
    <t>Amortization</t>
  </si>
  <si>
    <t>Depreciation/Depletion</t>
  </si>
  <si>
    <t>Net Income/Starting Line</t>
  </si>
  <si>
    <t>Dec-2019</t>
  </si>
  <si>
    <t>Dec-2020</t>
  </si>
  <si>
    <t>Dec-2021</t>
  </si>
  <si>
    <t>Dec-2022</t>
  </si>
  <si>
    <t>Dec-2023</t>
  </si>
  <si>
    <t>(CAD in millions)</t>
  </si>
  <si>
    <t>RCI.B.TO - Cashflow Statement</t>
  </si>
  <si>
    <t>RCI.B.TO - Balance Sheet</t>
  </si>
  <si>
    <t>Cash and cash equivalents</t>
  </si>
  <si>
    <t>Trade accounts receivable</t>
  </si>
  <si>
    <t>Short-term investments</t>
  </si>
  <si>
    <t>Inventories</t>
  </si>
  <si>
    <t>Prepaid expenses</t>
  </si>
  <si>
    <t>Other current assets</t>
  </si>
  <si>
    <t>Current assets</t>
  </si>
  <si>
    <t>Property Plant And Equipment</t>
  </si>
  <si>
    <t>Long-term investments</t>
  </si>
  <si>
    <t>Goodwill</t>
  </si>
  <si>
    <t>Other intangible assets</t>
  </si>
  <si>
    <t>Other long-term assets</t>
  </si>
  <si>
    <t>Non-current assets</t>
  </si>
  <si>
    <t>Total assets</t>
  </si>
  <si>
    <t>Trade accounts payable</t>
  </si>
  <si>
    <t>Short-term loans &amp; liabilities</t>
  </si>
  <si>
    <t>Accrued expenses</t>
  </si>
  <si>
    <t>Current Portion of LT Debt</t>
  </si>
  <si>
    <t>Other current liabilities</t>
  </si>
  <si>
    <t>Current liabilities</t>
  </si>
  <si>
    <t>Long-term debts</t>
  </si>
  <si>
    <t>Other liabilities</t>
  </si>
  <si>
    <t>Total liabilities</t>
  </si>
  <si>
    <t>Charter capital</t>
  </si>
  <si>
    <t>Additional paid in capital</t>
  </si>
  <si>
    <t>Retained earnings</t>
  </si>
  <si>
    <t>Treasury stock</t>
  </si>
  <si>
    <t>Other equity adjustment</t>
  </si>
  <si>
    <t>Common equity</t>
  </si>
  <si>
    <t>Minority interest</t>
  </si>
  <si>
    <t>Total equity</t>
  </si>
  <si>
    <t>RCI.B.TO - Income Statement</t>
  </si>
  <si>
    <t>Revenue</t>
  </si>
  <si>
    <t>Cost of goods sold</t>
  </si>
  <si>
    <t>Gross profits</t>
  </si>
  <si>
    <t>Selling G&amp;A expenses</t>
  </si>
  <si>
    <t>Research &amp; Development</t>
  </si>
  <si>
    <t>Net other income/(expense)</t>
  </si>
  <si>
    <t>Net financial income/(expense)</t>
  </si>
  <si>
    <t>Profit before tax</t>
  </si>
  <si>
    <t>Corporate income tax</t>
  </si>
  <si>
    <t>Net profit after tax</t>
  </si>
  <si>
    <t>Net profit</t>
  </si>
  <si>
    <t>Share Price</t>
  </si>
  <si>
    <t>x</t>
  </si>
  <si>
    <t>Shares</t>
  </si>
  <si>
    <t>Equity Value</t>
  </si>
  <si>
    <t>- Debt</t>
  </si>
  <si>
    <t>+ Cash</t>
  </si>
  <si>
    <t>Enterprise Value</t>
  </si>
  <si>
    <t>Present Value of Terminal Value</t>
  </si>
  <si>
    <t>Terminal Value</t>
  </si>
  <si>
    <t>Present Value of FCF</t>
  </si>
  <si>
    <t>Unlevered FCF</t>
  </si>
  <si>
    <t>% of sales</t>
  </si>
  <si>
    <t>Change in NWC</t>
  </si>
  <si>
    <t>CapEx</t>
  </si>
  <si>
    <t>D&amp;A</t>
  </si>
  <si>
    <t>EBIAT</t>
  </si>
  <si>
    <t>% of EBIT</t>
  </si>
  <si>
    <t>Taxes</t>
  </si>
  <si>
    <t>% margin</t>
  </si>
  <si>
    <t>EBIT</t>
  </si>
  <si>
    <t>% growth</t>
  </si>
  <si>
    <t>DCF</t>
  </si>
  <si>
    <t>Cash Flow Items</t>
  </si>
  <si>
    <t>Income Statement</t>
  </si>
  <si>
    <t>TGR</t>
  </si>
  <si>
    <t>Valuation Assumptions</t>
  </si>
  <si>
    <t>Assumptions</t>
  </si>
  <si>
    <t>Upside (Downside)</t>
  </si>
  <si>
    <t>Date</t>
  </si>
  <si>
    <t>RCI</t>
  </si>
  <si>
    <t>Ticker</t>
  </si>
  <si>
    <t>Rogers Communications DCF</t>
  </si>
  <si>
    <t>Interest Expense</t>
  </si>
  <si>
    <t>% of Revenue</t>
  </si>
  <si>
    <t>% of CapEx</t>
  </si>
  <si>
    <t>Stock Price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</si>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</sst>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6" formatCode="&quot;$&quot;#,##0_);[Red]\(&quot;$&quot;#,##0\)"/>
    <numFmt numFmtId="164" formatCode="_([$$-409]* #,##0.00_);_([$$-409]* \(#,##0.00\);_([$$-409]* &quot;-&quot;??_);_(@_)"/>
    <numFmt numFmtId="165" formatCode="0.0%;\(0.0%\)"/>
    <numFmt numFmtId="166" formatCode="0.0%"/>
    <numFmt numFmtId="167" formatCode="&quot;$&quot;#,##0.00"/>
    <numFmt numFmtId="168" formatCode="0%;\(0%\)"/>
  </numFmts>
  <fonts count="21" x14ac:knownFonts="1">
    <font>
      <sz val="12"/>
      <color theme="1"/>
      <name val="Aptos Narrow"/>
      <family val="2"/>
      <scheme val="minor"/>
    </font>
    <font>
      <sz val="14"/>
      <color theme="1"/>
      <name val="Aptos Narrow (Body)"/>
    </font>
    <font>
      <sz val="16"/>
      <color theme="1"/>
      <name val="Aptos Narrow (Body)"/>
    </font>
    <font>
      <sz val="10"/>
      <color indexed="8"/>
      <name val="Helvetica Neue"/>
      <family val="2"/>
    </font>
    <font>
      <b/>
      <sz val="10"/>
      <color indexed="8"/>
      <name val="Helvetica Neue"/>
      <family val="2"/>
    </font>
    <font>
      <sz val="12"/>
      <color indexed="8"/>
      <name val="Helvetica Neue"/>
      <family val="2"/>
    </font>
    <font>
      <sz val="12"/>
      <color theme="1"/>
      <name val="Helvetica Neue"/>
      <family val="2"/>
    </font>
    <font>
      <b/>
      <sz val="10"/>
      <color theme="1"/>
      <name val="Helvetica Neue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rgb="FF7030A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7030A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i/>
      <sz val="11"/>
      <color rgb="FFC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</borders>
  <cellStyleXfs count="4">
    <xf numFmtId="0" fontId="0" fillId="0" borderId="0"/>
    <xf numFmtId="0" fontId="3" fillId="0" borderId="0" applyNumberFormat="0" applyFill="0" applyBorder="0" applyProtection="0">
      <alignment vertical="top" wrapText="1"/>
    </xf>
    <xf numFmtId="0" fontId="8" fillId="0" borderId="0"/>
    <xf numFmtId="9" fontId="8" fillId="0" borderId="0" applyFont="0" applyFill="0" applyBorder="0" applyAlignment="0" applyProtection="0"/>
  </cellStyleXfs>
  <cellXfs count="137">
    <xf numFmtId="0" fontId="0" fillId="0" borderId="0" xfId="0"/>
    <xf numFmtId="0" fontId="0" fillId="2" borderId="1" xfId="0" applyFill="1" applyBorder="1"/>
    <xf numFmtId="49" fontId="2" fillId="2" borderId="3" xfId="0" applyNumberFormat="1" applyFont="1" applyFill="1" applyBorder="1"/>
    <xf numFmtId="0" fontId="2" fillId="2" borderId="2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3" fontId="0" fillId="0" borderId="8" xfId="0" applyNumberFormat="1" applyBorder="1"/>
    <xf numFmtId="10" fontId="0" fillId="0" borderId="8" xfId="0" applyNumberFormat="1" applyBorder="1"/>
    <xf numFmtId="10" fontId="0" fillId="3" borderId="10" xfId="0" applyNumberFormat="1" applyFill="1" applyBorder="1"/>
    <xf numFmtId="10" fontId="0" fillId="3" borderId="8" xfId="0" applyNumberFormat="1" applyFill="1" applyBorder="1"/>
    <xf numFmtId="9" fontId="0" fillId="0" borderId="8" xfId="0" applyNumberFormat="1" applyBorder="1"/>
    <xf numFmtId="3" fontId="0" fillId="0" borderId="0" xfId="0" applyNumberFormat="1"/>
    <xf numFmtId="3" fontId="0" fillId="0" borderId="12" xfId="0" applyNumberFormat="1" applyBorder="1"/>
    <xf numFmtId="10" fontId="0" fillId="3" borderId="4" xfId="0" applyNumberFormat="1" applyFill="1" applyBorder="1"/>
    <xf numFmtId="0" fontId="3" fillId="0" borderId="0" xfId="1" applyNumberFormat="1" applyAlignment="1">
      <alignment vertical="top"/>
    </xf>
    <xf numFmtId="0" fontId="0" fillId="0" borderId="0" xfId="0" applyAlignment="1">
      <alignment vertical="top"/>
    </xf>
    <xf numFmtId="49" fontId="7" fillId="5" borderId="13" xfId="0" applyNumberFormat="1" applyFont="1" applyFill="1" applyBorder="1" applyAlignment="1">
      <alignment vertical="top"/>
    </xf>
    <xf numFmtId="0" fontId="7" fillId="4" borderId="14" xfId="0" applyFont="1" applyFill="1" applyBorder="1" applyAlignment="1">
      <alignment vertical="top"/>
    </xf>
    <xf numFmtId="49" fontId="7" fillId="4" borderId="15" xfId="0" applyNumberFormat="1" applyFont="1" applyFill="1" applyBorder="1" applyAlignment="1">
      <alignment vertical="top"/>
    </xf>
    <xf numFmtId="0" fontId="7" fillId="4" borderId="15" xfId="0" applyFont="1" applyFill="1" applyBorder="1" applyAlignment="1">
      <alignment vertical="top"/>
    </xf>
    <xf numFmtId="49" fontId="4" fillId="5" borderId="17" xfId="1" applyNumberFormat="1" applyFont="1" applyFill="1" applyBorder="1" applyAlignment="1">
      <alignment vertical="top"/>
    </xf>
    <xf numFmtId="0" fontId="4" fillId="4" borderId="17" xfId="1" applyFont="1" applyFill="1" applyBorder="1" applyAlignment="1">
      <alignment vertical="top"/>
    </xf>
    <xf numFmtId="0" fontId="3" fillId="0" borderId="17" xfId="1" applyBorder="1" applyAlignment="1">
      <alignment vertical="top"/>
    </xf>
    <xf numFmtId="49" fontId="4" fillId="4" borderId="17" xfId="1" applyNumberFormat="1" applyFont="1" applyFill="1" applyBorder="1" applyAlignment="1">
      <alignment vertical="top"/>
    </xf>
    <xf numFmtId="0" fontId="3" fillId="0" borderId="17" xfId="1" applyNumberForma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18" xfId="0" applyBorder="1" applyAlignment="1">
      <alignment vertical="top"/>
    </xf>
    <xf numFmtId="0" fontId="4" fillId="4" borderId="18" xfId="0" applyFont="1" applyFill="1" applyBorder="1" applyAlignment="1">
      <alignment vertical="top"/>
    </xf>
    <xf numFmtId="49" fontId="4" fillId="4" borderId="18" xfId="0" applyNumberFormat="1" applyFont="1" applyFill="1" applyBorder="1" applyAlignment="1">
      <alignment vertical="top"/>
    </xf>
    <xf numFmtId="49" fontId="4" fillId="5" borderId="18" xfId="0" applyNumberFormat="1" applyFont="1" applyFill="1" applyBorder="1" applyAlignment="1">
      <alignment vertical="top"/>
    </xf>
    <xf numFmtId="0" fontId="8" fillId="0" borderId="0" xfId="2"/>
    <xf numFmtId="0" fontId="9" fillId="0" borderId="0" xfId="2" applyFont="1"/>
    <xf numFmtId="3" fontId="8" fillId="0" borderId="20" xfId="2" applyNumberFormat="1" applyBorder="1" applyAlignment="1">
      <alignment horizontal="right"/>
    </xf>
    <xf numFmtId="0" fontId="8" fillId="0" borderId="13" xfId="2" applyBorder="1"/>
    <xf numFmtId="37" fontId="10" fillId="0" borderId="0" xfId="2" applyNumberFormat="1" applyFont="1"/>
    <xf numFmtId="0" fontId="8" fillId="0" borderId="13" xfId="2" quotePrefix="1" applyBorder="1"/>
    <xf numFmtId="0" fontId="8" fillId="0" borderId="0" xfId="2" quotePrefix="1"/>
    <xf numFmtId="37" fontId="11" fillId="0" borderId="13" xfId="2" applyNumberFormat="1" applyFont="1" applyBorder="1"/>
    <xf numFmtId="37" fontId="11" fillId="0" borderId="0" xfId="2" applyNumberFormat="1" applyFont="1"/>
    <xf numFmtId="14" fontId="8" fillId="0" borderId="0" xfId="2" applyNumberFormat="1"/>
    <xf numFmtId="37" fontId="9" fillId="0" borderId="22" xfId="2" applyNumberFormat="1" applyFont="1" applyBorder="1"/>
    <xf numFmtId="37" fontId="9" fillId="0" borderId="23" xfId="2" applyNumberFormat="1" applyFont="1" applyBorder="1"/>
    <xf numFmtId="0" fontId="9" fillId="0" borderId="23" xfId="2" applyFont="1" applyBorder="1"/>
    <xf numFmtId="0" fontId="9" fillId="0" borderId="24" xfId="2" applyFont="1" applyBorder="1"/>
    <xf numFmtId="37" fontId="8" fillId="0" borderId="0" xfId="2" applyNumberFormat="1"/>
    <xf numFmtId="0" fontId="8" fillId="0" borderId="16" xfId="2" applyBorder="1"/>
    <xf numFmtId="165" fontId="12" fillId="0" borderId="0" xfId="3" applyNumberFormat="1" applyFont="1" applyBorder="1"/>
    <xf numFmtId="165" fontId="12" fillId="0" borderId="16" xfId="3" applyNumberFormat="1" applyFont="1" applyBorder="1"/>
    <xf numFmtId="165" fontId="13" fillId="0" borderId="0" xfId="3" applyNumberFormat="1" applyFont="1" applyBorder="1"/>
    <xf numFmtId="0" fontId="13" fillId="0" borderId="0" xfId="2" applyFont="1"/>
    <xf numFmtId="166" fontId="8" fillId="0" borderId="0" xfId="2" applyNumberFormat="1"/>
    <xf numFmtId="0" fontId="11" fillId="6" borderId="0" xfId="2" applyFont="1" applyFill="1"/>
    <xf numFmtId="37" fontId="11" fillId="0" borderId="16" xfId="2" applyNumberFormat="1" applyFont="1" applyBorder="1"/>
    <xf numFmtId="37" fontId="14" fillId="0" borderId="0" xfId="2" applyNumberFormat="1" applyFont="1"/>
    <xf numFmtId="166" fontId="13" fillId="0" borderId="0" xfId="3" applyNumberFormat="1" applyFont="1" applyFill="1" applyBorder="1"/>
    <xf numFmtId="166" fontId="13" fillId="0" borderId="16" xfId="3" applyNumberFormat="1" applyFont="1" applyFill="1" applyBorder="1"/>
    <xf numFmtId="166" fontId="13" fillId="0" borderId="0" xfId="3" applyNumberFormat="1" applyFont="1" applyBorder="1"/>
    <xf numFmtId="166" fontId="13" fillId="0" borderId="0" xfId="3" applyNumberFormat="1" applyFont="1"/>
    <xf numFmtId="3" fontId="14" fillId="0" borderId="0" xfId="2" applyNumberFormat="1" applyFont="1"/>
    <xf numFmtId="3" fontId="14" fillId="0" borderId="16" xfId="2" applyNumberFormat="1" applyFont="1" applyBorder="1"/>
    <xf numFmtId="166" fontId="11" fillId="6" borderId="0" xfId="3" applyNumberFormat="1" applyFont="1" applyFill="1"/>
    <xf numFmtId="3" fontId="8" fillId="0" borderId="0" xfId="2" applyNumberFormat="1"/>
    <xf numFmtId="3" fontId="9" fillId="0" borderId="23" xfId="2" applyNumberFormat="1" applyFont="1" applyBorder="1"/>
    <xf numFmtId="3" fontId="9" fillId="0" borderId="24" xfId="2" applyNumberFormat="1" applyFont="1" applyBorder="1"/>
    <xf numFmtId="6" fontId="11" fillId="6" borderId="0" xfId="2" applyNumberFormat="1" applyFont="1" applyFill="1"/>
    <xf numFmtId="166" fontId="12" fillId="0" borderId="0" xfId="3" applyNumberFormat="1" applyFont="1" applyFill="1" applyBorder="1"/>
    <xf numFmtId="166" fontId="12" fillId="0" borderId="16" xfId="3" applyNumberFormat="1" applyFont="1" applyFill="1" applyBorder="1"/>
    <xf numFmtId="3" fontId="11" fillId="6" borderId="0" xfId="2" applyNumberFormat="1" applyFont="1" applyFill="1"/>
    <xf numFmtId="166" fontId="0" fillId="0" borderId="0" xfId="3" applyNumberFormat="1" applyFont="1"/>
    <xf numFmtId="1" fontId="8" fillId="0" borderId="0" xfId="2" applyNumberFormat="1"/>
    <xf numFmtId="0" fontId="15" fillId="7" borderId="0" xfId="2" applyFont="1" applyFill="1"/>
    <xf numFmtId="0" fontId="15" fillId="7" borderId="16" xfId="2" applyFont="1" applyFill="1" applyBorder="1"/>
    <xf numFmtId="0" fontId="8" fillId="7" borderId="0" xfId="2" applyFill="1"/>
    <xf numFmtId="166" fontId="16" fillId="6" borderId="0" xfId="3" applyNumberFormat="1" applyFont="1" applyFill="1"/>
    <xf numFmtId="166" fontId="16" fillId="6" borderId="16" xfId="3" applyNumberFormat="1" applyFont="1" applyFill="1" applyBorder="1"/>
    <xf numFmtId="166" fontId="16" fillId="6" borderId="0" xfId="3" applyNumberFormat="1" applyFont="1" applyFill="1" applyBorder="1"/>
    <xf numFmtId="165" fontId="13" fillId="0" borderId="0" xfId="3" applyNumberFormat="1" applyFont="1"/>
    <xf numFmtId="0" fontId="16" fillId="6" borderId="0" xfId="2" applyFont="1" applyFill="1"/>
    <xf numFmtId="3" fontId="11" fillId="6" borderId="16" xfId="2" applyNumberFormat="1" applyFont="1" applyFill="1" applyBorder="1"/>
    <xf numFmtId="37" fontId="17" fillId="6" borderId="0" xfId="2" applyNumberFormat="1" applyFont="1" applyFill="1"/>
    <xf numFmtId="3" fontId="18" fillId="6" borderId="0" xfId="2" applyNumberFormat="1" applyFont="1" applyFill="1"/>
    <xf numFmtId="3" fontId="18" fillId="6" borderId="16" xfId="2" applyNumberFormat="1" applyFont="1" applyFill="1" applyBorder="1"/>
    <xf numFmtId="3" fontId="17" fillId="6" borderId="0" xfId="2" applyNumberFormat="1" applyFont="1" applyFill="1"/>
    <xf numFmtId="0" fontId="11" fillId="6" borderId="16" xfId="2" applyFont="1" applyFill="1" applyBorder="1"/>
    <xf numFmtId="0" fontId="10" fillId="6" borderId="0" xfId="2" applyFont="1" applyFill="1"/>
    <xf numFmtId="166" fontId="8" fillId="8" borderId="21" xfId="2" applyNumberFormat="1" applyFill="1" applyBorder="1" applyAlignment="1">
      <alignment horizontal="center"/>
    </xf>
    <xf numFmtId="164" fontId="8" fillId="0" borderId="0" xfId="2" applyNumberFormat="1"/>
    <xf numFmtId="165" fontId="8" fillId="0" borderId="21" xfId="2" applyNumberFormat="1" applyBorder="1" applyAlignment="1">
      <alignment horizontal="center"/>
    </xf>
    <xf numFmtId="167" fontId="8" fillId="0" borderId="21" xfId="2" applyNumberFormat="1" applyBorder="1" applyAlignment="1">
      <alignment horizontal="center"/>
    </xf>
    <xf numFmtId="14" fontId="8" fillId="8" borderId="25" xfId="2" applyNumberFormat="1" applyFill="1" applyBorder="1" applyAlignment="1">
      <alignment horizontal="center"/>
    </xf>
    <xf numFmtId="168" fontId="0" fillId="0" borderId="0" xfId="3" applyNumberFormat="1" applyFont="1"/>
    <xf numFmtId="0" fontId="8" fillId="8" borderId="25" xfId="2" applyFill="1" applyBorder="1" applyAlignment="1">
      <alignment horizontal="center"/>
    </xf>
    <xf numFmtId="0" fontId="19" fillId="0" borderId="13" xfId="2" applyFont="1" applyBorder="1"/>
    <xf numFmtId="0" fontId="18" fillId="6" borderId="0" xfId="2" applyFont="1" applyFill="1"/>
    <xf numFmtId="166" fontId="16" fillId="6" borderId="26" xfId="3" applyNumberFormat="1" applyFont="1" applyFill="1" applyBorder="1"/>
    <xf numFmtId="3" fontId="18" fillId="6" borderId="27" xfId="2" applyNumberFormat="1" applyFont="1" applyFill="1" applyBorder="1"/>
    <xf numFmtId="166" fontId="16" fillId="6" borderId="27" xfId="3" applyNumberFormat="1" applyFont="1" applyFill="1" applyBorder="1"/>
    <xf numFmtId="3" fontId="18" fillId="0" borderId="16" xfId="2" applyNumberFormat="1" applyFont="1" applyBorder="1"/>
    <xf numFmtId="3" fontId="18" fillId="0" borderId="0" xfId="2" applyNumberFormat="1" applyFont="1"/>
    <xf numFmtId="0" fontId="18" fillId="0" borderId="0" xfId="2" applyFont="1"/>
    <xf numFmtId="3" fontId="17" fillId="6" borderId="0" xfId="2" applyNumberFormat="1" applyFont="1" applyFill="1" applyProtection="1">
      <protection locked="0"/>
    </xf>
    <xf numFmtId="166" fontId="16" fillId="6" borderId="0" xfId="3" applyNumberFormat="1" applyFont="1" applyFill="1" applyProtection="1">
      <protection locked="0"/>
    </xf>
    <xf numFmtId="166" fontId="16" fillId="6" borderId="0" xfId="3" applyNumberFormat="1" applyFont="1" applyFill="1" applyBorder="1" applyProtection="1">
      <protection locked="0"/>
    </xf>
    <xf numFmtId="0" fontId="11" fillId="6" borderId="0" xfId="2" applyFont="1" applyFill="1" applyProtection="1">
      <protection locked="0"/>
    </xf>
    <xf numFmtId="166" fontId="16" fillId="6" borderId="26" xfId="3" applyNumberFormat="1" applyFont="1" applyFill="1" applyBorder="1" applyProtection="1">
      <protection locked="0"/>
    </xf>
    <xf numFmtId="37" fontId="18" fillId="0" borderId="16" xfId="2" applyNumberFormat="1" applyFont="1" applyBorder="1"/>
    <xf numFmtId="37" fontId="18" fillId="0" borderId="0" xfId="2" applyNumberFormat="1" applyFont="1"/>
    <xf numFmtId="37" fontId="20" fillId="0" borderId="16" xfId="3" applyNumberFormat="1" applyFont="1" applyFill="1" applyBorder="1"/>
    <xf numFmtId="37" fontId="20" fillId="0" borderId="0" xfId="3" applyNumberFormat="1" applyFont="1" applyFill="1" applyBorder="1"/>
    <xf numFmtId="3" fontId="9" fillId="0" borderId="28" xfId="2" applyNumberFormat="1" applyFont="1" applyBorder="1"/>
    <xf numFmtId="3" fontId="14" fillId="0" borderId="26" xfId="2" applyNumberFormat="1" applyFont="1" applyBorder="1"/>
    <xf numFmtId="37" fontId="9" fillId="0" borderId="29" xfId="2" applyNumberFormat="1" applyFont="1" applyBorder="1"/>
    <xf numFmtId="37" fontId="9" fillId="0" borderId="30" xfId="2" applyNumberFormat="1" applyFont="1" applyBorder="1"/>
    <xf numFmtId="37" fontId="9" fillId="0" borderId="31" xfId="2" applyNumberFormat="1" applyFont="1" applyBorder="1"/>
    <xf numFmtId="37" fontId="9" fillId="0" borderId="32" xfId="2" applyNumberFormat="1" applyFont="1" applyBorder="1"/>
    <xf numFmtId="37" fontId="9" fillId="0" borderId="33" xfId="2" applyNumberFormat="1" applyFont="1" applyBorder="1"/>
    <xf numFmtId="37" fontId="9" fillId="0" borderId="34" xfId="2" applyNumberFormat="1" applyFont="1" applyBorder="1"/>
    <xf numFmtId="37" fontId="8" fillId="0" borderId="20" xfId="2" applyNumberFormat="1" applyBorder="1" applyAlignment="1">
      <alignment horizontal="right"/>
    </xf>
    <xf numFmtId="37" fontId="8" fillId="0" borderId="35" xfId="2" applyNumberFormat="1" applyBorder="1"/>
    <xf numFmtId="167" fontId="9" fillId="0" borderId="0" xfId="2" applyNumberFormat="1" applyFont="1"/>
    <xf numFmtId="5" fontId="0" fillId="0" borderId="0" xfId="0" applyNumberFormat="1"/>
    <xf numFmtId="5" fontId="17" fillId="6" borderId="0" xfId="2" applyNumberFormat="1" applyFont="1" applyFill="1" applyProtection="1">
      <protection locked="0"/>
    </xf>
    <xf numFmtId="5" fontId="18" fillId="6" borderId="16" xfId="2" applyNumberFormat="1" applyFont="1" applyFill="1" applyBorder="1"/>
    <xf numFmtId="5" fontId="18" fillId="6" borderId="0" xfId="2" applyNumberFormat="1" applyFont="1" applyFill="1"/>
    <xf numFmtId="49" fontId="1" fillId="0" borderId="2" xfId="0" applyNumberFormat="1" applyFon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4">
    <cellStyle name="Normal" xfId="0" builtinId="0"/>
    <cellStyle name="Normal 2" xfId="1" xr:uid="{E05983E1-B725-3040-8B6E-E9A41C9599B7}"/>
    <cellStyle name="Normal 3" xfId="2" xr:uid="{739719FB-6338-164A-B055-10D898FE5270}"/>
    <cellStyle name="Percent 2" xfId="3" xr:uid="{0657E606-5297-FE46-8056-A9BDF7A3D9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Sheet1!$B$1:$M$1</c:f>
              <c:numCache>
                <c:formatCode>General</c:formatCode>
                <c:ptCount val="12"/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</c:numCache>
            </c:numRef>
          </c:cat>
          <c:val>
            <c:numRef>
              <c:f>Sheet1!$B$2:$M$2</c:f>
              <c:numCache>
                <c:formatCode>General</c:formatCode>
                <c:ptCount val="12"/>
                <c:pt idx="2" formatCode="&quot;$&quot;#,##0_);\(&quot;$&quot;#,##0\)">
                  <c:v>15073</c:v>
                </c:pt>
                <c:pt idx="3" formatCode="&quot;$&quot;#,##0_);\(&quot;$&quot;#,##0\)">
                  <c:v>13916</c:v>
                </c:pt>
                <c:pt idx="4" formatCode="&quot;$&quot;#,##0_);\(&quot;$&quot;#,##0\)">
                  <c:v>14655</c:v>
                </c:pt>
                <c:pt idx="5" formatCode="&quot;$&quot;#,##0_);\(&quot;$&quot;#,##0\)">
                  <c:v>15396</c:v>
                </c:pt>
                <c:pt idx="6" formatCode="&quot;$&quot;#,##0_);\(&quot;$&quot;#,##0\)">
                  <c:v>19308</c:v>
                </c:pt>
                <c:pt idx="7" formatCode="&quot;$&quot;#,##0_);\(&quot;$&quot;#,##0\)">
                  <c:v>20423</c:v>
                </c:pt>
                <c:pt idx="8" formatCode="&quot;$&quot;#,##0_);\(&quot;$&quot;#,##0\)">
                  <c:v>21259</c:v>
                </c:pt>
                <c:pt idx="9" formatCode="&quot;$&quot;#,##0_);\(&quot;$&quot;#,##0\)">
                  <c:v>21883</c:v>
                </c:pt>
                <c:pt idx="10" formatCode="&quot;$&quot;#,##0_);\(&quot;$&quot;#,##0\)">
                  <c:v>23049</c:v>
                </c:pt>
                <c:pt idx="11" formatCode="&quot;$&quot;#,##0_);\(&quot;$&quot;#,##0\)">
                  <c:v>24380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3-A54D-97A3-1B3DDB2F9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588080"/>
        <c:axId val="1838943152"/>
      </c:barChart>
      <c:catAx>
        <c:axId val="192258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8943152"/>
        <c:crosses val="autoZero"/>
        <c:auto val="1"/>
        <c:lblAlgn val="ctr"/>
        <c:lblOffset val="100"/>
        <c:noMultiLvlLbl val="0"/>
      </c:catAx>
      <c:valAx>
        <c:axId val="18389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CAD in millions </a:t>
                </a:r>
                <a:endParaRPr lang="en-US" sz="10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58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6</xdr:row>
      <xdr:rowOff>63500</xdr:rowOff>
    </xdr:from>
    <xdr:to>
      <xdr:col>9</xdr:col>
      <xdr:colOff>615950</xdr:colOff>
      <xdr:row>19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6A3072-EFE6-B3C8-6E25-24656FB4C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D45C-4864-3C4F-A430-9523DE83BA3E}">
  <dimension ref="A2:AB64"/>
  <sheetViews>
    <sheetView showGridLines="0" zoomScale="140" zoomScaleNormal="170" workbookViewId="0">
      <selection activeCell="I5" sqref="I5"/>
    </sheetView>
  </sheetViews>
  <sheetFormatPr baseColWidth="10" defaultColWidth="9.6640625" defaultRowHeight="15" outlineLevelRow="1" outlineLevelCol="1" x14ac:dyDescent="0.2"/>
  <cols>
    <col min="1" max="1" width="3.6640625" style="33" customWidth="1"/>
    <col min="2" max="2" width="9.6640625" style="33"/>
    <col min="3" max="3" width="10.1640625" style="33" bestFit="1" customWidth="1"/>
    <col min="4" max="4" width="9.6640625" style="33"/>
    <col min="5" max="8" width="9.6640625" style="33" customWidth="1" outlineLevel="1"/>
    <col min="9" max="16" width="9.6640625" style="33" customWidth="1"/>
    <col min="17" max="19" width="9.6640625" style="33"/>
    <col min="20" max="24" width="10.5" style="33" bestFit="1" customWidth="1"/>
    <col min="25" max="25" width="12" style="33" bestFit="1" customWidth="1"/>
    <col min="26" max="27" width="9.6640625" style="33"/>
    <col min="28" max="28" width="10.33203125" style="33" bestFit="1" customWidth="1"/>
    <col min="29" max="16384" width="9.6640625" style="33"/>
  </cols>
  <sheetData>
    <row r="2" spans="1:16" s="36" customFormat="1" ht="22" x14ac:dyDescent="0.3">
      <c r="B2" s="95" t="s">
        <v>121</v>
      </c>
    </row>
    <row r="4" spans="1:16" ht="16" x14ac:dyDescent="0.2">
      <c r="A4" s="33" t="s">
        <v>91</v>
      </c>
      <c r="B4" s="33" t="s">
        <v>120</v>
      </c>
      <c r="C4" s="94" t="s">
        <v>119</v>
      </c>
      <c r="E4" s="91" t="s">
        <v>125</v>
      </c>
      <c r="K4" s="89"/>
      <c r="P4" s="93"/>
    </row>
    <row r="5" spans="1:16" x14ac:dyDescent="0.2">
      <c r="B5" s="33" t="s">
        <v>118</v>
      </c>
      <c r="C5" s="92">
        <v>45430</v>
      </c>
      <c r="E5" s="91">
        <v>54.27</v>
      </c>
      <c r="G5" s="33" t="s">
        <v>117</v>
      </c>
      <c r="I5" s="90">
        <f>(L64-E5)/E5</f>
        <v>1.0989293510208933</v>
      </c>
      <c r="K5" s="89"/>
    </row>
    <row r="7" spans="1:16" x14ac:dyDescent="0.2">
      <c r="A7" s="33" t="s">
        <v>91</v>
      </c>
      <c r="B7" s="73" t="s">
        <v>116</v>
      </c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</row>
    <row r="8" spans="1:16" x14ac:dyDescent="0.2">
      <c r="B8" s="34" t="s">
        <v>115</v>
      </c>
    </row>
    <row r="9" spans="1:16" x14ac:dyDescent="0.2">
      <c r="B9" s="33" t="s">
        <v>14</v>
      </c>
      <c r="D9" s="88">
        <v>6.2E-2</v>
      </c>
    </row>
    <row r="10" spans="1:16" x14ac:dyDescent="0.2">
      <c r="B10" s="33" t="s">
        <v>114</v>
      </c>
      <c r="D10" s="88">
        <v>0.02</v>
      </c>
    </row>
    <row r="11" spans="1:16" outlineLevel="1" x14ac:dyDescent="0.2">
      <c r="J11" s="33">
        <v>1</v>
      </c>
      <c r="K11" s="33">
        <f t="shared" ref="K11:N12" si="0">J11+1</f>
        <v>2</v>
      </c>
      <c r="L11" s="33">
        <f t="shared" si="0"/>
        <v>3</v>
      </c>
      <c r="M11" s="33">
        <f t="shared" si="0"/>
        <v>4</v>
      </c>
      <c r="N11" s="33">
        <f t="shared" si="0"/>
        <v>5</v>
      </c>
    </row>
    <row r="12" spans="1:16" outlineLevel="1" x14ac:dyDescent="0.2">
      <c r="A12" s="33" t="s">
        <v>91</v>
      </c>
      <c r="B12" s="73" t="s">
        <v>113</v>
      </c>
      <c r="C12" s="75"/>
      <c r="D12" s="75"/>
      <c r="E12" s="73">
        <v>2019</v>
      </c>
      <c r="F12" s="73">
        <f>E12+1</f>
        <v>2020</v>
      </c>
      <c r="G12" s="73">
        <f>F12+1</f>
        <v>2021</v>
      </c>
      <c r="H12" s="73">
        <f>G12+1</f>
        <v>2022</v>
      </c>
      <c r="I12" s="73">
        <f>H12+1</f>
        <v>2023</v>
      </c>
      <c r="J12" s="74">
        <f>I12+1</f>
        <v>2024</v>
      </c>
      <c r="K12" s="73">
        <f t="shared" si="0"/>
        <v>2025</v>
      </c>
      <c r="L12" s="73">
        <f t="shared" si="0"/>
        <v>2026</v>
      </c>
      <c r="M12" s="73">
        <f t="shared" si="0"/>
        <v>2027</v>
      </c>
      <c r="N12" s="73">
        <f t="shared" si="0"/>
        <v>2028</v>
      </c>
    </row>
    <row r="13" spans="1:16" s="54" customFormat="1" outlineLevel="1" x14ac:dyDescent="0.2">
      <c r="B13" s="54" t="s">
        <v>79</v>
      </c>
      <c r="E13" s="103">
        <f>IS!F4</f>
        <v>15073</v>
      </c>
      <c r="F13" s="103">
        <f>IS!E4</f>
        <v>13916</v>
      </c>
      <c r="G13" s="103">
        <f>IS!D4</f>
        <v>14655</v>
      </c>
      <c r="H13" s="103">
        <f>IS!C4</f>
        <v>15396</v>
      </c>
      <c r="I13" s="103">
        <f>IS!B4</f>
        <v>19308</v>
      </c>
      <c r="J13" s="84">
        <v>20423</v>
      </c>
      <c r="K13" s="83">
        <v>21259</v>
      </c>
      <c r="L13" s="83">
        <v>21883</v>
      </c>
      <c r="M13" s="83">
        <v>23049</v>
      </c>
      <c r="N13" s="83">
        <v>24380</v>
      </c>
    </row>
    <row r="14" spans="1:16" s="54" customFormat="1" outlineLevel="1" x14ac:dyDescent="0.2">
      <c r="B14" s="80" t="s">
        <v>110</v>
      </c>
      <c r="E14" s="104"/>
      <c r="F14" s="104">
        <f t="shared" ref="F14:L14" si="1">F13/E13-1</f>
        <v>-7.6759769123598498E-2</v>
      </c>
      <c r="G14" s="105">
        <f t="shared" si="1"/>
        <v>5.3104340327680299E-2</v>
      </c>
      <c r="H14" s="105">
        <f t="shared" si="1"/>
        <v>5.056294779938586E-2</v>
      </c>
      <c r="I14" s="104">
        <f t="shared" si="1"/>
        <v>0.25409197194076394</v>
      </c>
      <c r="J14" s="77">
        <f t="shared" si="1"/>
        <v>5.774808369587725E-2</v>
      </c>
      <c r="K14" s="76">
        <f t="shared" si="1"/>
        <v>4.0934240806933309E-2</v>
      </c>
      <c r="L14" s="76">
        <f t="shared" si="1"/>
        <v>2.9352274330871619E-2</v>
      </c>
      <c r="M14" s="76">
        <f t="shared" ref="M14:N14" si="2">M13/L13-1</f>
        <v>5.3283370653018247E-2</v>
      </c>
      <c r="N14" s="76">
        <f t="shared" si="2"/>
        <v>5.7746539980042533E-2</v>
      </c>
    </row>
    <row r="15" spans="1:16" s="54" customFormat="1" outlineLevel="1" x14ac:dyDescent="0.2">
      <c r="B15" s="87"/>
      <c r="E15" s="106"/>
      <c r="F15" s="106"/>
      <c r="G15" s="106"/>
      <c r="H15" s="106"/>
      <c r="I15" s="106"/>
      <c r="J15" s="86"/>
    </row>
    <row r="16" spans="1:16" s="54" customFormat="1" outlineLevel="1" x14ac:dyDescent="0.2">
      <c r="B16" s="54" t="s">
        <v>109</v>
      </c>
      <c r="E16" s="103">
        <v>3724</v>
      </c>
      <c r="F16" s="103">
        <v>3239</v>
      </c>
      <c r="G16" s="103">
        <v>3302</v>
      </c>
      <c r="H16" s="103">
        <v>3817</v>
      </c>
      <c r="I16" s="103">
        <v>4460</v>
      </c>
      <c r="J16" s="84">
        <v>3040</v>
      </c>
      <c r="K16" s="83">
        <v>4450</v>
      </c>
      <c r="L16" s="83">
        <v>4814</v>
      </c>
      <c r="M16" s="96">
        <v>5312</v>
      </c>
      <c r="N16" s="96">
        <v>5869</v>
      </c>
    </row>
    <row r="17" spans="1:17" s="54" customFormat="1" outlineLevel="1" x14ac:dyDescent="0.2">
      <c r="B17" s="80" t="s">
        <v>101</v>
      </c>
      <c r="E17" s="104">
        <f>E16/E13</f>
        <v>0.24706428713593842</v>
      </c>
      <c r="F17" s="104">
        <f>F16/F13</f>
        <v>0.23275366484622018</v>
      </c>
      <c r="G17" s="105">
        <f>G16/G13</f>
        <v>0.22531559194814058</v>
      </c>
      <c r="H17" s="105">
        <f>H16/H13</f>
        <v>0.24792153806183423</v>
      </c>
      <c r="I17" s="107">
        <f>I16/I13</f>
        <v>0.23099233478350942</v>
      </c>
      <c r="J17" s="76">
        <f t="shared" ref="J17:N17" si="3">J16/J13</f>
        <v>0.14885178475248495</v>
      </c>
      <c r="K17" s="76">
        <f t="shared" si="3"/>
        <v>0.20932311021214545</v>
      </c>
      <c r="L17" s="76">
        <f t="shared" si="3"/>
        <v>0.2199881186309007</v>
      </c>
      <c r="M17" s="76">
        <f t="shared" si="3"/>
        <v>0.23046552995791575</v>
      </c>
      <c r="N17" s="76">
        <f t="shared" si="3"/>
        <v>0.2407301066447908</v>
      </c>
    </row>
    <row r="18" spans="1:17" s="54" customFormat="1" outlineLevel="1" x14ac:dyDescent="0.2">
      <c r="E18" s="106"/>
      <c r="F18" s="106"/>
      <c r="G18" s="106"/>
      <c r="H18" s="106"/>
      <c r="I18" s="106"/>
      <c r="J18" s="86"/>
    </row>
    <row r="19" spans="1:17" s="54" customFormat="1" outlineLevel="1" x14ac:dyDescent="0.2">
      <c r="B19" s="54" t="s">
        <v>107</v>
      </c>
      <c r="E19" s="103">
        <f>IS!F14</f>
        <v>712</v>
      </c>
      <c r="F19" s="103">
        <f>IS!E14</f>
        <v>580</v>
      </c>
      <c r="G19" s="103">
        <f>IS!D14</f>
        <v>569</v>
      </c>
      <c r="H19" s="103">
        <f>IS!C14</f>
        <v>609</v>
      </c>
      <c r="I19" s="103">
        <f>IS!B14</f>
        <v>517</v>
      </c>
      <c r="J19" s="84">
        <v>446</v>
      </c>
      <c r="K19" s="83">
        <v>527</v>
      </c>
      <c r="L19" s="83">
        <v>604</v>
      </c>
      <c r="M19" s="96">
        <v>701</v>
      </c>
      <c r="N19" s="96">
        <v>808</v>
      </c>
    </row>
    <row r="20" spans="1:17" s="54" customFormat="1" outlineLevel="1" x14ac:dyDescent="0.2">
      <c r="B20" s="80" t="s">
        <v>106</v>
      </c>
      <c r="E20" s="104">
        <f t="shared" ref="E20:L20" si="4">E19/E16</f>
        <v>0.19119226638023631</v>
      </c>
      <c r="F20" s="104">
        <f t="shared" si="4"/>
        <v>0.17906761346094474</v>
      </c>
      <c r="G20" s="105">
        <f t="shared" si="4"/>
        <v>0.17231980617807388</v>
      </c>
      <c r="H20" s="105">
        <f t="shared" si="4"/>
        <v>0.159549384333246</v>
      </c>
      <c r="I20" s="104">
        <f t="shared" si="4"/>
        <v>0.11591928251121077</v>
      </c>
      <c r="J20" s="77">
        <f t="shared" si="4"/>
        <v>0.14671052631578949</v>
      </c>
      <c r="K20" s="76">
        <f t="shared" si="4"/>
        <v>0.11842696629213482</v>
      </c>
      <c r="L20" s="76">
        <f t="shared" si="4"/>
        <v>0.12546738678853345</v>
      </c>
      <c r="M20" s="76">
        <f t="shared" ref="M20:N20" si="5">M19/M16</f>
        <v>0.13196536144578314</v>
      </c>
      <c r="N20" s="76">
        <f t="shared" si="5"/>
        <v>0.13767251661271085</v>
      </c>
    </row>
    <row r="21" spans="1:17" s="54" customFormat="1" outlineLevel="1" x14ac:dyDescent="0.2">
      <c r="J21" s="86"/>
    </row>
    <row r="22" spans="1:17" outlineLevel="1" x14ac:dyDescent="0.2">
      <c r="A22" s="33" t="s">
        <v>91</v>
      </c>
      <c r="B22" s="73" t="s">
        <v>112</v>
      </c>
      <c r="C22" s="75"/>
      <c r="D22" s="75"/>
      <c r="E22" s="73">
        <v>2019</v>
      </c>
      <c r="F22" s="73">
        <f t="shared" ref="F22:N22" si="6">E22+1</f>
        <v>2020</v>
      </c>
      <c r="G22" s="73">
        <f t="shared" si="6"/>
        <v>2021</v>
      </c>
      <c r="H22" s="73">
        <f t="shared" si="6"/>
        <v>2022</v>
      </c>
      <c r="I22" s="73">
        <f t="shared" si="6"/>
        <v>2023</v>
      </c>
      <c r="J22" s="74">
        <f t="shared" si="6"/>
        <v>2024</v>
      </c>
      <c r="K22" s="73">
        <f t="shared" si="6"/>
        <v>2025</v>
      </c>
      <c r="L22" s="73">
        <f t="shared" si="6"/>
        <v>2026</v>
      </c>
      <c r="M22" s="73">
        <f t="shared" si="6"/>
        <v>2027</v>
      </c>
      <c r="N22" s="73">
        <f t="shared" si="6"/>
        <v>2028</v>
      </c>
    </row>
    <row r="23" spans="1:17" s="54" customFormat="1" outlineLevel="1" x14ac:dyDescent="0.2">
      <c r="B23" s="54" t="s">
        <v>104</v>
      </c>
      <c r="E23" s="85">
        <f>CFS!F5+CFS!F6</f>
        <v>2565</v>
      </c>
      <c r="F23" s="85">
        <f>CFS!E5+CFS!E6</f>
        <v>2695</v>
      </c>
      <c r="G23" s="85">
        <f>CFS!D5+CFS!D6</f>
        <v>2653</v>
      </c>
      <c r="H23" s="85">
        <f>CFS!C5+CFS!C6</f>
        <v>2637</v>
      </c>
      <c r="I23" s="85">
        <f>CFS!B5+CFS!B6</f>
        <v>4191</v>
      </c>
      <c r="J23" s="98">
        <f>J13*0.175</f>
        <v>3574.0249999999996</v>
      </c>
      <c r="K23" s="83">
        <f>K13*0.175</f>
        <v>3720.3249999999998</v>
      </c>
      <c r="L23" s="83">
        <f>L13*0.175</f>
        <v>3829.5249999999996</v>
      </c>
      <c r="M23" s="83">
        <f>M13*0.175</f>
        <v>4033.5749999999998</v>
      </c>
      <c r="N23" s="83">
        <f>N13*0.175</f>
        <v>4266.5</v>
      </c>
      <c r="O23" s="83"/>
      <c r="P23" s="83"/>
      <c r="Q23" s="83">
        <f t="shared" ref="Q23" si="7">Q13*0.17</f>
        <v>0</v>
      </c>
    </row>
    <row r="24" spans="1:17" s="54" customFormat="1" outlineLevel="1" x14ac:dyDescent="0.2">
      <c r="B24" s="80" t="s">
        <v>123</v>
      </c>
      <c r="E24" s="76">
        <f t="shared" ref="E24:K24" si="8">E23/E13</f>
        <v>0.17017183042526371</v>
      </c>
      <c r="F24" s="76">
        <f t="shared" si="8"/>
        <v>0.19366197183098591</v>
      </c>
      <c r="G24" s="78">
        <f t="shared" si="8"/>
        <v>0.1810303650631184</v>
      </c>
      <c r="H24" s="78">
        <f t="shared" si="8"/>
        <v>0.17127825409197195</v>
      </c>
      <c r="I24" s="76">
        <f t="shared" si="8"/>
        <v>0.2170602858918583</v>
      </c>
      <c r="J24" s="77">
        <f t="shared" si="8"/>
        <v>0.17499999999999999</v>
      </c>
      <c r="K24" s="76">
        <f t="shared" si="8"/>
        <v>0.17499999999999999</v>
      </c>
      <c r="L24" s="76">
        <f t="shared" ref="L24:N24" si="9">L23/L13</f>
        <v>0.17499999999999999</v>
      </c>
      <c r="M24" s="76">
        <f t="shared" si="9"/>
        <v>0.17499999999999999</v>
      </c>
      <c r="N24" s="76">
        <f t="shared" si="9"/>
        <v>0.17499999999999999</v>
      </c>
    </row>
    <row r="25" spans="1:17" s="54" customFormat="1" outlineLevel="1" x14ac:dyDescent="0.2">
      <c r="B25" s="80" t="s">
        <v>124</v>
      </c>
      <c r="E25" s="76">
        <f>E23/E27</f>
        <v>0.89466341123125215</v>
      </c>
      <c r="F25" s="76">
        <f t="shared" ref="F25:G25" si="10">F23/F27</f>
        <v>1.1376108062473618</v>
      </c>
      <c r="G25" s="76">
        <f t="shared" si="10"/>
        <v>0.93349753694581283</v>
      </c>
      <c r="H25" s="76">
        <f>H23/H27</f>
        <v>0.84465086483023699</v>
      </c>
      <c r="I25" s="97">
        <f t="shared" ref="I25:N25" si="11">I23/I27</f>
        <v>1.0456586826347305</v>
      </c>
      <c r="J25" s="76">
        <f t="shared" si="11"/>
        <v>0.92105263157894735</v>
      </c>
      <c r="K25" s="76">
        <f t="shared" si="11"/>
        <v>0.92105263157894735</v>
      </c>
      <c r="L25" s="76">
        <f t="shared" si="11"/>
        <v>0.92105263157894723</v>
      </c>
      <c r="M25" s="76">
        <f t="shared" si="11"/>
        <v>0.92105263157894723</v>
      </c>
      <c r="N25" s="76">
        <f t="shared" si="11"/>
        <v>0.92105263157894746</v>
      </c>
    </row>
    <row r="26" spans="1:17" s="54" customFormat="1" ht="16" outlineLevel="1" x14ac:dyDescent="0.2">
      <c r="E26" s="18"/>
      <c r="F26" s="18"/>
      <c r="G26" s="18"/>
      <c r="H26" s="18"/>
      <c r="I26" s="18"/>
      <c r="J26" s="81"/>
      <c r="K26" s="70"/>
      <c r="L26" s="70"/>
    </row>
    <row r="27" spans="1:17" s="54" customFormat="1" outlineLevel="1" x14ac:dyDescent="0.2">
      <c r="B27" s="54" t="s">
        <v>103</v>
      </c>
      <c r="E27" s="85">
        <v>2867</v>
      </c>
      <c r="F27" s="85">
        <v>2369</v>
      </c>
      <c r="G27" s="85">
        <v>2842</v>
      </c>
      <c r="H27" s="85">
        <v>3122</v>
      </c>
      <c r="I27" s="85">
        <v>4008</v>
      </c>
      <c r="J27" s="98">
        <f>J13*0.19</f>
        <v>3880.37</v>
      </c>
      <c r="K27" s="83">
        <f t="shared" ref="K27:N27" si="12">K13*0.19</f>
        <v>4039.21</v>
      </c>
      <c r="L27" s="83">
        <f t="shared" si="12"/>
        <v>4157.7700000000004</v>
      </c>
      <c r="M27" s="83">
        <f>M13*0.19</f>
        <v>4379.3100000000004</v>
      </c>
      <c r="N27" s="83">
        <f t="shared" si="12"/>
        <v>4632.2</v>
      </c>
    </row>
    <row r="28" spans="1:17" s="54" customFormat="1" outlineLevel="1" x14ac:dyDescent="0.2">
      <c r="B28" s="80" t="s">
        <v>123</v>
      </c>
      <c r="E28" s="76">
        <f t="shared" ref="E28:L28" si="13">E27/E13</f>
        <v>0.19020765607377429</v>
      </c>
      <c r="F28" s="76">
        <f t="shared" si="13"/>
        <v>0.17023569991376833</v>
      </c>
      <c r="G28" s="78">
        <f t="shared" si="13"/>
        <v>0.19392698737632208</v>
      </c>
      <c r="H28" s="78">
        <f t="shared" si="13"/>
        <v>0.2027799428422967</v>
      </c>
      <c r="I28" s="76">
        <f t="shared" si="13"/>
        <v>0.20758234928527036</v>
      </c>
      <c r="J28" s="77">
        <f t="shared" si="13"/>
        <v>0.19</v>
      </c>
      <c r="K28" s="76">
        <f t="shared" si="13"/>
        <v>0.19</v>
      </c>
      <c r="L28" s="76">
        <f t="shared" si="13"/>
        <v>0.19000000000000003</v>
      </c>
      <c r="M28" s="76">
        <f t="shared" ref="M28:N28" si="14">M27/M13</f>
        <v>0.19000000000000003</v>
      </c>
      <c r="N28" s="76">
        <f t="shared" si="14"/>
        <v>0.19</v>
      </c>
    </row>
    <row r="29" spans="1:17" s="54" customFormat="1" outlineLevel="1" x14ac:dyDescent="0.2">
      <c r="E29" s="70"/>
      <c r="F29" s="70"/>
      <c r="G29" s="70"/>
      <c r="H29" s="70"/>
      <c r="I29" s="70"/>
      <c r="J29" s="81"/>
      <c r="K29" s="70"/>
      <c r="L29" s="70"/>
    </row>
    <row r="30" spans="1:17" s="54" customFormat="1" outlineLevel="1" x14ac:dyDescent="0.2">
      <c r="B30" s="54" t="s">
        <v>102</v>
      </c>
      <c r="E30" s="82"/>
      <c r="F30" s="82">
        <v>-333</v>
      </c>
      <c r="G30" s="82">
        <v>37</v>
      </c>
      <c r="H30" s="82">
        <v>-152</v>
      </c>
      <c r="I30" s="82">
        <v>-627</v>
      </c>
      <c r="J30" s="100"/>
      <c r="K30" s="101"/>
      <c r="L30" s="101"/>
      <c r="M30" s="102"/>
      <c r="N30" s="102"/>
    </row>
    <row r="31" spans="1:17" s="54" customFormat="1" outlineLevel="1" x14ac:dyDescent="0.2">
      <c r="B31" s="80" t="s">
        <v>101</v>
      </c>
      <c r="E31" s="79"/>
      <c r="F31" s="79">
        <f t="shared" ref="F31:I31" si="15">F30/F13</f>
        <v>-2.3929290025869503E-2</v>
      </c>
      <c r="G31" s="79">
        <f t="shared" si="15"/>
        <v>2.524735585124531E-3</v>
      </c>
      <c r="H31" s="79">
        <f t="shared" si="15"/>
        <v>-9.8726942062873479E-3</v>
      </c>
      <c r="I31" s="79">
        <f t="shared" si="15"/>
        <v>-3.247358607830951E-2</v>
      </c>
      <c r="J31" s="99"/>
      <c r="K31" s="78"/>
      <c r="L31" s="78"/>
      <c r="M31" s="78"/>
      <c r="N31" s="78"/>
    </row>
    <row r="32" spans="1:17" x14ac:dyDescent="0.2">
      <c r="J32" s="48">
        <v>1</v>
      </c>
      <c r="K32" s="33">
        <f>J32+1</f>
        <v>2</v>
      </c>
      <c r="L32" s="33">
        <f>K32+1</f>
        <v>3</v>
      </c>
      <c r="M32" s="33">
        <f>L32+1</f>
        <v>4</v>
      </c>
      <c r="N32" s="33">
        <f>M32+1</f>
        <v>5</v>
      </c>
    </row>
    <row r="33" spans="1:28" x14ac:dyDescent="0.2">
      <c r="A33" s="33" t="s">
        <v>91</v>
      </c>
      <c r="B33" s="73" t="s">
        <v>111</v>
      </c>
      <c r="C33" s="75"/>
      <c r="D33" s="75"/>
      <c r="E33" s="73">
        <f t="shared" ref="E33:N33" si="16">E22</f>
        <v>2019</v>
      </c>
      <c r="F33" s="73">
        <f t="shared" si="16"/>
        <v>2020</v>
      </c>
      <c r="G33" s="73">
        <f t="shared" si="16"/>
        <v>2021</v>
      </c>
      <c r="H33" s="73">
        <f t="shared" si="16"/>
        <v>2022</v>
      </c>
      <c r="I33" s="73">
        <f t="shared" si="16"/>
        <v>2023</v>
      </c>
      <c r="J33" s="74">
        <f t="shared" si="16"/>
        <v>2024</v>
      </c>
      <c r="K33" s="73">
        <f t="shared" si="16"/>
        <v>2025</v>
      </c>
      <c r="L33" s="73">
        <f t="shared" si="16"/>
        <v>2026</v>
      </c>
      <c r="M33" s="73">
        <f t="shared" si="16"/>
        <v>2027</v>
      </c>
      <c r="N33" s="73">
        <f t="shared" si="16"/>
        <v>2028</v>
      </c>
    </row>
    <row r="34" spans="1:28" x14ac:dyDescent="0.2">
      <c r="B34" s="33" t="s">
        <v>79</v>
      </c>
      <c r="E34" s="85">
        <f>E13</f>
        <v>15073</v>
      </c>
      <c r="F34" s="85">
        <f t="shared" ref="F34:I34" si="17">F13</f>
        <v>13916</v>
      </c>
      <c r="G34" s="85">
        <f t="shared" si="17"/>
        <v>14655</v>
      </c>
      <c r="H34" s="85">
        <f t="shared" si="17"/>
        <v>15396</v>
      </c>
      <c r="I34" s="85">
        <f t="shared" si="17"/>
        <v>19308</v>
      </c>
      <c r="J34" s="108">
        <v>20423</v>
      </c>
      <c r="K34" s="109">
        <v>21259</v>
      </c>
      <c r="L34" s="109">
        <v>21883</v>
      </c>
      <c r="M34" s="109">
        <v>23049</v>
      </c>
      <c r="N34" s="109">
        <v>24380</v>
      </c>
    </row>
    <row r="35" spans="1:28" x14ac:dyDescent="0.2">
      <c r="B35" s="52" t="s">
        <v>110</v>
      </c>
      <c r="E35" s="76"/>
      <c r="F35" s="76"/>
      <c r="G35" s="78"/>
      <c r="H35" s="78"/>
      <c r="I35" s="76"/>
      <c r="J35" s="110"/>
      <c r="K35" s="111"/>
      <c r="L35" s="111"/>
      <c r="M35" s="109"/>
      <c r="N35" s="109"/>
      <c r="S35" s="54"/>
      <c r="W35" s="72"/>
      <c r="X35" s="72"/>
      <c r="Y35" s="72"/>
    </row>
    <row r="36" spans="1:28" x14ac:dyDescent="0.2">
      <c r="E36" s="54"/>
      <c r="F36" s="54"/>
      <c r="G36" s="54"/>
      <c r="H36" s="54"/>
      <c r="I36" s="54"/>
      <c r="J36" s="108"/>
      <c r="K36" s="109"/>
      <c r="L36" s="109"/>
      <c r="M36" s="109"/>
      <c r="N36" s="109"/>
      <c r="W36" s="72"/>
      <c r="X36" s="72"/>
      <c r="Y36" s="72"/>
    </row>
    <row r="37" spans="1:28" x14ac:dyDescent="0.2">
      <c r="B37" s="33" t="s">
        <v>109</v>
      </c>
      <c r="E37" s="85">
        <f>E16</f>
        <v>3724</v>
      </c>
      <c r="F37" s="85">
        <f t="shared" ref="F37:I37" si="18">F16</f>
        <v>3239</v>
      </c>
      <c r="G37" s="85">
        <f t="shared" si="18"/>
        <v>3302</v>
      </c>
      <c r="H37" s="85">
        <f t="shared" si="18"/>
        <v>3817</v>
      </c>
      <c r="I37" s="85">
        <f t="shared" si="18"/>
        <v>4460</v>
      </c>
      <c r="J37" s="108">
        <v>3040</v>
      </c>
      <c r="K37" s="109">
        <v>4450</v>
      </c>
      <c r="L37" s="109">
        <v>4814</v>
      </c>
      <c r="M37" s="109">
        <v>5312</v>
      </c>
      <c r="N37" s="109">
        <v>5869</v>
      </c>
      <c r="T37" s="64"/>
      <c r="U37" s="64"/>
      <c r="V37" s="64"/>
      <c r="W37" s="64"/>
      <c r="X37" s="64"/>
      <c r="Y37" s="64"/>
    </row>
    <row r="38" spans="1:28" ht="16" x14ac:dyDescent="0.2">
      <c r="B38" s="52" t="s">
        <v>108</v>
      </c>
      <c r="E38" s="76"/>
      <c r="F38" s="76"/>
      <c r="G38" s="78"/>
      <c r="H38" s="78"/>
      <c r="I38" s="97"/>
      <c r="J38" s="110"/>
      <c r="K38" s="111"/>
      <c r="L38" s="111"/>
      <c r="M38" s="109"/>
      <c r="N38" s="109"/>
      <c r="T38" s="71"/>
      <c r="U38" s="71"/>
      <c r="V38" s="71"/>
      <c r="W38" s="71"/>
      <c r="X38" s="71"/>
      <c r="Y38" s="71"/>
    </row>
    <row r="39" spans="1:28" x14ac:dyDescent="0.2">
      <c r="E39" s="54"/>
      <c r="F39" s="54"/>
      <c r="G39" s="54"/>
      <c r="H39" s="54"/>
      <c r="I39" s="54"/>
      <c r="J39" s="108"/>
      <c r="K39" s="109"/>
      <c r="L39" s="109"/>
      <c r="M39" s="109"/>
      <c r="N39" s="109"/>
      <c r="S39" s="54"/>
      <c r="W39" s="70"/>
      <c r="X39" s="70"/>
      <c r="Y39" s="70"/>
      <c r="Z39" s="54"/>
      <c r="AA39" s="54"/>
      <c r="AB39" s="54"/>
    </row>
    <row r="40" spans="1:28" x14ac:dyDescent="0.2">
      <c r="B40" s="33" t="s">
        <v>107</v>
      </c>
      <c r="E40" s="85">
        <f>E19</f>
        <v>712</v>
      </c>
      <c r="F40" s="85">
        <f t="shared" ref="F40:I40" si="19">F19</f>
        <v>580</v>
      </c>
      <c r="G40" s="85">
        <f t="shared" si="19"/>
        <v>569</v>
      </c>
      <c r="H40" s="85">
        <f t="shared" si="19"/>
        <v>609</v>
      </c>
      <c r="I40" s="85">
        <f t="shared" si="19"/>
        <v>517</v>
      </c>
      <c r="J40" s="108">
        <v>446</v>
      </c>
      <c r="K40" s="109">
        <v>527</v>
      </c>
      <c r="L40" s="109">
        <v>604</v>
      </c>
      <c r="M40" s="109">
        <v>701</v>
      </c>
      <c r="N40" s="109">
        <v>808</v>
      </c>
      <c r="S40" s="54"/>
      <c r="W40" s="70"/>
      <c r="X40" s="70"/>
      <c r="Y40" s="70"/>
      <c r="Z40" s="54"/>
      <c r="AA40" s="54"/>
      <c r="AB40" s="54"/>
    </row>
    <row r="41" spans="1:28" x14ac:dyDescent="0.2">
      <c r="B41" s="52" t="s">
        <v>106</v>
      </c>
      <c r="E41" s="76"/>
      <c r="F41" s="76"/>
      <c r="G41" s="78"/>
      <c r="H41" s="78"/>
      <c r="I41" s="76"/>
      <c r="J41" s="69"/>
      <c r="K41" s="68"/>
      <c r="L41" s="68"/>
      <c r="S41" s="54"/>
      <c r="W41" s="63"/>
      <c r="X41" s="63"/>
      <c r="Y41" s="63"/>
      <c r="Z41" s="54"/>
      <c r="AA41" s="54"/>
      <c r="AB41" s="54"/>
    </row>
    <row r="42" spans="1:28" x14ac:dyDescent="0.2">
      <c r="J42" s="48"/>
      <c r="S42" s="54"/>
      <c r="W42" s="67"/>
      <c r="X42" s="67"/>
      <c r="Y42" s="67"/>
      <c r="Z42" s="67"/>
      <c r="AA42" s="67"/>
      <c r="AB42" s="67"/>
    </row>
    <row r="43" spans="1:28" x14ac:dyDescent="0.2">
      <c r="B43" s="46" t="s">
        <v>105</v>
      </c>
      <c r="C43" s="45"/>
      <c r="D43" s="45"/>
      <c r="E43" s="45"/>
      <c r="F43" s="45"/>
      <c r="G43" s="45"/>
      <c r="H43" s="65"/>
      <c r="I43" s="65"/>
      <c r="J43" s="66">
        <f>J37-J40</f>
        <v>2594</v>
      </c>
      <c r="K43" s="65">
        <f t="shared" ref="K43:N43" si="20">K37-K40</f>
        <v>3923</v>
      </c>
      <c r="L43" s="65">
        <f t="shared" si="20"/>
        <v>4210</v>
      </c>
      <c r="M43" s="65">
        <f t="shared" si="20"/>
        <v>4611</v>
      </c>
      <c r="N43" s="112">
        <f t="shared" si="20"/>
        <v>5061</v>
      </c>
      <c r="S43" s="54"/>
      <c r="W43" s="63"/>
      <c r="X43" s="63"/>
      <c r="Y43" s="63"/>
      <c r="Z43" s="63"/>
      <c r="AA43" s="63"/>
      <c r="AB43" s="63"/>
    </row>
    <row r="44" spans="1:28" x14ac:dyDescent="0.2">
      <c r="I44" s="64"/>
      <c r="J44" s="48"/>
      <c r="S44" s="54"/>
      <c r="W44" s="54"/>
      <c r="X44" s="54"/>
      <c r="Y44" s="54"/>
      <c r="Z44" s="54"/>
      <c r="AA44" s="54"/>
      <c r="AB44" s="54"/>
    </row>
    <row r="45" spans="1:28" x14ac:dyDescent="0.2">
      <c r="B45" s="33" t="s">
        <v>104</v>
      </c>
      <c r="E45" s="61"/>
      <c r="F45" s="61"/>
      <c r="G45" s="61"/>
      <c r="H45" s="61"/>
      <c r="I45" s="113"/>
      <c r="J45" s="61">
        <f t="shared" ref="J45:N45" si="21">J23</f>
        <v>3574.0249999999996</v>
      </c>
      <c r="K45" s="61">
        <f t="shared" si="21"/>
        <v>3720.3249999999998</v>
      </c>
      <c r="L45" s="61">
        <f t="shared" si="21"/>
        <v>3829.5249999999996</v>
      </c>
      <c r="M45" s="61">
        <f t="shared" si="21"/>
        <v>4033.5749999999998</v>
      </c>
      <c r="N45" s="61">
        <f t="shared" si="21"/>
        <v>4266.5</v>
      </c>
      <c r="S45" s="54"/>
    </row>
    <row r="46" spans="1:28" x14ac:dyDescent="0.2">
      <c r="B46" s="52" t="s">
        <v>101</v>
      </c>
      <c r="E46" s="60"/>
      <c r="F46" s="60"/>
      <c r="G46" s="59"/>
      <c r="H46" s="57"/>
      <c r="I46" s="57"/>
      <c r="J46" s="58">
        <f>J24</f>
        <v>0.17499999999999999</v>
      </c>
      <c r="K46" s="57">
        <f t="shared" ref="K46:N46" si="22">K24</f>
        <v>0.17499999999999999</v>
      </c>
      <c r="L46" s="57">
        <f t="shared" si="22"/>
        <v>0.17499999999999999</v>
      </c>
      <c r="M46" s="57">
        <f t="shared" si="22"/>
        <v>0.17499999999999999</v>
      </c>
      <c r="N46" s="57">
        <f t="shared" si="22"/>
        <v>0.17499999999999999</v>
      </c>
      <c r="S46" s="54"/>
      <c r="W46" s="63"/>
      <c r="X46" s="63"/>
      <c r="Y46" s="63"/>
    </row>
    <row r="47" spans="1:28" x14ac:dyDescent="0.2">
      <c r="J47" s="48"/>
    </row>
    <row r="48" spans="1:28" x14ac:dyDescent="0.2">
      <c r="B48" s="33" t="s">
        <v>103</v>
      </c>
      <c r="E48" s="61"/>
      <c r="F48" s="61"/>
      <c r="G48" s="61"/>
      <c r="H48" s="61"/>
      <c r="I48" s="61"/>
      <c r="J48" s="62">
        <f>J27</f>
        <v>3880.37</v>
      </c>
      <c r="K48" s="61">
        <f t="shared" ref="K48:N48" si="23">K27</f>
        <v>4039.21</v>
      </c>
      <c r="L48" s="61">
        <f t="shared" si="23"/>
        <v>4157.7700000000004</v>
      </c>
      <c r="M48" s="61">
        <f t="shared" si="23"/>
        <v>4379.3100000000004</v>
      </c>
      <c r="N48" s="61">
        <f t="shared" si="23"/>
        <v>4632.2</v>
      </c>
      <c r="S48" s="54"/>
    </row>
    <row r="49" spans="1:28" x14ac:dyDescent="0.2">
      <c r="B49" s="52" t="s">
        <v>101</v>
      </c>
      <c r="E49" s="60"/>
      <c r="F49" s="60"/>
      <c r="G49" s="59"/>
      <c r="H49" s="57"/>
      <c r="I49" s="57"/>
      <c r="J49" s="58">
        <f>J28</f>
        <v>0.19</v>
      </c>
      <c r="K49" s="57">
        <f t="shared" ref="K49:N49" si="24">K28</f>
        <v>0.19</v>
      </c>
      <c r="L49" s="57">
        <f t="shared" si="24"/>
        <v>0.19000000000000003</v>
      </c>
      <c r="M49" s="57">
        <f t="shared" si="24"/>
        <v>0.19000000000000003</v>
      </c>
      <c r="N49" s="57">
        <f t="shared" si="24"/>
        <v>0.19</v>
      </c>
      <c r="S49" s="54"/>
      <c r="W49" s="53"/>
      <c r="X49" s="53"/>
      <c r="Y49" s="53"/>
      <c r="Z49" s="53"/>
      <c r="AA49" s="53"/>
      <c r="AB49" s="53"/>
    </row>
    <row r="50" spans="1:28" x14ac:dyDescent="0.2">
      <c r="J50" s="48"/>
    </row>
    <row r="51" spans="1:28" x14ac:dyDescent="0.2">
      <c r="B51" s="33" t="s">
        <v>102</v>
      </c>
      <c r="E51" s="56"/>
      <c r="F51" s="56"/>
      <c r="G51" s="56"/>
      <c r="H51" s="41"/>
      <c r="I51" s="41"/>
      <c r="J51" s="55">
        <f>J52*J34</f>
        <v>-271.09180246577444</v>
      </c>
      <c r="K51" s="41">
        <f t="shared" ref="K51:N51" si="25">K52*K34</f>
        <v>-282.18873958869409</v>
      </c>
      <c r="L51" s="41">
        <f t="shared" si="25"/>
        <v>-290.47162088618433</v>
      </c>
      <c r="M51" s="41">
        <f t="shared" si="25"/>
        <v>-305.94892792604588</v>
      </c>
      <c r="N51" s="41">
        <f t="shared" si="25"/>
        <v>-323.61641992437848</v>
      </c>
      <c r="S51" s="54"/>
      <c r="W51" s="53"/>
      <c r="X51" s="53"/>
      <c r="Y51" s="53"/>
    </row>
    <row r="52" spans="1:28" x14ac:dyDescent="0.2">
      <c r="B52" s="52" t="s">
        <v>101</v>
      </c>
      <c r="E52" s="51"/>
      <c r="F52" s="51"/>
      <c r="G52" s="51"/>
      <c r="H52" s="51"/>
      <c r="I52" s="49"/>
      <c r="J52" s="50">
        <f>AVERAGE(G31:I31)</f>
        <v>-1.3273848233157443E-2</v>
      </c>
      <c r="K52" s="49">
        <f>J52</f>
        <v>-1.3273848233157443E-2</v>
      </c>
      <c r="L52" s="49">
        <f t="shared" ref="L52:N52" si="26">K52</f>
        <v>-1.3273848233157443E-2</v>
      </c>
      <c r="M52" s="49">
        <f t="shared" si="26"/>
        <v>-1.3273848233157443E-2</v>
      </c>
      <c r="N52" s="49">
        <f t="shared" si="26"/>
        <v>-1.3273848233157443E-2</v>
      </c>
    </row>
    <row r="53" spans="1:28" x14ac:dyDescent="0.2">
      <c r="J53" s="48"/>
    </row>
    <row r="54" spans="1:28" x14ac:dyDescent="0.2">
      <c r="B54" s="46" t="s">
        <v>100</v>
      </c>
      <c r="C54" s="45"/>
      <c r="D54" s="45"/>
      <c r="E54" s="45"/>
      <c r="F54" s="45"/>
      <c r="G54" s="45"/>
      <c r="H54" s="44"/>
      <c r="I54" s="44"/>
      <c r="J54" s="116">
        <f>J43+J45-J48-J51</f>
        <v>2558.7468024657742</v>
      </c>
      <c r="K54" s="114">
        <f t="shared" ref="K54:N54" si="27">K43+K45-K48-K51</f>
        <v>3886.303739588694</v>
      </c>
      <c r="L54" s="114">
        <f t="shared" si="27"/>
        <v>4172.2266208861838</v>
      </c>
      <c r="M54" s="114">
        <f t="shared" si="27"/>
        <v>4571.2139279260464</v>
      </c>
      <c r="N54" s="115">
        <f t="shared" si="27"/>
        <v>5018.9164199243787</v>
      </c>
    </row>
    <row r="55" spans="1:28" x14ac:dyDescent="0.2">
      <c r="B55" s="46" t="s">
        <v>99</v>
      </c>
      <c r="C55" s="45"/>
      <c r="D55" s="45"/>
      <c r="E55" s="45"/>
      <c r="F55" s="45"/>
      <c r="G55" s="45"/>
      <c r="H55" s="44"/>
      <c r="I55" s="43"/>
      <c r="J55" s="117">
        <f>J54/((1+wacc)^J32)</f>
        <v>2409.3661040167362</v>
      </c>
      <c r="K55" s="118">
        <f>K54/(1+wacc)^K32</f>
        <v>3445.7812778972038</v>
      </c>
      <c r="L55" s="118">
        <f>L54/(1+wacc)^L32</f>
        <v>3483.3277493631349</v>
      </c>
      <c r="M55" s="118">
        <f>M54/(1+wacc)^M32</f>
        <v>3593.6309860750825</v>
      </c>
      <c r="N55" s="119">
        <f>N54/(1+wacc)^N32</f>
        <v>3715.2443269815303</v>
      </c>
    </row>
    <row r="56" spans="1:28" x14ac:dyDescent="0.2">
      <c r="H56" s="42"/>
    </row>
    <row r="57" spans="1:28" x14ac:dyDescent="0.2">
      <c r="A57" s="33" t="s">
        <v>91</v>
      </c>
      <c r="B57" s="33" t="s">
        <v>98</v>
      </c>
      <c r="H57" s="42"/>
      <c r="L57" s="41"/>
      <c r="N57" s="47">
        <f>N54*(1+tgr)/(wacc-tgr)</f>
        <v>121887.9701981635</v>
      </c>
    </row>
    <row r="58" spans="1:28" x14ac:dyDescent="0.2">
      <c r="B58" s="36" t="s">
        <v>97</v>
      </c>
      <c r="C58" s="36"/>
      <c r="D58" s="36"/>
      <c r="E58" s="36"/>
      <c r="F58" s="36"/>
      <c r="G58" s="36"/>
      <c r="H58" s="36"/>
      <c r="I58" s="36"/>
      <c r="J58" s="36"/>
      <c r="K58" s="36"/>
      <c r="L58" s="40"/>
      <c r="N58" s="47">
        <f>N57/(1+wacc)^N32</f>
        <v>90227.362226694328</v>
      </c>
    </row>
    <row r="59" spans="1:28" x14ac:dyDescent="0.2">
      <c r="B59" s="34" t="s">
        <v>96</v>
      </c>
      <c r="C59" s="34"/>
      <c r="D59" s="34"/>
      <c r="E59" s="34"/>
      <c r="F59" s="34"/>
      <c r="G59" s="34"/>
      <c r="H59" s="34"/>
      <c r="I59" s="34"/>
      <c r="J59" s="34"/>
      <c r="K59" s="34"/>
      <c r="L59" s="37">
        <f>N58+J55+K55+L55+M55+N55</f>
        <v>106874.712671028</v>
      </c>
    </row>
    <row r="60" spans="1:28" x14ac:dyDescent="0.2">
      <c r="B60" s="39" t="s">
        <v>95</v>
      </c>
      <c r="L60" s="120">
        <v>800</v>
      </c>
    </row>
    <row r="61" spans="1:28" x14ac:dyDescent="0.2">
      <c r="B61" s="38" t="s">
        <v>94</v>
      </c>
      <c r="C61" s="36"/>
      <c r="D61" s="36"/>
      <c r="E61" s="36"/>
      <c r="F61" s="36"/>
      <c r="G61" s="36"/>
      <c r="H61" s="36"/>
      <c r="I61" s="36"/>
      <c r="J61" s="36"/>
      <c r="K61" s="36"/>
      <c r="L61" s="121">
        <v>46050</v>
      </c>
    </row>
    <row r="62" spans="1:28" x14ac:dyDescent="0.2">
      <c r="B62" s="34" t="s">
        <v>93</v>
      </c>
      <c r="C62" s="34"/>
      <c r="D62" s="34"/>
      <c r="E62" s="34"/>
      <c r="F62" s="34"/>
      <c r="G62" s="34"/>
      <c r="H62" s="34"/>
      <c r="I62" s="34"/>
      <c r="J62" s="34"/>
      <c r="K62" s="34"/>
      <c r="L62" s="37">
        <f>L59+L60-L61</f>
        <v>61624.712671027999</v>
      </c>
    </row>
    <row r="63" spans="1:28" x14ac:dyDescent="0.2">
      <c r="B63" s="36" t="s">
        <v>92</v>
      </c>
      <c r="C63" s="36"/>
      <c r="D63" s="36"/>
      <c r="E63" s="36"/>
      <c r="F63" s="36"/>
      <c r="G63" s="36"/>
      <c r="H63" s="36"/>
      <c r="I63" s="36"/>
      <c r="J63" s="36"/>
      <c r="K63" s="36"/>
      <c r="L63" s="35">
        <v>541</v>
      </c>
    </row>
    <row r="64" spans="1:28" x14ac:dyDescent="0.2">
      <c r="A64" s="33" t="s">
        <v>91</v>
      </c>
      <c r="B64" s="34" t="s">
        <v>90</v>
      </c>
      <c r="C64" s="34"/>
      <c r="D64" s="34"/>
      <c r="E64" s="34"/>
      <c r="F64" s="34"/>
      <c r="G64" s="34"/>
      <c r="H64" s="34"/>
      <c r="I64" s="34"/>
      <c r="J64" s="34"/>
      <c r="K64" s="34"/>
      <c r="L64" s="122">
        <f>L62/L63</f>
        <v>113.90889587990388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88B21-493B-0F48-8064-8C107EF23576}">
  <dimension ref="C1:G24"/>
  <sheetViews>
    <sheetView workbookViewId="0">
      <selection activeCell="D10" sqref="D10"/>
    </sheetView>
  </sheetViews>
  <sheetFormatPr baseColWidth="10" defaultRowHeight="16" x14ac:dyDescent="0.2"/>
  <cols>
    <col min="3" max="3" width="21.6640625" customWidth="1"/>
    <col min="4" max="4" width="22.6640625" customWidth="1"/>
    <col min="5" max="5" width="26" customWidth="1"/>
    <col min="6" max="6" width="26.33203125" customWidth="1"/>
    <col min="7" max="7" width="24.33203125" customWidth="1"/>
  </cols>
  <sheetData>
    <row r="1" spans="3:7" ht="17" thickBot="1" x14ac:dyDescent="0.25"/>
    <row r="2" spans="3:7" ht="23" thickBot="1" x14ac:dyDescent="0.35">
      <c r="D2" s="3" t="s">
        <v>1</v>
      </c>
      <c r="E2" s="2" t="s">
        <v>0</v>
      </c>
      <c r="F2" s="1"/>
    </row>
    <row r="3" spans="3:7" ht="17" thickBot="1" x14ac:dyDescent="0.25">
      <c r="C3" t="s">
        <v>16</v>
      </c>
    </row>
    <row r="4" spans="3:7" ht="20" thickBot="1" x14ac:dyDescent="0.3">
      <c r="C4" s="127" t="s">
        <v>2</v>
      </c>
      <c r="D4" s="128"/>
      <c r="F4" s="129" t="s">
        <v>8</v>
      </c>
      <c r="G4" s="130"/>
    </row>
    <row r="5" spans="3:7" x14ac:dyDescent="0.2">
      <c r="C5" s="4" t="s">
        <v>122</v>
      </c>
      <c r="D5" s="9">
        <v>2054</v>
      </c>
      <c r="F5" s="4" t="s">
        <v>9</v>
      </c>
      <c r="G5" s="10">
        <v>3.6299999999999999E-2</v>
      </c>
    </row>
    <row r="6" spans="3:7" x14ac:dyDescent="0.2">
      <c r="C6" s="4" t="s">
        <v>3</v>
      </c>
      <c r="D6" s="9">
        <f>39755+2580</f>
        <v>42335</v>
      </c>
      <c r="F6" s="4" t="s">
        <v>17</v>
      </c>
      <c r="G6" s="5">
        <v>0.81</v>
      </c>
    </row>
    <row r="7" spans="3:7" x14ac:dyDescent="0.2">
      <c r="C7" s="4" t="s">
        <v>2</v>
      </c>
      <c r="D7" s="12">
        <f>D5/D6</f>
        <v>4.8517774890752333E-2</v>
      </c>
      <c r="F7" s="4" t="s">
        <v>10</v>
      </c>
      <c r="G7" s="13">
        <v>0.09</v>
      </c>
    </row>
    <row r="8" spans="3:7" ht="17" thickBot="1" x14ac:dyDescent="0.25">
      <c r="C8" s="4" t="s">
        <v>4</v>
      </c>
      <c r="D8" s="9">
        <v>517</v>
      </c>
      <c r="F8" s="6" t="s">
        <v>8</v>
      </c>
      <c r="G8" s="11">
        <f>(G5)+(G6)*(G7-G5)</f>
        <v>7.9797000000000007E-2</v>
      </c>
    </row>
    <row r="9" spans="3:7" x14ac:dyDescent="0.2">
      <c r="C9" s="4" t="s">
        <v>5</v>
      </c>
      <c r="D9" s="9">
        <v>1366</v>
      </c>
    </row>
    <row r="10" spans="3:7" x14ac:dyDescent="0.2">
      <c r="C10" s="4" t="s">
        <v>6</v>
      </c>
      <c r="D10" s="12">
        <f>D8/D9</f>
        <v>0.37847730600292828</v>
      </c>
    </row>
    <row r="11" spans="3:7" ht="17" thickBot="1" x14ac:dyDescent="0.25">
      <c r="C11" s="6" t="s">
        <v>7</v>
      </c>
      <c r="D11" s="11">
        <f>D7*(1-D10)</f>
        <v>3.0154898156843871E-2</v>
      </c>
    </row>
    <row r="13" spans="3:7" ht="17" thickBot="1" x14ac:dyDescent="0.25"/>
    <row r="14" spans="3:7" ht="19" x14ac:dyDescent="0.25">
      <c r="D14" s="131" t="s">
        <v>11</v>
      </c>
      <c r="E14" s="132"/>
      <c r="F14" s="133"/>
    </row>
    <row r="15" spans="3:7" x14ac:dyDescent="0.2">
      <c r="D15" s="4" t="s">
        <v>3</v>
      </c>
      <c r="E15" s="14">
        <v>42335</v>
      </c>
      <c r="F15" s="12">
        <f>E15/E17</f>
        <v>0.59168413696715583</v>
      </c>
    </row>
    <row r="16" spans="3:7" x14ac:dyDescent="0.2">
      <c r="D16" s="4" t="s">
        <v>12</v>
      </c>
      <c r="E16" s="14">
        <v>29215</v>
      </c>
      <c r="F16" s="12">
        <f>E16/E17</f>
        <v>0.40831586303284417</v>
      </c>
    </row>
    <row r="17" spans="3:6" ht="17" thickBot="1" x14ac:dyDescent="0.25">
      <c r="D17" s="6" t="s">
        <v>13</v>
      </c>
      <c r="E17" s="15">
        <f>E15+E16</f>
        <v>71550</v>
      </c>
      <c r="F17" s="7"/>
    </row>
    <row r="20" spans="3:6" ht="17" thickBot="1" x14ac:dyDescent="0.25"/>
    <row r="21" spans="3:6" ht="17" thickBot="1" x14ac:dyDescent="0.25">
      <c r="D21" s="8" t="s">
        <v>14</v>
      </c>
      <c r="E21" s="16">
        <f>(F15*D11)+(F16*G8)</f>
        <v>5.0424555813696509E-2</v>
      </c>
    </row>
    <row r="24" spans="3:6" x14ac:dyDescent="0.2">
      <c r="C24" t="s">
        <v>15</v>
      </c>
    </row>
  </sheetData>
  <mergeCells count="3">
    <mergeCell ref="C4:D4"/>
    <mergeCell ref="F4:G4"/>
    <mergeCell ref="D14:F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B5DF-26F5-844A-AD31-64CC2202F2AD}">
  <dimension ref="A1:J31"/>
  <sheetViews>
    <sheetView workbookViewId="0">
      <selection activeCell="B13" sqref="B13"/>
    </sheetView>
  </sheetViews>
  <sheetFormatPr baseColWidth="10" defaultRowHeight="16" x14ac:dyDescent="0.2"/>
  <cols>
    <col min="1" max="1" width="32.1640625" customWidth="1"/>
  </cols>
  <sheetData>
    <row r="1" spans="1:10" x14ac:dyDescent="0.2">
      <c r="A1" s="134" t="s">
        <v>45</v>
      </c>
      <c r="B1" s="134"/>
      <c r="C1" s="134"/>
      <c r="D1" s="134"/>
      <c r="E1" s="134"/>
      <c r="F1" s="134"/>
      <c r="G1" s="18"/>
      <c r="H1" s="18"/>
      <c r="I1" s="18"/>
      <c r="J1" s="18"/>
    </row>
    <row r="2" spans="1:10" ht="19" customHeight="1" x14ac:dyDescent="0.2">
      <c r="A2" s="19" t="s">
        <v>44</v>
      </c>
      <c r="B2" s="19" t="s">
        <v>43</v>
      </c>
      <c r="C2" s="19" t="s">
        <v>42</v>
      </c>
      <c r="D2" s="19" t="s">
        <v>41</v>
      </c>
      <c r="E2" s="19" t="s">
        <v>40</v>
      </c>
      <c r="F2" s="19" t="s">
        <v>39</v>
      </c>
      <c r="G2" s="18"/>
      <c r="H2" s="18"/>
      <c r="I2" s="18"/>
      <c r="J2" s="18"/>
    </row>
    <row r="3" spans="1:10" x14ac:dyDescent="0.2">
      <c r="A3" s="20"/>
      <c r="B3" s="18"/>
      <c r="C3" s="18"/>
      <c r="D3" s="18"/>
      <c r="E3" s="18"/>
      <c r="F3" s="18"/>
      <c r="G3" s="18"/>
      <c r="H3" s="18"/>
      <c r="I3" s="18"/>
      <c r="J3" s="18"/>
    </row>
    <row r="4" spans="1:10" x14ac:dyDescent="0.2">
      <c r="A4" s="21" t="s">
        <v>38</v>
      </c>
      <c r="B4" s="18">
        <v>849</v>
      </c>
      <c r="C4" s="18">
        <v>1680</v>
      </c>
      <c r="D4" s="18">
        <v>1558</v>
      </c>
      <c r="E4" s="18">
        <v>1592</v>
      </c>
      <c r="F4" s="18">
        <v>2043</v>
      </c>
      <c r="G4" s="18"/>
      <c r="H4" s="18"/>
      <c r="I4" s="18"/>
      <c r="J4" s="18"/>
    </row>
    <row r="5" spans="1:10" x14ac:dyDescent="0.2">
      <c r="A5" s="21" t="s">
        <v>37</v>
      </c>
      <c r="B5" s="18">
        <v>4121</v>
      </c>
      <c r="C5" s="18">
        <v>2576</v>
      </c>
      <c r="D5" s="18">
        <v>2585</v>
      </c>
      <c r="E5" s="18">
        <v>2618</v>
      </c>
      <c r="F5" s="18">
        <v>2488</v>
      </c>
      <c r="G5" s="18"/>
      <c r="H5" s="18"/>
      <c r="I5" s="18"/>
      <c r="J5" s="18"/>
    </row>
    <row r="6" spans="1:10" x14ac:dyDescent="0.2">
      <c r="A6" s="21" t="s">
        <v>36</v>
      </c>
      <c r="B6" s="18">
        <v>70</v>
      </c>
      <c r="C6" s="18">
        <v>61</v>
      </c>
      <c r="D6" s="18">
        <v>68</v>
      </c>
      <c r="E6" s="18">
        <v>77</v>
      </c>
      <c r="F6" s="18">
        <v>77</v>
      </c>
      <c r="G6" s="18"/>
      <c r="H6" s="18"/>
      <c r="I6" s="18"/>
      <c r="J6" s="18"/>
    </row>
    <row r="7" spans="1:10" x14ac:dyDescent="0.2">
      <c r="A7" s="21" t="s">
        <v>35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/>
      <c r="H7" s="18"/>
      <c r="I7" s="18"/>
      <c r="J7" s="18"/>
    </row>
    <row r="8" spans="1:10" x14ac:dyDescent="0.2">
      <c r="A8" s="21" t="s">
        <v>34</v>
      </c>
      <c r="B8" s="18">
        <v>3027</v>
      </c>
      <c r="C8" s="18">
        <v>1837</v>
      </c>
      <c r="D8" s="18">
        <v>1415</v>
      </c>
      <c r="E8" s="18">
        <v>1593</v>
      </c>
      <c r="F8" s="18">
        <v>1235</v>
      </c>
      <c r="G8" s="18"/>
      <c r="H8" s="18"/>
      <c r="I8" s="18"/>
      <c r="J8" s="18"/>
    </row>
    <row r="9" spans="1:10" x14ac:dyDescent="0.2">
      <c r="A9" s="21" t="s">
        <v>33</v>
      </c>
      <c r="B9" s="18">
        <v>439</v>
      </c>
      <c r="C9" s="18">
        <v>455</v>
      </c>
      <c r="D9" s="18">
        <v>700</v>
      </c>
      <c r="E9" s="18">
        <v>418</v>
      </c>
      <c r="F9" s="18">
        <v>400</v>
      </c>
      <c r="G9" s="18"/>
      <c r="H9" s="18"/>
      <c r="I9" s="18"/>
      <c r="J9" s="18"/>
    </row>
    <row r="10" spans="1:10" x14ac:dyDescent="0.2">
      <c r="A10" s="21" t="s">
        <v>32</v>
      </c>
      <c r="B10" s="18">
        <v>1780</v>
      </c>
      <c r="C10" s="18">
        <v>1054</v>
      </c>
      <c r="D10" s="18">
        <v>802</v>
      </c>
      <c r="E10" s="18">
        <v>808</v>
      </c>
      <c r="F10" s="18">
        <v>779</v>
      </c>
      <c r="G10" s="18"/>
      <c r="H10" s="18"/>
      <c r="I10" s="18"/>
      <c r="J10" s="18"/>
    </row>
    <row r="11" spans="1:10" x14ac:dyDescent="0.2">
      <c r="A11" s="21" t="s">
        <v>31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/>
      <c r="H11" s="18"/>
      <c r="I11" s="18"/>
      <c r="J11" s="18"/>
    </row>
    <row r="12" spans="1:10" x14ac:dyDescent="0.2">
      <c r="A12" s="21" t="s">
        <v>30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/>
      <c r="H12" s="18"/>
      <c r="I12" s="18"/>
      <c r="J12" s="18"/>
    </row>
    <row r="13" spans="1:10" x14ac:dyDescent="0.2">
      <c r="A13" s="21" t="s">
        <v>29</v>
      </c>
      <c r="B13" s="18">
        <v>-2846</v>
      </c>
      <c r="C13" s="18">
        <v>-1661</v>
      </c>
      <c r="D13" s="18">
        <v>-1465</v>
      </c>
      <c r="E13" s="18">
        <v>-1559</v>
      </c>
      <c r="F13" s="18">
        <v>-1317</v>
      </c>
      <c r="G13" s="18"/>
      <c r="H13" s="18"/>
      <c r="I13" s="18"/>
      <c r="J13" s="18"/>
    </row>
    <row r="14" spans="1:10" x14ac:dyDescent="0.2">
      <c r="A14" s="21" t="s">
        <v>28</v>
      </c>
      <c r="B14" s="18">
        <v>5221</v>
      </c>
      <c r="C14" s="18">
        <v>4493</v>
      </c>
      <c r="D14" s="18">
        <v>4161</v>
      </c>
      <c r="E14" s="18">
        <v>4321</v>
      </c>
      <c r="F14" s="18">
        <v>4526</v>
      </c>
      <c r="G14" s="18"/>
      <c r="H14" s="18"/>
      <c r="I14" s="18"/>
      <c r="J14" s="18"/>
    </row>
    <row r="15" spans="1:10" x14ac:dyDescent="0.2">
      <c r="A15" s="22"/>
      <c r="B15" s="18"/>
      <c r="C15" s="18"/>
      <c r="D15" s="18"/>
      <c r="E15" s="18"/>
      <c r="F15" s="18"/>
      <c r="G15" s="18"/>
      <c r="H15" s="18"/>
      <c r="I15" s="18"/>
      <c r="J15" s="18"/>
    </row>
    <row r="16" spans="1:10" x14ac:dyDescent="0.2">
      <c r="A16" s="21" t="s">
        <v>27</v>
      </c>
      <c r="B16" s="18">
        <v>-4008</v>
      </c>
      <c r="C16" s="18">
        <v>-3122</v>
      </c>
      <c r="D16" s="18">
        <v>-2842</v>
      </c>
      <c r="E16" s="18">
        <v>-2369</v>
      </c>
      <c r="F16" s="18">
        <v>-2867</v>
      </c>
      <c r="G16" s="18"/>
      <c r="H16" s="18"/>
      <c r="I16" s="18"/>
      <c r="J16" s="18"/>
    </row>
    <row r="17" spans="1:10" x14ac:dyDescent="0.2">
      <c r="A17" s="21" t="s">
        <v>26</v>
      </c>
      <c r="B17" s="18">
        <v>-16192</v>
      </c>
      <c r="C17" s="18">
        <v>-141</v>
      </c>
      <c r="D17" s="18">
        <v>-3291</v>
      </c>
      <c r="E17" s="18">
        <v>-189</v>
      </c>
      <c r="F17" s="18">
        <v>-1745</v>
      </c>
      <c r="G17" s="18"/>
      <c r="H17" s="18"/>
      <c r="I17" s="18"/>
      <c r="J17" s="18"/>
    </row>
    <row r="18" spans="1:10" x14ac:dyDescent="0.2">
      <c r="A18" s="21" t="s">
        <v>25</v>
      </c>
      <c r="B18" s="18">
        <v>-20200</v>
      </c>
      <c r="C18" s="18">
        <v>-3263</v>
      </c>
      <c r="D18" s="18">
        <v>-6133</v>
      </c>
      <c r="E18" s="18">
        <v>-2558</v>
      </c>
      <c r="F18" s="18">
        <v>-4612</v>
      </c>
      <c r="G18" s="18"/>
      <c r="H18" s="18"/>
      <c r="I18" s="18"/>
      <c r="J18" s="18"/>
    </row>
    <row r="19" spans="1:10" x14ac:dyDescent="0.2">
      <c r="A19" s="22"/>
      <c r="B19" s="18"/>
      <c r="C19" s="18"/>
      <c r="D19" s="18"/>
      <c r="E19" s="18"/>
      <c r="F19" s="18"/>
      <c r="G19" s="18"/>
      <c r="H19" s="18"/>
      <c r="I19" s="18"/>
      <c r="J19" s="18"/>
    </row>
    <row r="20" spans="1:10" x14ac:dyDescent="0.2">
      <c r="A20" s="21" t="s">
        <v>24</v>
      </c>
      <c r="B20" s="18">
        <v>208</v>
      </c>
      <c r="C20" s="18">
        <v>-737</v>
      </c>
      <c r="D20" s="18">
        <v>-39</v>
      </c>
      <c r="E20" s="18">
        <v>57</v>
      </c>
      <c r="F20" s="18">
        <v>-201</v>
      </c>
      <c r="G20" s="18"/>
      <c r="H20" s="18"/>
      <c r="I20" s="18"/>
      <c r="J20" s="18"/>
    </row>
    <row r="21" spans="1:10" x14ac:dyDescent="0.2">
      <c r="A21" s="21" t="s">
        <v>23</v>
      </c>
      <c r="B21" s="18">
        <v>-960</v>
      </c>
      <c r="C21" s="18">
        <v>-1010</v>
      </c>
      <c r="D21" s="18">
        <v>-1010</v>
      </c>
      <c r="E21" s="18">
        <v>-1011</v>
      </c>
      <c r="F21" s="18">
        <v>-1016</v>
      </c>
      <c r="G21" s="18"/>
      <c r="H21" s="18"/>
      <c r="I21" s="18"/>
      <c r="J21" s="18"/>
    </row>
    <row r="22" spans="1:10" x14ac:dyDescent="0.2">
      <c r="A22" s="21" t="s">
        <v>22</v>
      </c>
      <c r="B22" s="18">
        <v>0</v>
      </c>
      <c r="C22" s="18">
        <v>0</v>
      </c>
      <c r="D22" s="18">
        <v>0</v>
      </c>
      <c r="E22" s="18">
        <v>0</v>
      </c>
      <c r="F22" s="18">
        <v>-655</v>
      </c>
      <c r="G22" s="18"/>
      <c r="H22" s="18"/>
      <c r="I22" s="18"/>
      <c r="J22" s="18"/>
    </row>
    <row r="23" spans="1:10" x14ac:dyDescent="0.2">
      <c r="A23" s="21" t="s">
        <v>21</v>
      </c>
      <c r="B23" s="18">
        <v>3231</v>
      </c>
      <c r="C23" s="18">
        <v>13102</v>
      </c>
      <c r="D23" s="18">
        <v>1252</v>
      </c>
      <c r="E23" s="18">
        <v>1181</v>
      </c>
      <c r="F23" s="18">
        <v>2047</v>
      </c>
      <c r="G23" s="18"/>
      <c r="H23" s="18"/>
      <c r="I23" s="18"/>
      <c r="J23" s="18"/>
    </row>
    <row r="24" spans="1:10" x14ac:dyDescent="0.2">
      <c r="A24" s="21" t="s">
        <v>20</v>
      </c>
      <c r="B24" s="18">
        <v>2479</v>
      </c>
      <c r="C24" s="18">
        <v>11355</v>
      </c>
      <c r="D24" s="18">
        <v>203</v>
      </c>
      <c r="E24" s="18">
        <v>227</v>
      </c>
      <c r="F24" s="18">
        <v>175</v>
      </c>
      <c r="G24" s="18"/>
      <c r="H24" s="18"/>
      <c r="I24" s="18"/>
      <c r="J24" s="18"/>
    </row>
    <row r="25" spans="1:10" x14ac:dyDescent="0.2">
      <c r="A25" s="22"/>
      <c r="B25" s="18"/>
      <c r="C25" s="18"/>
      <c r="D25" s="18"/>
      <c r="E25" s="18"/>
      <c r="F25" s="18"/>
      <c r="G25" s="18"/>
      <c r="H25" s="18"/>
      <c r="I25" s="18"/>
      <c r="J25" s="18"/>
    </row>
    <row r="26" spans="1:10" x14ac:dyDescent="0.2">
      <c r="A26" s="21" t="s">
        <v>19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/>
      <c r="H26" s="18"/>
      <c r="I26" s="18"/>
      <c r="J26" s="18"/>
    </row>
    <row r="27" spans="1:10" x14ac:dyDescent="0.2">
      <c r="A27" s="21" t="s">
        <v>18</v>
      </c>
      <c r="B27" s="18">
        <v>-12500</v>
      </c>
      <c r="C27" s="18">
        <v>12585</v>
      </c>
      <c r="D27" s="18">
        <v>-1769</v>
      </c>
      <c r="E27" s="18">
        <v>1990</v>
      </c>
      <c r="F27" s="18">
        <v>89</v>
      </c>
      <c r="G27" s="18"/>
      <c r="H27" s="18"/>
      <c r="I27" s="18"/>
      <c r="J27" s="18"/>
    </row>
    <row r="28" spans="1:10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</row>
    <row r="29" spans="1:10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</row>
    <row r="30" spans="1:10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</row>
    <row r="31" spans="1:10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B9A2-0939-6C41-A1B8-9F0386E43569}">
  <sheetPr>
    <pageSetUpPr fitToPage="1"/>
  </sheetPr>
  <dimension ref="A1:I41"/>
  <sheetViews>
    <sheetView showGridLines="0" workbookViewId="0">
      <selection activeCell="A22" sqref="A22"/>
    </sheetView>
  </sheetViews>
  <sheetFormatPr baseColWidth="10" defaultColWidth="8.33203125" defaultRowHeight="20" customHeight="1" x14ac:dyDescent="0.2"/>
  <cols>
    <col min="1" max="1" width="25.5" style="17" customWidth="1"/>
    <col min="2" max="6" width="9" style="17" customWidth="1"/>
    <col min="7" max="7" width="8.33203125" style="17" customWidth="1"/>
    <col min="8" max="16384" width="8.33203125" style="17"/>
  </cols>
  <sheetData>
    <row r="1" spans="1:6" ht="27.75" customHeight="1" x14ac:dyDescent="0.2">
      <c r="A1" s="135" t="s">
        <v>46</v>
      </c>
      <c r="B1" s="135"/>
      <c r="C1" s="135"/>
      <c r="D1" s="135"/>
      <c r="E1" s="135"/>
      <c r="F1" s="135"/>
    </row>
    <row r="2" spans="1:6" ht="20.25" customHeight="1" x14ac:dyDescent="0.2">
      <c r="A2" s="23" t="s">
        <v>44</v>
      </c>
      <c r="B2" s="23" t="s">
        <v>43</v>
      </c>
      <c r="C2" s="23" t="s">
        <v>42</v>
      </c>
      <c r="D2" s="23" t="s">
        <v>41</v>
      </c>
      <c r="E2" s="23" t="s">
        <v>40</v>
      </c>
      <c r="F2" s="23" t="s">
        <v>39</v>
      </c>
    </row>
    <row r="3" spans="1:6" ht="20.25" customHeight="1" x14ac:dyDescent="0.2">
      <c r="A3" s="24"/>
      <c r="B3" s="25"/>
      <c r="C3" s="25"/>
      <c r="D3" s="25"/>
      <c r="E3" s="25"/>
      <c r="F3" s="25"/>
    </row>
    <row r="4" spans="1:6" ht="20" customHeight="1" x14ac:dyDescent="0.2">
      <c r="A4" s="26" t="s">
        <v>47</v>
      </c>
      <c r="B4" s="27">
        <v>800</v>
      </c>
      <c r="C4" s="27">
        <v>463</v>
      </c>
      <c r="D4" s="27">
        <v>715</v>
      </c>
      <c r="E4" s="27">
        <v>2484</v>
      </c>
      <c r="F4" s="27">
        <v>494</v>
      </c>
    </row>
    <row r="5" spans="1:6" ht="20" customHeight="1" x14ac:dyDescent="0.2">
      <c r="A5" s="26" t="s">
        <v>48</v>
      </c>
      <c r="B5" s="27">
        <v>5159</v>
      </c>
      <c r="C5" s="27">
        <v>4295</v>
      </c>
      <c r="D5" s="27">
        <v>3962</v>
      </c>
      <c r="E5" s="27">
        <v>3389</v>
      </c>
      <c r="F5" s="27">
        <v>3538</v>
      </c>
    </row>
    <row r="6" spans="1:6" ht="20" customHeight="1" x14ac:dyDescent="0.2">
      <c r="A6" s="26" t="s">
        <v>49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</row>
    <row r="7" spans="1:6" ht="20" customHeight="1" x14ac:dyDescent="0.2">
      <c r="A7" s="26" t="s">
        <v>50</v>
      </c>
      <c r="B7" s="27">
        <v>456</v>
      </c>
      <c r="C7" s="27">
        <v>438</v>
      </c>
      <c r="D7" s="27">
        <v>535</v>
      </c>
      <c r="E7" s="27">
        <v>479</v>
      </c>
      <c r="F7" s="27">
        <v>460</v>
      </c>
    </row>
    <row r="8" spans="1:6" ht="20" customHeight="1" x14ac:dyDescent="0.2">
      <c r="A8" s="26" t="s">
        <v>51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</row>
    <row r="9" spans="1:6" ht="20" customHeight="1" x14ac:dyDescent="0.2">
      <c r="A9" s="26" t="s">
        <v>52</v>
      </c>
      <c r="B9" s="27">
        <v>1419</v>
      </c>
      <c r="C9" s="27">
        <v>14087</v>
      </c>
      <c r="D9" s="27">
        <v>617</v>
      </c>
      <c r="E9" s="27">
        <v>577</v>
      </c>
      <c r="F9" s="27">
        <v>625</v>
      </c>
    </row>
    <row r="10" spans="1:6" ht="20" customHeight="1" x14ac:dyDescent="0.2">
      <c r="A10" s="26" t="s">
        <v>53</v>
      </c>
      <c r="B10" s="27">
        <v>7834</v>
      </c>
      <c r="C10" s="27">
        <v>19283</v>
      </c>
      <c r="D10" s="27">
        <v>5829</v>
      </c>
      <c r="E10" s="27">
        <v>6929</v>
      </c>
      <c r="F10" s="27">
        <v>5117</v>
      </c>
    </row>
    <row r="11" spans="1:6" ht="20" customHeight="1" x14ac:dyDescent="0.2">
      <c r="A11" s="24"/>
      <c r="B11" s="25"/>
      <c r="C11" s="25"/>
      <c r="D11" s="25"/>
      <c r="E11" s="25"/>
      <c r="F11" s="25"/>
    </row>
    <row r="12" spans="1:6" ht="20" customHeight="1" x14ac:dyDescent="0.2">
      <c r="A12" s="26" t="s">
        <v>54</v>
      </c>
      <c r="B12" s="27">
        <v>24332</v>
      </c>
      <c r="C12" s="27">
        <v>15574</v>
      </c>
      <c r="D12" s="27">
        <v>14666</v>
      </c>
      <c r="E12" s="27">
        <v>14018</v>
      </c>
      <c r="F12" s="27">
        <v>13934</v>
      </c>
    </row>
    <row r="13" spans="1:6" ht="20" customHeight="1" x14ac:dyDescent="0.2">
      <c r="A13" s="26" t="s">
        <v>55</v>
      </c>
      <c r="B13" s="27">
        <v>598</v>
      </c>
      <c r="C13" s="27">
        <v>2088</v>
      </c>
      <c r="D13" s="27">
        <v>2493</v>
      </c>
      <c r="E13" s="27">
        <v>2536</v>
      </c>
      <c r="F13" s="27">
        <v>2830</v>
      </c>
    </row>
    <row r="14" spans="1:6" ht="20" customHeight="1" x14ac:dyDescent="0.2">
      <c r="A14" s="26" t="s">
        <v>56</v>
      </c>
      <c r="B14" s="27">
        <v>16280</v>
      </c>
      <c r="C14" s="27">
        <v>4031</v>
      </c>
      <c r="D14" s="27">
        <v>4024</v>
      </c>
      <c r="E14" s="27">
        <v>3973</v>
      </c>
      <c r="F14" s="27">
        <v>3923</v>
      </c>
    </row>
    <row r="15" spans="1:6" ht="20" customHeight="1" x14ac:dyDescent="0.2">
      <c r="A15" s="26" t="s">
        <v>57</v>
      </c>
      <c r="B15" s="27">
        <v>17896</v>
      </c>
      <c r="C15" s="27">
        <v>12251</v>
      </c>
      <c r="D15" s="27">
        <v>12281</v>
      </c>
      <c r="E15" s="27">
        <v>8926</v>
      </c>
      <c r="F15" s="27">
        <v>8905</v>
      </c>
    </row>
    <row r="16" spans="1:6" ht="20" customHeight="1" x14ac:dyDescent="0.2">
      <c r="A16" s="26" t="s">
        <v>58</v>
      </c>
      <c r="B16" s="27">
        <v>2342</v>
      </c>
      <c r="C16" s="27">
        <v>2428</v>
      </c>
      <c r="D16" s="27">
        <v>2670</v>
      </c>
      <c r="E16" s="27">
        <v>2472</v>
      </c>
      <c r="F16" s="27">
        <v>2310</v>
      </c>
    </row>
    <row r="17" spans="1:9" ht="20" customHeight="1" x14ac:dyDescent="0.2">
      <c r="A17" s="26" t="s">
        <v>59</v>
      </c>
      <c r="B17" s="27">
        <v>61448</v>
      </c>
      <c r="C17" s="27">
        <v>36372</v>
      </c>
      <c r="D17" s="27">
        <v>36134</v>
      </c>
      <c r="E17" s="27">
        <v>31925</v>
      </c>
      <c r="F17" s="27">
        <v>31902</v>
      </c>
    </row>
    <row r="18" spans="1:9" ht="20" customHeight="1" x14ac:dyDescent="0.2">
      <c r="A18" s="24"/>
      <c r="B18" s="25"/>
      <c r="C18" s="25"/>
      <c r="D18" s="25"/>
      <c r="E18" s="25"/>
      <c r="F18" s="25"/>
    </row>
    <row r="19" spans="1:9" ht="20" customHeight="1" x14ac:dyDescent="0.2">
      <c r="A19" s="26" t="s">
        <v>60</v>
      </c>
      <c r="B19" s="27">
        <v>69282</v>
      </c>
      <c r="C19" s="27">
        <v>55655</v>
      </c>
      <c r="D19" s="27">
        <v>41963</v>
      </c>
      <c r="E19" s="27">
        <v>38854</v>
      </c>
      <c r="F19" s="27">
        <v>37019</v>
      </c>
    </row>
    <row r="20" spans="1:9" ht="20" customHeight="1" x14ac:dyDescent="0.2">
      <c r="A20" s="24"/>
      <c r="B20" s="25"/>
      <c r="C20" s="25"/>
      <c r="D20" s="25"/>
      <c r="E20" s="25"/>
      <c r="F20" s="25"/>
      <c r="I20" s="17">
        <f>B19-B31</f>
        <v>10440</v>
      </c>
    </row>
    <row r="21" spans="1:9" ht="20" customHeight="1" x14ac:dyDescent="0.2">
      <c r="A21" s="26" t="s">
        <v>61</v>
      </c>
      <c r="B21" s="27">
        <v>0</v>
      </c>
      <c r="C21" s="27">
        <v>0</v>
      </c>
      <c r="D21" s="27">
        <v>0</v>
      </c>
      <c r="E21" s="27">
        <v>0</v>
      </c>
      <c r="F21" s="27">
        <v>0</v>
      </c>
    </row>
    <row r="22" spans="1:9" ht="20" customHeight="1" x14ac:dyDescent="0.2">
      <c r="A22" s="26" t="s">
        <v>62</v>
      </c>
      <c r="B22" s="27">
        <v>1750</v>
      </c>
      <c r="C22" s="27">
        <v>2985</v>
      </c>
      <c r="D22" s="27">
        <v>2200</v>
      </c>
      <c r="E22" s="27">
        <v>1221</v>
      </c>
      <c r="F22" s="27">
        <v>2238</v>
      </c>
    </row>
    <row r="23" spans="1:9" ht="20" customHeight="1" x14ac:dyDescent="0.2">
      <c r="A23" s="26" t="s">
        <v>63</v>
      </c>
      <c r="B23" s="27">
        <v>4221</v>
      </c>
      <c r="C23" s="27">
        <v>3722</v>
      </c>
      <c r="D23" s="27">
        <v>3416</v>
      </c>
      <c r="E23" s="27">
        <v>2714</v>
      </c>
      <c r="F23" s="27">
        <v>3033</v>
      </c>
    </row>
    <row r="24" spans="1:9" ht="20" customHeight="1" x14ac:dyDescent="0.2">
      <c r="A24" s="26" t="s">
        <v>64</v>
      </c>
      <c r="B24" s="27">
        <v>1604</v>
      </c>
      <c r="C24" s="27">
        <v>2190</v>
      </c>
      <c r="D24" s="27">
        <v>1887</v>
      </c>
      <c r="E24" s="27">
        <v>1728</v>
      </c>
      <c r="F24" s="27">
        <v>230</v>
      </c>
    </row>
    <row r="25" spans="1:9" ht="20" customHeight="1" x14ac:dyDescent="0.2">
      <c r="A25" s="26" t="s">
        <v>65</v>
      </c>
      <c r="B25" s="27">
        <v>1207</v>
      </c>
      <c r="C25" s="27">
        <v>652</v>
      </c>
      <c r="D25" s="27">
        <v>1116</v>
      </c>
      <c r="E25" s="27">
        <v>923</v>
      </c>
      <c r="F25" s="27">
        <v>463</v>
      </c>
    </row>
    <row r="26" spans="1:9" ht="20" customHeight="1" x14ac:dyDescent="0.2">
      <c r="A26" s="26" t="s">
        <v>66</v>
      </c>
      <c r="B26" s="27">
        <v>8782</v>
      </c>
      <c r="C26" s="27">
        <v>9549</v>
      </c>
      <c r="D26" s="27">
        <v>8619</v>
      </c>
      <c r="E26" s="27">
        <v>6586</v>
      </c>
      <c r="F26" s="27">
        <v>5964</v>
      </c>
    </row>
    <row r="27" spans="1:9" ht="20" customHeight="1" x14ac:dyDescent="0.2">
      <c r="A27" s="24"/>
      <c r="B27" s="25"/>
      <c r="C27" s="25"/>
      <c r="D27" s="25"/>
      <c r="E27" s="25"/>
      <c r="F27" s="25"/>
    </row>
    <row r="28" spans="1:9" ht="20" customHeight="1" x14ac:dyDescent="0.2">
      <c r="A28" s="26" t="s">
        <v>67</v>
      </c>
      <c r="B28" s="27">
        <v>39755</v>
      </c>
      <c r="C28" s="27">
        <v>29905</v>
      </c>
      <c r="D28" s="27">
        <v>17137</v>
      </c>
      <c r="E28" s="27">
        <v>16751</v>
      </c>
      <c r="F28" s="27">
        <v>15967</v>
      </c>
    </row>
    <row r="29" spans="1:9" ht="20" customHeight="1" x14ac:dyDescent="0.2">
      <c r="A29" s="26" t="s">
        <v>68</v>
      </c>
      <c r="B29" s="27">
        <v>10305</v>
      </c>
      <c r="C29" s="27">
        <v>6109</v>
      </c>
      <c r="D29" s="27">
        <v>5675</v>
      </c>
      <c r="E29" s="27">
        <v>5944</v>
      </c>
      <c r="F29" s="27">
        <v>5672</v>
      </c>
    </row>
    <row r="30" spans="1:9" ht="20" customHeight="1" x14ac:dyDescent="0.2">
      <c r="A30" s="24"/>
      <c r="B30" s="25"/>
      <c r="C30" s="25"/>
      <c r="D30" s="25"/>
      <c r="E30" s="25"/>
      <c r="F30" s="25"/>
    </row>
    <row r="31" spans="1:9" ht="20" customHeight="1" x14ac:dyDescent="0.2">
      <c r="A31" s="26" t="s">
        <v>69</v>
      </c>
      <c r="B31" s="27">
        <v>58842</v>
      </c>
      <c r="C31" s="27">
        <v>45563</v>
      </c>
      <c r="D31" s="27">
        <v>31431</v>
      </c>
      <c r="E31" s="27">
        <v>29281</v>
      </c>
      <c r="F31" s="27">
        <v>27603</v>
      </c>
    </row>
    <row r="32" spans="1:9" ht="20" customHeight="1" x14ac:dyDescent="0.2">
      <c r="A32" s="24"/>
      <c r="B32" s="25"/>
      <c r="C32" s="25"/>
      <c r="D32" s="25"/>
      <c r="E32" s="25"/>
      <c r="F32" s="25"/>
    </row>
    <row r="33" spans="1:6" ht="20" customHeight="1" x14ac:dyDescent="0.2">
      <c r="A33" s="26" t="s">
        <v>70</v>
      </c>
      <c r="B33" s="27">
        <v>1992</v>
      </c>
      <c r="C33" s="27">
        <v>468</v>
      </c>
      <c r="D33" s="27">
        <v>468</v>
      </c>
      <c r="E33" s="27">
        <v>468</v>
      </c>
      <c r="F33" s="27">
        <v>468</v>
      </c>
    </row>
    <row r="34" spans="1:6" ht="20" customHeight="1" x14ac:dyDescent="0.2">
      <c r="A34" s="26" t="s">
        <v>71</v>
      </c>
      <c r="B34" s="27">
        <v>0</v>
      </c>
      <c r="C34" s="27">
        <v>0</v>
      </c>
      <c r="D34" s="27">
        <v>0</v>
      </c>
      <c r="E34" s="27">
        <v>0</v>
      </c>
      <c r="F34" s="27">
        <v>0</v>
      </c>
    </row>
    <row r="35" spans="1:6" ht="20" customHeight="1" x14ac:dyDescent="0.2">
      <c r="A35" s="26" t="s">
        <v>72</v>
      </c>
      <c r="B35" s="27">
        <v>9849</v>
      </c>
      <c r="C35" s="27">
        <v>9824</v>
      </c>
      <c r="D35" s="27">
        <v>8910</v>
      </c>
      <c r="E35" s="27">
        <v>7912</v>
      </c>
      <c r="F35" s="27">
        <v>7420</v>
      </c>
    </row>
    <row r="36" spans="1:6" ht="20" customHeight="1" x14ac:dyDescent="0.2">
      <c r="A36" s="26" t="s">
        <v>73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</row>
    <row r="37" spans="1:6" ht="20" customHeight="1" x14ac:dyDescent="0.2">
      <c r="A37" s="26" t="s">
        <v>74</v>
      </c>
      <c r="B37" s="27">
        <v>-1401</v>
      </c>
      <c r="C37" s="27">
        <v>-200</v>
      </c>
      <c r="D37" s="27">
        <v>1154</v>
      </c>
      <c r="E37" s="27">
        <v>1193</v>
      </c>
      <c r="F37" s="27">
        <v>1528</v>
      </c>
    </row>
    <row r="38" spans="1:6" ht="20" customHeight="1" x14ac:dyDescent="0.2">
      <c r="A38" s="26" t="s">
        <v>75</v>
      </c>
      <c r="B38" s="27">
        <v>10440</v>
      </c>
      <c r="C38" s="27">
        <v>10092</v>
      </c>
      <c r="D38" s="27">
        <v>10532</v>
      </c>
      <c r="E38" s="27">
        <v>9573</v>
      </c>
      <c r="F38" s="27">
        <v>9416</v>
      </c>
    </row>
    <row r="39" spans="1:6" ht="20" customHeight="1" x14ac:dyDescent="0.2">
      <c r="A39" s="24"/>
      <c r="B39" s="25"/>
      <c r="C39" s="25"/>
      <c r="D39" s="25"/>
      <c r="E39" s="25"/>
      <c r="F39" s="25"/>
    </row>
    <row r="40" spans="1:6" ht="20" customHeight="1" x14ac:dyDescent="0.2">
      <c r="A40" s="26" t="s">
        <v>76</v>
      </c>
      <c r="B40" s="27">
        <v>0</v>
      </c>
      <c r="C40" s="27">
        <v>0</v>
      </c>
      <c r="D40" s="27">
        <v>0</v>
      </c>
      <c r="E40" s="27">
        <v>0</v>
      </c>
      <c r="F40" s="27">
        <v>0</v>
      </c>
    </row>
    <row r="41" spans="1:6" ht="20" customHeight="1" x14ac:dyDescent="0.2">
      <c r="A41" s="26" t="s">
        <v>77</v>
      </c>
      <c r="B41" s="27">
        <v>10440</v>
      </c>
      <c r="C41" s="27">
        <v>10092</v>
      </c>
      <c r="D41" s="27">
        <v>10532</v>
      </c>
      <c r="E41" s="27">
        <v>9573</v>
      </c>
      <c r="F41" s="27">
        <v>9416</v>
      </c>
    </row>
  </sheetData>
  <mergeCells count="1">
    <mergeCell ref="A1:F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7B2-E5A1-844E-81DD-31E879FB7DF5}">
  <dimension ref="A1:G19"/>
  <sheetViews>
    <sheetView workbookViewId="0">
      <selection activeCell="B12" sqref="B12"/>
    </sheetView>
  </sheetViews>
  <sheetFormatPr baseColWidth="10" defaultRowHeight="16" x14ac:dyDescent="0.2"/>
  <cols>
    <col min="1" max="1" width="21.83203125" customWidth="1"/>
  </cols>
  <sheetData>
    <row r="1" spans="1:7" x14ac:dyDescent="0.2">
      <c r="A1" s="136" t="s">
        <v>78</v>
      </c>
      <c r="B1" s="136"/>
      <c r="C1" s="136"/>
      <c r="D1" s="136"/>
      <c r="E1" s="136"/>
      <c r="F1" s="136"/>
      <c r="G1" s="18"/>
    </row>
    <row r="2" spans="1:7" x14ac:dyDescent="0.2">
      <c r="A2" s="32" t="s">
        <v>44</v>
      </c>
      <c r="B2" s="32" t="s">
        <v>43</v>
      </c>
      <c r="C2" s="32" t="s">
        <v>42</v>
      </c>
      <c r="D2" s="32" t="s">
        <v>41</v>
      </c>
      <c r="E2" s="32" t="s">
        <v>40</v>
      </c>
      <c r="F2" s="32" t="s">
        <v>39</v>
      </c>
      <c r="G2" s="18"/>
    </row>
    <row r="3" spans="1:7" x14ac:dyDescent="0.2">
      <c r="A3" s="30"/>
      <c r="B3" s="29"/>
      <c r="C3" s="29"/>
      <c r="D3" s="29"/>
      <c r="E3" s="29"/>
      <c r="F3" s="29"/>
      <c r="G3" s="18"/>
    </row>
    <row r="4" spans="1:7" x14ac:dyDescent="0.2">
      <c r="A4" s="31" t="s">
        <v>79</v>
      </c>
      <c r="B4" s="29">
        <v>19308</v>
      </c>
      <c r="C4" s="29">
        <v>15396</v>
      </c>
      <c r="D4" s="29">
        <v>14655</v>
      </c>
      <c r="E4" s="29">
        <v>13916</v>
      </c>
      <c r="F4" s="29">
        <v>15073</v>
      </c>
      <c r="G4" s="18"/>
    </row>
    <row r="5" spans="1:7" x14ac:dyDescent="0.2">
      <c r="A5" s="31" t="s">
        <v>80</v>
      </c>
      <c r="B5" s="29">
        <v>-10727</v>
      </c>
      <c r="C5" s="29">
        <v>-9003</v>
      </c>
      <c r="D5" s="29">
        <v>-8768</v>
      </c>
      <c r="E5" s="29">
        <v>-8059</v>
      </c>
      <c r="F5" s="29">
        <v>-8861</v>
      </c>
      <c r="G5" s="18"/>
    </row>
    <row r="6" spans="1:7" x14ac:dyDescent="0.2">
      <c r="A6" s="31" t="s">
        <v>81</v>
      </c>
      <c r="B6" s="29">
        <v>8581</v>
      </c>
      <c r="C6" s="29">
        <v>6393</v>
      </c>
      <c r="D6" s="29">
        <v>5887</v>
      </c>
      <c r="E6" s="29">
        <v>5857</v>
      </c>
      <c r="F6" s="29">
        <v>6212</v>
      </c>
      <c r="G6" s="18"/>
    </row>
    <row r="7" spans="1:7" x14ac:dyDescent="0.2">
      <c r="A7" s="30"/>
      <c r="B7" s="29"/>
      <c r="C7" s="29"/>
      <c r="D7" s="29"/>
      <c r="E7" s="29"/>
      <c r="F7" s="29"/>
      <c r="G7" s="18"/>
    </row>
    <row r="8" spans="1:7" x14ac:dyDescent="0.2">
      <c r="A8" s="31" t="s">
        <v>82</v>
      </c>
      <c r="B8" s="29">
        <v>0</v>
      </c>
      <c r="C8" s="29">
        <v>0</v>
      </c>
      <c r="D8" s="29">
        <v>0</v>
      </c>
      <c r="E8" s="29">
        <v>0</v>
      </c>
      <c r="F8" s="29">
        <v>0</v>
      </c>
      <c r="G8" s="18"/>
    </row>
    <row r="9" spans="1:7" x14ac:dyDescent="0.2">
      <c r="A9" s="31" t="s">
        <v>83</v>
      </c>
      <c r="B9" s="29">
        <v>0</v>
      </c>
      <c r="C9" s="29">
        <v>0</v>
      </c>
      <c r="D9" s="29">
        <v>0</v>
      </c>
      <c r="E9" s="29">
        <v>0</v>
      </c>
      <c r="F9" s="29">
        <v>0</v>
      </c>
      <c r="G9" s="18"/>
    </row>
    <row r="10" spans="1:7" x14ac:dyDescent="0.2">
      <c r="A10" s="31" t="s">
        <v>84</v>
      </c>
      <c r="B10" s="29">
        <v>-4964</v>
      </c>
      <c r="C10" s="29">
        <v>-2948</v>
      </c>
      <c r="D10" s="29">
        <v>-2952</v>
      </c>
      <c r="E10" s="29">
        <v>-2843</v>
      </c>
      <c r="F10" s="29">
        <v>-2678</v>
      </c>
      <c r="G10" s="18"/>
    </row>
    <row r="11" spans="1:7" x14ac:dyDescent="0.2">
      <c r="A11" s="31" t="s">
        <v>85</v>
      </c>
      <c r="B11" s="29">
        <v>-2251</v>
      </c>
      <c r="C11" s="29">
        <v>-1156</v>
      </c>
      <c r="D11" s="29">
        <v>-808</v>
      </c>
      <c r="E11" s="29">
        <v>-842</v>
      </c>
      <c r="F11" s="29">
        <v>-779</v>
      </c>
      <c r="G11" s="18"/>
    </row>
    <row r="12" spans="1:7" x14ac:dyDescent="0.2">
      <c r="A12" s="31" t="s">
        <v>86</v>
      </c>
      <c r="B12" s="29">
        <v>1366</v>
      </c>
      <c r="C12" s="29">
        <v>2289</v>
      </c>
      <c r="D12" s="29">
        <v>2127</v>
      </c>
      <c r="E12" s="29">
        <v>2172</v>
      </c>
      <c r="F12" s="29">
        <v>2755</v>
      </c>
      <c r="G12" s="18"/>
    </row>
    <row r="13" spans="1:7" x14ac:dyDescent="0.2">
      <c r="A13" s="30"/>
      <c r="B13" s="29"/>
      <c r="C13" s="29"/>
      <c r="D13" s="29"/>
      <c r="E13" s="29"/>
      <c r="F13" s="29"/>
      <c r="G13" s="18"/>
    </row>
    <row r="14" spans="1:7" x14ac:dyDescent="0.2">
      <c r="A14" s="31" t="s">
        <v>87</v>
      </c>
      <c r="B14" s="29">
        <v>517</v>
      </c>
      <c r="C14" s="29">
        <v>609</v>
      </c>
      <c r="D14" s="29">
        <v>569</v>
      </c>
      <c r="E14" s="29">
        <v>580</v>
      </c>
      <c r="F14" s="29">
        <v>712</v>
      </c>
      <c r="G14" s="18"/>
    </row>
    <row r="15" spans="1:7" x14ac:dyDescent="0.2">
      <c r="A15" s="31" t="s">
        <v>88</v>
      </c>
      <c r="B15" s="29">
        <v>849</v>
      </c>
      <c r="C15" s="29">
        <v>1680</v>
      </c>
      <c r="D15" s="29">
        <v>1558</v>
      </c>
      <c r="E15" s="29">
        <v>1592</v>
      </c>
      <c r="F15" s="29">
        <v>2043</v>
      </c>
      <c r="G15" s="18"/>
    </row>
    <row r="16" spans="1:7" x14ac:dyDescent="0.2">
      <c r="A16" s="30"/>
      <c r="B16" s="29"/>
      <c r="C16" s="29"/>
      <c r="D16" s="29"/>
      <c r="E16" s="29"/>
      <c r="F16" s="29"/>
      <c r="G16" s="18"/>
    </row>
    <row r="17" spans="1:7" x14ac:dyDescent="0.2">
      <c r="A17" s="31" t="s">
        <v>76</v>
      </c>
      <c r="B17" s="29">
        <v>0</v>
      </c>
      <c r="C17" s="29">
        <v>0</v>
      </c>
      <c r="D17" s="29">
        <v>0</v>
      </c>
      <c r="E17" s="29">
        <v>0</v>
      </c>
      <c r="F17" s="29">
        <v>0</v>
      </c>
      <c r="G17" s="18"/>
    </row>
    <row r="18" spans="1:7" x14ac:dyDescent="0.2">
      <c r="A18" s="31" t="s">
        <v>89</v>
      </c>
      <c r="B18" s="29">
        <v>849</v>
      </c>
      <c r="C18" s="29">
        <v>1680</v>
      </c>
      <c r="D18" s="29">
        <v>1558</v>
      </c>
      <c r="E18" s="29">
        <v>1592</v>
      </c>
      <c r="F18" s="29">
        <v>2043</v>
      </c>
      <c r="G18" s="18"/>
    </row>
    <row r="19" spans="1:7" x14ac:dyDescent="0.2">
      <c r="A19" s="28"/>
      <c r="B19" s="28"/>
      <c r="C19" s="28"/>
      <c r="D19" s="28"/>
      <c r="E19" s="28"/>
      <c r="F19" s="28"/>
      <c r="G19" s="18"/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46545-5A30-5542-9554-2B954E0B7662}">
  <dimension ref="A1:M25"/>
  <sheetViews>
    <sheetView tabSelected="1" workbookViewId="0">
      <selection activeCell="O26" sqref="O26"/>
    </sheetView>
  </sheetViews>
  <sheetFormatPr baseColWidth="10" defaultRowHeight="16" x14ac:dyDescent="0.2"/>
  <sheetData>
    <row r="1" spans="1:13" x14ac:dyDescent="0.2">
      <c r="A1" s="73" t="s">
        <v>126</v>
      </c>
      <c r="B1" s="75"/>
      <c r="C1" s="75"/>
      <c r="D1" s="73">
        <v>2019</v>
      </c>
      <c r="E1" s="73">
        <f>D1+1</f>
        <v>2020</v>
      </c>
      <c r="F1" s="73">
        <f>E1+1</f>
        <v>2021</v>
      </c>
      <c r="G1" s="73">
        <f>F1+1</f>
        <v>2022</v>
      </c>
      <c r="H1" s="73">
        <f>G1+1</f>
        <v>2023</v>
      </c>
      <c r="I1" s="74">
        <f>H1+1</f>
        <v>2024</v>
      </c>
      <c r="J1" s="73">
        <f t="shared" ref="J1:M1" si="0">I1+1</f>
        <v>2025</v>
      </c>
      <c r="K1" s="73">
        <f t="shared" si="0"/>
        <v>2026</v>
      </c>
      <c r="L1" s="73">
        <f t="shared" si="0"/>
        <v>2027</v>
      </c>
      <c r="M1" s="73">
        <f t="shared" si="0"/>
        <v>2028</v>
      </c>
    </row>
    <row r="2" spans="1:13" x14ac:dyDescent="0.2">
      <c r="A2" s="54" t="s">
        <v>79</v>
      </c>
      <c r="B2" s="54"/>
      <c r="C2" s="54"/>
      <c r="D2" s="124">
        <f>IS!F4</f>
        <v>15073</v>
      </c>
      <c r="E2" s="124">
        <f>IS!E4</f>
        <v>13916</v>
      </c>
      <c r="F2" s="124">
        <f>IS!D4</f>
        <v>14655</v>
      </c>
      <c r="G2" s="124">
        <f>IS!C4</f>
        <v>15396</v>
      </c>
      <c r="H2" s="124">
        <f>IS!B4</f>
        <v>19308</v>
      </c>
      <c r="I2" s="125">
        <v>20423</v>
      </c>
      <c r="J2" s="126">
        <v>21259</v>
      </c>
      <c r="K2" s="126">
        <v>21883</v>
      </c>
      <c r="L2" s="126">
        <v>23049</v>
      </c>
      <c r="M2" s="126">
        <v>24380</v>
      </c>
    </row>
    <row r="15" spans="1:13" x14ac:dyDescent="0.2">
      <c r="K15" t="s">
        <v>126</v>
      </c>
      <c r="L15" t="s">
        <v>79</v>
      </c>
    </row>
    <row r="16" spans="1:13" x14ac:dyDescent="0.2">
      <c r="K16">
        <v>2019</v>
      </c>
      <c r="L16" s="123">
        <v>15073</v>
      </c>
    </row>
    <row r="17" spans="11:12" x14ac:dyDescent="0.2">
      <c r="K17">
        <v>2020</v>
      </c>
      <c r="L17" s="123">
        <v>13916</v>
      </c>
    </row>
    <row r="18" spans="11:12" x14ac:dyDescent="0.2">
      <c r="K18">
        <v>2021</v>
      </c>
      <c r="L18" s="123">
        <v>14655</v>
      </c>
    </row>
    <row r="19" spans="11:12" x14ac:dyDescent="0.2">
      <c r="K19">
        <v>2022</v>
      </c>
      <c r="L19" s="123">
        <v>15396</v>
      </c>
    </row>
    <row r="20" spans="11:12" x14ac:dyDescent="0.2">
      <c r="K20">
        <v>2023</v>
      </c>
      <c r="L20" s="123">
        <v>19308</v>
      </c>
    </row>
    <row r="21" spans="11:12" x14ac:dyDescent="0.2">
      <c r="K21">
        <v>2024</v>
      </c>
      <c r="L21" s="123">
        <v>20423</v>
      </c>
    </row>
    <row r="22" spans="11:12" x14ac:dyDescent="0.2">
      <c r="K22">
        <v>2025</v>
      </c>
      <c r="L22" s="123">
        <v>21259</v>
      </c>
    </row>
    <row r="23" spans="11:12" x14ac:dyDescent="0.2">
      <c r="K23">
        <v>2026</v>
      </c>
      <c r="L23" s="123">
        <v>21883</v>
      </c>
    </row>
    <row r="24" spans="11:12" x14ac:dyDescent="0.2">
      <c r="K24">
        <v>2027</v>
      </c>
      <c r="L24" s="123">
        <v>23049</v>
      </c>
    </row>
    <row r="25" spans="11:12" x14ac:dyDescent="0.2">
      <c r="K25">
        <v>2028</v>
      </c>
      <c r="L25" s="123">
        <v>24380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DCF</vt:lpstr>
      <vt:lpstr>WACC</vt:lpstr>
      <vt:lpstr>CFS</vt:lpstr>
      <vt:lpstr>BS</vt:lpstr>
      <vt:lpstr>IS</vt:lpstr>
      <vt:lpstr>Sheet1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Zhu</dc:creator>
  <cp:lastModifiedBy>Tong Zhu</cp:lastModifiedBy>
  <dcterms:created xsi:type="dcterms:W3CDTF">2024-05-14T16:08:17Z</dcterms:created>
  <dcterms:modified xsi:type="dcterms:W3CDTF">2024-06-14T17:04:52Z</dcterms:modified>
</cp:coreProperties>
</file>